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1\Desktop\데이터\'21\4M\3W\"/>
    </mc:Choice>
  </mc:AlternateContent>
  <bookViews>
    <workbookView xWindow="0" yWindow="0" windowWidth="38400" windowHeight="17790" activeTab="5"/>
  </bookViews>
  <sheets>
    <sheet name="SALE(W)" sheetId="27" r:id="rId1"/>
    <sheet name="SALE(M)" sheetId="28" r:id="rId2"/>
    <sheet name="SALE(A)" sheetId="29" r:id="rId3"/>
    <sheet name="SALE(T)" sheetId="31" r:id="rId4"/>
    <sheet name="BUY(W)" sheetId="33" r:id="rId5"/>
    <sheet name="BUY(M)" sheetId="34" r:id="rId6"/>
    <sheet name="BUY(A)" sheetId="35" r:id="rId7"/>
    <sheet name="BUY(T)" sheetId="32" r:id="rId8"/>
  </sheets>
  <definedNames>
    <definedName name="_xlnm._FilterDatabase" localSheetId="2" hidden="1">'SALE(A)'!$B$13:$J$33</definedName>
    <definedName name="_xlnm._FilterDatabase" localSheetId="1" hidden="1">'SALE(M)'!$B$13:$K$13</definedName>
    <definedName name="_xlnm._FilterDatabase" localSheetId="0" hidden="1">'SALE(W)'!$B$13:$K$34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8" i="34" l="1"/>
  <c r="I58" i="34"/>
  <c r="F58" i="34"/>
  <c r="C58" i="34"/>
  <c r="L57" i="34"/>
  <c r="I57" i="34"/>
  <c r="F57" i="34"/>
  <c r="C57" i="34"/>
  <c r="L56" i="34"/>
  <c r="I56" i="34"/>
  <c r="F56" i="34"/>
  <c r="C56" i="34"/>
  <c r="L55" i="34"/>
  <c r="I55" i="34"/>
  <c r="F55" i="34"/>
  <c r="C55" i="34"/>
  <c r="L54" i="34"/>
  <c r="I54" i="34"/>
  <c r="F54" i="34"/>
  <c r="C54" i="34"/>
  <c r="L51" i="34"/>
  <c r="I51" i="34"/>
  <c r="F51" i="34"/>
  <c r="C51" i="34"/>
  <c r="L50" i="34"/>
  <c r="I50" i="34"/>
  <c r="F50" i="34"/>
  <c r="C50" i="34"/>
  <c r="L49" i="34"/>
  <c r="I49" i="34"/>
  <c r="F49" i="34"/>
  <c r="C49" i="34"/>
  <c r="L48" i="34"/>
  <c r="I48" i="34"/>
  <c r="F48" i="34"/>
  <c r="C48" i="34"/>
  <c r="I42" i="34"/>
  <c r="I41" i="34"/>
  <c r="I40" i="34"/>
  <c r="I39" i="34"/>
  <c r="F39" i="34"/>
  <c r="I38" i="34"/>
  <c r="F38" i="34"/>
  <c r="I37" i="34"/>
  <c r="F37" i="34"/>
  <c r="I36" i="34"/>
  <c r="F36" i="34"/>
  <c r="L35" i="34"/>
  <c r="K35" i="34"/>
  <c r="I35" i="34"/>
  <c r="F35" i="34"/>
  <c r="L34" i="34"/>
  <c r="K34" i="34"/>
  <c r="I34" i="34"/>
  <c r="F34" i="34"/>
  <c r="C34" i="34"/>
  <c r="L33" i="34"/>
  <c r="K33" i="34"/>
  <c r="I33" i="34"/>
  <c r="F33" i="34"/>
  <c r="C33" i="34"/>
  <c r="L32" i="34"/>
  <c r="K32" i="34"/>
  <c r="I32" i="34"/>
  <c r="F32" i="34"/>
  <c r="C32" i="34"/>
  <c r="L31" i="34"/>
  <c r="K31" i="34"/>
  <c r="I31" i="34"/>
  <c r="F31" i="34"/>
  <c r="C31" i="34"/>
  <c r="B9" i="34"/>
  <c r="L67" i="33"/>
  <c r="I67" i="33"/>
  <c r="F67" i="33"/>
  <c r="C67" i="33"/>
  <c r="L66" i="33"/>
  <c r="I66" i="33"/>
  <c r="F66" i="33"/>
  <c r="C66" i="33"/>
  <c r="L65" i="33"/>
  <c r="I65" i="33"/>
  <c r="F65" i="33"/>
  <c r="C65" i="33"/>
  <c r="L64" i="33"/>
  <c r="I64" i="33"/>
  <c r="F64" i="33"/>
  <c r="C64" i="33"/>
  <c r="L63" i="33"/>
  <c r="I63" i="33"/>
  <c r="F63" i="33"/>
  <c r="C63" i="33"/>
  <c r="L60" i="33"/>
  <c r="I60" i="33"/>
  <c r="F60" i="33"/>
  <c r="C60" i="33"/>
  <c r="L59" i="33"/>
  <c r="I59" i="33"/>
  <c r="F59" i="33"/>
  <c r="C59" i="33"/>
  <c r="L58" i="33"/>
  <c r="I58" i="33"/>
  <c r="F58" i="33"/>
  <c r="C58" i="33"/>
  <c r="L57" i="33"/>
  <c r="I57" i="33"/>
  <c r="F57" i="33"/>
  <c r="C57" i="33"/>
  <c r="I50" i="33"/>
  <c r="I49" i="33"/>
  <c r="I48" i="33"/>
  <c r="I47" i="33"/>
  <c r="F47" i="33"/>
  <c r="I46" i="33"/>
  <c r="F46" i="33"/>
  <c r="I45" i="33"/>
  <c r="F45" i="33"/>
  <c r="I44" i="33"/>
  <c r="F44" i="33"/>
  <c r="L43" i="33"/>
  <c r="K43" i="33"/>
  <c r="I43" i="33"/>
  <c r="F43" i="33"/>
  <c r="L42" i="33"/>
  <c r="K42" i="33"/>
  <c r="I42" i="33"/>
  <c r="F42" i="33"/>
  <c r="C42" i="33"/>
  <c r="L41" i="33"/>
  <c r="K41" i="33"/>
  <c r="I41" i="33"/>
  <c r="F41" i="33"/>
  <c r="C41" i="33"/>
  <c r="L40" i="33"/>
  <c r="K40" i="33"/>
  <c r="I40" i="33"/>
  <c r="F40" i="33"/>
  <c r="C40" i="33"/>
  <c r="L39" i="33"/>
  <c r="K39" i="33"/>
  <c r="I39" i="33"/>
  <c r="F39" i="33"/>
  <c r="C39" i="33"/>
  <c r="B9" i="33"/>
  <c r="L67" i="31" l="1"/>
  <c r="I67" i="31"/>
  <c r="C67" i="31"/>
  <c r="L66" i="31"/>
  <c r="I66" i="31"/>
  <c r="F66" i="31"/>
  <c r="C66" i="31"/>
  <c r="L65" i="31"/>
  <c r="I65" i="31"/>
  <c r="F65" i="31"/>
  <c r="C65" i="31"/>
  <c r="L64" i="31"/>
  <c r="I64" i="31"/>
  <c r="F64" i="31"/>
  <c r="C64" i="31"/>
  <c r="L63" i="31"/>
  <c r="I63" i="31"/>
  <c r="F63" i="31"/>
  <c r="C63" i="31"/>
  <c r="L60" i="31"/>
  <c r="I60" i="31"/>
  <c r="F60" i="31"/>
  <c r="C60" i="31"/>
  <c r="L59" i="31"/>
  <c r="I59" i="31"/>
  <c r="F59" i="31"/>
  <c r="C59" i="31"/>
  <c r="L58" i="31"/>
  <c r="I58" i="31"/>
  <c r="F58" i="31"/>
  <c r="C58" i="31"/>
  <c r="L57" i="31"/>
  <c r="I57" i="31"/>
  <c r="F57" i="31"/>
  <c r="C57" i="31"/>
  <c r="F47" i="29"/>
  <c r="F46" i="29"/>
  <c r="F45" i="29"/>
  <c r="F44" i="29"/>
  <c r="F43" i="29"/>
  <c r="F42" i="29"/>
  <c r="F41" i="29"/>
  <c r="F40" i="29"/>
  <c r="F39" i="29"/>
  <c r="F47" i="31"/>
  <c r="F46" i="31"/>
  <c r="F45" i="31"/>
  <c r="F44" i="31"/>
  <c r="F43" i="31"/>
  <c r="F42" i="31"/>
  <c r="F41" i="31"/>
  <c r="F40" i="31"/>
  <c r="F39" i="31"/>
  <c r="F67" i="31"/>
  <c r="I50" i="31"/>
  <c r="I49" i="31"/>
  <c r="I48" i="31"/>
  <c r="I47" i="31"/>
  <c r="I46" i="31"/>
  <c r="I45" i="31"/>
  <c r="I44" i="31"/>
  <c r="L43" i="31"/>
  <c r="K43" i="31"/>
  <c r="I43" i="31"/>
  <c r="L42" i="31"/>
  <c r="K42" i="31"/>
  <c r="I42" i="31"/>
  <c r="C42" i="31"/>
  <c r="L41" i="31"/>
  <c r="K41" i="31"/>
  <c r="I41" i="31"/>
  <c r="C41" i="31"/>
  <c r="L40" i="31"/>
  <c r="K40" i="31"/>
  <c r="I40" i="31"/>
  <c r="C40" i="31"/>
  <c r="L39" i="31"/>
  <c r="K39" i="31"/>
  <c r="I39" i="31"/>
  <c r="C39" i="31"/>
  <c r="B9" i="31"/>
  <c r="L67" i="29" l="1"/>
  <c r="I67" i="29"/>
  <c r="C67" i="29"/>
  <c r="L66" i="29"/>
  <c r="I66" i="29"/>
  <c r="F66" i="29"/>
  <c r="C66" i="29"/>
  <c r="L65" i="29"/>
  <c r="I65" i="29"/>
  <c r="F65" i="29"/>
  <c r="C65" i="29"/>
  <c r="L64" i="29"/>
  <c r="I64" i="29"/>
  <c r="F64" i="29"/>
  <c r="C64" i="29"/>
  <c r="L63" i="29"/>
  <c r="I63" i="29"/>
  <c r="F63" i="29"/>
  <c r="C63" i="29"/>
  <c r="L60" i="29"/>
  <c r="I60" i="29"/>
  <c r="F60" i="29"/>
  <c r="C60" i="29"/>
  <c r="L59" i="29"/>
  <c r="I59" i="29"/>
  <c r="F59" i="29"/>
  <c r="C59" i="29"/>
  <c r="L58" i="29"/>
  <c r="I58" i="29"/>
  <c r="F58" i="29"/>
  <c r="C58" i="29"/>
  <c r="L57" i="29"/>
  <c r="I57" i="29"/>
  <c r="F57" i="29"/>
  <c r="C57" i="29"/>
  <c r="F67" i="29"/>
  <c r="I50" i="29"/>
  <c r="I49" i="29"/>
  <c r="I48" i="29"/>
  <c r="I47" i="29"/>
  <c r="I46" i="29"/>
  <c r="I45" i="29"/>
  <c r="I44" i="29"/>
  <c r="L43" i="29"/>
  <c r="K43" i="29"/>
  <c r="I43" i="29"/>
  <c r="L42" i="29"/>
  <c r="K42" i="29"/>
  <c r="I42" i="29"/>
  <c r="C42" i="29"/>
  <c r="L41" i="29"/>
  <c r="K41" i="29"/>
  <c r="I41" i="29"/>
  <c r="C41" i="29"/>
  <c r="L40" i="29"/>
  <c r="K40" i="29"/>
  <c r="I40" i="29"/>
  <c r="C40" i="29"/>
  <c r="L39" i="29"/>
  <c r="K39" i="29"/>
  <c r="I39" i="29"/>
  <c r="C39" i="29"/>
  <c r="B9" i="29"/>
  <c r="L35" i="28" l="1"/>
  <c r="L34" i="28"/>
  <c r="L33" i="28"/>
  <c r="L32" i="28"/>
  <c r="L31" i="28"/>
  <c r="I42" i="28"/>
  <c r="I41" i="28"/>
  <c r="I40" i="28"/>
  <c r="I39" i="28"/>
  <c r="I38" i="28"/>
  <c r="I37" i="28"/>
  <c r="I36" i="28"/>
  <c r="I35" i="28"/>
  <c r="I34" i="28"/>
  <c r="I33" i="28"/>
  <c r="I32" i="28"/>
  <c r="I31" i="28"/>
  <c r="L43" i="27" l="1"/>
  <c r="K43" i="27"/>
  <c r="L42" i="27"/>
  <c r="L41" i="27"/>
  <c r="L40" i="27"/>
  <c r="I45" i="27"/>
  <c r="I43" i="27"/>
  <c r="I41" i="27"/>
  <c r="I47" i="27"/>
  <c r="I40" i="27"/>
  <c r="I39" i="27"/>
  <c r="I48" i="27"/>
  <c r="I42" i="27"/>
  <c r="I49" i="27"/>
  <c r="I44" i="27"/>
  <c r="I50" i="27"/>
  <c r="I46" i="27"/>
  <c r="L64" i="35" l="1"/>
  <c r="I64" i="35"/>
  <c r="F64" i="35"/>
  <c r="C64" i="35"/>
  <c r="L63" i="35"/>
  <c r="I63" i="35"/>
  <c r="F63" i="35"/>
  <c r="C63" i="35"/>
  <c r="L62" i="35"/>
  <c r="I62" i="35"/>
  <c r="F62" i="35"/>
  <c r="C62" i="35"/>
  <c r="L61" i="35"/>
  <c r="I61" i="35"/>
  <c r="F61" i="35"/>
  <c r="C61" i="35"/>
  <c r="L60" i="35"/>
  <c r="I60" i="35"/>
  <c r="F60" i="35"/>
  <c r="C60" i="35"/>
  <c r="L57" i="35"/>
  <c r="I57" i="35"/>
  <c r="F57" i="35"/>
  <c r="C57" i="35"/>
  <c r="L56" i="35"/>
  <c r="I56" i="35"/>
  <c r="F56" i="35"/>
  <c r="C56" i="35"/>
  <c r="L55" i="35"/>
  <c r="I55" i="35"/>
  <c r="F55" i="35"/>
  <c r="C55" i="35"/>
  <c r="L54" i="35"/>
  <c r="I54" i="35"/>
  <c r="F54" i="35"/>
  <c r="C54" i="35"/>
  <c r="I47" i="35"/>
  <c r="I46" i="35"/>
  <c r="I45" i="35"/>
  <c r="I44" i="35"/>
  <c r="F44" i="35"/>
  <c r="I43" i="35"/>
  <c r="F43" i="35"/>
  <c r="I42" i="35"/>
  <c r="F42" i="35"/>
  <c r="I41" i="35"/>
  <c r="F41" i="35"/>
  <c r="L40" i="35"/>
  <c r="K40" i="35"/>
  <c r="I40" i="35"/>
  <c r="F40" i="35"/>
  <c r="L39" i="35"/>
  <c r="K39" i="35"/>
  <c r="I39" i="35"/>
  <c r="F39" i="35"/>
  <c r="C39" i="35"/>
  <c r="L38" i="35"/>
  <c r="K38" i="35"/>
  <c r="I38" i="35"/>
  <c r="F38" i="35"/>
  <c r="C38" i="35"/>
  <c r="L37" i="35"/>
  <c r="K37" i="35"/>
  <c r="I37" i="35"/>
  <c r="F37" i="35"/>
  <c r="C37" i="35"/>
  <c r="L36" i="35"/>
  <c r="K36" i="35"/>
  <c r="I36" i="35"/>
  <c r="F36" i="35"/>
  <c r="C36" i="35"/>
  <c r="B9" i="35"/>
  <c r="L62" i="32" l="1"/>
  <c r="I62" i="32"/>
  <c r="F62" i="32"/>
  <c r="C62" i="32"/>
  <c r="L61" i="32"/>
  <c r="I61" i="32"/>
  <c r="F61" i="32"/>
  <c r="C61" i="32"/>
  <c r="L60" i="32"/>
  <c r="I60" i="32"/>
  <c r="F60" i="32"/>
  <c r="C60" i="32"/>
  <c r="L59" i="32"/>
  <c r="I59" i="32"/>
  <c r="F59" i="32"/>
  <c r="C59" i="32"/>
  <c r="L58" i="32"/>
  <c r="I58" i="32"/>
  <c r="F58" i="32"/>
  <c r="C58" i="32"/>
  <c r="L55" i="32"/>
  <c r="I55" i="32"/>
  <c r="F55" i="32"/>
  <c r="C55" i="32"/>
  <c r="L54" i="32"/>
  <c r="I54" i="32"/>
  <c r="F54" i="32"/>
  <c r="C54" i="32"/>
  <c r="L53" i="32"/>
  <c r="I53" i="32"/>
  <c r="F53" i="32"/>
  <c r="C53" i="32"/>
  <c r="L52" i="32"/>
  <c r="I52" i="32"/>
  <c r="F52" i="32"/>
  <c r="C52" i="32"/>
  <c r="I48" i="32"/>
  <c r="I47" i="32"/>
  <c r="I46" i="32"/>
  <c r="I45" i="32"/>
  <c r="F45" i="32"/>
  <c r="I44" i="32"/>
  <c r="F44" i="32"/>
  <c r="I43" i="32"/>
  <c r="F43" i="32"/>
  <c r="I42" i="32"/>
  <c r="F42" i="32"/>
  <c r="L41" i="32"/>
  <c r="K41" i="32"/>
  <c r="I41" i="32"/>
  <c r="F41" i="32"/>
  <c r="L40" i="32"/>
  <c r="K40" i="32"/>
  <c r="I40" i="32"/>
  <c r="F40" i="32"/>
  <c r="C40" i="32"/>
  <c r="L39" i="32"/>
  <c r="K39" i="32"/>
  <c r="I39" i="32"/>
  <c r="F39" i="32"/>
  <c r="C39" i="32"/>
  <c r="L38" i="32"/>
  <c r="K38" i="32"/>
  <c r="I38" i="32"/>
  <c r="F38" i="32"/>
  <c r="C38" i="32"/>
  <c r="L37" i="32"/>
  <c r="K37" i="32"/>
  <c r="I37" i="32"/>
  <c r="F37" i="32"/>
  <c r="C37" i="32"/>
  <c r="B9" i="32"/>
  <c r="F39" i="28" l="1"/>
  <c r="F38" i="28"/>
  <c r="F37" i="28"/>
  <c r="F36" i="28"/>
  <c r="F35" i="28"/>
  <c r="F34" i="28"/>
  <c r="F33" i="28"/>
  <c r="F32" i="28"/>
  <c r="F31" i="28"/>
  <c r="K42" i="27" l="1"/>
  <c r="K41" i="27"/>
  <c r="K40" i="27"/>
  <c r="K39" i="27"/>
  <c r="L39" i="27"/>
  <c r="K35" i="28"/>
  <c r="K34" i="28"/>
  <c r="K33" i="28"/>
  <c r="K32" i="28"/>
  <c r="K31" i="28"/>
  <c r="F42" i="27" l="1"/>
  <c r="F41" i="27"/>
  <c r="F40" i="27"/>
  <c r="F39" i="27"/>
  <c r="L58" i="28" l="1"/>
  <c r="I58" i="28"/>
  <c r="C58" i="28"/>
  <c r="L57" i="28"/>
  <c r="I57" i="28"/>
  <c r="F57" i="28"/>
  <c r="C57" i="28"/>
  <c r="L56" i="28"/>
  <c r="I56" i="28"/>
  <c r="F56" i="28"/>
  <c r="C56" i="28"/>
  <c r="L55" i="28"/>
  <c r="I55" i="28"/>
  <c r="F55" i="28"/>
  <c r="C55" i="28"/>
  <c r="L54" i="28"/>
  <c r="I54" i="28"/>
  <c r="F54" i="28"/>
  <c r="C54" i="28"/>
  <c r="L51" i="28"/>
  <c r="I51" i="28"/>
  <c r="F51" i="28"/>
  <c r="C51" i="28"/>
  <c r="L50" i="28"/>
  <c r="I50" i="28"/>
  <c r="F50" i="28"/>
  <c r="C50" i="28"/>
  <c r="L49" i="28"/>
  <c r="I49" i="28"/>
  <c r="F49" i="28"/>
  <c r="C49" i="28"/>
  <c r="L48" i="28"/>
  <c r="I48" i="28"/>
  <c r="F48" i="28"/>
  <c r="C48" i="28"/>
  <c r="C33" i="28"/>
  <c r="C32" i="28"/>
  <c r="F58" i="28"/>
  <c r="C34" i="28"/>
  <c r="C31" i="28"/>
  <c r="B9" i="28"/>
  <c r="L67" i="27" l="1"/>
  <c r="L66" i="27"/>
  <c r="L65" i="27"/>
  <c r="L64" i="27"/>
  <c r="L63" i="27"/>
  <c r="L60" i="27"/>
  <c r="L59" i="27"/>
  <c r="L58" i="27"/>
  <c r="L57" i="27"/>
  <c r="I67" i="27"/>
  <c r="I66" i="27"/>
  <c r="I65" i="27"/>
  <c r="I64" i="27"/>
  <c r="I63" i="27"/>
  <c r="I60" i="27"/>
  <c r="I59" i="27"/>
  <c r="I58" i="27"/>
  <c r="I57" i="27"/>
  <c r="F67" i="27"/>
  <c r="F66" i="27"/>
  <c r="F65" i="27"/>
  <c r="F64" i="27"/>
  <c r="F63" i="27"/>
  <c r="F60" i="27"/>
  <c r="F59" i="27"/>
  <c r="F58" i="27"/>
  <c r="F57" i="27"/>
  <c r="C42" i="27"/>
  <c r="C41" i="27"/>
  <c r="C40" i="27"/>
  <c r="C39" i="27"/>
  <c r="C67" i="27" l="1"/>
  <c r="C66" i="27"/>
  <c r="C65" i="27"/>
  <c r="C64" i="27"/>
  <c r="C63" i="27"/>
  <c r="C60" i="27"/>
  <c r="C59" i="27"/>
  <c r="C58" i="27"/>
  <c r="C57" i="27"/>
  <c r="F47" i="27"/>
  <c r="F46" i="27"/>
  <c r="F45" i="27"/>
  <c r="F44" i="27"/>
  <c r="F43" i="27"/>
  <c r="B9" i="27" l="1"/>
</calcChain>
</file>

<file path=xl/sharedStrings.xml><?xml version="1.0" encoding="utf-8"?>
<sst xmlns="http://schemas.openxmlformats.org/spreadsheetml/2006/main" count="1048" uniqueCount="185">
  <si>
    <t>Hat</t>
    <phoneticPr fontId="1" type="noConversion"/>
  </si>
  <si>
    <t>DTA</t>
  </si>
  <si>
    <t>SI</t>
  </si>
  <si>
    <t>NI</t>
  </si>
  <si>
    <t>Margin</t>
    <phoneticPr fontId="1" type="noConversion"/>
  </si>
  <si>
    <t>Type</t>
    <phoneticPr fontId="1" type="noConversion"/>
  </si>
  <si>
    <t>SA</t>
  </si>
  <si>
    <t>Equipment</t>
    <phoneticPr fontId="1" type="noConversion"/>
  </si>
  <si>
    <t>Potential</t>
    <phoneticPr fontId="1" type="noConversion"/>
  </si>
  <si>
    <t>Additioanl</t>
    <phoneticPr fontId="1" type="noConversion"/>
  </si>
  <si>
    <t>This Week</t>
    <phoneticPr fontId="1" type="noConversion"/>
  </si>
  <si>
    <t>TIME</t>
    <phoneticPr fontId="1" type="noConversion"/>
  </si>
  <si>
    <t>AO</t>
    <phoneticPr fontId="1" type="noConversion"/>
  </si>
  <si>
    <t>Vestige</t>
    <phoneticPr fontId="1" type="noConversion"/>
  </si>
  <si>
    <t>M_E_R</t>
  </si>
  <si>
    <t>M_E_E</t>
  </si>
  <si>
    <t>A_E_R</t>
  </si>
  <si>
    <t>T_E_R</t>
  </si>
  <si>
    <t>Equipment</t>
    <phoneticPr fontId="1" type="noConversion"/>
  </si>
  <si>
    <t>W_NI_(R)SA</t>
    <phoneticPr fontId="1" type="noConversion"/>
  </si>
  <si>
    <t>W_NI_(R)DTA</t>
    <phoneticPr fontId="1" type="noConversion"/>
  </si>
  <si>
    <t>W_SI_(R)DTA</t>
    <phoneticPr fontId="1" type="noConversion"/>
  </si>
  <si>
    <t>W_NI_(E)SA</t>
    <phoneticPr fontId="1" type="noConversion"/>
  </si>
  <si>
    <t>W_NI_(E)DTA</t>
    <phoneticPr fontId="1" type="noConversion"/>
  </si>
  <si>
    <t>W_NI_(E)DTA(80)</t>
    <phoneticPr fontId="1" type="noConversion"/>
  </si>
  <si>
    <t>W_SI_(E)SA</t>
    <phoneticPr fontId="1" type="noConversion"/>
  </si>
  <si>
    <t>W_SI_(E)DTA</t>
    <phoneticPr fontId="1" type="noConversion"/>
  </si>
  <si>
    <t>AoVe</t>
    <phoneticPr fontId="1" type="noConversion"/>
  </si>
  <si>
    <t>Number</t>
    <phoneticPr fontId="1" type="noConversion"/>
  </si>
  <si>
    <t>Number</t>
    <phoneticPr fontId="1" type="noConversion"/>
  </si>
  <si>
    <t>Hat</t>
  </si>
  <si>
    <t>80-30</t>
    <phoneticPr fontId="1" type="noConversion"/>
  </si>
  <si>
    <t>90-30</t>
    <phoneticPr fontId="1" type="noConversion"/>
  </si>
  <si>
    <t>H_NI_(R)SA</t>
    <phoneticPr fontId="1" type="noConversion"/>
  </si>
  <si>
    <t>H_NI_(R)DTA</t>
    <phoneticPr fontId="1" type="noConversion"/>
  </si>
  <si>
    <t>H_SI_(R)SA</t>
    <phoneticPr fontId="1" type="noConversion"/>
  </si>
  <si>
    <t>H_SI_(R)DTA</t>
    <phoneticPr fontId="1" type="noConversion"/>
  </si>
  <si>
    <t>Type</t>
    <phoneticPr fontId="1" type="noConversion"/>
  </si>
  <si>
    <t>M_SI_(R)SA</t>
  </si>
  <si>
    <t>M_NI_(R)SA</t>
  </si>
  <si>
    <t>M_SI_(R)DTA</t>
  </si>
  <si>
    <t>M_NI_(R)DTA</t>
  </si>
  <si>
    <t>M_NI_(E)SA</t>
  </si>
  <si>
    <t>M_NI_(E)DTA</t>
  </si>
  <si>
    <t>M_NI_(E)DTA(80)</t>
  </si>
  <si>
    <t>M_SI_(E)SA</t>
  </si>
  <si>
    <t>M_SI_(E)DTA</t>
  </si>
  <si>
    <t>Type(H-R)</t>
    <phoneticPr fontId="1" type="noConversion"/>
  </si>
  <si>
    <t>Type(H-E)</t>
    <phoneticPr fontId="1" type="noConversion"/>
  </si>
  <si>
    <t>H_NI_(E)SA</t>
  </si>
  <si>
    <t>H_NI_(E)DTA</t>
  </si>
  <si>
    <t>T_NI_(E)DTA</t>
  </si>
  <si>
    <t>H_SI_(E)SA</t>
  </si>
  <si>
    <t>T_SI_(E)SA</t>
  </si>
  <si>
    <t>H_SI_(E)DTA</t>
  </si>
  <si>
    <t>T_SI_(E)DTA</t>
  </si>
  <si>
    <t>T_NI_(E)DTA(80)</t>
  </si>
  <si>
    <t>H_NI_(E)DTA(80)</t>
    <phoneticPr fontId="1" type="noConversion"/>
  </si>
  <si>
    <t>A_SI_(R)SA</t>
  </si>
  <si>
    <t>A_NI_(R)SA</t>
  </si>
  <si>
    <t>A_SI_(R)DTA</t>
  </si>
  <si>
    <t>A_NI_(R)DTA</t>
  </si>
  <si>
    <t>A_NI_(E)SA</t>
  </si>
  <si>
    <t>A_NI_(E)DTA</t>
  </si>
  <si>
    <t>A_NI_(E)DTA(80)</t>
  </si>
  <si>
    <t>A_SI_(E)SA</t>
  </si>
  <si>
    <t>A_SI_(E)DTA</t>
  </si>
  <si>
    <t>Glove</t>
    <phoneticPr fontId="1" type="noConversion"/>
  </si>
  <si>
    <t>Shoes</t>
    <phoneticPr fontId="1" type="noConversion"/>
  </si>
  <si>
    <t>Cape</t>
    <phoneticPr fontId="1" type="noConversion"/>
  </si>
  <si>
    <t>70-70</t>
    <phoneticPr fontId="1" type="noConversion"/>
  </si>
  <si>
    <t>70-30</t>
    <phoneticPr fontId="1" type="noConversion"/>
  </si>
  <si>
    <t>80-70</t>
    <phoneticPr fontId="1" type="noConversion"/>
  </si>
  <si>
    <t>90-70</t>
    <phoneticPr fontId="1" type="noConversion"/>
  </si>
  <si>
    <t>100-70</t>
    <phoneticPr fontId="1" type="noConversion"/>
  </si>
  <si>
    <t>100-30</t>
    <phoneticPr fontId="1" type="noConversion"/>
  </si>
  <si>
    <t>Type(G-R)</t>
    <phoneticPr fontId="1" type="noConversion"/>
  </si>
  <si>
    <t>Type(G-E)</t>
    <phoneticPr fontId="1" type="noConversion"/>
  </si>
  <si>
    <t>Type(S-R)</t>
    <phoneticPr fontId="1" type="noConversion"/>
  </si>
  <si>
    <t>Type(S-E)</t>
    <phoneticPr fontId="1" type="noConversion"/>
  </si>
  <si>
    <t>Type(C-R)</t>
    <phoneticPr fontId="1" type="noConversion"/>
  </si>
  <si>
    <t>Type(C-E)</t>
    <phoneticPr fontId="1" type="noConversion"/>
  </si>
  <si>
    <t>G_NI_(R)SA</t>
  </si>
  <si>
    <t>G_NI_(R)DTA</t>
  </si>
  <si>
    <t>G_SI_(R)SA</t>
  </si>
  <si>
    <t>G_SI_(R)DTA</t>
  </si>
  <si>
    <t>G_NI_(E)SA</t>
  </si>
  <si>
    <t>G_NI_(E)DTA</t>
  </si>
  <si>
    <t>G_SI_(E)SA</t>
  </si>
  <si>
    <t>G_SI_(E)DTA</t>
  </si>
  <si>
    <t>G_NI_(E)DTA(80)</t>
  </si>
  <si>
    <t>S_NI_(R)SA</t>
  </si>
  <si>
    <t>S_NI_(R)DTA</t>
  </si>
  <si>
    <t>S_SI_(R)SA</t>
  </si>
  <si>
    <t>S_SI_(R)DTA</t>
  </si>
  <si>
    <t>S_NI_(E)SA</t>
  </si>
  <si>
    <t>S_NI_(E)DTA</t>
  </si>
  <si>
    <t>S_SI_(E)SA</t>
  </si>
  <si>
    <t>S_SI_(E)DTA</t>
  </si>
  <si>
    <t>S_NI_(E)DTA(80)</t>
  </si>
  <si>
    <t>C_NI_(R)SA</t>
  </si>
  <si>
    <t>C_NI_(R)DTA</t>
  </si>
  <si>
    <t>C_SI_(R)SA</t>
  </si>
  <si>
    <t>C_SI_(R)DTA</t>
  </si>
  <si>
    <t>C_NI_(E)SA</t>
  </si>
  <si>
    <t>C_NI_(E)DTA</t>
  </si>
  <si>
    <t>C_SI_(E)SA</t>
  </si>
  <si>
    <t>C_SI_(E)DTA</t>
  </si>
  <si>
    <t>C_NI_(E)DTA(80)</t>
  </si>
  <si>
    <t>Cape</t>
  </si>
  <si>
    <t>Glove</t>
  </si>
  <si>
    <t>W_SI_(R)SA</t>
    <phoneticPr fontId="1" type="noConversion"/>
  </si>
  <si>
    <t>AP</t>
  </si>
  <si>
    <t>Equipment</t>
    <phoneticPr fontId="1" type="noConversion"/>
  </si>
  <si>
    <t>Margin Rank</t>
    <phoneticPr fontId="1" type="noConversion"/>
  </si>
  <si>
    <t>70-PW</t>
  </si>
  <si>
    <t>80-PW</t>
  </si>
  <si>
    <t>90-PW</t>
  </si>
  <si>
    <t>100-PW</t>
  </si>
  <si>
    <t>T_NI_(R)SA</t>
    <phoneticPr fontId="1" type="noConversion"/>
  </si>
  <si>
    <t>T_NI_(R)DTA</t>
    <phoneticPr fontId="1" type="noConversion"/>
  </si>
  <si>
    <t>T_SI_(R)SA</t>
    <phoneticPr fontId="1" type="noConversion"/>
  </si>
  <si>
    <t>T_SI_(R)DTA</t>
    <phoneticPr fontId="1" type="noConversion"/>
  </si>
  <si>
    <t>T_NI_(E)SA</t>
    <phoneticPr fontId="1" type="noConversion"/>
  </si>
  <si>
    <t>I</t>
    <phoneticPr fontId="1" type="noConversion"/>
  </si>
  <si>
    <t>Number</t>
    <phoneticPr fontId="1" type="noConversion"/>
  </si>
  <si>
    <t>Number</t>
    <phoneticPr fontId="1" type="noConversion"/>
  </si>
  <si>
    <t>Number</t>
    <phoneticPr fontId="1" type="noConversion"/>
  </si>
  <si>
    <t>NI</t>
    <phoneticPr fontId="1" type="noConversion"/>
  </si>
  <si>
    <t>SA</t>
    <phoneticPr fontId="1" type="noConversion"/>
  </si>
  <si>
    <t>SI</t>
    <phoneticPr fontId="1" type="noConversion"/>
  </si>
  <si>
    <t>W_E_R</t>
    <phoneticPr fontId="1" type="noConversion"/>
  </si>
  <si>
    <t>NI</t>
    <phoneticPr fontId="1" type="noConversion"/>
  </si>
  <si>
    <t>Shoes</t>
    <phoneticPr fontId="1" type="noConversion"/>
  </si>
  <si>
    <t>Shoes</t>
  </si>
  <si>
    <t>DTA</t>
    <phoneticPr fontId="1" type="noConversion"/>
  </si>
  <si>
    <t>T_E_E</t>
  </si>
  <si>
    <t>PW</t>
  </si>
  <si>
    <t>A_E_E</t>
  </si>
  <si>
    <t>SC</t>
    <phoneticPr fontId="1" type="noConversion"/>
  </si>
  <si>
    <t>DTA</t>
    <phoneticPr fontId="1" type="noConversion"/>
  </si>
  <si>
    <t>110-30</t>
  </si>
  <si>
    <t>110-PW</t>
  </si>
  <si>
    <t>100-30</t>
  </si>
  <si>
    <t>90-30</t>
  </si>
  <si>
    <t>80-80</t>
  </si>
  <si>
    <t>80-30</t>
  </si>
  <si>
    <t>Hat</t>
    <phoneticPr fontId="1" type="noConversion"/>
  </si>
  <si>
    <t>W_E_R</t>
    <phoneticPr fontId="1" type="noConversion"/>
  </si>
  <si>
    <t>W_E_E</t>
    <phoneticPr fontId="1" type="noConversion"/>
  </si>
  <si>
    <t>90-70</t>
    <phoneticPr fontId="1" type="noConversion"/>
  </si>
  <si>
    <t>100-70</t>
    <phoneticPr fontId="1" type="noConversion"/>
  </si>
  <si>
    <t>110-70</t>
    <phoneticPr fontId="1" type="noConversion"/>
  </si>
  <si>
    <r>
      <t xml:space="preserve">* 모자 : 매물(중 ) / AO &gt;=80 / 70%, 30% / SI(SA)
   - 지표 자체는 괜찮으나 경쟁매물이 많아 30%작 권장
* 장갑 : 매물(중) / AO &gt;=80 AND &lt;=90 / 70%, 30% / NI_(R)DTA, SI_(R)SA
   - 경쟁 매물이 많고 회전률이 좋지 않음. 굳이 해야한다면 70%의 NI_(R)DTA 추천
* 신발 : 매물(중) / AO &gt;= 100 / 30% / SI_(R)SA, SI_(R)DTA  </t>
    </r>
    <r>
      <rPr>
        <b/>
        <sz val="11"/>
        <color rgb="FF3333FF"/>
        <rFont val="맑은 고딕"/>
        <family val="3"/>
        <charset val="129"/>
        <scheme val="minor"/>
      </rPr>
      <t>&lt;강추&gt;</t>
    </r>
    <r>
      <rPr>
        <b/>
        <sz val="11"/>
        <color theme="1"/>
        <rFont val="맑은 고딕"/>
        <family val="3"/>
        <charset val="129"/>
        <scheme val="minor"/>
      </rPr>
      <t xml:space="preserve">
   - 높은 추옵대의 매물이 적어 SI_(R)SA, (R)DTA 기반에 추옵 100급 이상에 제작 권장
     경우에 따라 에디셔널 에픽계열 공략도 추천 
* 망토 : 매물(중) / (지표 불량)
   - 매물이 5페이지로 나쁘지는 않으나 전체적인 지표가 악세로 권장하지 않음</t>
    </r>
    <phoneticPr fontId="1" type="noConversion"/>
  </si>
  <si>
    <t>SC</t>
    <phoneticPr fontId="1" type="noConversion"/>
  </si>
  <si>
    <t>Glove</t>
    <phoneticPr fontId="1" type="noConversion"/>
  </si>
  <si>
    <t>80-AP</t>
  </si>
  <si>
    <t>90-AP</t>
  </si>
  <si>
    <t>100-AP</t>
  </si>
  <si>
    <t>110-AP</t>
  </si>
  <si>
    <t>* 모자 : 매물(하) / AO&gt;= 100 / VE : 30% / PO.AD : SI_(R)SA, SI.(R)DTA, NI.(E)DTA(80)
   - 높은 추옵급의 매물이 매우 부족해서 블루오션이라 할만함. 단, SI계열의 (R) 아이템이
     현재 부족하기 때뭉네 (E)DTA(80) 계열 사용을 추천
* 장갑 : 매물(하) / AO &gt;= 80 / VE : 70%, 30% / PO.AD : SI.(R)SA, SI.(R)DTA
   - 30% 주흔작시 좋은 가격을 받을 가능성이 높음. 70% 작시 95 정도 이상의 추옵을 추천
      100~110급 사용시 NI_(R)DTA도 고려해볼만 함
* 신발 : 매물(하) / AO &gt;= 100 / VE : 30% / PO.AD : SI.(R)SA, SI.(R)DTA
   - 시장 지표 자체는 좋은데 유독 신발 계열의 회전율이 너무 떨어져 추천하지 않음. 
      굳이 제작 해야한다면 100급 이상의 추옵대에 SI.(R)SA 이상, 반드시 30% 작 할것을 권장
* 망토 : 매물(하) / AO &gt;= 90 / VE : 30% / PO.AD : SI.(R)SA, SI.(R)DTA
   - 모자하고 상황 동일함. SI.(R)SA 을 구할 수 있다면 90급 이상에 30%작시 좋은 가격 보장</t>
    <phoneticPr fontId="1" type="noConversion"/>
  </si>
  <si>
    <t>SA</t>
    <phoneticPr fontId="1" type="noConversion"/>
  </si>
  <si>
    <t>Shoes</t>
    <phoneticPr fontId="1" type="noConversion"/>
  </si>
  <si>
    <t>Shoes</t>
    <phoneticPr fontId="1" type="noConversion"/>
  </si>
  <si>
    <t>SI</t>
    <phoneticPr fontId="1" type="noConversion"/>
  </si>
  <si>
    <t>DTA</t>
    <phoneticPr fontId="1" type="noConversion"/>
  </si>
  <si>
    <t>PW</t>
    <phoneticPr fontId="1" type="noConversion"/>
  </si>
  <si>
    <t>PW</t>
    <phoneticPr fontId="1" type="noConversion"/>
  </si>
  <si>
    <r>
      <t xml:space="preserve">* 모자 : 매물(하 ) / AO &gt;= 90 / 70%, 30% / SI.(R)SA, SI.(R)DTA
   - 지표 자체는 괜찮으면 경쟁매물도 없는편. 회전율도 나쁘지 않음 </t>
    </r>
    <r>
      <rPr>
        <b/>
        <sz val="11"/>
        <color rgb="FF3333FF"/>
        <rFont val="맑은 고딕"/>
        <family val="3"/>
        <charset val="129"/>
        <scheme val="minor"/>
      </rPr>
      <t>&lt;강추&gt;</t>
    </r>
    <r>
      <rPr>
        <b/>
        <sz val="11"/>
        <color theme="1"/>
        <rFont val="맑은 고딕"/>
        <family val="3"/>
        <charset val="129"/>
        <scheme val="minor"/>
      </rPr>
      <t xml:space="preserve">
* 장갑 : 매물(중) / AO &gt;=100 / 30% / SI.(R)SA. SI.(R)DTA
   - 높은 추옵대 매물이 없어 블루 오션이라 할 만함. 단, 30%작 할것을 권장
* 신발 : 매물(하) / AO &gt;= 80 / 30%, PW / SI.(E, R)SA, SI.(E, R)DTA
   - 모자와 상황이 비슷함, 80 부터 안전한 지표를 보이긴 하지만 높은 추옵대를 권장
* 망토 : 매물(하) / AO &gt;=100 / 30% / SI.(R)SA. SI.(R)DTA
   - 90대 애매한 추옵이 많이 배치되어 있음. 90 상위 추옵이나 100 이상에 30%작 권장</t>
    </r>
    <phoneticPr fontId="1" type="noConversion"/>
  </si>
  <si>
    <t>T_NI_(R)SA</t>
  </si>
  <si>
    <t>T_NI_(R)DTA</t>
  </si>
  <si>
    <t>T_SI_(R)SA</t>
  </si>
  <si>
    <t>T_SI_(R)DTA</t>
  </si>
  <si>
    <t>T_NI_(E)SA</t>
  </si>
  <si>
    <t>Cape</t>
    <phoneticPr fontId="1" type="noConversion"/>
  </si>
  <si>
    <t>PW</t>
    <phoneticPr fontId="1" type="noConversion"/>
  </si>
  <si>
    <t>UI</t>
    <phoneticPr fontId="1" type="noConversion"/>
  </si>
  <si>
    <t>SI</t>
    <phoneticPr fontId="1" type="noConversion"/>
  </si>
  <si>
    <t>* 모자 : 매물(하 ) / AO &gt;= 90 / 30%, PW / SI.(R)SA, SI.(R)DTA
   - 궁수 모자와 동일한 상황. 30% 작시 일정한 이윤 획득이 가능할것으로 판단
* 장갑 : 매물(중) / AO &gt;=100 / 30% / SI.(R)SA, DTA
   - 높은 추옵대에서 30% 작에서만 유효하고 경쟁 매물 밀집률이 높아 비추천
* 신발 : 매물(하) / AO &gt;= 100 / 70%, 30% / SI.(E, R)SA, DTA
   - 장갑하고 비슷함. 80~90대 추옵의 매물 밀집률이 높아 레드오션 이나 높은 추옵대는
     공략할만함. 100이상 추옵대 30%나 PW작 추천
* 망토 : 매물(하) / AO &gt;= 80 / 70%, 30% / NI.(R)SA, SI.(R) SA, DTA
   - 80 ~ 90 대는 70%작, 90 상위 추옵보다는 30% 작을 권장. 단, 80 ~ 90대 밀집률이
     장갑, 신발보다는 낫긴 하지만 안전한 LT를 보장하지는 못할것으로 예상됨</t>
    <phoneticPr fontId="1" type="noConversion"/>
  </si>
  <si>
    <t>NI</t>
    <phoneticPr fontId="1" type="noConversion"/>
  </si>
  <si>
    <t>SA</t>
    <phoneticPr fontId="1" type="noConversion"/>
  </si>
  <si>
    <t>Hat</t>
    <phoneticPr fontId="1" type="noConversion"/>
  </si>
  <si>
    <t>* 모자 : 매물( ) / AO &gt;= 80 ~ 100 / 70%, 30% / SI.(E, R)SA, DTA
   - 판매, 구매가 균형이 잘 맞아 안정적인 LT 보장이 가능 예상. SI 계열 추천
* 장갑 : 매물( ) / AO &gt;= 90 or &lt;= 80 / 70%, 30% / NI.(R)(SA, DTA), SI.(R)SA
   - 낮은 추옵 60 ~ 80대는 NI 계열에 70% 추천, 90급 이상은 SI 계열 30%작 권장
* 신발 : 매물( ) / AO &gt;= 80 / 70%, 30% / NI.(R)(SA, DTA), SI.(R)SA
   - 장갑하고 상황이 비슷함. 80 ~ 90 추옵은 70%, 90급 이상은 30% 작 권장
* 망토 : 매물( ) / (지표 불량)
   - 전체적으로 지표가 매우 불량함. 4월 4주까지 지켜보도록 함</t>
    <phoneticPr fontId="1" type="noConversion"/>
  </si>
  <si>
    <t>Hat</t>
    <phoneticPr fontId="1" type="noConversion"/>
  </si>
  <si>
    <t>* 모자 : 구매(하) / AO&gt;= 90 / VE : 30% / PO.AD : NI.(E, R)(SA DTA), SI.(R)(SA, DTA)
   - SI계열이 유리하지만 현재 토드 매물이 마름. NI.(R) 이나 NI.(E) 계열의 DTA를 추천
     현재 지표 괜찮음
* 장갑 : 구매(-) / (지표불량)
   - 지표불량으로 4월 4주 지켜봄
* 신발 : 구매(하) / AO &gt;= 90 / VE : 70%, 30% / PO.AD : NI.(R)(SA, DTA)
   - SI 계열보다 NI 계열의 저렴한 부분이 지표가 좋음 NI 공략 추천. 단, 90급 이상의 추옵에
     30%작이 조금더 유리할것으로 판단됨
* 망토 : 매물(하) / AO &gt;= 90 / VE : 70%, 30% / PO.AD : NI.(R)DTA, SI.(R)(SA, DTA)
   - 90급 추옵에서는 70%작, 100급 이상은 30%작 권장, 모자와 더불어 지표가 괜찮음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</si>
</sst>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;[Red]\-#,##0\ "/>
  </numFmts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3366FF"/>
      <name val="맑은 고딕"/>
      <family val="3"/>
      <charset val="129"/>
      <scheme val="minor"/>
    </font>
    <font>
      <b/>
      <sz val="11"/>
      <color rgb="FF3333FF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ck">
        <color auto="1"/>
      </right>
      <top/>
      <bottom style="thin">
        <color auto="1"/>
      </bottom>
      <diagonal/>
    </border>
    <border>
      <left/>
      <right style="thick">
        <color auto="1"/>
      </right>
      <top style="thin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 style="thick">
        <color auto="1"/>
      </top>
      <bottom/>
      <diagonal/>
    </border>
  </borders>
  <cellStyleXfs count="1">
    <xf numFmtId="0" fontId="0" fillId="0" borderId="0">
      <alignment vertical="center"/>
    </xf>
  </cellStyleXfs>
  <cellXfs count="138">
    <xf numFmtId="0" fontId="0" fillId="0" borderId="0" xfId="0">
      <alignment vertical="center"/>
    </xf>
    <xf numFmtId="176" fontId="0" fillId="0" borderId="0" xfId="0" applyNumberFormat="1">
      <alignment vertical="center"/>
    </xf>
    <xf numFmtId="176" fontId="2" fillId="0" borderId="0" xfId="0" applyNumberFormat="1" applyFont="1" applyBorder="1" applyAlignment="1">
      <alignment horizontal="center" vertical="center"/>
    </xf>
    <xf numFmtId="176" fontId="2" fillId="0" borderId="2" xfId="0" applyNumberFormat="1" applyFont="1" applyBorder="1" applyAlignment="1">
      <alignment horizontal="center" vertical="center"/>
    </xf>
    <xf numFmtId="176" fontId="2" fillId="0" borderId="2" xfId="0" applyNumberFormat="1" applyFont="1" applyFill="1" applyBorder="1" applyAlignment="1">
      <alignment horizontal="center" vertical="center"/>
    </xf>
    <xf numFmtId="176" fontId="2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>
      <alignment vertical="center"/>
    </xf>
    <xf numFmtId="22" fontId="2" fillId="0" borderId="3" xfId="0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76" fontId="2" fillId="0" borderId="4" xfId="0" applyNumberFormat="1" applyFont="1" applyFill="1" applyBorder="1" applyAlignment="1">
      <alignment horizontal="center" vertical="center"/>
    </xf>
    <xf numFmtId="176" fontId="2" fillId="3" borderId="4" xfId="0" applyNumberFormat="1" applyFont="1" applyFill="1" applyBorder="1" applyAlignment="1">
      <alignment horizontal="center" vertical="center"/>
    </xf>
    <xf numFmtId="176" fontId="2" fillId="2" borderId="4" xfId="0" applyNumberFormat="1" applyFont="1" applyFill="1" applyBorder="1" applyAlignment="1">
      <alignment horizontal="center" vertical="center"/>
    </xf>
    <xf numFmtId="9" fontId="3" fillId="0" borderId="0" xfId="0" applyNumberFormat="1" applyFont="1" applyFill="1" applyBorder="1" applyAlignment="1">
      <alignment horizontal="center" vertical="center"/>
    </xf>
    <xf numFmtId="176" fontId="3" fillId="0" borderId="0" xfId="0" applyNumberFormat="1" applyFont="1" applyFill="1" applyBorder="1" applyAlignment="1">
      <alignment horizontal="center" vertical="center"/>
    </xf>
    <xf numFmtId="176" fontId="3" fillId="0" borderId="2" xfId="0" applyNumberFormat="1" applyFont="1" applyBorder="1" applyAlignment="1">
      <alignment horizontal="center" vertical="center"/>
    </xf>
    <xf numFmtId="176" fontId="3" fillId="0" borderId="0" xfId="0" applyNumberFormat="1" applyFont="1" applyBorder="1" applyAlignment="1">
      <alignment horizontal="center" vertical="center"/>
    </xf>
    <xf numFmtId="176" fontId="3" fillId="0" borderId="4" xfId="0" applyNumberFormat="1" applyFont="1" applyFill="1" applyBorder="1" applyAlignment="1">
      <alignment horizontal="center" vertical="center"/>
    </xf>
    <xf numFmtId="176" fontId="3" fillId="0" borderId="12" xfId="0" applyNumberFormat="1" applyFont="1" applyFill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/>
    </xf>
    <xf numFmtId="0" fontId="2" fillId="0" borderId="18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19" xfId="0" applyFont="1" applyFill="1" applyBorder="1" applyAlignment="1">
      <alignment horizontal="center" vertical="center"/>
    </xf>
    <xf numFmtId="0" fontId="2" fillId="0" borderId="20" xfId="0" applyFont="1" applyFill="1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2" fillId="0" borderId="10" xfId="0" applyNumberFormat="1" applyFont="1" applyFill="1" applyBorder="1" applyAlignment="1">
      <alignment horizontal="center" vertical="center"/>
    </xf>
    <xf numFmtId="176" fontId="2" fillId="0" borderId="13" xfId="0" applyNumberFormat="1" applyFont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176" fontId="2" fillId="2" borderId="3" xfId="0" applyNumberFormat="1" applyFont="1" applyFill="1" applyBorder="1" applyAlignment="1">
      <alignment horizontal="center" vertical="center"/>
    </xf>
    <xf numFmtId="176" fontId="2" fillId="0" borderId="6" xfId="0" applyNumberFormat="1" applyFont="1" applyFill="1" applyBorder="1" applyAlignment="1">
      <alignment horizontal="center" vertical="center"/>
    </xf>
    <xf numFmtId="176" fontId="2" fillId="2" borderId="26" xfId="0" applyNumberFormat="1" applyFont="1" applyFill="1" applyBorder="1" applyAlignment="1">
      <alignment horizontal="center" vertical="center"/>
    </xf>
    <xf numFmtId="176" fontId="2" fillId="0" borderId="21" xfId="0" applyNumberFormat="1" applyFont="1" applyFill="1" applyBorder="1" applyAlignment="1">
      <alignment horizontal="center" vertical="center"/>
    </xf>
    <xf numFmtId="176" fontId="3" fillId="0" borderId="5" xfId="0" applyNumberFormat="1" applyFont="1" applyFill="1" applyBorder="1" applyAlignment="1">
      <alignment horizontal="center" vertical="center"/>
    </xf>
    <xf numFmtId="176" fontId="2" fillId="0" borderId="23" xfId="0" applyNumberFormat="1" applyFont="1" applyFill="1" applyBorder="1" applyAlignment="1">
      <alignment horizontal="center" vertical="center"/>
    </xf>
    <xf numFmtId="176" fontId="2" fillId="0" borderId="24" xfId="0" applyNumberFormat="1" applyFont="1" applyFill="1" applyBorder="1" applyAlignment="1">
      <alignment horizontal="center" vertical="center"/>
    </xf>
    <xf numFmtId="176" fontId="3" fillId="0" borderId="25" xfId="0" applyNumberFormat="1" applyFont="1" applyFill="1" applyBorder="1" applyAlignment="1">
      <alignment horizontal="center" vertical="center"/>
    </xf>
    <xf numFmtId="176" fontId="2" fillId="3" borderId="10" xfId="0" applyNumberFormat="1" applyFont="1" applyFill="1" applyBorder="1" applyAlignment="1">
      <alignment horizontal="center" vertical="center"/>
    </xf>
    <xf numFmtId="176" fontId="2" fillId="2" borderId="27" xfId="0" applyNumberFormat="1" applyFont="1" applyFill="1" applyBorder="1" applyAlignment="1">
      <alignment horizontal="center" vertical="center"/>
    </xf>
    <xf numFmtId="176" fontId="2" fillId="2" borderId="6" xfId="0" applyNumberFormat="1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0" fillId="0" borderId="28" xfId="0" applyBorder="1">
      <alignment vertical="center"/>
    </xf>
    <xf numFmtId="176" fontId="2" fillId="0" borderId="27" xfId="0" applyNumberFormat="1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176" fontId="2" fillId="0" borderId="10" xfId="0" applyNumberFormat="1" applyFont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/>
    </xf>
    <xf numFmtId="0" fontId="2" fillId="2" borderId="30" xfId="0" applyFont="1" applyFill="1" applyBorder="1" applyAlignment="1">
      <alignment horizontal="center" vertical="center"/>
    </xf>
    <xf numFmtId="176" fontId="2" fillId="2" borderId="31" xfId="0" applyNumberFormat="1" applyFont="1" applyFill="1" applyBorder="1" applyAlignment="1">
      <alignment horizontal="center" vertical="center"/>
    </xf>
    <xf numFmtId="176" fontId="2" fillId="2" borderId="1" xfId="0" applyNumberFormat="1" applyFont="1" applyFill="1" applyBorder="1" applyAlignment="1">
      <alignment horizontal="center" vertical="center"/>
    </xf>
    <xf numFmtId="176" fontId="2" fillId="0" borderId="8" xfId="0" applyNumberFormat="1" applyFont="1" applyFill="1" applyBorder="1" applyAlignment="1">
      <alignment horizontal="center" vertical="center"/>
    </xf>
    <xf numFmtId="176" fontId="2" fillId="0" borderId="13" xfId="0" applyNumberFormat="1" applyFont="1" applyFill="1" applyBorder="1" applyAlignment="1">
      <alignment horizontal="center" vertical="center"/>
    </xf>
    <xf numFmtId="176" fontId="2" fillId="0" borderId="14" xfId="0" applyNumberFormat="1" applyFont="1" applyFill="1" applyBorder="1" applyAlignment="1">
      <alignment horizontal="center" vertical="center"/>
    </xf>
    <xf numFmtId="176" fontId="2" fillId="0" borderId="20" xfId="0" applyNumberFormat="1" applyFont="1" applyFill="1" applyBorder="1" applyAlignment="1">
      <alignment horizontal="center" vertical="center"/>
    </xf>
    <xf numFmtId="176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32" xfId="0" applyFont="1" applyFill="1" applyBorder="1" applyAlignment="1">
      <alignment horizontal="center" vertical="center"/>
    </xf>
    <xf numFmtId="0" fontId="2" fillId="2" borderId="33" xfId="0" applyFont="1" applyFill="1" applyBorder="1" applyAlignment="1">
      <alignment horizontal="center" vertical="center"/>
    </xf>
    <xf numFmtId="0" fontId="2" fillId="0" borderId="34" xfId="0" applyFont="1" applyFill="1" applyBorder="1" applyAlignment="1">
      <alignment horizontal="center" vertical="center"/>
    </xf>
    <xf numFmtId="0" fontId="2" fillId="0" borderId="35" xfId="0" applyFont="1" applyFill="1" applyBorder="1" applyAlignment="1">
      <alignment horizontal="center" vertical="center"/>
    </xf>
    <xf numFmtId="0" fontId="2" fillId="0" borderId="36" xfId="0" applyFont="1" applyFill="1" applyBorder="1" applyAlignment="1">
      <alignment horizontal="center" vertical="center"/>
    </xf>
    <xf numFmtId="176" fontId="2" fillId="2" borderId="33" xfId="0" applyNumberFormat="1" applyFont="1" applyFill="1" applyBorder="1" applyAlignment="1">
      <alignment horizontal="center" vertical="center"/>
    </xf>
    <xf numFmtId="176" fontId="2" fillId="3" borderId="35" xfId="0" applyNumberFormat="1" applyFont="1" applyFill="1" applyBorder="1" applyAlignment="1">
      <alignment horizontal="center" vertical="center"/>
    </xf>
    <xf numFmtId="0" fontId="2" fillId="0" borderId="3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3" borderId="20" xfId="0" applyFont="1" applyFill="1" applyBorder="1" applyAlignment="1">
      <alignment horizontal="center" vertical="center"/>
    </xf>
    <xf numFmtId="0" fontId="2" fillId="2" borderId="31" xfId="0" applyFont="1" applyFill="1" applyBorder="1" applyAlignment="1">
      <alignment horizontal="center" vertical="center"/>
    </xf>
    <xf numFmtId="176" fontId="2" fillId="2" borderId="10" xfId="0" applyNumberFormat="1" applyFont="1" applyFill="1" applyBorder="1" applyAlignment="1">
      <alignment horizontal="center" vertical="center"/>
    </xf>
    <xf numFmtId="0" fontId="2" fillId="0" borderId="28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176" fontId="2" fillId="0" borderId="9" xfId="0" applyNumberFormat="1" applyFont="1" applyFill="1" applyBorder="1" applyAlignment="1">
      <alignment horizontal="center" vertical="center"/>
    </xf>
    <xf numFmtId="176" fontId="3" fillId="0" borderId="10" xfId="0" applyNumberFormat="1" applyFont="1" applyFill="1" applyBorder="1" applyAlignment="1">
      <alignment horizontal="center" vertical="center"/>
    </xf>
    <xf numFmtId="176" fontId="3" fillId="0" borderId="20" xfId="0" applyNumberFormat="1" applyFont="1" applyFill="1" applyBorder="1" applyAlignment="1">
      <alignment horizontal="center" vertical="center"/>
    </xf>
    <xf numFmtId="0" fontId="0" fillId="0" borderId="0" xfId="0" applyFill="1" applyBorder="1">
      <alignment vertical="center"/>
    </xf>
    <xf numFmtId="176" fontId="2" fillId="2" borderId="36" xfId="0" applyNumberFormat="1" applyFont="1" applyFill="1" applyBorder="1" applyAlignment="1">
      <alignment horizontal="center" vertical="center"/>
    </xf>
    <xf numFmtId="176" fontId="2" fillId="0" borderId="4" xfId="0" applyNumberFormat="1" applyFont="1" applyBorder="1" applyAlignment="1">
      <alignment horizontal="center" vertical="center"/>
    </xf>
    <xf numFmtId="176" fontId="2" fillId="0" borderId="21" xfId="0" applyNumberFormat="1" applyFont="1" applyBorder="1" applyAlignment="1">
      <alignment horizontal="center" vertical="center"/>
    </xf>
    <xf numFmtId="176" fontId="3" fillId="0" borderId="10" xfId="0" applyNumberFormat="1" applyFont="1" applyBorder="1" applyAlignment="1">
      <alignment horizontal="center" vertical="center"/>
    </xf>
    <xf numFmtId="176" fontId="2" fillId="0" borderId="27" xfId="0" applyNumberFormat="1" applyFont="1" applyBorder="1" applyAlignment="1">
      <alignment horizontal="center" vertical="center"/>
    </xf>
    <xf numFmtId="176" fontId="3" fillId="0" borderId="20" xfId="0" applyNumberFormat="1" applyFont="1" applyBorder="1" applyAlignment="1">
      <alignment horizontal="center" vertical="center"/>
    </xf>
    <xf numFmtId="176" fontId="2" fillId="0" borderId="9" xfId="0" applyNumberFormat="1" applyFont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176" fontId="2" fillId="2" borderId="20" xfId="0" applyNumberFormat="1" applyFont="1" applyFill="1" applyBorder="1" applyAlignment="1">
      <alignment horizontal="center" vertical="center"/>
    </xf>
    <xf numFmtId="176" fontId="2" fillId="3" borderId="13" xfId="0" applyNumberFormat="1" applyFont="1" applyFill="1" applyBorder="1" applyAlignment="1">
      <alignment horizontal="center" vertical="center"/>
    </xf>
    <xf numFmtId="176" fontId="2" fillId="2" borderId="37" xfId="0" applyNumberFormat="1" applyFont="1" applyFill="1" applyBorder="1" applyAlignment="1">
      <alignment horizontal="center" vertical="center"/>
    </xf>
    <xf numFmtId="176" fontId="2" fillId="2" borderId="35" xfId="0" applyNumberFormat="1" applyFont="1" applyFill="1" applyBorder="1" applyAlignment="1">
      <alignment horizontal="center" vertical="center"/>
    </xf>
    <xf numFmtId="176" fontId="2" fillId="3" borderId="24" xfId="0" applyNumberFormat="1" applyFont="1" applyFill="1" applyBorder="1" applyAlignment="1">
      <alignment horizontal="center" vertical="center"/>
    </xf>
    <xf numFmtId="176" fontId="2" fillId="3" borderId="20" xfId="0" applyNumberFormat="1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176" fontId="2" fillId="0" borderId="7" xfId="0" applyNumberFormat="1" applyFont="1" applyFill="1" applyBorder="1" applyAlignment="1">
      <alignment horizontal="center" vertical="center"/>
    </xf>
    <xf numFmtId="176" fontId="3" fillId="0" borderId="8" xfId="0" applyNumberFormat="1" applyFont="1" applyFill="1" applyBorder="1" applyAlignment="1">
      <alignment horizontal="center" vertical="center"/>
    </xf>
    <xf numFmtId="176" fontId="3" fillId="0" borderId="14" xfId="0" applyNumberFormat="1" applyFont="1" applyFill="1" applyBorder="1" applyAlignment="1">
      <alignment horizontal="center" vertical="center"/>
    </xf>
    <xf numFmtId="176" fontId="2" fillId="2" borderId="13" xfId="0" applyNumberFormat="1" applyFont="1" applyFill="1" applyBorder="1" applyAlignment="1">
      <alignment horizontal="center" vertical="center"/>
    </xf>
    <xf numFmtId="176" fontId="2" fillId="2" borderId="0" xfId="0" applyNumberFormat="1" applyFont="1" applyFill="1" applyBorder="1" applyAlignment="1">
      <alignment horizontal="center" vertical="center"/>
    </xf>
    <xf numFmtId="176" fontId="2" fillId="3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 wrapText="1"/>
    </xf>
    <xf numFmtId="176" fontId="2" fillId="0" borderId="19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vertical="center" wrapText="1"/>
    </xf>
    <xf numFmtId="0" fontId="0" fillId="0" borderId="0" xfId="0" applyBorder="1">
      <alignment vertical="center"/>
    </xf>
    <xf numFmtId="176" fontId="2" fillId="3" borderId="37" xfId="0" applyNumberFormat="1" applyFont="1" applyFill="1" applyBorder="1" applyAlignment="1">
      <alignment horizontal="center" vertical="center"/>
    </xf>
    <xf numFmtId="0" fontId="2" fillId="3" borderId="35" xfId="0" applyFont="1" applyFill="1" applyBorder="1" applyAlignment="1">
      <alignment horizontal="center" vertical="center"/>
    </xf>
    <xf numFmtId="0" fontId="2" fillId="3" borderId="34" xfId="0" applyFont="1" applyFill="1" applyBorder="1" applyAlignment="1">
      <alignment horizontal="center" vertical="center"/>
    </xf>
    <xf numFmtId="0" fontId="2" fillId="3" borderId="36" xfId="0" applyFont="1" applyFill="1" applyBorder="1" applyAlignment="1">
      <alignment horizontal="center" vertical="center"/>
    </xf>
    <xf numFmtId="0" fontId="2" fillId="0" borderId="39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41" xfId="0" applyFont="1" applyBorder="1" applyAlignment="1">
      <alignment horizontal="left" vertical="center" wrapText="1"/>
    </xf>
    <xf numFmtId="0" fontId="2" fillId="0" borderId="28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left" vertical="center" wrapText="1"/>
    </xf>
    <xf numFmtId="0" fontId="2" fillId="0" borderId="29" xfId="0" applyFont="1" applyBorder="1" applyAlignment="1">
      <alignment horizontal="left" vertical="center" wrapText="1"/>
    </xf>
    <xf numFmtId="0" fontId="2" fillId="0" borderId="26" xfId="0" applyFont="1" applyBorder="1" applyAlignment="1">
      <alignment horizontal="left" vertical="center" wrapText="1"/>
    </xf>
    <xf numFmtId="0" fontId="2" fillId="0" borderId="40" xfId="0" applyFont="1" applyBorder="1" applyAlignment="1">
      <alignment horizontal="left" vertical="center" wrapText="1"/>
    </xf>
    <xf numFmtId="0" fontId="2" fillId="0" borderId="22" xfId="0" applyFont="1" applyBorder="1" applyAlignment="1">
      <alignment horizontal="left" vertical="center" wrapText="1"/>
    </xf>
    <xf numFmtId="176" fontId="2" fillId="3" borderId="27" xfId="0" applyNumberFormat="1" applyFont="1" applyFill="1" applyBorder="1" applyAlignment="1">
      <alignment horizontal="center" vertical="center"/>
    </xf>
    <xf numFmtId="176" fontId="2" fillId="3" borderId="36" xfId="0" applyNumberFormat="1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0" fillId="0" borderId="0" xfId="0" applyFill="1" applyAlignment="1">
      <alignment horizontal="center" vertical="center"/>
    </xf>
  </cellXfs>
  <cellStyles count="1">
    <cellStyle name="표준" xfId="0" builtinId="0"/>
  </cellStyles>
  <dxfs count="108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3366FF"/>
        <name val="맑은 고딕"/>
        <scheme val="minor"/>
      </font>
      <numFmt numFmtId="176" formatCode="#,##0_ ;[Red]\-#,##0\ 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76" formatCode="#,##0_ ;[Red]\-#,##0\ 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76" formatCode="#,##0_ ;[Red]\-#,##0\ 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76" formatCode="#,##0_ ;[Red]\-#,##0\ 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76" formatCode="#,##0_ ;[Red]\-#,##0\ 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76" formatCode="#,##0_ ;[Red]\-#,##0\ 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76" formatCode="#,##0_ ;[Red]\-#,##0\ 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76" formatCode="#,##0_ ;[Red]\-#,##0\ 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76" formatCode="#,##0_ ;[Red]\-#,##0\ 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76" formatCode="#,##0_ ;[Red]\-#,##0\ 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ck">
          <color auto="1"/>
        </bottom>
      </border>
    </dxf>
    <dxf>
      <border outline="0"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</border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 outline="0">
        <left style="thick">
          <color auto="1"/>
        </left>
        <right style="thick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3366FF"/>
        <name val="맑은 고딕"/>
        <scheme val="minor"/>
      </font>
      <numFmt numFmtId="176" formatCode="#,##0_ ;[Red]\-#,##0\ 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76" formatCode="#,##0_ ;[Red]\-#,##0\ 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76" formatCode="#,##0_ ;[Red]\-#,##0\ 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76" formatCode="#,##0_ ;[Red]\-#,##0\ 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76" formatCode="#,##0_ ;[Red]\-#,##0\ 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76" formatCode="#,##0_ ;[Red]\-#,##0\ 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76" formatCode="#,##0_ ;[Red]\-#,##0\ 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76" formatCode="#,##0_ ;[Red]\-#,##0\ 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76" formatCode="#,##0_ ;[Red]\-#,##0\ 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ck">
          <color auto="1"/>
        </bottom>
      </border>
    </dxf>
    <dxf>
      <border outline="0"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 outline="0">
        <left style="thick">
          <color auto="1"/>
        </left>
        <right style="thick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3366FF"/>
        <name val="맑은 고딕"/>
        <scheme val="minor"/>
      </font>
      <numFmt numFmtId="176" formatCode="#,##0_ ;[Red]\-#,##0\ 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76" formatCode="#,##0_ ;[Red]\-#,##0\ 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76" formatCode="#,##0_ ;[Red]\-#,##0\ 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76" formatCode="#,##0_ ;[Red]\-#,##0\ 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76" formatCode="#,##0_ ;[Red]\-#,##0\ 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76" formatCode="#,##0_ ;[Red]\-#,##0\ 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76" formatCode="#,##0_ ;[Red]\-#,##0\ 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76" formatCode="#,##0_ ;[Red]\-#,##0\ 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76" formatCode="#,##0_ ;[Red]\-#,##0\ 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ck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 outline="0">
        <left style="thick">
          <color auto="1"/>
        </left>
        <right style="thick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3366FF"/>
        <name val="맑은 고딕"/>
        <scheme val="minor"/>
      </font>
      <numFmt numFmtId="176" formatCode="#,##0_ ;[Red]\-#,##0\ 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76" formatCode="#,##0_ ;[Red]\-#,##0\ "/>
      <fill>
        <patternFill patternType="solid">
          <fgColor indexed="64"/>
          <bgColor rgb="FF00B05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76" formatCode="#,##0_ ;[Red]\-#,##0\ 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76" formatCode="#,##0_ ;[Red]\-#,##0\ 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76" formatCode="#,##0_ ;[Red]\-#,##0\ 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76" formatCode="#,##0_ ;[Red]\-#,##0\ 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76" formatCode="#,##0_ ;[Red]\-#,##0\ 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76" formatCode="#,##0_ ;[Red]\-#,##0\ 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76" formatCode="#,##0_ ;[Red]\-#,##0\ 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</border>
    </dxf>
    <dxf>
      <border>
        <bottom style="thick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 outline="0">
        <left style="thick">
          <color auto="1"/>
        </left>
        <right style="thick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3366FF"/>
        <name val="맑은 고딕"/>
        <scheme val="minor"/>
      </font>
      <numFmt numFmtId="176" formatCode="#,##0_ ;[Red]\-#,##0\ 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76" formatCode="#,##0_ ;[Red]\-#,##0\ 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76" formatCode="#,##0_ ;[Red]\-#,##0\ 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76" formatCode="#,##0_ ;[Red]\-#,##0\ 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76" formatCode="#,##0_ ;[Red]\-#,##0\ 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76" formatCode="#,##0_ ;[Red]\-#,##0\ 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76" formatCode="#,##0_ ;[Red]\-#,##0\ 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76" formatCode="#,##0_ ;[Red]\-#,##0\ 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76" formatCode="#,##0_ ;[Red]\-#,##0\ 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76" formatCode="#,##0_ ;[Red]\-#,##0\ 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border outline="0">
        <bottom style="thick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 outline="0">
        <left style="thick">
          <color auto="1"/>
        </left>
        <right style="thick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3366FF"/>
        <name val="맑은 고딕"/>
        <scheme val="minor"/>
      </font>
      <numFmt numFmtId="176" formatCode="#,##0_ ;[Red]\-#,##0\ 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76" formatCode="#,##0_ ;[Red]\-#,##0\ 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76" formatCode="#,##0_ ;[Red]\-#,##0\ 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76" formatCode="#,##0_ ;[Red]\-#,##0\ 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76" formatCode="#,##0_ ;[Red]\-#,##0\ 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76" formatCode="#,##0_ ;[Red]\-#,##0\ 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76" formatCode="#,##0_ ;[Red]\-#,##0\ 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76" formatCode="#,##0_ ;[Red]\-#,##0\ 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76" formatCode="#,##0_ ;[Red]\-#,##0\ 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76" formatCode="#,##0_ ;[Red]\-#,##0\ 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border outline="0">
        <bottom style="thick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 outline="0">
        <left style="thick">
          <color auto="1"/>
        </left>
        <right style="thick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3366FF"/>
        <name val="맑은 고딕"/>
        <scheme val="minor"/>
      </font>
      <numFmt numFmtId="176" formatCode="#,##0_ ;[Red]\-#,##0\ 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76" formatCode="#,##0_ ;[Red]\-#,##0\ 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76" formatCode="#,##0_ ;[Red]\-#,##0\ 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76" formatCode="#,##0_ ;[Red]\-#,##0\ 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76" formatCode="#,##0_ ;[Red]\-#,##0\ 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76" formatCode="#,##0_ ;[Red]\-#,##0\ 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76" formatCode="#,##0_ ;[Red]\-#,##0\ 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76" formatCode="#,##0_ ;[Red]\-#,##0\ 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76" formatCode="#,##0_ ;[Red]\-#,##0\ 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76" formatCode="#,##0_ ;[Red]\-#,##0\ 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ck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 outline="0">
        <left style="thick">
          <color auto="1"/>
        </left>
        <right style="thick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3366FF"/>
        <name val="맑은 고딕"/>
        <scheme val="minor"/>
      </font>
      <numFmt numFmtId="176" formatCode="#,##0_ ;[Red]\-#,##0\ 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76" formatCode="#,##0_ ;[Red]\-#,##0\ 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76" formatCode="#,##0_ ;[Red]\-#,##0\ 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76" formatCode="#,##0_ ;[Red]\-#,##0\ 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76" formatCode="#,##0_ ;[Red]\-#,##0\ 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76" formatCode="#,##0_ ;[Red]\-#,##0\ 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76" formatCode="#,##0_ ;[Red]\-#,##0\ 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76" formatCode="#,##0_ ;[Red]\-#,##0\ 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76" formatCode="#,##0_ ;[Red]\-#,##0\ 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76" formatCode="#,##0_ ;[Red]\-#,##0\ 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border outline="0">
        <bottom style="thick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 outline="0">
        <left style="thick">
          <color auto="1"/>
        </left>
        <right style="thick">
          <color auto="1"/>
        </right>
        <top/>
        <bottom/>
      </border>
    </dxf>
  </dxfs>
  <tableStyles count="0" defaultTableStyle="TableStyleMedium2" defaultPivotStyle="PivotStyleLight16"/>
  <colors>
    <mruColors>
      <color rgb="FF3333FF"/>
      <color rgb="FF9966FF"/>
      <color rgb="FF666633"/>
      <color rgb="FF3366FF"/>
      <color rgb="FF300E5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표1" displayName="표1" ref="B13:K34" totalsRowShown="0" headerRowDxfId="107" dataDxfId="105" headerRowBorderDxfId="106" tableBorderDxfId="104">
  <autoFilter ref="B13:K34"/>
  <tableColumns count="10">
    <tableColumn id="1" name="Equipment" dataDxfId="103"/>
    <tableColumn id="2" name="Type" dataDxfId="102"/>
    <tableColumn id="9" name="Number" dataDxfId="101"/>
    <tableColumn id="3" name="Potential" dataDxfId="100"/>
    <tableColumn id="4" name="Additioanl" dataDxfId="99"/>
    <tableColumn id="5" name="AO" dataDxfId="98"/>
    <tableColumn id="10" name="SC" dataDxfId="97"/>
    <tableColumn id="6" name="Vestige" dataDxfId="96"/>
    <tableColumn id="7" name="This Week" dataDxfId="95"/>
    <tableColumn id="8" name="Margin" dataDxfId="94"/>
  </tableColumns>
  <tableStyleInfo name="TableStyleLight18" showFirstColumn="0" showLastColumn="0" showRowStripes="1" showColumnStripes="0"/>
</table>
</file>

<file path=xl/tables/table2.xml><?xml version="1.0" encoding="utf-8"?>
<table xmlns="http://schemas.openxmlformats.org/spreadsheetml/2006/main" id="3" name="표3" displayName="표3" ref="B13:K26" totalsRowShown="0" headerRowDxfId="93" dataDxfId="91" headerRowBorderDxfId="92" tableBorderDxfId="90">
  <autoFilter ref="B13:K26"/>
  <tableColumns count="10">
    <tableColumn id="1" name="Equipment" dataDxfId="89"/>
    <tableColumn id="2" name="Type" dataDxfId="88"/>
    <tableColumn id="9" name="Number" dataDxfId="87"/>
    <tableColumn id="3" name="Potential" dataDxfId="86"/>
    <tableColumn id="4" name="Additioanl" dataDxfId="85"/>
    <tableColumn id="5" name="AO" dataDxfId="84"/>
    <tableColumn id="10" name="SC" dataDxfId="83"/>
    <tableColumn id="6" name="Vestige" dataDxfId="82"/>
    <tableColumn id="7" name="This Week" dataDxfId="81"/>
    <tableColumn id="8" name="Margin" dataDxfId="80"/>
  </tableColumns>
  <tableStyleInfo name="TableStyleLight18" showFirstColumn="0" showLastColumn="0" showRowStripes="1" showColumnStripes="0"/>
</table>
</file>

<file path=xl/tables/table3.xml><?xml version="1.0" encoding="utf-8"?>
<table xmlns="http://schemas.openxmlformats.org/spreadsheetml/2006/main" id="9" name="표1_10" displayName="표1_10" ref="B13:K34" totalsRowShown="0" headerRowDxfId="79" dataDxfId="77" headerRowBorderDxfId="78" tableBorderDxfId="76">
  <autoFilter ref="B13:K34"/>
  <tableColumns count="10">
    <tableColumn id="1" name="Equipment" dataDxfId="75"/>
    <tableColumn id="2" name="Type" dataDxfId="74"/>
    <tableColumn id="9" name="Number" dataDxfId="73"/>
    <tableColumn id="3" name="Potential" dataDxfId="72"/>
    <tableColumn id="4" name="Additioanl" dataDxfId="71"/>
    <tableColumn id="5" name="AO" dataDxfId="70"/>
    <tableColumn id="10" name="SC" dataDxfId="69"/>
    <tableColumn id="6" name="Vestige" dataDxfId="68"/>
    <tableColumn id="7" name="This Week" dataDxfId="67"/>
    <tableColumn id="8" name="Margin" dataDxfId="66"/>
  </tableColumns>
  <tableStyleInfo name="TableStyleLight18" showFirstColumn="0" showLastColumn="0" showRowStripes="1" showColumnStripes="0"/>
</table>
</file>

<file path=xl/tables/table4.xml><?xml version="1.0" encoding="utf-8"?>
<table xmlns="http://schemas.openxmlformats.org/spreadsheetml/2006/main" id="4" name="표1_105" displayName="표1_105" ref="B13:K34" totalsRowShown="0" headerRowDxfId="65" dataDxfId="63" headerRowBorderDxfId="64" tableBorderDxfId="62">
  <autoFilter ref="B13:K34"/>
  <tableColumns count="10">
    <tableColumn id="1" name="Equipment" dataDxfId="61"/>
    <tableColumn id="2" name="Type" dataDxfId="60"/>
    <tableColumn id="9" name="Number" dataDxfId="59"/>
    <tableColumn id="3" name="Potential" dataDxfId="58"/>
    <tableColumn id="4" name="Additioanl" dataDxfId="57"/>
    <tableColumn id="5" name="AO" dataDxfId="56"/>
    <tableColumn id="10" name="SC" dataDxfId="55"/>
    <tableColumn id="6" name="Vestige" dataDxfId="54"/>
    <tableColumn id="7" name="This Week" dataDxfId="53"/>
    <tableColumn id="8" name="Margin" dataDxfId="52"/>
  </tableColumns>
  <tableStyleInfo name="TableStyleLight18" showFirstColumn="0" showLastColumn="0" showRowStripes="1" showColumnStripes="0"/>
</table>
</file>

<file path=xl/tables/table5.xml><?xml version="1.0" encoding="utf-8"?>
<table xmlns="http://schemas.openxmlformats.org/spreadsheetml/2006/main" id="7" name="표1_8" displayName="표1_8" ref="B13:J34" totalsRowShown="0" headerRowDxfId="26" dataDxfId="25" headerRowBorderDxfId="23" tableBorderDxfId="24">
  <autoFilter ref="B13:J34"/>
  <sortState ref="B14:K34">
    <sortCondition descending="1" ref="H13:H34"/>
  </sortState>
  <tableColumns count="9">
    <tableColumn id="1" name="Equipment" dataDxfId="22"/>
    <tableColumn id="2" name="Type" dataDxfId="21"/>
    <tableColumn id="3" name="Potential" dataDxfId="20"/>
    <tableColumn id="4" name="Additioanl" dataDxfId="19"/>
    <tableColumn id="5" name="AO" dataDxfId="18"/>
    <tableColumn id="10" name="SC" dataDxfId="17"/>
    <tableColumn id="6" name="Vestige" dataDxfId="16"/>
    <tableColumn id="7" name="This Week" dataDxfId="15"/>
    <tableColumn id="8" name="Margin" dataDxfId="14"/>
  </tableColumns>
  <tableStyleInfo name="TableStyleLight18" showFirstColumn="0" showLastColumn="0" showRowStripes="1" showColumnStripes="0"/>
</table>
</file>

<file path=xl/tables/table6.xml><?xml version="1.0" encoding="utf-8"?>
<table xmlns="http://schemas.openxmlformats.org/spreadsheetml/2006/main" id="10" name="표3_11" displayName="표3_11" ref="B13:K26" totalsRowShown="0" headerRowDxfId="13" dataDxfId="12" headerRowBorderDxfId="10" tableBorderDxfId="11">
  <autoFilter ref="B13:K26"/>
  <sortState ref="B14:K26">
    <sortCondition descending="1" ref="I13:I26"/>
  </sortState>
  <tableColumns count="10">
    <tableColumn id="1" name="Equipment" dataDxfId="9"/>
    <tableColumn id="2" name="Type" dataDxfId="8"/>
    <tableColumn id="9" name="Number" dataDxfId="7"/>
    <tableColumn id="3" name="Potential" dataDxfId="6"/>
    <tableColumn id="4" name="Additioanl" dataDxfId="5"/>
    <tableColumn id="5" name="AO" dataDxfId="4"/>
    <tableColumn id="10" name="SC" dataDxfId="3"/>
    <tableColumn id="6" name="Vestige" dataDxfId="2"/>
    <tableColumn id="7" name="This Week" dataDxfId="1"/>
    <tableColumn id="8" name="Margin" dataDxfId="0"/>
  </tableColumns>
  <tableStyleInfo name="TableStyleLight18" showFirstColumn="0" showLastColumn="0" showRowStripes="1" showColumnStripes="0"/>
</table>
</file>

<file path=xl/tables/table7.xml><?xml version="1.0" encoding="utf-8"?>
<table xmlns="http://schemas.openxmlformats.org/spreadsheetml/2006/main" id="8" name="표4_9" displayName="표4_9" ref="B13:J31" totalsRowShown="0" headerRowDxfId="51" headerRowBorderDxfId="50" tableBorderDxfId="49">
  <autoFilter ref="B13:J31"/>
  <tableColumns count="9">
    <tableColumn id="1" name="Equipment" dataDxfId="48"/>
    <tableColumn id="2" name="Type" dataDxfId="47"/>
    <tableColumn id="9" name="Number" dataDxfId="46"/>
    <tableColumn id="3" name="Potential" dataDxfId="45"/>
    <tableColumn id="4" name="Additioanl" dataDxfId="44"/>
    <tableColumn id="5" name="AO" dataDxfId="43"/>
    <tableColumn id="6" name="Vestige" dataDxfId="42"/>
    <tableColumn id="7" name="This Week" dataDxfId="41"/>
    <tableColumn id="8" name="Margin" dataDxfId="40"/>
  </tableColumns>
  <tableStyleInfo name="TableStyleLight18" showFirstColumn="0" showLastColumn="0" showRowStripes="1" showColumnStripes="0"/>
</table>
</file>

<file path=xl/tables/table8.xml><?xml version="1.0" encoding="utf-8"?>
<table xmlns="http://schemas.openxmlformats.org/spreadsheetml/2006/main" id="2" name="표3_83" displayName="표3_83" ref="B13:J32" totalsRowShown="0" headerRowDxfId="39" dataDxfId="37" headerRowBorderDxfId="38" tableBorderDxfId="36">
  <autoFilter ref="B13:J32"/>
  <sortState ref="B14:J32">
    <sortCondition descending="1" ref="B13:B32"/>
  </sortState>
  <tableColumns count="9">
    <tableColumn id="1" name="Equipment" dataDxfId="35"/>
    <tableColumn id="2" name="Type" dataDxfId="34"/>
    <tableColumn id="9" name="Number" dataDxfId="33"/>
    <tableColumn id="3" name="Potential" dataDxfId="32"/>
    <tableColumn id="4" name="Additioanl" dataDxfId="31"/>
    <tableColumn id="5" name="AO" dataDxfId="30"/>
    <tableColumn id="6" name="Vestige" dataDxfId="29"/>
    <tableColumn id="7" name="This Week" dataDxfId="28"/>
    <tableColumn id="8" name="Margin" dataDxfId="27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0"/>
  <sheetViews>
    <sheetView zoomScaleNormal="100" workbookViewId="0">
      <selection activeCell="C45" sqref="C45"/>
    </sheetView>
  </sheetViews>
  <sheetFormatPr defaultRowHeight="16.5" x14ac:dyDescent="0.3"/>
  <cols>
    <col min="1" max="1" width="11.375" customWidth="1"/>
    <col min="2" max="2" width="18.25" customWidth="1"/>
    <col min="3" max="10" width="16.5" customWidth="1"/>
    <col min="11" max="11" width="16.5" style="6" customWidth="1"/>
    <col min="12" max="12" width="16.5" style="73" customWidth="1"/>
    <col min="13" max="14" width="16.5" customWidth="1"/>
    <col min="15" max="15" width="18.875" customWidth="1"/>
    <col min="16" max="16" width="25.25" customWidth="1"/>
    <col min="17" max="18" width="18.875" customWidth="1"/>
    <col min="19" max="21" width="20.375" customWidth="1"/>
  </cols>
  <sheetData>
    <row r="1" spans="2:16" x14ac:dyDescent="0.3">
      <c r="I1" s="10"/>
      <c r="J1" s="10"/>
      <c r="K1" s="42"/>
      <c r="L1" s="72"/>
    </row>
    <row r="2" spans="2:16" x14ac:dyDescent="0.3">
      <c r="I2" s="10"/>
      <c r="J2" s="10"/>
      <c r="K2" s="42"/>
      <c r="L2" s="72"/>
    </row>
    <row r="3" spans="2:16" x14ac:dyDescent="0.3">
      <c r="I3" s="10"/>
      <c r="J3" s="10"/>
      <c r="K3" s="42"/>
      <c r="L3" s="72"/>
    </row>
    <row r="4" spans="2:16" x14ac:dyDescent="0.3">
      <c r="B4" s="6"/>
      <c r="I4" s="10"/>
      <c r="J4" s="10"/>
      <c r="K4" s="42"/>
      <c r="L4" s="72"/>
    </row>
    <row r="5" spans="2:16" x14ac:dyDescent="0.3">
      <c r="B5" s="7"/>
      <c r="I5" s="10"/>
      <c r="J5" s="10"/>
      <c r="K5" s="42"/>
      <c r="L5" s="72"/>
    </row>
    <row r="6" spans="2:16" x14ac:dyDescent="0.3">
      <c r="I6" s="10"/>
      <c r="J6" s="10"/>
      <c r="K6" s="42"/>
      <c r="L6" s="72"/>
    </row>
    <row r="7" spans="2:16" ht="17.25" thickBot="1" x14ac:dyDescent="0.35">
      <c r="I7" s="10"/>
      <c r="J7" s="10"/>
      <c r="K7" s="42"/>
      <c r="L7" s="72"/>
    </row>
    <row r="8" spans="2:16" ht="18" thickTop="1" thickBot="1" x14ac:dyDescent="0.35">
      <c r="B8" s="9" t="s">
        <v>11</v>
      </c>
      <c r="I8" s="10"/>
      <c r="J8" s="10"/>
      <c r="K8" s="42"/>
      <c r="L8" s="72"/>
    </row>
    <row r="9" spans="2:16" ht="18" thickTop="1" thickBot="1" x14ac:dyDescent="0.35">
      <c r="B9" s="8">
        <f ca="1">NOW()</f>
        <v>44303.754543171293</v>
      </c>
      <c r="I9" s="10"/>
      <c r="J9" s="10"/>
      <c r="K9" s="42"/>
      <c r="L9" s="72"/>
    </row>
    <row r="10" spans="2:16" ht="17.25" thickTop="1" x14ac:dyDescent="0.3">
      <c r="I10" s="10"/>
      <c r="J10" s="10"/>
      <c r="K10" s="42"/>
      <c r="L10" s="72"/>
    </row>
    <row r="11" spans="2:16" x14ac:dyDescent="0.3">
      <c r="I11" s="10"/>
      <c r="J11" s="10"/>
      <c r="K11" s="42"/>
      <c r="L11" s="72"/>
    </row>
    <row r="12" spans="2:16" ht="17.25" thickBot="1" x14ac:dyDescent="0.35">
      <c r="B12" s="7"/>
      <c r="I12" s="10"/>
      <c r="J12" s="10"/>
      <c r="K12" s="42"/>
      <c r="L12" s="72"/>
    </row>
    <row r="13" spans="2:16" ht="18" thickTop="1" thickBot="1" x14ac:dyDescent="0.35">
      <c r="B13" s="45" t="s">
        <v>7</v>
      </c>
      <c r="C13" s="46" t="s">
        <v>5</v>
      </c>
      <c r="D13" s="46" t="s">
        <v>126</v>
      </c>
      <c r="E13" s="46" t="s">
        <v>8</v>
      </c>
      <c r="F13" s="46" t="s">
        <v>9</v>
      </c>
      <c r="G13" s="46" t="s">
        <v>12</v>
      </c>
      <c r="H13" s="46" t="s">
        <v>139</v>
      </c>
      <c r="I13" s="46" t="s">
        <v>13</v>
      </c>
      <c r="J13" s="46" t="s">
        <v>10</v>
      </c>
      <c r="K13" s="49" t="s">
        <v>4</v>
      </c>
      <c r="L13" s="5"/>
      <c r="M13" s="125" t="s">
        <v>153</v>
      </c>
      <c r="N13" s="126"/>
      <c r="O13" s="126"/>
      <c r="P13" s="127"/>
    </row>
    <row r="14" spans="2:16" ht="17.25" thickTop="1" x14ac:dyDescent="0.3">
      <c r="B14" s="98" t="s">
        <v>0</v>
      </c>
      <c r="C14" s="11" t="s">
        <v>131</v>
      </c>
      <c r="D14" s="97">
        <v>5</v>
      </c>
      <c r="E14" s="11" t="s">
        <v>130</v>
      </c>
      <c r="F14" s="11" t="s">
        <v>129</v>
      </c>
      <c r="G14" s="11">
        <v>80</v>
      </c>
      <c r="H14" s="11">
        <v>10</v>
      </c>
      <c r="I14" s="11">
        <v>70</v>
      </c>
      <c r="J14" s="13">
        <v>38900</v>
      </c>
      <c r="K14" s="99">
        <v>14500</v>
      </c>
      <c r="L14" s="15"/>
      <c r="M14" s="128"/>
      <c r="N14" s="129"/>
      <c r="O14" s="129"/>
      <c r="P14" s="130"/>
    </row>
    <row r="15" spans="2:16" x14ac:dyDescent="0.3">
      <c r="B15" s="102" t="s">
        <v>147</v>
      </c>
      <c r="C15" s="97" t="s">
        <v>148</v>
      </c>
      <c r="D15" s="97">
        <v>5</v>
      </c>
      <c r="E15" s="97" t="s">
        <v>130</v>
      </c>
      <c r="F15" s="97" t="s">
        <v>129</v>
      </c>
      <c r="G15" s="97">
        <v>90</v>
      </c>
      <c r="H15" s="97">
        <v>10</v>
      </c>
      <c r="I15" s="11">
        <v>70</v>
      </c>
      <c r="J15" s="13">
        <v>50000</v>
      </c>
      <c r="K15" s="99">
        <v>19000</v>
      </c>
      <c r="L15" s="15"/>
      <c r="M15" s="128"/>
      <c r="N15" s="129"/>
      <c r="O15" s="129"/>
      <c r="P15" s="130"/>
    </row>
    <row r="16" spans="2:16" x14ac:dyDescent="0.3">
      <c r="B16" s="98" t="s">
        <v>67</v>
      </c>
      <c r="C16" s="11" t="s">
        <v>131</v>
      </c>
      <c r="D16" s="97">
        <v>6</v>
      </c>
      <c r="E16" s="11" t="s">
        <v>132</v>
      </c>
      <c r="F16" s="11" t="s">
        <v>140</v>
      </c>
      <c r="G16" s="11">
        <v>80</v>
      </c>
      <c r="H16" s="11">
        <v>10</v>
      </c>
      <c r="I16" s="11">
        <v>70</v>
      </c>
      <c r="J16" s="13">
        <v>37400</v>
      </c>
      <c r="K16" s="101">
        <v>14900</v>
      </c>
      <c r="L16" s="15"/>
      <c r="M16" s="128"/>
      <c r="N16" s="129"/>
      <c r="O16" s="129"/>
      <c r="P16" s="130"/>
    </row>
    <row r="17" spans="1:16" x14ac:dyDescent="0.3">
      <c r="B17" s="102" t="s">
        <v>67</v>
      </c>
      <c r="C17" s="97" t="s">
        <v>131</v>
      </c>
      <c r="D17" s="97">
        <v>6</v>
      </c>
      <c r="E17" s="97" t="s">
        <v>132</v>
      </c>
      <c r="F17" s="97" t="s">
        <v>140</v>
      </c>
      <c r="G17" s="97">
        <v>90</v>
      </c>
      <c r="H17" s="97">
        <v>10</v>
      </c>
      <c r="I17" s="11">
        <v>70</v>
      </c>
      <c r="J17" s="13">
        <v>42900</v>
      </c>
      <c r="K17" s="101">
        <v>17000</v>
      </c>
      <c r="L17" s="15"/>
      <c r="M17" s="128"/>
      <c r="N17" s="129"/>
      <c r="O17" s="129"/>
      <c r="P17" s="130"/>
    </row>
    <row r="18" spans="1:16" x14ac:dyDescent="0.3">
      <c r="B18" s="102" t="s">
        <v>68</v>
      </c>
      <c r="C18" s="97" t="s">
        <v>131</v>
      </c>
      <c r="D18" s="100">
        <v>6</v>
      </c>
      <c r="E18" s="97" t="s">
        <v>3</v>
      </c>
      <c r="F18" s="97" t="s">
        <v>1</v>
      </c>
      <c r="G18" s="97">
        <v>100</v>
      </c>
      <c r="H18" s="97">
        <v>10</v>
      </c>
      <c r="I18" s="11">
        <v>70</v>
      </c>
      <c r="J18" s="13">
        <v>50000</v>
      </c>
      <c r="K18" s="99">
        <v>18700</v>
      </c>
      <c r="L18" s="15"/>
      <c r="M18" s="128"/>
      <c r="N18" s="129"/>
      <c r="O18" s="129"/>
      <c r="P18" s="130"/>
    </row>
    <row r="19" spans="1:16" x14ac:dyDescent="0.3">
      <c r="B19" s="98" t="s">
        <v>0</v>
      </c>
      <c r="C19" s="11" t="s">
        <v>131</v>
      </c>
      <c r="D19" s="97">
        <v>5</v>
      </c>
      <c r="E19" s="11" t="s">
        <v>132</v>
      </c>
      <c r="F19" s="11" t="s">
        <v>140</v>
      </c>
      <c r="G19" s="11">
        <v>80</v>
      </c>
      <c r="H19" s="11">
        <v>10</v>
      </c>
      <c r="I19" s="11">
        <v>30</v>
      </c>
      <c r="J19" s="12">
        <v>36000</v>
      </c>
      <c r="K19" s="99">
        <v>18500</v>
      </c>
      <c r="L19" s="15"/>
      <c r="M19" s="128"/>
      <c r="N19" s="129"/>
      <c r="O19" s="129"/>
      <c r="P19" s="130"/>
    </row>
    <row r="20" spans="1:16" x14ac:dyDescent="0.3">
      <c r="B20" s="102" t="s">
        <v>0</v>
      </c>
      <c r="C20" s="97" t="s">
        <v>131</v>
      </c>
      <c r="D20" s="97">
        <v>5</v>
      </c>
      <c r="E20" s="97" t="s">
        <v>2</v>
      </c>
      <c r="F20" s="97" t="s">
        <v>1</v>
      </c>
      <c r="G20" s="97">
        <v>100</v>
      </c>
      <c r="H20" s="97">
        <v>10</v>
      </c>
      <c r="I20" s="11">
        <v>30</v>
      </c>
      <c r="J20" s="12">
        <v>62500</v>
      </c>
      <c r="K20" s="99">
        <v>14800</v>
      </c>
      <c r="L20" s="15"/>
      <c r="M20" s="128"/>
      <c r="N20" s="129"/>
      <c r="O20" s="129"/>
      <c r="P20" s="130"/>
    </row>
    <row r="21" spans="1:16" x14ac:dyDescent="0.3">
      <c r="B21" s="102" t="s">
        <v>0</v>
      </c>
      <c r="C21" s="11" t="s">
        <v>149</v>
      </c>
      <c r="D21" s="100">
        <v>1</v>
      </c>
      <c r="E21" s="11" t="s">
        <v>130</v>
      </c>
      <c r="F21" s="11" t="s">
        <v>129</v>
      </c>
      <c r="G21" s="11">
        <v>90</v>
      </c>
      <c r="H21" s="11">
        <v>10</v>
      </c>
      <c r="I21" s="11">
        <v>30</v>
      </c>
      <c r="J21" s="12">
        <v>60000</v>
      </c>
      <c r="K21" s="101">
        <v>24500</v>
      </c>
      <c r="L21" s="15"/>
      <c r="M21" s="128"/>
      <c r="N21" s="129"/>
      <c r="O21" s="129"/>
      <c r="P21" s="130"/>
    </row>
    <row r="22" spans="1:16" x14ac:dyDescent="0.3">
      <c r="B22" s="98" t="s">
        <v>67</v>
      </c>
      <c r="C22" s="11" t="s">
        <v>131</v>
      </c>
      <c r="D22" s="97">
        <v>6</v>
      </c>
      <c r="E22" s="11" t="s">
        <v>130</v>
      </c>
      <c r="F22" s="11" t="s">
        <v>129</v>
      </c>
      <c r="G22" s="11">
        <v>80</v>
      </c>
      <c r="H22" s="11">
        <v>10</v>
      </c>
      <c r="I22" s="11">
        <v>30</v>
      </c>
      <c r="J22" s="12">
        <v>47000</v>
      </c>
      <c r="K22" s="101">
        <v>17500</v>
      </c>
      <c r="L22" s="15"/>
      <c r="M22" s="128"/>
      <c r="N22" s="129"/>
      <c r="O22" s="129"/>
      <c r="P22" s="130"/>
    </row>
    <row r="23" spans="1:16" x14ac:dyDescent="0.3">
      <c r="B23" s="102" t="s">
        <v>68</v>
      </c>
      <c r="C23" s="97" t="s">
        <v>131</v>
      </c>
      <c r="D23" s="100">
        <v>6</v>
      </c>
      <c r="E23" s="97" t="s">
        <v>130</v>
      </c>
      <c r="F23" s="97" t="s">
        <v>129</v>
      </c>
      <c r="G23" s="97">
        <v>90</v>
      </c>
      <c r="H23" s="97">
        <v>10</v>
      </c>
      <c r="I23" s="11">
        <v>30</v>
      </c>
      <c r="J23" s="12">
        <v>57300</v>
      </c>
      <c r="K23" s="99">
        <v>25100</v>
      </c>
      <c r="L23" s="15"/>
      <c r="M23" s="128"/>
      <c r="N23" s="129"/>
      <c r="O23" s="129"/>
      <c r="P23" s="130"/>
    </row>
    <row r="24" spans="1:16" x14ac:dyDescent="0.3">
      <c r="B24" s="102" t="s">
        <v>68</v>
      </c>
      <c r="C24" s="11" t="s">
        <v>149</v>
      </c>
      <c r="D24" s="100">
        <v>2</v>
      </c>
      <c r="E24" s="11" t="s">
        <v>130</v>
      </c>
      <c r="F24" s="11" t="s">
        <v>140</v>
      </c>
      <c r="G24" s="11">
        <v>80</v>
      </c>
      <c r="H24" s="11">
        <v>10</v>
      </c>
      <c r="I24" s="11">
        <v>30</v>
      </c>
      <c r="J24" s="12">
        <v>105000</v>
      </c>
      <c r="K24" s="101">
        <v>48300</v>
      </c>
      <c r="L24" s="15"/>
      <c r="M24" s="128"/>
      <c r="N24" s="129"/>
      <c r="O24" s="129"/>
      <c r="P24" s="130"/>
    </row>
    <row r="25" spans="1:16" x14ac:dyDescent="0.3">
      <c r="B25" s="50"/>
      <c r="C25" s="11"/>
      <c r="D25" s="11"/>
      <c r="E25" s="11"/>
      <c r="F25" s="11"/>
      <c r="G25" s="11"/>
      <c r="H25" s="11"/>
      <c r="I25" s="11"/>
      <c r="J25" s="11"/>
      <c r="K25" s="18"/>
      <c r="L25" s="15"/>
      <c r="M25" s="128"/>
      <c r="N25" s="129"/>
      <c r="O25" s="129"/>
      <c r="P25" s="130"/>
    </row>
    <row r="26" spans="1:16" ht="17.25" thickBot="1" x14ac:dyDescent="0.35">
      <c r="A26" t="s">
        <v>124</v>
      </c>
      <c r="B26" s="50"/>
      <c r="C26" s="11"/>
      <c r="D26" s="11"/>
      <c r="E26" s="11"/>
      <c r="F26" s="11"/>
      <c r="G26" s="11"/>
      <c r="H26" s="11"/>
      <c r="I26" s="11"/>
      <c r="J26" s="11"/>
      <c r="K26" s="18"/>
      <c r="L26" s="15"/>
      <c r="M26" s="131"/>
      <c r="N26" s="132"/>
      <c r="O26" s="132"/>
      <c r="P26" s="133"/>
    </row>
    <row r="27" spans="1:16" ht="17.25" thickTop="1" x14ac:dyDescent="0.3">
      <c r="B27" s="50"/>
      <c r="C27" s="11"/>
      <c r="D27" s="11"/>
      <c r="E27" s="11"/>
      <c r="F27" s="11"/>
      <c r="G27" s="11"/>
      <c r="H27" s="11"/>
      <c r="I27" s="11"/>
      <c r="J27" s="11"/>
      <c r="K27" s="18"/>
      <c r="L27" s="15"/>
      <c r="M27" s="14"/>
      <c r="N27" s="15"/>
      <c r="O27" s="15"/>
    </row>
    <row r="28" spans="1:16" x14ac:dyDescent="0.3">
      <c r="B28" s="50"/>
      <c r="C28" s="11"/>
      <c r="D28" s="11"/>
      <c r="E28" s="11"/>
      <c r="F28" s="11"/>
      <c r="G28" s="11"/>
      <c r="H28" s="11"/>
      <c r="I28" s="11"/>
      <c r="J28" s="11"/>
      <c r="K28" s="51"/>
      <c r="L28" s="15"/>
      <c r="M28" s="14"/>
      <c r="N28" s="15"/>
      <c r="O28" s="15"/>
    </row>
    <row r="29" spans="1:16" x14ac:dyDescent="0.3">
      <c r="B29" s="50"/>
      <c r="C29" s="11"/>
      <c r="D29" s="11"/>
      <c r="E29" s="11"/>
      <c r="F29" s="11"/>
      <c r="G29" s="11"/>
      <c r="H29" s="11"/>
      <c r="I29" s="11"/>
      <c r="J29" s="11"/>
      <c r="K29" s="51"/>
      <c r="L29" s="15"/>
      <c r="M29" s="14"/>
      <c r="N29" s="15"/>
      <c r="O29" s="15"/>
    </row>
    <row r="30" spans="1:16" x14ac:dyDescent="0.3">
      <c r="B30" s="50"/>
      <c r="C30" s="11"/>
      <c r="D30" s="11"/>
      <c r="E30" s="11"/>
      <c r="F30" s="11"/>
      <c r="G30" s="11"/>
      <c r="H30" s="11"/>
      <c r="I30" s="11"/>
      <c r="J30" s="11"/>
      <c r="K30" s="51"/>
      <c r="L30" s="15"/>
      <c r="M30" s="14"/>
      <c r="N30" s="15"/>
      <c r="O30" s="15"/>
    </row>
    <row r="31" spans="1:16" x14ac:dyDescent="0.3">
      <c r="B31" s="50"/>
      <c r="C31" s="11"/>
      <c r="D31" s="11"/>
      <c r="E31" s="11"/>
      <c r="F31" s="11"/>
      <c r="G31" s="11"/>
      <c r="H31" s="11"/>
      <c r="I31" s="11"/>
      <c r="J31" s="11"/>
      <c r="K31" s="51"/>
      <c r="L31" s="15"/>
      <c r="M31" s="14"/>
      <c r="N31" s="15"/>
      <c r="O31" s="15"/>
    </row>
    <row r="32" spans="1:16" x14ac:dyDescent="0.3">
      <c r="B32" s="50"/>
      <c r="C32" s="11"/>
      <c r="D32" s="11"/>
      <c r="E32" s="11"/>
      <c r="F32" s="11"/>
      <c r="G32" s="11"/>
      <c r="H32" s="11"/>
      <c r="I32" s="11"/>
      <c r="J32" s="11"/>
      <c r="K32" s="51"/>
      <c r="L32" s="15"/>
      <c r="M32" s="14"/>
      <c r="N32" s="15"/>
      <c r="O32" s="15"/>
    </row>
    <row r="33" spans="2:25" x14ac:dyDescent="0.3">
      <c r="B33" s="50"/>
      <c r="C33" s="11"/>
      <c r="D33" s="11"/>
      <c r="E33" s="11"/>
      <c r="F33" s="11"/>
      <c r="G33" s="11"/>
      <c r="H33" s="11"/>
      <c r="I33" s="11"/>
      <c r="J33" s="11"/>
      <c r="K33" s="51"/>
      <c r="L33" s="15"/>
      <c r="M33" s="14"/>
      <c r="N33" s="15"/>
      <c r="O33" s="15"/>
    </row>
    <row r="34" spans="2:25" ht="17.25" thickBot="1" x14ac:dyDescent="0.35">
      <c r="B34" s="52"/>
      <c r="C34" s="53"/>
      <c r="D34" s="53"/>
      <c r="E34" s="53"/>
      <c r="F34" s="53"/>
      <c r="G34" s="53"/>
      <c r="H34" s="53"/>
      <c r="I34" s="53"/>
      <c r="J34" s="53"/>
      <c r="K34" s="54"/>
      <c r="L34" s="15"/>
      <c r="M34" s="14"/>
      <c r="N34" s="15"/>
      <c r="O34" s="15"/>
    </row>
    <row r="35" spans="2:25" ht="17.25" thickTop="1" x14ac:dyDescent="0.3">
      <c r="B35" s="3"/>
      <c r="C35" s="3"/>
      <c r="D35" s="3"/>
      <c r="E35" s="3"/>
      <c r="F35" s="3"/>
      <c r="G35" s="3"/>
      <c r="H35" s="3"/>
      <c r="I35" s="3"/>
      <c r="J35" s="4"/>
      <c r="K35" s="16"/>
      <c r="L35" s="15"/>
    </row>
    <row r="36" spans="2:25" x14ac:dyDescent="0.3">
      <c r="B36" s="2"/>
      <c r="C36" s="2"/>
      <c r="D36" s="2"/>
      <c r="E36" s="2"/>
      <c r="F36" s="2"/>
      <c r="G36" s="2"/>
      <c r="H36" s="2"/>
      <c r="I36" s="2"/>
      <c r="J36" s="2"/>
      <c r="K36" s="17"/>
      <c r="L36" s="15"/>
    </row>
    <row r="37" spans="2:25" ht="17.25" thickBot="1" x14ac:dyDescent="0.35"/>
    <row r="38" spans="2:25" ht="18" thickTop="1" thickBot="1" x14ac:dyDescent="0.35">
      <c r="B38" s="9" t="s">
        <v>18</v>
      </c>
      <c r="C38" s="9" t="s">
        <v>29</v>
      </c>
      <c r="D38" s="28"/>
      <c r="E38" s="9" t="s">
        <v>37</v>
      </c>
      <c r="F38" s="9" t="s">
        <v>29</v>
      </c>
      <c r="H38" s="9" t="s">
        <v>27</v>
      </c>
      <c r="I38" s="9" t="s">
        <v>28</v>
      </c>
      <c r="J38" s="28"/>
      <c r="K38" s="9" t="s">
        <v>113</v>
      </c>
      <c r="L38" s="81" t="s">
        <v>4</v>
      </c>
    </row>
    <row r="39" spans="2:25" ht="17.25" thickTop="1" x14ac:dyDescent="0.3">
      <c r="B39" s="64" t="s">
        <v>0</v>
      </c>
      <c r="C39" s="86">
        <f>COUNTIF($B$14:$B$34,"Hat")</f>
        <v>5</v>
      </c>
      <c r="D39" s="28"/>
      <c r="E39" s="30" t="s">
        <v>19</v>
      </c>
      <c r="F39" s="33">
        <f>COUNTIFS($C$14:$C$34,"W_E_R",$E$14:$E$34,"NI",$F$14:$F$34,"SA")</f>
        <v>0</v>
      </c>
      <c r="H39" s="30" t="s">
        <v>145</v>
      </c>
      <c r="I39" s="33">
        <f>COUNTIFS($G$14:$G$37,"80",$I$14:$I$37,"80")</f>
        <v>0</v>
      </c>
      <c r="J39" s="28"/>
      <c r="K39" s="25" t="str">
        <f>INDEX($B$14:$B$34,MATCH(LARGE($K$14:$K$34,1),$K$14:$K$34,0))</f>
        <v>Shoes</v>
      </c>
      <c r="L39" s="121">
        <f>LARGE($K$14:K34,1)</f>
        <v>48300</v>
      </c>
    </row>
    <row r="40" spans="2:25" x14ac:dyDescent="0.3">
      <c r="B40" s="84" t="s">
        <v>67</v>
      </c>
      <c r="C40" s="85">
        <f>COUNTIF($B$14:$B$34,"Glove")</f>
        <v>3</v>
      </c>
      <c r="D40" s="28"/>
      <c r="E40" s="58" t="s">
        <v>20</v>
      </c>
      <c r="F40" s="27">
        <f>COUNTIFS($C$14:$C$34,"W_E_R",$E$14:$E$34,"NI",$F$14:$F$34,"DTA")</f>
        <v>4</v>
      </c>
      <c r="H40" s="58" t="s">
        <v>146</v>
      </c>
      <c r="I40" s="55">
        <f>COUNTIFS($G$14:$G$37,"80",$I$14:$I$37,"30")</f>
        <v>3</v>
      </c>
      <c r="J40" s="5"/>
      <c r="K40" s="58" t="str">
        <f>INDEX($B$14:$B$34,MATCH(LARGE($K$14:$K$34,2),$K$14:$K$34,0))</f>
        <v>Shoes</v>
      </c>
      <c r="L40" s="82">
        <f>LARGE($K$14:K34,2)</f>
        <v>25100</v>
      </c>
    </row>
    <row r="41" spans="2:25" x14ac:dyDescent="0.3">
      <c r="B41" s="84" t="s">
        <v>68</v>
      </c>
      <c r="C41" s="85">
        <f>COUNTIF($B$14:$B$34,"Shoes")</f>
        <v>3</v>
      </c>
      <c r="D41" s="28"/>
      <c r="E41" s="58" t="s">
        <v>111</v>
      </c>
      <c r="F41" s="27">
        <f>COUNTIFS($C$14:$C$34,"W_E_R",$E$14:$E$34,"SI",$F$14:$F$34,"SA")</f>
        <v>4</v>
      </c>
      <c r="H41" s="84" t="s">
        <v>150</v>
      </c>
      <c r="I41" s="85">
        <f>COUNTIFS($G$14:$G$37,"90",$I$14:$I$37,"70")</f>
        <v>2</v>
      </c>
      <c r="J41" s="28"/>
      <c r="K41" s="58" t="str">
        <f>INDEX($B$14:$B$34,MATCH(LARGE($K$14:$K$34,3),$K$14:$K$34,0))</f>
        <v>Hat</v>
      </c>
      <c r="L41" s="82">
        <f>LARGE($K$14:K34,3)</f>
        <v>24500</v>
      </c>
    </row>
    <row r="42" spans="2:25" ht="17.25" thickBot="1" x14ac:dyDescent="0.35">
      <c r="B42" s="23" t="s">
        <v>69</v>
      </c>
      <c r="C42" s="35">
        <f>COUNTIF($B$14:$B$34,"Cape")</f>
        <v>0</v>
      </c>
      <c r="D42" s="28"/>
      <c r="E42" s="31" t="s">
        <v>21</v>
      </c>
      <c r="F42" s="34">
        <f>COUNTIFS($C$14:$C$34,"W_E_R",$E$14:$E$34,"SI",$F$14:$F$34,"DTA")</f>
        <v>1</v>
      </c>
      <c r="H42" s="84" t="s">
        <v>144</v>
      </c>
      <c r="I42" s="88">
        <f>COUNTIFS($G$14:$G$37,"90",$I$14:$I$37,"30")</f>
        <v>2</v>
      </c>
      <c r="J42" s="5"/>
      <c r="K42" s="84" t="str">
        <f>INDEX($B$14:$B$34,MATCH(LARGE($K$14:$K$34,4),$K$14:$K$34,0))</f>
        <v>Hat</v>
      </c>
      <c r="L42" s="107">
        <f>LARGE($K$14:K34,4)</f>
        <v>19000</v>
      </c>
    </row>
    <row r="43" spans="2:25" ht="18" thickTop="1" thickBot="1" x14ac:dyDescent="0.35">
      <c r="B43" s="10"/>
      <c r="C43" s="10"/>
      <c r="D43" s="28"/>
      <c r="E43" s="31" t="s">
        <v>22</v>
      </c>
      <c r="F43" s="34">
        <f>COUNTIFS($C$14:$C$34,"W_E_E",$E$14:$E$34,"NI",$F$14:$F$34,"SA")</f>
        <v>0</v>
      </c>
      <c r="H43" s="31" t="s">
        <v>151</v>
      </c>
      <c r="I43" s="34">
        <f>COUNTIFS($G$14:$G$37,"100",$I$14:$I$37,"70")</f>
        <v>1</v>
      </c>
      <c r="J43" s="28"/>
      <c r="K43" s="90" t="str">
        <f>INDEX($B$14:$B$34,MATCH(LARGE($K$14:$K$34,5),$K$14:$K$34,0))</f>
        <v>Shoes</v>
      </c>
      <c r="L43" s="96">
        <f>LARGE($K$14:K34,5)</f>
        <v>18700</v>
      </c>
      <c r="P43" s="28"/>
      <c r="Q43" s="28"/>
      <c r="R43" s="28"/>
    </row>
    <row r="44" spans="2:25" ht="17.25" thickTop="1" x14ac:dyDescent="0.3">
      <c r="B44" s="10"/>
      <c r="C44" s="10"/>
      <c r="D44" s="28"/>
      <c r="E44" s="21" t="s">
        <v>23</v>
      </c>
      <c r="F44" s="22">
        <f>COUNTIFS($C$14:$C$34,"W_E_E",$E$14:$E$34,"NI",$F$14:$F$34,"DTA")</f>
        <v>0</v>
      </c>
      <c r="H44" s="31" t="s">
        <v>143</v>
      </c>
      <c r="I44" s="43">
        <f>COUNTIFS($G$14:$G$37,"100",$I$14:$I$37,"30")</f>
        <v>1</v>
      </c>
      <c r="J44" s="5"/>
      <c r="K44" s="28"/>
      <c r="L44"/>
      <c r="P44" s="28"/>
      <c r="Q44" s="28"/>
      <c r="R44" s="28"/>
    </row>
    <row r="45" spans="2:25" x14ac:dyDescent="0.3">
      <c r="B45" s="10"/>
      <c r="C45" s="10"/>
      <c r="D45" s="28"/>
      <c r="E45" s="21" t="s">
        <v>24</v>
      </c>
      <c r="F45" s="22">
        <f>COUNTIFS($C$14:$C$34,"W_E_E",$E$14:$E$34,"NI",$F$14:$F$34,"DTA(80)")</f>
        <v>0</v>
      </c>
      <c r="H45" s="31" t="s">
        <v>152</v>
      </c>
      <c r="I45" s="34">
        <f>COUNTIFS($G$14:$G$37,"110",$I$14:$I$37,"70")</f>
        <v>0</v>
      </c>
      <c r="J45" s="28"/>
      <c r="K45"/>
      <c r="L45"/>
    </row>
    <row r="46" spans="2:25" x14ac:dyDescent="0.3">
      <c r="B46" s="10"/>
      <c r="C46" s="10"/>
      <c r="D46" s="28"/>
      <c r="E46" s="21" t="s">
        <v>25</v>
      </c>
      <c r="F46" s="22">
        <f>COUNTIFS($C$14:$C$34,"W_E_E",$E$14:$E$34,"SI",$F$14:$F$34,"SA")</f>
        <v>1</v>
      </c>
      <c r="H46" s="31" t="s">
        <v>141</v>
      </c>
      <c r="I46" s="43">
        <f>COUNTIFS($G$14:$G$37,"110",$I$14:$I$37,"30")</f>
        <v>0</v>
      </c>
      <c r="J46" s="5"/>
      <c r="K46" s="28"/>
      <c r="L46"/>
      <c r="P46" s="28"/>
    </row>
    <row r="47" spans="2:25" ht="17.25" thickBot="1" x14ac:dyDescent="0.35">
      <c r="B47" s="10"/>
      <c r="C47" s="10"/>
      <c r="D47" s="28"/>
      <c r="E47" s="23" t="s">
        <v>26</v>
      </c>
      <c r="F47" s="24">
        <f>COUNTIFS($C$14:$C$34,"W_E_E",$E$14:$E$34,"SI",$F$14:$F$34,"DTA")</f>
        <v>1</v>
      </c>
      <c r="H47" s="40" t="s">
        <v>116</v>
      </c>
      <c r="I47" s="71">
        <f>COUNTIFS($G$14:$G$37,"80",$I$14:$I$37,"PW")</f>
        <v>0</v>
      </c>
      <c r="J47" s="73"/>
      <c r="K47" s="28"/>
      <c r="L47"/>
      <c r="P47" s="28"/>
    </row>
    <row r="48" spans="2:25" ht="17.25" thickTop="1" x14ac:dyDescent="0.3">
      <c r="D48" s="95"/>
      <c r="H48" s="31" t="s">
        <v>117</v>
      </c>
      <c r="I48" s="43">
        <f>COUNTIFS($G$14:$G$37,"90",$I$14:$I$37,"PW")</f>
        <v>0</v>
      </c>
      <c r="J48" s="73"/>
      <c r="K48" s="28"/>
      <c r="L48"/>
      <c r="P48" s="28"/>
      <c r="Q48" s="5"/>
      <c r="R48" s="5"/>
      <c r="V48" s="5"/>
      <c r="W48" s="5"/>
      <c r="X48" s="14"/>
      <c r="Y48" s="15"/>
    </row>
    <row r="49" spans="2:25" x14ac:dyDescent="0.3">
      <c r="D49" s="95"/>
      <c r="H49" s="31" t="s">
        <v>118</v>
      </c>
      <c r="I49" s="63">
        <f>COUNTIFS($G$14:$G$37,"100",$I$14:$I$37,"PW")</f>
        <v>0</v>
      </c>
      <c r="J49" s="73"/>
      <c r="K49" s="28"/>
      <c r="L49"/>
      <c r="P49" s="28"/>
      <c r="Q49" s="5"/>
      <c r="R49" s="5"/>
      <c r="V49" s="5"/>
      <c r="W49" s="5"/>
      <c r="X49" s="14"/>
      <c r="Y49" s="15"/>
    </row>
    <row r="50" spans="2:25" ht="17.25" thickBot="1" x14ac:dyDescent="0.35">
      <c r="D50" s="95"/>
      <c r="H50" s="32" t="s">
        <v>142</v>
      </c>
      <c r="I50" s="44">
        <f>COUNTIFS($G$14:$G$37,"110",$I$14:$I$37,"30")+COUNTIFS($G$14:$G$37,"110",$I$14:$I$37,"PW")</f>
        <v>0</v>
      </c>
      <c r="J50" s="73"/>
      <c r="K50" s="28"/>
      <c r="L50"/>
      <c r="P50" s="28"/>
      <c r="Q50" s="5"/>
      <c r="R50" s="5"/>
      <c r="V50" s="5"/>
      <c r="W50" s="5"/>
      <c r="X50" s="14"/>
      <c r="Y50" s="15"/>
    </row>
    <row r="51" spans="2:25" ht="17.25" thickTop="1" x14ac:dyDescent="0.3">
      <c r="D51" s="95"/>
      <c r="I51" s="6"/>
      <c r="J51" s="73"/>
      <c r="K51" s="28"/>
      <c r="L51"/>
      <c r="P51" s="28"/>
      <c r="Q51" s="5"/>
      <c r="R51" s="5"/>
      <c r="V51" s="5"/>
      <c r="W51" s="5"/>
      <c r="X51" s="14"/>
      <c r="Y51" s="15"/>
    </row>
    <row r="52" spans="2:25" x14ac:dyDescent="0.3">
      <c r="D52" s="95"/>
      <c r="I52" s="6"/>
      <c r="J52" s="73"/>
      <c r="K52" s="28"/>
      <c r="L52"/>
      <c r="P52" s="28"/>
      <c r="Q52" s="5"/>
      <c r="R52" s="5"/>
      <c r="V52" s="5"/>
      <c r="W52" s="5"/>
      <c r="X52" s="14"/>
      <c r="Y52" s="15"/>
    </row>
    <row r="53" spans="2:25" x14ac:dyDescent="0.3">
      <c r="D53" s="95"/>
      <c r="I53" s="6"/>
      <c r="J53" s="73"/>
      <c r="K53" s="28"/>
      <c r="L53"/>
      <c r="P53" s="28"/>
      <c r="Q53" s="5"/>
      <c r="R53" s="5"/>
      <c r="V53" s="5"/>
      <c r="W53" s="5"/>
      <c r="X53" s="14"/>
      <c r="Y53" s="15"/>
    </row>
    <row r="54" spans="2:25" x14ac:dyDescent="0.3">
      <c r="D54" s="95"/>
      <c r="I54" s="6"/>
      <c r="J54" s="73"/>
      <c r="K54" s="28"/>
      <c r="L54"/>
      <c r="P54" s="28"/>
      <c r="Q54" s="5"/>
      <c r="R54" s="5"/>
      <c r="V54" s="5"/>
      <c r="W54" s="5"/>
      <c r="X54" s="14"/>
      <c r="Y54" s="15"/>
    </row>
    <row r="55" spans="2:25" ht="17.25" thickBot="1" x14ac:dyDescent="0.35">
      <c r="D55" s="95"/>
      <c r="I55" s="6"/>
      <c r="J55" s="73"/>
      <c r="K55" s="28"/>
      <c r="L55"/>
      <c r="P55" s="28"/>
      <c r="Q55" s="5"/>
      <c r="R55" s="5"/>
      <c r="V55" s="5"/>
      <c r="W55" s="5"/>
      <c r="X55" s="14"/>
      <c r="Y55" s="15"/>
    </row>
    <row r="56" spans="2:25" ht="18" thickTop="1" thickBot="1" x14ac:dyDescent="0.35">
      <c r="B56" s="9" t="s">
        <v>47</v>
      </c>
      <c r="C56" s="9" t="s">
        <v>29</v>
      </c>
      <c r="D56" s="89"/>
      <c r="E56" s="9" t="s">
        <v>76</v>
      </c>
      <c r="F56" s="9" t="s">
        <v>29</v>
      </c>
      <c r="G56" s="89"/>
      <c r="H56" s="76" t="s">
        <v>78</v>
      </c>
      <c r="I56" s="9" t="s">
        <v>29</v>
      </c>
      <c r="J56" s="28"/>
      <c r="K56" s="9" t="s">
        <v>80</v>
      </c>
      <c r="L56" s="77" t="s">
        <v>29</v>
      </c>
      <c r="P56" s="28"/>
      <c r="Q56" s="5"/>
      <c r="R56" s="5"/>
      <c r="V56" s="5"/>
      <c r="W56" s="5"/>
      <c r="X56" s="14"/>
      <c r="Y56" s="15"/>
    </row>
    <row r="57" spans="2:25" ht="17.25" thickTop="1" x14ac:dyDescent="0.3">
      <c r="B57" s="30" t="s">
        <v>33</v>
      </c>
      <c r="C57" s="20">
        <f>COUNTIFS($B$14:$B$34,"Hat",$C$14:$C$34,"W_E_R",$E$14:$E$34,"NI",$F$14:$F$34,"SA")</f>
        <v>0</v>
      </c>
      <c r="D57" s="28"/>
      <c r="E57" s="30" t="s">
        <v>82</v>
      </c>
      <c r="F57" s="20">
        <f>COUNTIFS($B$14:$B$34,"Glove",$C$14:$C$34,"W_E_R",$E$14:$E$34,"NI",$F$14:$F$34,"SA")</f>
        <v>0</v>
      </c>
      <c r="G57" s="28"/>
      <c r="H57" s="30" t="s">
        <v>91</v>
      </c>
      <c r="I57" s="78">
        <f>COUNTIFS($B$14:$B$34,"Shoes",$C$14:$C$34,"W_E_R",$E$14:$E$34,"NI",$F$14:$F$34,"SA")</f>
        <v>0</v>
      </c>
      <c r="J57" s="28"/>
      <c r="K57" s="30" t="s">
        <v>100</v>
      </c>
      <c r="L57" s="78">
        <f>COUNTIFS($B$14:$B$34,"Cape",$C$14:$C$34,"W_E_R",$E$14:$E$34,"NI",$F$14:$F$34,"SA")</f>
        <v>0</v>
      </c>
    </row>
    <row r="58" spans="2:25" x14ac:dyDescent="0.3">
      <c r="B58" s="31" t="s">
        <v>34</v>
      </c>
      <c r="C58" s="22">
        <f>COUNTIFS($B$14:$B$34,"Hat",$C$14:$C$34,"W_E_R",$E$14:$E$34,"NI",$F$14:$F$34,"DTA")</f>
        <v>1</v>
      </c>
      <c r="D58" s="28"/>
      <c r="E58" s="58" t="s">
        <v>83</v>
      </c>
      <c r="F58" s="27">
        <f>COUNTIFS($B$14:$B$34,"Glove",$C$14:$C$34,"W_E_R",$E$14:$E$34,"NI",$F$14:$F$34,"DTA")</f>
        <v>2</v>
      </c>
      <c r="G58" s="28"/>
      <c r="H58" s="31" t="s">
        <v>92</v>
      </c>
      <c r="I58" s="79">
        <f>COUNTIFS($B$14:$B$34,"Shoes",$C$14:$C$34,"W_E_R",$E$14:$E$34,"NI",$F$14:$F$34,"DTA")</f>
        <v>1</v>
      </c>
      <c r="J58" s="28"/>
      <c r="K58" s="31" t="s">
        <v>101</v>
      </c>
      <c r="L58" s="79">
        <f>COUNTIFS($B$14:$B$34,"Cape",$C$14:$C$34,"W_E_R",$E$14:$E$34,"NI",$F$14:$F$34,"DTA")</f>
        <v>0</v>
      </c>
      <c r="P58" s="28"/>
    </row>
    <row r="59" spans="2:25" x14ac:dyDescent="0.3">
      <c r="B59" s="58" t="s">
        <v>35</v>
      </c>
      <c r="C59" s="27">
        <f>COUNTIFS($B$14:$B$34,"Hat",$C$14:$C$34,"W_E_R",$E$14:$E$34,"SI",$F$14:$F$34,"SA")</f>
        <v>2</v>
      </c>
      <c r="D59" s="28"/>
      <c r="E59" s="31" t="s">
        <v>84</v>
      </c>
      <c r="F59" s="34">
        <f>COUNTIFS($B$14:$B$34,"Glove",$C$14:$C$34,"W_E_R",$E$14:$E$34,"SI",$F$14:$F$34,"SA")</f>
        <v>1</v>
      </c>
      <c r="G59" s="28"/>
      <c r="H59" s="31" t="s">
        <v>93</v>
      </c>
      <c r="I59" s="79">
        <f>COUNTIFS($B$14:$B$34,"Shoes",$C$14:$C$34,"W_E_R",$E$14:$E$34,"SI",$F$14:$F$34,"SA")</f>
        <v>1</v>
      </c>
      <c r="J59" s="28"/>
      <c r="K59" s="31" t="s">
        <v>102</v>
      </c>
      <c r="L59" s="79">
        <f>COUNTIFS($B$14:$B$34,"Cape",$C$14:$C$34,"W_E_R",$E$14:$E$34,"SI",$F$14:$F$34,"SA")</f>
        <v>0</v>
      </c>
      <c r="P59" s="28"/>
    </row>
    <row r="60" spans="2:25" ht="17.25" thickBot="1" x14ac:dyDescent="0.35">
      <c r="B60" s="32" t="s">
        <v>36</v>
      </c>
      <c r="C60" s="35">
        <f>COUNTIFS($B$14:$B$34,"Hat",$C$14:$C$34,"W_E_R",$E$14:$E$34,"SI",$F$14:$F$34,"DTA")</f>
        <v>1</v>
      </c>
      <c r="D60" s="28"/>
      <c r="E60" s="32" t="s">
        <v>85</v>
      </c>
      <c r="F60" s="35">
        <f>COUNTIFS($B$14:$B$34,"Glove",$C$14:$C$34,"W_E_R",$E$14:$E$34,"SI",$F$14:$F$34,"DTA")</f>
        <v>0</v>
      </c>
      <c r="G60" s="28"/>
      <c r="H60" s="32" t="s">
        <v>94</v>
      </c>
      <c r="I60" s="80">
        <f>COUNTIFS($B$14:$B$34,"Shoes",$C$14:$C$34,"W_E_R",$E$14:$E$34,"SI",$F$14:$F$34,"DTA")</f>
        <v>0</v>
      </c>
      <c r="J60" s="28"/>
      <c r="K60" s="32" t="s">
        <v>103</v>
      </c>
      <c r="L60" s="80">
        <f>COUNTIFS($B$14:$B$34,"Cape",$C$14:$C$34,"W_E_R",$E$14:$E$34,"SI",$F$14:$F$34,"DTA")</f>
        <v>0</v>
      </c>
      <c r="P60" s="28"/>
    </row>
    <row r="61" spans="2:25" ht="18" thickTop="1" thickBot="1" x14ac:dyDescent="0.35">
      <c r="D61" s="95"/>
      <c r="G61" s="120"/>
      <c r="I61" s="6"/>
      <c r="J61" s="73"/>
      <c r="K61"/>
      <c r="L61" s="6"/>
      <c r="P61" s="28"/>
    </row>
    <row r="62" spans="2:25" ht="18" thickTop="1" thickBot="1" x14ac:dyDescent="0.35">
      <c r="B62" s="9" t="s">
        <v>48</v>
      </c>
      <c r="C62" s="9" t="s">
        <v>29</v>
      </c>
      <c r="D62" s="89"/>
      <c r="E62" s="9" t="s">
        <v>77</v>
      </c>
      <c r="F62" s="9" t="s">
        <v>29</v>
      </c>
      <c r="G62" s="89"/>
      <c r="H62" s="76" t="s">
        <v>79</v>
      </c>
      <c r="I62" s="9" t="s">
        <v>29</v>
      </c>
      <c r="J62" s="28"/>
      <c r="K62" s="9" t="s">
        <v>81</v>
      </c>
      <c r="L62" s="77" t="s">
        <v>29</v>
      </c>
      <c r="P62" s="28"/>
    </row>
    <row r="63" spans="2:25" ht="17.25" thickTop="1" x14ac:dyDescent="0.3">
      <c r="B63" s="30" t="s">
        <v>49</v>
      </c>
      <c r="C63" s="33">
        <f>COUNTIFS($B$14:$B$34,"Hat",$C$14:$C$34,"W_E_E",$E$14:$E$34,"NI",$F$14:$F$34,"SA")</f>
        <v>0</v>
      </c>
      <c r="D63" s="28"/>
      <c r="E63" s="30" t="s">
        <v>86</v>
      </c>
      <c r="F63" s="33">
        <f>COUNTIFS($B$14:$B$34,"Glove",$C$14:$C$34,"W_E_E",$E$14:$E$34,"NI",$F$14:$F$34,"SA")</f>
        <v>0</v>
      </c>
      <c r="G63" s="28"/>
      <c r="H63" s="30" t="s">
        <v>95</v>
      </c>
      <c r="I63" s="78">
        <f>COUNTIFS($B$14:$B$34,"Shoes",$C$14:$C$34,"W_E_E",$E$14:$E$34,"NI",$F$14:$F$34,"SA")</f>
        <v>0</v>
      </c>
      <c r="J63" s="28"/>
      <c r="K63" s="30" t="s">
        <v>104</v>
      </c>
      <c r="L63" s="78">
        <f>COUNTIFS($B$14:$B$34,"Cape",$C$14:$C$34,"W_E_E",$E$14:$E$34,"NI",$F$14:$F$34,"SA")</f>
        <v>0</v>
      </c>
      <c r="P63" s="28"/>
    </row>
    <row r="64" spans="2:25" x14ac:dyDescent="0.3">
      <c r="B64" s="31" t="s">
        <v>50</v>
      </c>
      <c r="C64" s="34">
        <f>COUNTIFS($B$14:$B$34,"Hat",$C$14:$C$34,"W_E_E",$E$14:$E$34,"NI",$F$14:$F$34,"DTA")</f>
        <v>0</v>
      </c>
      <c r="D64" s="28"/>
      <c r="E64" s="31" t="s">
        <v>87</v>
      </c>
      <c r="F64" s="34">
        <f>COUNTIFS($B$14:$B$34,"Glove",$C$14:$C$34,"W_E_E",$E$14:$E$34,"NI",$F$14:$F$34,"DTA")</f>
        <v>0</v>
      </c>
      <c r="G64" s="28"/>
      <c r="H64" s="31" t="s">
        <v>96</v>
      </c>
      <c r="I64" s="79">
        <f>COUNTIFS($B$14:$B$34,"Shoes",$C$14:$C$34,"W_E_E",$E$14:$E$34,"NI",$F$14:$F$34,"DTA")</f>
        <v>0</v>
      </c>
      <c r="J64" s="28"/>
      <c r="K64" s="31" t="s">
        <v>105</v>
      </c>
      <c r="L64" s="79">
        <f>COUNTIFS($B$14:$B$34,"Cape",$C$14:$C$34,"W_E_E",$E$14:$E$34,"NI",$F$14:$F$34,"DTA")</f>
        <v>0</v>
      </c>
    </row>
    <row r="65" spans="2:16" x14ac:dyDescent="0.3">
      <c r="B65" s="31" t="s">
        <v>52</v>
      </c>
      <c r="C65" s="34">
        <f>COUNTIFS($B$14:$B$34,"Hat",$C$14:$C$34,"W_E_E",$E$14:$E$34,"SI",$F$14:$F$34,"SA")</f>
        <v>1</v>
      </c>
      <c r="D65" s="28"/>
      <c r="E65" s="31" t="s">
        <v>88</v>
      </c>
      <c r="F65" s="34">
        <f>COUNTIFS($B$14:$B$34,"Glove",$C$14:$C$34,"W_E_E",$E$14:$E$34,"SI",$F$14:$F$34,"SA")</f>
        <v>0</v>
      </c>
      <c r="G65" s="28"/>
      <c r="H65" s="31" t="s">
        <v>97</v>
      </c>
      <c r="I65" s="79">
        <f>COUNTIFS($B$14:$B$34,"Shoes",$C$14:$C$34,"W_E_E",$E$14:$E$34,"SI",$F$14:$F$34,"SA")</f>
        <v>0</v>
      </c>
      <c r="J65" s="28"/>
      <c r="K65" s="31" t="s">
        <v>106</v>
      </c>
      <c r="L65" s="79">
        <f>COUNTIFS($B$14:$B$34,"Cape",$C$14:$C$34,"W_E_E",$E$14:$E$34,"SI",$F$14:$F$34,"SA")</f>
        <v>0</v>
      </c>
      <c r="P65" s="28"/>
    </row>
    <row r="66" spans="2:16" x14ac:dyDescent="0.3">
      <c r="B66" s="38" t="s">
        <v>54</v>
      </c>
      <c r="C66" s="39">
        <f>COUNTIFS($B$14:$B$34,"Hat",$C$14:$C$34,"W_E_E",$E$14:$E$34,"SI",$F$14:$F$34,"DTA")</f>
        <v>0</v>
      </c>
      <c r="D66" s="28"/>
      <c r="E66" s="31" t="s">
        <v>89</v>
      </c>
      <c r="F66" s="34">
        <f>COUNTIFS($B$14:$B$34,"Glove",$C$14:$C$34,"W_E_E",$E$14:$E$34,"SI",$F$14:$F$34,"DTA")</f>
        <v>0</v>
      </c>
      <c r="G66" s="28"/>
      <c r="H66" s="31" t="s">
        <v>98</v>
      </c>
      <c r="I66" s="83">
        <f>COUNTIFS($B$14:$B$34,"Shoes",$C$14:$C$34,"W_E_E",$E$14:$E$34,"SI",$F$14:$F$34,"DTA")</f>
        <v>1</v>
      </c>
      <c r="J66" s="28"/>
      <c r="K66" s="31" t="s">
        <v>107</v>
      </c>
      <c r="L66" s="83">
        <f>COUNTIFS($B$14:$B$34,"Cape",$C$14:$C$34,"W_E_E",$E$14:$E$34,"SI",$F$14:$F$34,"DTA")</f>
        <v>0</v>
      </c>
      <c r="P66" s="28"/>
    </row>
    <row r="67" spans="2:16" ht="17.25" thickBot="1" x14ac:dyDescent="0.35">
      <c r="B67" s="32" t="s">
        <v>57</v>
      </c>
      <c r="C67" s="35">
        <f>COUNTIFS($B$14:$B$34,"Hat",$C$14:$C$34,"W_E_E",$E$14:$E$34,"NI",$F$14:$F$34,"DTA(80)")</f>
        <v>0</v>
      </c>
      <c r="D67" s="28"/>
      <c r="E67" s="36" t="s">
        <v>90</v>
      </c>
      <c r="F67" s="37">
        <f>COUNTIFS($B$14:$B$34,"Glove",$C$14:$C$34,"M_E_E",$E$14:$E$34,"NI",$F$14:$F$34,"DTA(80)")</f>
        <v>0</v>
      </c>
      <c r="H67" s="32" t="s">
        <v>99</v>
      </c>
      <c r="I67" s="80">
        <f>COUNTIFS($B$14:$B$34,"Shoes",$C$14:$C$34,"W_E_E",$E$14:$E$34,"NI",$F$14:$F$34,"DTA(80)")</f>
        <v>0</v>
      </c>
      <c r="J67" s="28"/>
      <c r="K67" s="32" t="s">
        <v>108</v>
      </c>
      <c r="L67" s="80">
        <f>COUNTIFS($B$14:$B$34,"Cape",$C$14:$C$34,"W_E_E",$E$14:$E$34,"NI",$F$14:$F$34,"DTA(80)")</f>
        <v>0</v>
      </c>
      <c r="P67" s="28"/>
    </row>
    <row r="68" spans="2:16" ht="17.25" thickTop="1" x14ac:dyDescent="0.3">
      <c r="M68" s="28"/>
      <c r="P68" s="28"/>
    </row>
    <row r="69" spans="2:16" x14ac:dyDescent="0.3">
      <c r="M69" s="28"/>
      <c r="P69" s="28"/>
    </row>
    <row r="70" spans="2:16" x14ac:dyDescent="0.3">
      <c r="M70" s="28"/>
      <c r="P70" s="28"/>
    </row>
  </sheetData>
  <sortState ref="B27:C29">
    <sortCondition descending="1" ref="C27:C29"/>
  </sortState>
  <mergeCells count="1">
    <mergeCell ref="M13:P26"/>
  </mergeCells>
  <phoneticPr fontId="1" type="noConversion"/>
  <pageMargins left="0.7" right="0.7" top="0.75" bottom="0.75" header="0.3" footer="0.3"/>
  <pageSetup paperSize="9" orientation="portrait" horizontalDpi="4294967292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61"/>
  <sheetViews>
    <sheetView workbookViewId="0">
      <selection sqref="A1:XFD1048576"/>
    </sheetView>
  </sheetViews>
  <sheetFormatPr defaultRowHeight="16.5" x14ac:dyDescent="0.3"/>
  <cols>
    <col min="1" max="1" width="11.375" customWidth="1"/>
    <col min="2" max="2" width="18.25" customWidth="1"/>
    <col min="3" max="10" width="16.5" customWidth="1"/>
    <col min="11" max="11" width="16.5" style="6" customWidth="1"/>
    <col min="12" max="12" width="16.5" style="73" customWidth="1"/>
    <col min="13" max="13" width="16.5" customWidth="1"/>
    <col min="14" max="14" width="16.5" style="1" customWidth="1"/>
    <col min="15" max="15" width="22.75" customWidth="1"/>
    <col min="16" max="16" width="23.875" customWidth="1"/>
    <col min="17" max="18" width="18.875" customWidth="1"/>
    <col min="19" max="21" width="20.375" customWidth="1"/>
  </cols>
  <sheetData>
    <row r="1" spans="2:16" x14ac:dyDescent="0.3">
      <c r="I1" s="10"/>
      <c r="J1" s="10"/>
      <c r="K1" s="42"/>
      <c r="L1" s="72"/>
    </row>
    <row r="2" spans="2:16" x14ac:dyDescent="0.3">
      <c r="I2" s="10"/>
      <c r="J2" s="10"/>
      <c r="K2" s="42"/>
      <c r="L2" s="72"/>
    </row>
    <row r="3" spans="2:16" x14ac:dyDescent="0.3">
      <c r="I3" s="10"/>
      <c r="J3" s="10"/>
      <c r="K3" s="42"/>
      <c r="L3" s="72"/>
    </row>
    <row r="4" spans="2:16" x14ac:dyDescent="0.3">
      <c r="B4" s="6"/>
      <c r="I4" s="10"/>
      <c r="J4" s="10"/>
      <c r="K4" s="42"/>
      <c r="L4" s="72"/>
    </row>
    <row r="5" spans="2:16" x14ac:dyDescent="0.3">
      <c r="B5" s="7"/>
      <c r="I5" s="10"/>
      <c r="J5" s="10"/>
      <c r="K5" s="42"/>
      <c r="L5" s="72"/>
    </row>
    <row r="6" spans="2:16" x14ac:dyDescent="0.3">
      <c r="I6" s="10"/>
      <c r="J6" s="10"/>
      <c r="K6" s="42"/>
      <c r="L6" s="72"/>
    </row>
    <row r="7" spans="2:16" ht="17.25" thickBot="1" x14ac:dyDescent="0.35">
      <c r="I7" s="10"/>
      <c r="J7" s="10"/>
      <c r="K7" s="42"/>
      <c r="L7" s="72"/>
    </row>
    <row r="8" spans="2:16" ht="18" thickTop="1" thickBot="1" x14ac:dyDescent="0.35">
      <c r="B8" s="9" t="s">
        <v>11</v>
      </c>
      <c r="I8" s="10"/>
      <c r="J8" s="10"/>
      <c r="K8" s="42"/>
      <c r="L8" s="72"/>
    </row>
    <row r="9" spans="2:16" ht="18" thickTop="1" thickBot="1" x14ac:dyDescent="0.35">
      <c r="B9" s="8">
        <f ca="1">NOW()</f>
        <v>44303.754543171293</v>
      </c>
      <c r="I9" s="10"/>
      <c r="J9" s="10"/>
      <c r="K9" s="42"/>
      <c r="L9" s="72"/>
    </row>
    <row r="10" spans="2:16" ht="17.25" thickTop="1" x14ac:dyDescent="0.3">
      <c r="I10" s="10"/>
      <c r="J10" s="10"/>
      <c r="K10" s="42"/>
      <c r="L10" s="72"/>
    </row>
    <row r="11" spans="2:16" x14ac:dyDescent="0.3">
      <c r="I11" s="10"/>
      <c r="J11" s="10"/>
      <c r="K11" s="42"/>
      <c r="L11" s="72"/>
    </row>
    <row r="12" spans="2:16" ht="17.25" thickBot="1" x14ac:dyDescent="0.35">
      <c r="B12" s="7"/>
      <c r="I12" s="10"/>
      <c r="J12" s="10"/>
      <c r="K12" s="42"/>
      <c r="L12" s="72"/>
    </row>
    <row r="13" spans="2:16" ht="18" customHeight="1" thickTop="1" thickBot="1" x14ac:dyDescent="0.35">
      <c r="B13" s="45" t="s">
        <v>7</v>
      </c>
      <c r="C13" s="46" t="s">
        <v>5</v>
      </c>
      <c r="D13" s="46" t="s">
        <v>127</v>
      </c>
      <c r="E13" s="46" t="s">
        <v>8</v>
      </c>
      <c r="F13" s="46" t="s">
        <v>9</v>
      </c>
      <c r="G13" s="46" t="s">
        <v>12</v>
      </c>
      <c r="H13" s="46" t="s">
        <v>154</v>
      </c>
      <c r="I13" s="46" t="s">
        <v>13</v>
      </c>
      <c r="J13" s="46" t="s">
        <v>10</v>
      </c>
      <c r="K13" s="49" t="s">
        <v>4</v>
      </c>
      <c r="L13" s="5"/>
      <c r="M13" s="125" t="s">
        <v>160</v>
      </c>
      <c r="N13" s="126"/>
      <c r="O13" s="126"/>
      <c r="P13" s="127"/>
    </row>
    <row r="14" spans="2:16" ht="17.25" thickTop="1" x14ac:dyDescent="0.3">
      <c r="B14" s="98" t="s">
        <v>155</v>
      </c>
      <c r="C14" s="11" t="s">
        <v>14</v>
      </c>
      <c r="D14" s="100">
        <v>3</v>
      </c>
      <c r="E14" s="11" t="s">
        <v>2</v>
      </c>
      <c r="F14" s="11" t="s">
        <v>6</v>
      </c>
      <c r="G14" s="11">
        <v>80</v>
      </c>
      <c r="H14" s="11">
        <v>10</v>
      </c>
      <c r="I14" s="11">
        <v>70</v>
      </c>
      <c r="J14" s="13">
        <v>50500</v>
      </c>
      <c r="K14" s="101">
        <v>23100</v>
      </c>
      <c r="L14" s="15"/>
      <c r="M14" s="128"/>
      <c r="N14" s="129"/>
      <c r="O14" s="129"/>
      <c r="P14" s="130"/>
    </row>
    <row r="15" spans="2:16" x14ac:dyDescent="0.3">
      <c r="B15" s="102" t="s">
        <v>155</v>
      </c>
      <c r="C15" s="97" t="s">
        <v>14</v>
      </c>
      <c r="D15" s="100">
        <v>3</v>
      </c>
      <c r="E15" s="97" t="s">
        <v>2</v>
      </c>
      <c r="F15" s="97" t="s">
        <v>6</v>
      </c>
      <c r="G15" s="97">
        <v>90</v>
      </c>
      <c r="H15" s="97">
        <v>10</v>
      </c>
      <c r="I15" s="11">
        <v>70</v>
      </c>
      <c r="J15" s="13">
        <v>51500</v>
      </c>
      <c r="K15" s="101">
        <v>19500</v>
      </c>
      <c r="L15" s="15"/>
      <c r="M15" s="128"/>
      <c r="N15" s="129"/>
      <c r="O15" s="129"/>
      <c r="P15" s="130"/>
    </row>
    <row r="16" spans="2:16" x14ac:dyDescent="0.3">
      <c r="B16" s="102" t="s">
        <v>155</v>
      </c>
      <c r="C16" s="97" t="s">
        <v>14</v>
      </c>
      <c r="D16" s="100">
        <v>3</v>
      </c>
      <c r="E16" s="97" t="s">
        <v>2</v>
      </c>
      <c r="F16" s="97" t="s">
        <v>1</v>
      </c>
      <c r="G16" s="97">
        <v>90</v>
      </c>
      <c r="H16" s="97">
        <v>10</v>
      </c>
      <c r="I16" s="11">
        <v>70</v>
      </c>
      <c r="J16" s="13">
        <v>53500</v>
      </c>
      <c r="K16" s="101">
        <v>18500</v>
      </c>
      <c r="L16" s="15"/>
      <c r="M16" s="128"/>
      <c r="N16" s="129"/>
      <c r="O16" s="129"/>
      <c r="P16" s="130"/>
    </row>
    <row r="17" spans="2:16" x14ac:dyDescent="0.3">
      <c r="B17" s="92" t="s">
        <v>110</v>
      </c>
      <c r="C17" s="11" t="s">
        <v>14</v>
      </c>
      <c r="D17" s="61">
        <v>3</v>
      </c>
      <c r="E17" s="11" t="s">
        <v>3</v>
      </c>
      <c r="F17" s="11" t="s">
        <v>1</v>
      </c>
      <c r="G17" s="11">
        <v>100</v>
      </c>
      <c r="H17" s="11">
        <v>10</v>
      </c>
      <c r="I17" s="11">
        <v>30</v>
      </c>
      <c r="J17" s="12">
        <v>73300</v>
      </c>
      <c r="K17" s="94">
        <v>45400</v>
      </c>
      <c r="L17" s="15"/>
      <c r="M17" s="128"/>
      <c r="N17" s="129"/>
      <c r="O17" s="129"/>
      <c r="P17" s="130"/>
    </row>
    <row r="18" spans="2:16" x14ac:dyDescent="0.3">
      <c r="B18" s="50" t="s">
        <v>134</v>
      </c>
      <c r="C18" s="11" t="s">
        <v>14</v>
      </c>
      <c r="D18" s="11">
        <v>2</v>
      </c>
      <c r="E18" s="11" t="s">
        <v>3</v>
      </c>
      <c r="F18" s="11" t="s">
        <v>6</v>
      </c>
      <c r="G18" s="11">
        <v>80</v>
      </c>
      <c r="H18" s="11">
        <v>10</v>
      </c>
      <c r="I18" s="11" t="s">
        <v>112</v>
      </c>
      <c r="J18" s="12">
        <v>37000</v>
      </c>
      <c r="K18" s="51">
        <v>17200</v>
      </c>
      <c r="L18" s="15"/>
      <c r="M18" s="128"/>
      <c r="N18" s="129"/>
      <c r="O18" s="129"/>
      <c r="P18" s="130"/>
    </row>
    <row r="19" spans="2:16" x14ac:dyDescent="0.3">
      <c r="B19" s="50" t="s">
        <v>134</v>
      </c>
      <c r="C19" s="11" t="s">
        <v>14</v>
      </c>
      <c r="D19" s="11">
        <v>2</v>
      </c>
      <c r="E19" s="11" t="s">
        <v>2</v>
      </c>
      <c r="F19" s="11" t="s">
        <v>1</v>
      </c>
      <c r="G19" s="11">
        <v>80</v>
      </c>
      <c r="H19" s="11">
        <v>10</v>
      </c>
      <c r="I19" s="11">
        <v>30</v>
      </c>
      <c r="J19" s="12">
        <v>59500</v>
      </c>
      <c r="K19" s="51">
        <v>30500</v>
      </c>
      <c r="L19" s="15"/>
      <c r="M19" s="128"/>
      <c r="N19" s="129"/>
      <c r="O19" s="129"/>
      <c r="P19" s="130"/>
    </row>
    <row r="20" spans="2:16" x14ac:dyDescent="0.3">
      <c r="B20" s="50" t="s">
        <v>134</v>
      </c>
      <c r="C20" s="11" t="s">
        <v>14</v>
      </c>
      <c r="D20" s="11">
        <v>2</v>
      </c>
      <c r="E20" s="11" t="s">
        <v>2</v>
      </c>
      <c r="F20" s="11" t="s">
        <v>1</v>
      </c>
      <c r="G20" s="11">
        <v>110</v>
      </c>
      <c r="H20" s="11">
        <v>10</v>
      </c>
      <c r="I20" s="11">
        <v>30</v>
      </c>
      <c r="J20" s="12">
        <v>79600</v>
      </c>
      <c r="K20" s="51">
        <v>33900</v>
      </c>
      <c r="L20" s="15"/>
      <c r="M20" s="128"/>
      <c r="N20" s="129"/>
      <c r="O20" s="129"/>
      <c r="P20" s="130"/>
    </row>
    <row r="21" spans="2:16" x14ac:dyDescent="0.3">
      <c r="B21" s="50" t="s">
        <v>134</v>
      </c>
      <c r="C21" s="11" t="s">
        <v>15</v>
      </c>
      <c r="D21" s="11">
        <v>1</v>
      </c>
      <c r="E21" s="11" t="s">
        <v>2</v>
      </c>
      <c r="F21" s="11" t="s">
        <v>1</v>
      </c>
      <c r="G21" s="11">
        <v>90</v>
      </c>
      <c r="H21" s="11">
        <v>10</v>
      </c>
      <c r="I21" s="11">
        <v>30</v>
      </c>
      <c r="J21" s="12">
        <v>57500</v>
      </c>
      <c r="K21" s="51">
        <v>13500</v>
      </c>
      <c r="L21" s="15"/>
      <c r="M21" s="128"/>
      <c r="N21" s="129"/>
      <c r="O21" s="129"/>
      <c r="P21" s="130"/>
    </row>
    <row r="22" spans="2:16" x14ac:dyDescent="0.3">
      <c r="B22" s="50" t="s">
        <v>109</v>
      </c>
      <c r="C22" s="11" t="s">
        <v>14</v>
      </c>
      <c r="D22" s="11">
        <v>2</v>
      </c>
      <c r="E22" s="11" t="s">
        <v>2</v>
      </c>
      <c r="F22" s="11" t="s">
        <v>6</v>
      </c>
      <c r="G22" s="11">
        <v>80</v>
      </c>
      <c r="H22" s="11">
        <v>10</v>
      </c>
      <c r="I22" s="11">
        <v>30</v>
      </c>
      <c r="J22" s="12">
        <v>57300</v>
      </c>
      <c r="K22" s="51">
        <v>18000</v>
      </c>
      <c r="L22" s="15"/>
      <c r="M22" s="128"/>
      <c r="N22" s="129"/>
      <c r="O22" s="129"/>
      <c r="P22" s="130"/>
    </row>
    <row r="23" spans="2:16" x14ac:dyDescent="0.3">
      <c r="B23" s="50" t="s">
        <v>109</v>
      </c>
      <c r="C23" s="11" t="s">
        <v>14</v>
      </c>
      <c r="D23" s="11">
        <v>2</v>
      </c>
      <c r="E23" s="11" t="s">
        <v>2</v>
      </c>
      <c r="F23" s="11" t="s">
        <v>6</v>
      </c>
      <c r="G23" s="11">
        <v>90</v>
      </c>
      <c r="H23" s="11">
        <v>10</v>
      </c>
      <c r="I23" s="11">
        <v>30</v>
      </c>
      <c r="J23" s="12">
        <v>64500</v>
      </c>
      <c r="K23" s="51">
        <v>19700</v>
      </c>
      <c r="L23" s="15"/>
      <c r="M23" s="128"/>
      <c r="N23" s="129"/>
      <c r="O23" s="129"/>
      <c r="P23" s="130"/>
    </row>
    <row r="24" spans="2:16" x14ac:dyDescent="0.3">
      <c r="B24" s="50"/>
      <c r="C24" s="11"/>
      <c r="D24" s="11"/>
      <c r="E24" s="11"/>
      <c r="F24" s="11"/>
      <c r="G24" s="11"/>
      <c r="H24" s="11"/>
      <c r="I24" s="11"/>
      <c r="J24" s="11"/>
      <c r="K24" s="51"/>
      <c r="L24" s="15"/>
      <c r="M24" s="128"/>
      <c r="N24" s="129"/>
      <c r="O24" s="129"/>
      <c r="P24" s="130"/>
    </row>
    <row r="25" spans="2:16" x14ac:dyDescent="0.3">
      <c r="B25" s="50"/>
      <c r="C25" s="11"/>
      <c r="D25" s="11"/>
      <c r="E25" s="11"/>
      <c r="F25" s="11"/>
      <c r="G25" s="11"/>
      <c r="H25" s="11"/>
      <c r="I25" s="11"/>
      <c r="J25" s="11"/>
      <c r="K25" s="51"/>
      <c r="L25" s="15"/>
      <c r="M25" s="128"/>
      <c r="N25" s="129"/>
      <c r="O25" s="129"/>
      <c r="P25" s="130"/>
    </row>
    <row r="26" spans="2:16" ht="17.25" thickBot="1" x14ac:dyDescent="0.35">
      <c r="B26" s="52"/>
      <c r="C26" s="53"/>
      <c r="D26" s="53"/>
      <c r="E26" s="53"/>
      <c r="F26" s="53"/>
      <c r="G26" s="53"/>
      <c r="H26" s="53"/>
      <c r="I26" s="53"/>
      <c r="J26" s="53"/>
      <c r="K26" s="54"/>
      <c r="L26" s="15"/>
      <c r="M26" s="131"/>
      <c r="N26" s="132"/>
      <c r="O26" s="132"/>
      <c r="P26" s="133"/>
    </row>
    <row r="27" spans="2:16" ht="17.25" thickTop="1" x14ac:dyDescent="0.3">
      <c r="B27" s="3"/>
      <c r="C27" s="3"/>
      <c r="D27" s="3"/>
      <c r="E27" s="3"/>
      <c r="F27" s="3"/>
      <c r="G27" s="3"/>
      <c r="H27" s="3"/>
      <c r="I27" s="3"/>
      <c r="J27" s="4"/>
      <c r="K27" s="16"/>
      <c r="L27" s="15"/>
    </row>
    <row r="28" spans="2:16" x14ac:dyDescent="0.3">
      <c r="B28" s="2"/>
      <c r="C28" s="2"/>
      <c r="D28" s="2"/>
      <c r="E28" s="2"/>
      <c r="F28" s="2"/>
      <c r="G28" s="2"/>
      <c r="H28" s="2"/>
      <c r="I28" s="2"/>
      <c r="J28" s="2"/>
      <c r="K28" s="17"/>
      <c r="L28" s="15"/>
    </row>
    <row r="29" spans="2:16" ht="17.25" thickBot="1" x14ac:dyDescent="0.35"/>
    <row r="30" spans="2:16" ht="18" thickTop="1" thickBot="1" x14ac:dyDescent="0.35">
      <c r="B30" s="9" t="s">
        <v>18</v>
      </c>
      <c r="C30" s="9" t="s">
        <v>29</v>
      </c>
      <c r="D30" s="28"/>
      <c r="E30" s="9" t="s">
        <v>37</v>
      </c>
      <c r="F30" s="9" t="s">
        <v>29</v>
      </c>
      <c r="H30" s="76" t="s">
        <v>27</v>
      </c>
      <c r="I30" s="87" t="s">
        <v>28</v>
      </c>
      <c r="J30" s="28"/>
      <c r="K30" s="65" t="s">
        <v>113</v>
      </c>
      <c r="L30" s="66" t="s">
        <v>114</v>
      </c>
    </row>
    <row r="31" spans="2:16" ht="17.25" thickTop="1" x14ac:dyDescent="0.3">
      <c r="B31" s="40" t="s">
        <v>0</v>
      </c>
      <c r="C31" s="41">
        <f>COUNTIF($B$14:$B$26,"Hat")</f>
        <v>0</v>
      </c>
      <c r="D31" s="28"/>
      <c r="E31" s="30" t="s">
        <v>39</v>
      </c>
      <c r="F31" s="33">
        <f>COUNTIFS($C$14:$C$26,"M_E_R",$E$14:$E$26,"NI",$F$14:$F$26,"SA")</f>
        <v>1</v>
      </c>
      <c r="H31" s="30" t="s">
        <v>145</v>
      </c>
      <c r="I31" s="33">
        <f>COUNTIFS($G$14:$G$37,"80",$I$14:$I$37,"80")</f>
        <v>0</v>
      </c>
      <c r="J31" s="28"/>
      <c r="K31" s="64" t="str">
        <f>INDEX($B$14:$B$21,MATCH(LARGE($K$14:$K$21,1),$K$14:$K$21,0))</f>
        <v>Glove</v>
      </c>
      <c r="L31" s="109">
        <f>LARGE($K14:$K26,1)</f>
        <v>45400</v>
      </c>
    </row>
    <row r="32" spans="2:16" x14ac:dyDescent="0.3">
      <c r="B32" s="58" t="s">
        <v>67</v>
      </c>
      <c r="C32" s="27">
        <f>COUNTIF($B$14:$B$26,"Glove")</f>
        <v>4</v>
      </c>
      <c r="D32" s="28"/>
      <c r="E32" s="31" t="s">
        <v>41</v>
      </c>
      <c r="F32" s="34">
        <f>COUNTIFS($C$14:$C$26,"M_E_R",$E$14:$E$26,"NI",$F$14:$F$26,"DTA")</f>
        <v>1</v>
      </c>
      <c r="H32" s="58" t="s">
        <v>146</v>
      </c>
      <c r="I32" s="55">
        <f>COUNTIFS($G$14:$G$37,"80",$I$14:$I$37,"30")</f>
        <v>2</v>
      </c>
      <c r="J32" s="5"/>
      <c r="K32" s="58" t="str">
        <f>INDEX($B$14:$B$21,MATCH(LARGE($K$14:$K$21,2),$K$14:$K$21,0))</f>
        <v>Shoes</v>
      </c>
      <c r="L32" s="55">
        <f>LARGE($K$14:$K$26,2)</f>
        <v>33900</v>
      </c>
    </row>
    <row r="33" spans="2:25" x14ac:dyDescent="0.3">
      <c r="B33" s="58" t="s">
        <v>68</v>
      </c>
      <c r="C33" s="27">
        <f>COUNTIF($B$14:$B$26,"Shoes")</f>
        <v>4</v>
      </c>
      <c r="D33" s="28"/>
      <c r="E33" s="58" t="s">
        <v>38</v>
      </c>
      <c r="F33" s="27">
        <f>COUNTIFS($C$14:$C$26,"M_E_R",$E$14:$E$26,"SI",$F$14:$F$26,"SA")</f>
        <v>4</v>
      </c>
      <c r="H33" s="58" t="s">
        <v>150</v>
      </c>
      <c r="I33" s="27">
        <f>COUNTIFS($G$14:$G$37,"90",$I$14:$I$37,"70")</f>
        <v>2</v>
      </c>
      <c r="J33" s="28"/>
      <c r="K33" s="58" t="str">
        <f>INDEX($B$14:$B$21,MATCH(LARGE($K$14:$K$21,3),$K$14:$K$21,0))</f>
        <v>Shoes</v>
      </c>
      <c r="L33" s="55">
        <f>LARGE($K$14:$K$26,3)</f>
        <v>30500</v>
      </c>
    </row>
    <row r="34" spans="2:25" ht="17.25" thickBot="1" x14ac:dyDescent="0.35">
      <c r="B34" s="32" t="s">
        <v>69</v>
      </c>
      <c r="C34" s="35">
        <f>COUNTIF($B$14:$B$26,"Cape")</f>
        <v>2</v>
      </c>
      <c r="D34" s="28"/>
      <c r="E34" s="84" t="s">
        <v>40</v>
      </c>
      <c r="F34" s="85">
        <f>COUNTIFS($C$14:$C$26,"M_E_R",$E$14:$E$26,"SI",$F$14:$F$26,"DTA")</f>
        <v>3</v>
      </c>
      <c r="H34" s="58" t="s">
        <v>144</v>
      </c>
      <c r="I34" s="55">
        <f>COUNTIFS($G$14:$G$37,"90",$I$14:$I$37,"30")</f>
        <v>2</v>
      </c>
      <c r="J34" s="5"/>
      <c r="K34" s="84" t="str">
        <f>INDEX($B$14:$B$21,MATCH(LARGE($K$14:$K$21,4),$K$14:$K$21,0))</f>
        <v>Glove</v>
      </c>
      <c r="L34" s="88">
        <f>LARGE($K$14:$K$26,4)</f>
        <v>23100</v>
      </c>
    </row>
    <row r="35" spans="2:25" ht="18" thickTop="1" thickBot="1" x14ac:dyDescent="0.35">
      <c r="B35" s="10"/>
      <c r="C35" s="10"/>
      <c r="D35" s="28"/>
      <c r="E35" s="31" t="s">
        <v>42</v>
      </c>
      <c r="F35" s="34">
        <f>COUNTIFS($C$14:$C$26,"M_E_E",$E$14:$E$26,"NI",$F$14:$F$26,"SA")</f>
        <v>0</v>
      </c>
      <c r="H35" s="31" t="s">
        <v>151</v>
      </c>
      <c r="I35" s="34">
        <f>COUNTIFS($G$14:$G$37,"100",$I$14:$I$37,"70")</f>
        <v>0</v>
      </c>
      <c r="J35" s="28"/>
      <c r="K35" s="59" t="str">
        <f>INDEX($B$14:$B$21,MATCH(LARGE($K$14:$K$21,5),$K$14:$K$21,0))</f>
        <v>Glove</v>
      </c>
      <c r="L35" s="105">
        <f>LARGE($K$14:$K$26,5)</f>
        <v>19700</v>
      </c>
      <c r="P35" s="28"/>
      <c r="Q35" s="28"/>
      <c r="R35" s="28"/>
    </row>
    <row r="36" spans="2:25" ht="17.25" thickTop="1" x14ac:dyDescent="0.3">
      <c r="B36" s="10"/>
      <c r="C36" s="10"/>
      <c r="D36" s="28"/>
      <c r="E36" s="21" t="s">
        <v>43</v>
      </c>
      <c r="F36" s="22">
        <f>COUNTIFS($C$14:$C$26,"M_E_E",$E$14:$E$26,"NI",$F$14:$F$26,"DTA")</f>
        <v>0</v>
      </c>
      <c r="H36" s="31" t="s">
        <v>143</v>
      </c>
      <c r="I36" s="43">
        <f>COUNTIFS($G$14:$G$37,"100",$I$14:$I$37,"30")</f>
        <v>1</v>
      </c>
      <c r="J36" s="5"/>
      <c r="K36" s="28"/>
      <c r="L36" s="1"/>
      <c r="P36" s="28"/>
      <c r="Q36" s="28"/>
      <c r="R36" s="28"/>
    </row>
    <row r="37" spans="2:25" x14ac:dyDescent="0.3">
      <c r="B37" s="10"/>
      <c r="C37" s="10"/>
      <c r="D37" s="28"/>
      <c r="E37" s="21" t="s">
        <v>44</v>
      </c>
      <c r="F37" s="22">
        <f>COUNTIFS($C$14:$C$26,"M_E_E",$E$14:$E$26,"NI",$F$14:$F$26,"DTA(80)")</f>
        <v>0</v>
      </c>
      <c r="H37" s="31" t="s">
        <v>152</v>
      </c>
      <c r="I37" s="34">
        <f>COUNTIFS($G$14:$G$37,"110",$I$14:$I$37,"70")</f>
        <v>0</v>
      </c>
      <c r="J37" s="28"/>
      <c r="K37"/>
      <c r="L37" s="1"/>
    </row>
    <row r="38" spans="2:25" x14ac:dyDescent="0.3">
      <c r="B38" s="10"/>
      <c r="C38" s="10"/>
      <c r="D38" s="28"/>
      <c r="E38" s="21" t="s">
        <v>45</v>
      </c>
      <c r="F38" s="22">
        <f>COUNTIFS($C$14:$C$26,"M_E_E",$E$14:$E$26,"SI",$F$14:$F$26,"SA")</f>
        <v>0</v>
      </c>
      <c r="H38" s="31" t="s">
        <v>141</v>
      </c>
      <c r="I38" s="43">
        <f>COUNTIFS($G$14:$G$37,"110",$I$14:$I$37,"30")</f>
        <v>1</v>
      </c>
      <c r="J38" s="5"/>
      <c r="K38" s="28"/>
      <c r="L38" s="1"/>
      <c r="P38" s="28"/>
    </row>
    <row r="39" spans="2:25" ht="17.25" thickBot="1" x14ac:dyDescent="0.35">
      <c r="B39" s="10"/>
      <c r="C39" s="10"/>
      <c r="D39" s="28"/>
      <c r="E39" s="23" t="s">
        <v>46</v>
      </c>
      <c r="F39" s="24">
        <f>COUNTIFS($C$14:$C$26,"M_E_E",$E$14:$E$26,"SI",$F$14:$F$26,"DTA")</f>
        <v>1</v>
      </c>
      <c r="H39" s="40" t="s">
        <v>156</v>
      </c>
      <c r="I39" s="71">
        <f>COUNTIFS($G$14:$G$37,"80",$I$14:$I$37,"AP")</f>
        <v>1</v>
      </c>
      <c r="J39" s="5"/>
      <c r="K39" s="28"/>
      <c r="L39" s="1"/>
      <c r="P39" s="28"/>
    </row>
    <row r="40" spans="2:25" ht="17.25" thickTop="1" x14ac:dyDescent="0.3">
      <c r="B40" s="10"/>
      <c r="C40" s="10"/>
      <c r="D40" s="28"/>
      <c r="E40" s="62"/>
      <c r="F40" s="62"/>
      <c r="H40" s="31" t="s">
        <v>157</v>
      </c>
      <c r="I40" s="43">
        <f>COUNTIFS($G$14:$G$37,"90",$I$14:$I$37,"AP")</f>
        <v>0</v>
      </c>
      <c r="J40" s="5"/>
      <c r="K40" s="28"/>
      <c r="L40" s="1"/>
      <c r="P40" s="28"/>
    </row>
    <row r="41" spans="2:25" x14ac:dyDescent="0.3">
      <c r="B41" s="10"/>
      <c r="C41" s="10"/>
      <c r="D41" s="28"/>
      <c r="E41" s="62"/>
      <c r="F41" s="62"/>
      <c r="H41" s="31" t="s">
        <v>158</v>
      </c>
      <c r="I41" s="63">
        <f>COUNTIFS($G$14:$G$37,"100",$I$14:$I$37,"AP")</f>
        <v>0</v>
      </c>
      <c r="J41" s="5"/>
      <c r="K41" s="28"/>
      <c r="L41" s="1"/>
      <c r="P41" s="28"/>
    </row>
    <row r="42" spans="2:25" ht="17.25" thickBot="1" x14ac:dyDescent="0.35">
      <c r="B42" s="10"/>
      <c r="C42" s="10"/>
      <c r="D42" s="28"/>
      <c r="E42" s="62"/>
      <c r="F42" s="62"/>
      <c r="H42" s="32" t="s">
        <v>159</v>
      </c>
      <c r="I42" s="44">
        <f>COUNTIFS($G$14:$G$37,"110",$I$14:$I$37,"30")+COUNTIFS($G$14:$G$37,"110",$I$14:$I$37,"AP")</f>
        <v>1</v>
      </c>
      <c r="J42" s="5"/>
      <c r="K42" s="28"/>
      <c r="L42" s="1"/>
      <c r="P42" s="28"/>
    </row>
    <row r="43" spans="2:25" ht="17.25" thickTop="1" x14ac:dyDescent="0.3">
      <c r="B43" s="10"/>
      <c r="C43" s="10"/>
      <c r="D43" s="28"/>
      <c r="E43" s="62"/>
      <c r="F43" s="62"/>
      <c r="I43" s="6"/>
      <c r="J43" s="73"/>
      <c r="K43" s="28"/>
      <c r="L43" s="1"/>
      <c r="P43" s="28"/>
    </row>
    <row r="44" spans="2:25" x14ac:dyDescent="0.3">
      <c r="D44" s="95"/>
      <c r="I44" s="6"/>
      <c r="J44" s="73"/>
      <c r="K44" s="28"/>
      <c r="L44" s="1"/>
      <c r="P44" s="28"/>
      <c r="Q44" s="5"/>
      <c r="R44" s="5"/>
      <c r="V44" s="5"/>
      <c r="W44" s="5"/>
      <c r="X44" s="14"/>
      <c r="Y44" s="15"/>
    </row>
    <row r="45" spans="2:25" x14ac:dyDescent="0.3">
      <c r="D45" s="95"/>
      <c r="I45" s="6"/>
      <c r="J45" s="73"/>
      <c r="K45" s="28"/>
      <c r="L45" s="1"/>
      <c r="P45" s="28"/>
      <c r="Q45" s="5"/>
      <c r="R45" s="5"/>
      <c r="V45" s="5"/>
      <c r="W45" s="5"/>
      <c r="X45" s="14"/>
      <c r="Y45" s="15"/>
    </row>
    <row r="46" spans="2:25" ht="17.25" thickBot="1" x14ac:dyDescent="0.35">
      <c r="D46" s="95"/>
      <c r="I46" s="6"/>
      <c r="J46" s="73"/>
      <c r="K46" s="28"/>
      <c r="L46" s="1"/>
      <c r="P46" s="28"/>
      <c r="Q46" s="5"/>
      <c r="R46" s="5"/>
      <c r="V46" s="5"/>
      <c r="W46" s="5"/>
      <c r="X46" s="14"/>
      <c r="Y46" s="15"/>
    </row>
    <row r="47" spans="2:25" ht="18" thickTop="1" thickBot="1" x14ac:dyDescent="0.35">
      <c r="B47" s="9" t="s">
        <v>47</v>
      </c>
      <c r="C47" s="9" t="s">
        <v>29</v>
      </c>
      <c r="D47" s="89"/>
      <c r="E47" s="9" t="s">
        <v>76</v>
      </c>
      <c r="F47" s="9" t="s">
        <v>29</v>
      </c>
      <c r="G47" s="89"/>
      <c r="H47" s="9" t="s">
        <v>78</v>
      </c>
      <c r="I47" s="9" t="s">
        <v>29</v>
      </c>
      <c r="J47" s="28"/>
      <c r="K47" s="9" t="s">
        <v>80</v>
      </c>
      <c r="L47" s="67" t="s">
        <v>29</v>
      </c>
      <c r="P47" s="28"/>
      <c r="Q47" s="5"/>
      <c r="R47" s="5"/>
      <c r="V47" s="5"/>
      <c r="W47" s="5"/>
      <c r="X47" s="14"/>
      <c r="Y47" s="15"/>
    </row>
    <row r="48" spans="2:25" ht="17.25" thickTop="1" x14ac:dyDescent="0.3">
      <c r="B48" s="30" t="s">
        <v>33</v>
      </c>
      <c r="C48" s="20">
        <f>COUNTIFS($B$14:$B$26,"Hat",$C$14:$C$26,"M_E_R",$E$14:$E$26,"NI",$F$14:$F$26,"SA")</f>
        <v>0</v>
      </c>
      <c r="D48" s="28"/>
      <c r="E48" s="30" t="s">
        <v>82</v>
      </c>
      <c r="F48" s="20">
        <f>COUNTIFS($B$14:$B$26,"Glove",$C$14:$C$26,"M_E_R",$E$14:$E$26,"NI",$F$14:$F$26,"SA")</f>
        <v>0</v>
      </c>
      <c r="G48" s="28"/>
      <c r="H48" s="30" t="s">
        <v>91</v>
      </c>
      <c r="I48" s="33">
        <f>COUNTIFS($B$14:$B$26,"Shoes",$C$14:$C$26,"M_E_R",$E$14:$E$26,"NI",$F$14:$F$26,"SA")</f>
        <v>1</v>
      </c>
      <c r="J48" s="28"/>
      <c r="K48" s="30" t="s">
        <v>100</v>
      </c>
      <c r="L48" s="68">
        <f>COUNTIFS($B$14:$B$26,"Cape",$C$14:$C$26,"M_E_R",$E$14:$E$26,"NI",$F$14:$F$26,"SA")</f>
        <v>0</v>
      </c>
    </row>
    <row r="49" spans="2:16" x14ac:dyDescent="0.3">
      <c r="B49" s="31" t="s">
        <v>34</v>
      </c>
      <c r="C49" s="22">
        <f>COUNTIFS($B$14:$B$26,"Hat",$C$14:$C$26,"M_E_R",$E$14:$E$26,"NI",$F$14:$F$26,"DTA")</f>
        <v>0</v>
      </c>
      <c r="D49" s="28"/>
      <c r="E49" s="31" t="s">
        <v>83</v>
      </c>
      <c r="F49" s="22">
        <f>COUNTIFS($B$14:$B$26,"Glove",$C$14:$C$26,"M_E_R",$E$14:$E$26,"NI",$F$14:$F$26,"DTA")</f>
        <v>1</v>
      </c>
      <c r="G49" s="28"/>
      <c r="H49" s="31" t="s">
        <v>92</v>
      </c>
      <c r="I49" s="34">
        <f>COUNTIFS($B$14:$B$26,"Shoes",$C$14:$C$26,"M_E_R",$E$14:$E$26,"NI",$F$14:$F$26,"DTA")</f>
        <v>0</v>
      </c>
      <c r="J49" s="28"/>
      <c r="K49" s="31" t="s">
        <v>101</v>
      </c>
      <c r="L49" s="43">
        <f>COUNTIFS($B$14:$B$26,"Cape",$C$14:$C$26,"M_E_R",$E$14:$E$26,"NI",$F$14:$F$26,"DTA")</f>
        <v>0</v>
      </c>
      <c r="P49" s="28"/>
    </row>
    <row r="50" spans="2:16" x14ac:dyDescent="0.3">
      <c r="B50" s="31" t="s">
        <v>35</v>
      </c>
      <c r="C50" s="34">
        <f>COUNTIFS($B$14:$B$26,"Hat",$C$14:$C$26,"M_E_R",$E$14:$E$26,"SI",$F$14:$F$26,"SA")</f>
        <v>0</v>
      </c>
      <c r="D50" s="28"/>
      <c r="E50" s="58" t="s">
        <v>84</v>
      </c>
      <c r="F50" s="27">
        <f>COUNTIFS($B$14:$B$26,"Glove",$C$14:$C$26,"M_E_R",$E$14:$E$26,"SI",$F$14:$F$26,"SA")</f>
        <v>2</v>
      </c>
      <c r="G50" s="28"/>
      <c r="H50" s="31" t="s">
        <v>93</v>
      </c>
      <c r="I50" s="34">
        <f>COUNTIFS($B$14:$B$26,"Shoes",$C$14:$C$26,"M_E_R",$E$14:$E$26,"SI",$F$14:$F$26,"SA")</f>
        <v>0</v>
      </c>
      <c r="J50" s="28"/>
      <c r="K50" s="58" t="s">
        <v>102</v>
      </c>
      <c r="L50" s="55">
        <f>COUNTIFS($B$14:$B$26,"Cape",$C$14:$C$26,"M_E_R",$E$14:$E$26,"SI",$F$14:$F$26,"SA")</f>
        <v>2</v>
      </c>
      <c r="P50" s="28"/>
    </row>
    <row r="51" spans="2:16" ht="17.25" thickBot="1" x14ac:dyDescent="0.35">
      <c r="B51" s="32" t="s">
        <v>36</v>
      </c>
      <c r="C51" s="24">
        <f>COUNTIFS($B$14:$B$26,"Hat",$C$14:$C$26,"M_E_R",$E$14:$E$26,"SI",$F$14:$F$26,"DTA")</f>
        <v>0</v>
      </c>
      <c r="D51" s="28"/>
      <c r="E51" s="32" t="s">
        <v>85</v>
      </c>
      <c r="F51" s="24">
        <f>COUNTIFS($B$14:$B$26,"Glove",$C$14:$C$26,"M_E_R",$E$14:$E$26,"SI",$F$14:$F$26,"DTA")</f>
        <v>1</v>
      </c>
      <c r="G51" s="28"/>
      <c r="H51" s="59" t="s">
        <v>94</v>
      </c>
      <c r="I51" s="110">
        <f>COUNTIFS($B$14:$B$26,"Shoes",$C$14:$C$26,"M_E_R",$E$14:$E$26,"SI",$F$14:$F$26,"DTA")</f>
        <v>2</v>
      </c>
      <c r="J51" s="28"/>
      <c r="K51" s="32" t="s">
        <v>103</v>
      </c>
      <c r="L51" s="69">
        <f>COUNTIFS($B$14:$B$26,"Cape",$C$14:$C$26,"M_E_R",$E$14:$E$26,"SI",$F$14:$F$26,"DTA")</f>
        <v>0</v>
      </c>
      <c r="P51" s="28"/>
    </row>
    <row r="52" spans="2:16" ht="18" thickTop="1" thickBot="1" x14ac:dyDescent="0.35">
      <c r="D52" s="95"/>
      <c r="I52" s="6"/>
      <c r="J52" s="73"/>
      <c r="K52"/>
      <c r="L52" s="42"/>
      <c r="P52" s="28"/>
    </row>
    <row r="53" spans="2:16" ht="18" thickTop="1" thickBot="1" x14ac:dyDescent="0.35">
      <c r="B53" s="9" t="s">
        <v>48</v>
      </c>
      <c r="C53" s="9" t="s">
        <v>29</v>
      </c>
      <c r="D53" s="89"/>
      <c r="E53" s="9" t="s">
        <v>77</v>
      </c>
      <c r="F53" s="9" t="s">
        <v>29</v>
      </c>
      <c r="G53" s="89"/>
      <c r="H53" s="9" t="s">
        <v>79</v>
      </c>
      <c r="I53" s="9" t="s">
        <v>29</v>
      </c>
      <c r="J53" s="28"/>
      <c r="K53" s="9" t="s">
        <v>81</v>
      </c>
      <c r="L53" s="67" t="s">
        <v>29</v>
      </c>
      <c r="P53" s="28"/>
    </row>
    <row r="54" spans="2:16" ht="17.25" thickTop="1" x14ac:dyDescent="0.3">
      <c r="B54" s="30" t="s">
        <v>49</v>
      </c>
      <c r="C54" s="33">
        <f>COUNTIFS($B$14:$B$26,"Hat",$C$14:$C$26,"M_E_E",$E$14:$E$26,"NI",$F$14:$F$26,"SA")</f>
        <v>0</v>
      </c>
      <c r="D54" s="28"/>
      <c r="E54" s="30" t="s">
        <v>86</v>
      </c>
      <c r="F54" s="33">
        <f>COUNTIFS($B$14:$B$26,"Glove",$C$14:$C$26,"M_E_E",$E$14:$E$26,"NI",$F$14:$F$26,"SA")</f>
        <v>0</v>
      </c>
      <c r="G54" s="28"/>
      <c r="H54" s="30" t="s">
        <v>95</v>
      </c>
      <c r="I54" s="33">
        <f>COUNTIFS($B$14:$B$26,"Shoes",$C$14:$C$26,"M_E_E",$E$14:$E$26,"NI",$F$14:$F$26,"SA")</f>
        <v>0</v>
      </c>
      <c r="J54" s="28"/>
      <c r="K54" s="30" t="s">
        <v>104</v>
      </c>
      <c r="L54" s="68">
        <f>COUNTIFS($B$14:$B$26,"Cape",$C$14:$C$26,"M_E_E",$E$14:$E$26,"NI",$F$14:$F$26,"SA")</f>
        <v>0</v>
      </c>
      <c r="P54" s="28"/>
    </row>
    <row r="55" spans="2:16" x14ac:dyDescent="0.3">
      <c r="B55" s="31" t="s">
        <v>50</v>
      </c>
      <c r="C55" s="34">
        <f>COUNTIFS($B$14:$B$26,"Hat",$C$14:$C$26,"M_E_E",$E$14:$E$26,"NI",$F$14:$F$26,"DTA")</f>
        <v>0</v>
      </c>
      <c r="D55" s="28"/>
      <c r="E55" s="31" t="s">
        <v>87</v>
      </c>
      <c r="F55" s="34">
        <f>COUNTIFS($B$14:$B$26,"Glove",$C$14:$C$26,"M_E_E",$E$14:$E$26,"NI",$F$14:$F$26,"DTA")</f>
        <v>0</v>
      </c>
      <c r="G55" s="28"/>
      <c r="H55" s="31" t="s">
        <v>96</v>
      </c>
      <c r="I55" s="34">
        <f>COUNTIFS($B$14:$B$26,"Shoes",$C$14:$C$26,"M_E_E",$E$14:$E$26,"NI",$F$14:$F$26,"DTA")</f>
        <v>0</v>
      </c>
      <c r="J55" s="28"/>
      <c r="K55" s="31" t="s">
        <v>105</v>
      </c>
      <c r="L55" s="43">
        <f>COUNTIFS($B$14:$B$26,"Cape",$C$14:$C$26,"M_E_E",$E$14:$E$26,"NI",$F$14:$F$26,"DTA")</f>
        <v>0</v>
      </c>
    </row>
    <row r="56" spans="2:16" x14ac:dyDescent="0.3">
      <c r="B56" s="31" t="s">
        <v>52</v>
      </c>
      <c r="C56" s="34">
        <f>COUNTIFS($B$14:$B$26,"Hat",$C$14:$C$26,"M_E_E",$E$14:$E$26,"SI",$F$14:$F$26,"SA")</f>
        <v>0</v>
      </c>
      <c r="D56" s="28"/>
      <c r="E56" s="31" t="s">
        <v>88</v>
      </c>
      <c r="F56" s="34">
        <f>COUNTIFS($B$14:$B$26,"Glove",$C$14:$C$26,"M_E_E",$E$14:$E$26,"SI",$F$14:$F$26,"SA")</f>
        <v>0</v>
      </c>
      <c r="G56" s="28"/>
      <c r="H56" s="31" t="s">
        <v>97</v>
      </c>
      <c r="I56" s="34">
        <f>COUNTIFS($B$14:$B$26,"Shoes",$C$14:$C$26,"M_E_E",$E$14:$E$26,"SI",$F$14:$F$26,"SA")</f>
        <v>0</v>
      </c>
      <c r="J56" s="28"/>
      <c r="K56" s="31" t="s">
        <v>106</v>
      </c>
      <c r="L56" s="43">
        <f>COUNTIFS($B$14:$B$26,"Cape",$C$14:$C$26,"M_E_E",$E$14:$E$26,"SI",$F$14:$F$26,"SA")</f>
        <v>0</v>
      </c>
      <c r="P56" s="28"/>
    </row>
    <row r="57" spans="2:16" x14ac:dyDescent="0.3">
      <c r="B57" s="38" t="s">
        <v>54</v>
      </c>
      <c r="C57" s="39">
        <f>COUNTIFS($B$14:$B$26,"Hat",$C$14:$C$26,"M_E_E",$E$14:$E$26,"SI",$F$14:$F$26,"DTA")</f>
        <v>0</v>
      </c>
      <c r="D57" s="28"/>
      <c r="E57" s="31" t="s">
        <v>89</v>
      </c>
      <c r="F57" s="34">
        <f>COUNTIFS($B$14:$B$26,"Glove",$C$14:$C$26,"M_E_E",$E$14:$E$26,"SI",$F$14:$F$26,"DTA")</f>
        <v>0</v>
      </c>
      <c r="G57" s="28"/>
      <c r="H57" s="38" t="s">
        <v>98</v>
      </c>
      <c r="I57" s="39">
        <f>COUNTIFS($B$14:$B$26,"Shoes",$C$14:$C$26,"M_E_E",$E$14:$E$26,"SI",$F$14:$F$26,"DTA")</f>
        <v>1</v>
      </c>
      <c r="J57" s="28"/>
      <c r="K57" s="38" t="s">
        <v>107</v>
      </c>
      <c r="L57" s="70">
        <f>COUNTIFS($B$14:$B$26,"Cape",$C$14:$C$26,"M_E_E",$E$14:$E$26,"SI",$F$14:$F$26,"DTA")</f>
        <v>0</v>
      </c>
      <c r="P57" s="28"/>
    </row>
    <row r="58" spans="2:16" ht="17.25" thickBot="1" x14ac:dyDescent="0.35">
      <c r="B58" s="32" t="s">
        <v>57</v>
      </c>
      <c r="C58" s="35">
        <f>COUNTIFS($B$14:$B$26,"Hat",$C$14:$C$26,"M_E_E",$E$14:$E$26,"NI",$F$14:$F$26,"DTA(80)")</f>
        <v>0</v>
      </c>
      <c r="D58" s="28"/>
      <c r="E58" s="36" t="s">
        <v>90</v>
      </c>
      <c r="F58" s="37">
        <f>COUNTIFS($B$14:$B$26,"Glove",$C$14:$C$26,"M_E_E",$E$14:$E$26,"NI",$F$14:$F$26,"DTA(80)")</f>
        <v>0</v>
      </c>
      <c r="H58" s="32" t="s">
        <v>99</v>
      </c>
      <c r="I58" s="35">
        <f>COUNTIFS($B$14:$B$26,"Shoes",$C$14:$C$26,"M_E_E",$E$14:$E$26,"NI",$F$14:$F$26,"DTA(80)")</f>
        <v>0</v>
      </c>
      <c r="J58" s="28"/>
      <c r="K58" s="32" t="s">
        <v>108</v>
      </c>
      <c r="L58" s="69">
        <f>COUNTIFS($B$14:$B$26,"Cape",$C$14:$C$26,"M_E_E",$E$14:$E$26,"NI",$F$14:$F$26,"DTA(80)")</f>
        <v>0</v>
      </c>
      <c r="P58" s="28"/>
    </row>
    <row r="59" spans="2:16" ht="17.25" thickTop="1" x14ac:dyDescent="0.3">
      <c r="M59" s="28"/>
      <c r="P59" s="28"/>
    </row>
    <row r="60" spans="2:16" x14ac:dyDescent="0.3">
      <c r="M60" s="28"/>
      <c r="P60" s="28"/>
    </row>
    <row r="61" spans="2:16" x14ac:dyDescent="0.3">
      <c r="M61" s="28"/>
      <c r="P61" s="28"/>
    </row>
  </sheetData>
  <mergeCells count="1">
    <mergeCell ref="M13:P26"/>
  </mergeCells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0"/>
  <sheetViews>
    <sheetView topLeftCell="A7" workbookViewId="0">
      <selection activeCell="M30" sqref="M30"/>
    </sheetView>
  </sheetViews>
  <sheetFormatPr defaultRowHeight="16.5" x14ac:dyDescent="0.3"/>
  <cols>
    <col min="1" max="1" width="11.375" customWidth="1"/>
    <col min="2" max="2" width="18.25" customWidth="1"/>
    <col min="3" max="10" width="16.5" customWidth="1"/>
    <col min="11" max="11" width="16.5" style="6" customWidth="1"/>
    <col min="12" max="12" width="16.5" style="73" customWidth="1"/>
    <col min="13" max="14" width="16.5" customWidth="1"/>
    <col min="15" max="15" width="18.875" customWidth="1"/>
    <col min="16" max="16" width="25.25" customWidth="1"/>
    <col min="17" max="18" width="18.875" customWidth="1"/>
    <col min="19" max="21" width="20.375" customWidth="1"/>
  </cols>
  <sheetData>
    <row r="1" spans="2:16" x14ac:dyDescent="0.3">
      <c r="I1" s="10"/>
      <c r="J1" s="10"/>
      <c r="K1" s="42"/>
      <c r="L1" s="72"/>
    </row>
    <row r="2" spans="2:16" x14ac:dyDescent="0.3">
      <c r="I2" s="10"/>
      <c r="J2" s="10"/>
      <c r="K2" s="42"/>
      <c r="L2" s="72"/>
    </row>
    <row r="3" spans="2:16" x14ac:dyDescent="0.3">
      <c r="I3" s="10"/>
      <c r="J3" s="10"/>
      <c r="K3" s="42"/>
      <c r="L3" s="72"/>
    </row>
    <row r="4" spans="2:16" x14ac:dyDescent="0.3">
      <c r="B4" s="6"/>
      <c r="I4" s="10"/>
      <c r="J4" s="10"/>
      <c r="K4" s="42"/>
      <c r="L4" s="72"/>
    </row>
    <row r="5" spans="2:16" x14ac:dyDescent="0.3">
      <c r="B5" s="7"/>
      <c r="I5" s="10"/>
      <c r="J5" s="10"/>
      <c r="K5" s="42"/>
      <c r="L5" s="72"/>
    </row>
    <row r="6" spans="2:16" x14ac:dyDescent="0.3">
      <c r="I6" s="10"/>
      <c r="J6" s="10"/>
      <c r="K6" s="42"/>
      <c r="L6" s="72"/>
    </row>
    <row r="7" spans="2:16" ht="17.25" thickBot="1" x14ac:dyDescent="0.35">
      <c r="I7" s="10"/>
      <c r="J7" s="10"/>
      <c r="K7" s="42"/>
      <c r="L7" s="72"/>
    </row>
    <row r="8" spans="2:16" ht="18" thickTop="1" thickBot="1" x14ac:dyDescent="0.35">
      <c r="B8" s="9" t="s">
        <v>11</v>
      </c>
      <c r="I8" s="10"/>
      <c r="J8" s="10"/>
      <c r="K8" s="42"/>
      <c r="L8" s="72"/>
    </row>
    <row r="9" spans="2:16" ht="18" thickTop="1" thickBot="1" x14ac:dyDescent="0.35">
      <c r="B9" s="8">
        <f ca="1">NOW()</f>
        <v>44303.754543171293</v>
      </c>
      <c r="I9" s="10"/>
      <c r="J9" s="10"/>
      <c r="K9" s="42"/>
      <c r="L9" s="72"/>
    </row>
    <row r="10" spans="2:16" ht="17.25" thickTop="1" x14ac:dyDescent="0.3">
      <c r="I10" s="10"/>
      <c r="J10" s="10"/>
      <c r="K10" s="42"/>
      <c r="L10" s="72"/>
    </row>
    <row r="11" spans="2:16" x14ac:dyDescent="0.3">
      <c r="I11" s="10"/>
      <c r="J11" s="10"/>
      <c r="K11" s="42"/>
      <c r="L11" s="72"/>
    </row>
    <row r="12" spans="2:16" ht="17.25" thickBot="1" x14ac:dyDescent="0.35">
      <c r="B12" s="7"/>
      <c r="I12" s="10"/>
      <c r="J12" s="10"/>
      <c r="K12" s="42"/>
      <c r="L12" s="72"/>
    </row>
    <row r="13" spans="2:16" ht="18" customHeight="1" thickTop="1" thickBot="1" x14ac:dyDescent="0.35">
      <c r="B13" s="45" t="s">
        <v>7</v>
      </c>
      <c r="C13" s="46" t="s">
        <v>5</v>
      </c>
      <c r="D13" s="46" t="s">
        <v>126</v>
      </c>
      <c r="E13" s="46" t="s">
        <v>8</v>
      </c>
      <c r="F13" s="46" t="s">
        <v>9</v>
      </c>
      <c r="G13" s="46" t="s">
        <v>12</v>
      </c>
      <c r="H13" s="46" t="s">
        <v>139</v>
      </c>
      <c r="I13" s="46" t="s">
        <v>13</v>
      </c>
      <c r="J13" s="46" t="s">
        <v>10</v>
      </c>
      <c r="K13" s="49" t="s">
        <v>4</v>
      </c>
      <c r="L13" s="5"/>
      <c r="M13" s="125" t="s">
        <v>168</v>
      </c>
      <c r="N13" s="126"/>
      <c r="O13" s="126"/>
      <c r="P13" s="127"/>
    </row>
    <row r="14" spans="2:16" ht="17.25" thickTop="1" x14ac:dyDescent="0.3">
      <c r="B14" s="102" t="s">
        <v>0</v>
      </c>
      <c r="C14" s="97" t="s">
        <v>16</v>
      </c>
      <c r="D14" s="97">
        <v>2</v>
      </c>
      <c r="E14" s="97" t="s">
        <v>130</v>
      </c>
      <c r="F14" s="97" t="s">
        <v>161</v>
      </c>
      <c r="G14" s="97">
        <v>90</v>
      </c>
      <c r="H14" s="97">
        <v>10</v>
      </c>
      <c r="I14" s="11">
        <v>70</v>
      </c>
      <c r="J14" s="13">
        <v>45000</v>
      </c>
      <c r="K14" s="99">
        <v>19800</v>
      </c>
      <c r="L14" s="15"/>
      <c r="M14" s="128"/>
      <c r="N14" s="129"/>
      <c r="O14" s="129"/>
      <c r="P14" s="130"/>
    </row>
    <row r="15" spans="2:16" x14ac:dyDescent="0.3">
      <c r="B15" s="102" t="s">
        <v>67</v>
      </c>
      <c r="C15" s="97" t="s">
        <v>16</v>
      </c>
      <c r="D15" s="100">
        <v>4</v>
      </c>
      <c r="E15" s="97" t="s">
        <v>2</v>
      </c>
      <c r="F15" s="97" t="s">
        <v>6</v>
      </c>
      <c r="G15" s="97">
        <v>110</v>
      </c>
      <c r="H15" s="97">
        <v>10</v>
      </c>
      <c r="I15" s="11">
        <v>70</v>
      </c>
      <c r="J15" s="13">
        <v>61100</v>
      </c>
      <c r="K15" s="101">
        <v>13600</v>
      </c>
      <c r="L15" s="15"/>
      <c r="M15" s="128"/>
      <c r="N15" s="129"/>
      <c r="O15" s="129"/>
      <c r="P15" s="130"/>
    </row>
    <row r="16" spans="2:16" x14ac:dyDescent="0.3">
      <c r="B16" s="98" t="s">
        <v>162</v>
      </c>
      <c r="C16" s="11" t="s">
        <v>16</v>
      </c>
      <c r="D16" s="100">
        <v>3</v>
      </c>
      <c r="E16" s="11" t="s">
        <v>130</v>
      </c>
      <c r="F16" s="11" t="s">
        <v>161</v>
      </c>
      <c r="G16" s="11">
        <v>80</v>
      </c>
      <c r="H16" s="11">
        <v>10</v>
      </c>
      <c r="I16" s="11">
        <v>70</v>
      </c>
      <c r="J16" s="13">
        <v>44900</v>
      </c>
      <c r="K16" s="101">
        <v>17400</v>
      </c>
      <c r="L16" s="15"/>
      <c r="M16" s="128"/>
      <c r="N16" s="129"/>
      <c r="O16" s="129"/>
      <c r="P16" s="130"/>
    </row>
    <row r="17" spans="1:16" x14ac:dyDescent="0.3">
      <c r="B17" s="98" t="s">
        <v>163</v>
      </c>
      <c r="C17" s="11" t="s">
        <v>16</v>
      </c>
      <c r="D17" s="100">
        <v>3</v>
      </c>
      <c r="E17" s="11" t="s">
        <v>164</v>
      </c>
      <c r="F17" s="11" t="s">
        <v>165</v>
      </c>
      <c r="G17" s="11">
        <v>80</v>
      </c>
      <c r="H17" s="11">
        <v>10</v>
      </c>
      <c r="I17" s="11" t="s">
        <v>167</v>
      </c>
      <c r="J17" s="12">
        <v>61100</v>
      </c>
      <c r="K17" s="101">
        <v>27600</v>
      </c>
      <c r="L17" s="15"/>
      <c r="M17" s="128"/>
      <c r="N17" s="129"/>
      <c r="O17" s="129"/>
      <c r="P17" s="130"/>
    </row>
    <row r="18" spans="1:16" x14ac:dyDescent="0.3">
      <c r="B18" s="98" t="s">
        <v>69</v>
      </c>
      <c r="C18" s="11" t="s">
        <v>16</v>
      </c>
      <c r="D18" s="100">
        <v>3</v>
      </c>
      <c r="E18" s="11" t="s">
        <v>130</v>
      </c>
      <c r="F18" s="11" t="s">
        <v>161</v>
      </c>
      <c r="G18" s="11">
        <v>80</v>
      </c>
      <c r="H18" s="11">
        <v>10</v>
      </c>
      <c r="I18" s="11">
        <v>30</v>
      </c>
      <c r="J18" s="12">
        <v>63500</v>
      </c>
      <c r="K18" s="101">
        <v>29800</v>
      </c>
      <c r="L18" s="15"/>
      <c r="M18" s="128"/>
      <c r="N18" s="129"/>
      <c r="O18" s="129"/>
      <c r="P18" s="130"/>
    </row>
    <row r="19" spans="1:16" x14ac:dyDescent="0.3">
      <c r="B19" s="98" t="s">
        <v>69</v>
      </c>
      <c r="C19" s="11" t="s">
        <v>16</v>
      </c>
      <c r="D19" s="100">
        <v>3</v>
      </c>
      <c r="E19" s="11" t="s">
        <v>130</v>
      </c>
      <c r="F19" s="11" t="s">
        <v>161</v>
      </c>
      <c r="G19" s="11">
        <v>90</v>
      </c>
      <c r="H19" s="11">
        <v>10</v>
      </c>
      <c r="I19" s="11" t="s">
        <v>166</v>
      </c>
      <c r="J19" s="12">
        <v>73100</v>
      </c>
      <c r="K19" s="101">
        <v>37100</v>
      </c>
      <c r="L19" s="15"/>
      <c r="M19" s="128"/>
      <c r="N19" s="129"/>
      <c r="O19" s="129"/>
      <c r="P19" s="130"/>
    </row>
    <row r="20" spans="1:16" x14ac:dyDescent="0.3">
      <c r="B20" s="102"/>
      <c r="C20" s="97"/>
      <c r="D20" s="97"/>
      <c r="E20" s="97"/>
      <c r="F20" s="97"/>
      <c r="G20" s="97"/>
      <c r="H20" s="97"/>
      <c r="I20" s="11"/>
      <c r="J20" s="11"/>
      <c r="K20" s="99"/>
      <c r="L20" s="15"/>
      <c r="M20" s="128"/>
      <c r="N20" s="129"/>
      <c r="O20" s="129"/>
      <c r="P20" s="130"/>
    </row>
    <row r="21" spans="1:16" x14ac:dyDescent="0.3">
      <c r="B21" s="102"/>
      <c r="C21" s="11"/>
      <c r="D21" s="100"/>
      <c r="E21" s="11"/>
      <c r="F21" s="11"/>
      <c r="G21" s="11"/>
      <c r="H21" s="11"/>
      <c r="I21" s="11"/>
      <c r="J21" s="11"/>
      <c r="K21" s="101"/>
      <c r="L21" s="15"/>
      <c r="M21" s="128"/>
      <c r="N21" s="129"/>
      <c r="O21" s="129"/>
      <c r="P21" s="130"/>
    </row>
    <row r="22" spans="1:16" x14ac:dyDescent="0.3">
      <c r="B22" s="98"/>
      <c r="C22" s="11"/>
      <c r="D22" s="97"/>
      <c r="E22" s="11"/>
      <c r="F22" s="11"/>
      <c r="G22" s="11"/>
      <c r="H22" s="11"/>
      <c r="I22" s="11"/>
      <c r="J22" s="11"/>
      <c r="K22" s="101"/>
      <c r="L22" s="15"/>
      <c r="M22" s="128"/>
      <c r="N22" s="129"/>
      <c r="O22" s="129"/>
      <c r="P22" s="130"/>
    </row>
    <row r="23" spans="1:16" x14ac:dyDescent="0.3">
      <c r="B23" s="102"/>
      <c r="C23" s="97"/>
      <c r="D23" s="100"/>
      <c r="E23" s="97"/>
      <c r="F23" s="97"/>
      <c r="G23" s="97"/>
      <c r="H23" s="97"/>
      <c r="I23" s="11"/>
      <c r="J23" s="11"/>
      <c r="K23" s="99"/>
      <c r="L23" s="15"/>
      <c r="M23" s="128"/>
      <c r="N23" s="129"/>
      <c r="O23" s="129"/>
      <c r="P23" s="130"/>
    </row>
    <row r="24" spans="1:16" x14ac:dyDescent="0.3">
      <c r="B24" s="102"/>
      <c r="C24" s="11"/>
      <c r="D24" s="100"/>
      <c r="E24" s="11"/>
      <c r="F24" s="11"/>
      <c r="G24" s="11"/>
      <c r="H24" s="11"/>
      <c r="I24" s="11"/>
      <c r="J24" s="11"/>
      <c r="K24" s="101"/>
      <c r="L24" s="15"/>
      <c r="M24" s="128"/>
      <c r="N24" s="129"/>
      <c r="O24" s="129"/>
      <c r="P24" s="130"/>
    </row>
    <row r="25" spans="1:16" x14ac:dyDescent="0.3">
      <c r="B25" s="50"/>
      <c r="C25" s="11"/>
      <c r="D25" s="11"/>
      <c r="E25" s="11"/>
      <c r="F25" s="11"/>
      <c r="G25" s="11"/>
      <c r="H25" s="11"/>
      <c r="I25" s="11"/>
      <c r="J25" s="11"/>
      <c r="K25" s="18"/>
      <c r="L25" s="15"/>
      <c r="M25" s="128"/>
      <c r="N25" s="129"/>
      <c r="O25" s="129"/>
      <c r="P25" s="130"/>
    </row>
    <row r="26" spans="1:16" ht="17.25" thickBot="1" x14ac:dyDescent="0.35">
      <c r="A26" t="s">
        <v>124</v>
      </c>
      <c r="B26" s="50"/>
      <c r="C26" s="11"/>
      <c r="D26" s="11"/>
      <c r="E26" s="11"/>
      <c r="F26" s="11"/>
      <c r="G26" s="11"/>
      <c r="H26" s="11"/>
      <c r="I26" s="11"/>
      <c r="J26" s="11"/>
      <c r="K26" s="18"/>
      <c r="L26" s="15"/>
      <c r="M26" s="131"/>
      <c r="N26" s="132"/>
      <c r="O26" s="132"/>
      <c r="P26" s="133"/>
    </row>
    <row r="27" spans="1:16" ht="17.25" thickTop="1" x14ac:dyDescent="0.3">
      <c r="B27" s="50"/>
      <c r="C27" s="11"/>
      <c r="D27" s="11"/>
      <c r="E27" s="11"/>
      <c r="F27" s="11"/>
      <c r="G27" s="11"/>
      <c r="H27" s="11"/>
      <c r="I27" s="11"/>
      <c r="J27" s="11"/>
      <c r="K27" s="18"/>
      <c r="L27" s="15"/>
      <c r="M27" s="14"/>
      <c r="N27" s="15"/>
      <c r="O27" s="15"/>
    </row>
    <row r="28" spans="1:16" x14ac:dyDescent="0.3">
      <c r="B28" s="50"/>
      <c r="C28" s="11"/>
      <c r="D28" s="11"/>
      <c r="E28" s="11"/>
      <c r="F28" s="11"/>
      <c r="G28" s="11"/>
      <c r="H28" s="11"/>
      <c r="I28" s="11"/>
      <c r="J28" s="11"/>
      <c r="K28" s="51"/>
      <c r="L28" s="15"/>
      <c r="M28" s="14"/>
      <c r="N28" s="15"/>
      <c r="O28" s="15"/>
    </row>
    <row r="29" spans="1:16" x14ac:dyDescent="0.3">
      <c r="B29" s="50"/>
      <c r="C29" s="11"/>
      <c r="D29" s="11"/>
      <c r="E29" s="11"/>
      <c r="F29" s="11"/>
      <c r="G29" s="11"/>
      <c r="H29" s="11"/>
      <c r="I29" s="11"/>
      <c r="J29" s="11"/>
      <c r="K29" s="51"/>
      <c r="L29" s="15"/>
      <c r="M29" s="14"/>
      <c r="N29" s="15"/>
      <c r="O29" s="15"/>
    </row>
    <row r="30" spans="1:16" x14ac:dyDescent="0.3">
      <c r="B30" s="50"/>
      <c r="C30" s="11"/>
      <c r="D30" s="11"/>
      <c r="E30" s="11"/>
      <c r="F30" s="11"/>
      <c r="G30" s="11"/>
      <c r="H30" s="11"/>
      <c r="I30" s="11"/>
      <c r="J30" s="11"/>
      <c r="K30" s="51"/>
      <c r="L30" s="15"/>
      <c r="M30" s="14"/>
      <c r="N30" s="15"/>
      <c r="O30" s="15"/>
    </row>
    <row r="31" spans="1:16" x14ac:dyDescent="0.3">
      <c r="B31" s="50"/>
      <c r="C31" s="11"/>
      <c r="D31" s="11"/>
      <c r="E31" s="11"/>
      <c r="F31" s="11"/>
      <c r="G31" s="11"/>
      <c r="H31" s="11"/>
      <c r="I31" s="11"/>
      <c r="J31" s="11"/>
      <c r="K31" s="51"/>
      <c r="L31" s="15"/>
      <c r="M31" s="14"/>
      <c r="N31" s="15"/>
      <c r="O31" s="15"/>
    </row>
    <row r="32" spans="1:16" x14ac:dyDescent="0.3">
      <c r="B32" s="50"/>
      <c r="C32" s="11"/>
      <c r="D32" s="11"/>
      <c r="E32" s="11"/>
      <c r="F32" s="11"/>
      <c r="G32" s="11"/>
      <c r="H32" s="11"/>
      <c r="I32" s="11"/>
      <c r="J32" s="11"/>
      <c r="K32" s="51"/>
      <c r="L32" s="15"/>
      <c r="M32" s="14"/>
      <c r="N32" s="15"/>
      <c r="O32" s="15"/>
    </row>
    <row r="33" spans="2:25" x14ac:dyDescent="0.3">
      <c r="B33" s="50"/>
      <c r="C33" s="11"/>
      <c r="D33" s="11"/>
      <c r="E33" s="11"/>
      <c r="F33" s="11"/>
      <c r="G33" s="11"/>
      <c r="H33" s="11"/>
      <c r="I33" s="11"/>
      <c r="J33" s="11"/>
      <c r="K33" s="51"/>
      <c r="L33" s="15"/>
      <c r="M33" s="14"/>
      <c r="N33" s="15"/>
      <c r="O33" s="15"/>
    </row>
    <row r="34" spans="2:25" ht="17.25" thickBot="1" x14ac:dyDescent="0.35">
      <c r="B34" s="52"/>
      <c r="C34" s="53"/>
      <c r="D34" s="53"/>
      <c r="E34" s="53"/>
      <c r="F34" s="53"/>
      <c r="G34" s="53"/>
      <c r="H34" s="53"/>
      <c r="I34" s="53"/>
      <c r="J34" s="53"/>
      <c r="K34" s="54"/>
      <c r="L34" s="15"/>
      <c r="M34" s="14"/>
      <c r="N34" s="15"/>
      <c r="O34" s="15"/>
    </row>
    <row r="35" spans="2:25" ht="17.25" thickTop="1" x14ac:dyDescent="0.3">
      <c r="B35" s="3"/>
      <c r="C35" s="3"/>
      <c r="D35" s="3"/>
      <c r="E35" s="3"/>
      <c r="F35" s="3"/>
      <c r="G35" s="3"/>
      <c r="H35" s="3"/>
      <c r="I35" s="3"/>
      <c r="J35" s="4"/>
      <c r="K35" s="16"/>
      <c r="L35" s="15"/>
    </row>
    <row r="36" spans="2:25" x14ac:dyDescent="0.3">
      <c r="B36" s="2"/>
      <c r="C36" s="2"/>
      <c r="D36" s="2"/>
      <c r="E36" s="2"/>
      <c r="F36" s="2"/>
      <c r="G36" s="2"/>
      <c r="H36" s="2"/>
      <c r="I36" s="2"/>
      <c r="J36" s="2"/>
      <c r="K36" s="17"/>
      <c r="L36" s="15"/>
    </row>
    <row r="37" spans="2:25" ht="17.25" thickBot="1" x14ac:dyDescent="0.35"/>
    <row r="38" spans="2:25" ht="18" thickTop="1" thickBot="1" x14ac:dyDescent="0.35">
      <c r="B38" s="9" t="s">
        <v>7</v>
      </c>
      <c r="C38" s="9" t="s">
        <v>29</v>
      </c>
      <c r="D38" s="28"/>
      <c r="E38" s="9" t="s">
        <v>5</v>
      </c>
      <c r="F38" s="9" t="s">
        <v>29</v>
      </c>
      <c r="H38" s="9" t="s">
        <v>27</v>
      </c>
      <c r="I38" s="9" t="s">
        <v>28</v>
      </c>
      <c r="J38" s="28"/>
      <c r="K38" s="9" t="s">
        <v>7</v>
      </c>
      <c r="L38" s="81" t="s">
        <v>4</v>
      </c>
    </row>
    <row r="39" spans="2:25" ht="17.25" thickTop="1" x14ac:dyDescent="0.3">
      <c r="B39" s="40" t="s">
        <v>0</v>
      </c>
      <c r="C39" s="41">
        <f>COUNTIF($B$14:$B$34,"Hat")</f>
        <v>1</v>
      </c>
      <c r="D39" s="28"/>
      <c r="E39" s="30" t="s">
        <v>59</v>
      </c>
      <c r="F39" s="33">
        <f>COUNTIFS($C$14:$C$34,"A_E_R",$E$14:$E$34,"NI",$F$14:$F$34,"SA")</f>
        <v>0</v>
      </c>
      <c r="H39" s="30" t="s">
        <v>145</v>
      </c>
      <c r="I39" s="33">
        <f>COUNTIFS($G$14:$G$37,"80",$I$14:$I$37,"80")</f>
        <v>0</v>
      </c>
      <c r="J39" s="28"/>
      <c r="K39" s="25" t="str">
        <f>INDEX($B$14:$B$34,MATCH(LARGE($K$14:$K$34,1),$K$14:$K$34,0))</f>
        <v>Cape</v>
      </c>
      <c r="L39" s="121">
        <f>LARGE($K$14:K34,1)</f>
        <v>37100</v>
      </c>
    </row>
    <row r="40" spans="2:25" x14ac:dyDescent="0.3">
      <c r="B40" s="31" t="s">
        <v>67</v>
      </c>
      <c r="C40" s="34">
        <f>COUNTIF($B$14:$B$34,"Glove")</f>
        <v>1</v>
      </c>
      <c r="D40" s="28"/>
      <c r="E40" s="31" t="s">
        <v>61</v>
      </c>
      <c r="F40" s="34">
        <f>COUNTIFS($C$14:$C$34,"A_E_R",$E$14:$E$34,"NI",$F$14:$F$34,"DTA")</f>
        <v>0</v>
      </c>
      <c r="H40" s="31" t="s">
        <v>146</v>
      </c>
      <c r="I40" s="43">
        <f>COUNTIFS($G$14:$G$37,"80",$I$14:$I$37,"30")</f>
        <v>1</v>
      </c>
      <c r="J40" s="5"/>
      <c r="K40" s="58" t="str">
        <f>INDEX($B$14:$B$34,MATCH(LARGE($K$14:$K$34,2),$K$14:$K$34,0))</f>
        <v>Cape</v>
      </c>
      <c r="L40" s="82">
        <f>LARGE($K$14:K34,2)</f>
        <v>29800</v>
      </c>
    </row>
    <row r="41" spans="2:25" x14ac:dyDescent="0.3">
      <c r="B41" s="58" t="s">
        <v>68</v>
      </c>
      <c r="C41" s="27">
        <f>COUNTIF($B$14:$B$34,"Shoes")</f>
        <v>2</v>
      </c>
      <c r="D41" s="28"/>
      <c r="E41" s="58" t="s">
        <v>58</v>
      </c>
      <c r="F41" s="27">
        <f>COUNTIFS($C$14:$C$34,"A_E_R",$E$14:$E$34,"SI",$F$14:$F$34,"SA")</f>
        <v>5</v>
      </c>
      <c r="H41" s="31" t="s">
        <v>73</v>
      </c>
      <c r="I41" s="34">
        <f>COUNTIFS($G$14:$G$37,"90",$I$14:$I$37,"70")</f>
        <v>1</v>
      </c>
      <c r="J41" s="28"/>
      <c r="K41" s="58" t="str">
        <f>INDEX($B$14:$B$34,MATCH(LARGE($K$14:$K$34,3),$K$14:$K$34,0))</f>
        <v>Shoes</v>
      </c>
      <c r="L41" s="82">
        <f>LARGE($K$14:K34,3)</f>
        <v>27600</v>
      </c>
    </row>
    <row r="42" spans="2:25" ht="17.25" thickBot="1" x14ac:dyDescent="0.35">
      <c r="B42" s="59" t="s">
        <v>69</v>
      </c>
      <c r="C42" s="110">
        <f>COUNTIF($B$14:$B$34,"Cape")</f>
        <v>2</v>
      </c>
      <c r="D42" s="28"/>
      <c r="E42" s="31" t="s">
        <v>60</v>
      </c>
      <c r="F42" s="34">
        <f>COUNTIFS($C$14:$C$34,"A_E_R",$E$14:$E$34,"SI",$F$14:$F$34,"DTA")</f>
        <v>1</v>
      </c>
      <c r="H42" s="31" t="s">
        <v>144</v>
      </c>
      <c r="I42" s="43">
        <f>COUNTIFS($G$14:$G$37,"90",$I$14:$I$37,"30")</f>
        <v>0</v>
      </c>
      <c r="J42" s="5"/>
      <c r="K42" s="84" t="str">
        <f>INDEX($B$14:$B$34,MATCH(LARGE($K$14:$K$34,4),$K$14:$K$34,0))</f>
        <v>Hat</v>
      </c>
      <c r="L42" s="107">
        <f>LARGE($K$14:K34,4)</f>
        <v>19800</v>
      </c>
    </row>
    <row r="43" spans="2:25" ht="18" thickTop="1" thickBot="1" x14ac:dyDescent="0.35">
      <c r="B43" s="10"/>
      <c r="C43" s="10"/>
      <c r="D43" s="28"/>
      <c r="E43" s="31" t="s">
        <v>62</v>
      </c>
      <c r="F43" s="34">
        <f>COUNTIFS($C$14:$C$34,"A_E_E",$E$14:$E$34,"NI",$F$14:$F$34,"SA")</f>
        <v>0</v>
      </c>
      <c r="H43" s="31" t="s">
        <v>74</v>
      </c>
      <c r="I43" s="34">
        <f>COUNTIFS($G$14:$G$37,"100",$I$14:$I$37,"70")</f>
        <v>0</v>
      </c>
      <c r="J43" s="28"/>
      <c r="K43" s="90" t="str">
        <f>INDEX($B$14:$B$34,MATCH(LARGE($K$14:$K$34,5),$K$14:$K$34,0))</f>
        <v>Shoes</v>
      </c>
      <c r="L43" s="96">
        <f>LARGE($K$14:K34,5)</f>
        <v>17400</v>
      </c>
      <c r="P43" s="28"/>
      <c r="Q43" s="28"/>
      <c r="R43" s="28"/>
    </row>
    <row r="44" spans="2:25" ht="17.25" thickTop="1" x14ac:dyDescent="0.3">
      <c r="B44" s="10"/>
      <c r="C44" s="10"/>
      <c r="D44" s="28"/>
      <c r="E44" s="21" t="s">
        <v>63</v>
      </c>
      <c r="F44" s="22">
        <f>COUNTIFS($C$14:$C$34,"A_E_E",$E$14:$E$34,"NI",$F$14:$F$34,"DTA")</f>
        <v>0</v>
      </c>
      <c r="H44" s="31" t="s">
        <v>143</v>
      </c>
      <c r="I44" s="43">
        <f>COUNTIFS($G$14:$G$37,"100",$I$14:$I$37,"30")</f>
        <v>0</v>
      </c>
      <c r="J44" s="5"/>
      <c r="K44" s="28"/>
      <c r="L44"/>
      <c r="P44" s="28"/>
      <c r="Q44" s="28"/>
      <c r="R44" s="28"/>
    </row>
    <row r="45" spans="2:25" x14ac:dyDescent="0.3">
      <c r="B45" s="10"/>
      <c r="C45" s="10"/>
      <c r="D45" s="28"/>
      <c r="E45" s="21" t="s">
        <v>64</v>
      </c>
      <c r="F45" s="22">
        <f>COUNTIFS($C$14:$C$34,"A_E_E",$E$14:$E$34,"NI",$F$14:$F$34,"DTA(80)")</f>
        <v>0</v>
      </c>
      <c r="H45" s="31" t="s">
        <v>152</v>
      </c>
      <c r="I45" s="34">
        <f>COUNTIFS($G$14:$G$37,"110",$I$14:$I$37,"70")</f>
        <v>1</v>
      </c>
      <c r="J45" s="28"/>
      <c r="K45"/>
      <c r="L45"/>
    </row>
    <row r="46" spans="2:25" x14ac:dyDescent="0.3">
      <c r="B46" s="10"/>
      <c r="C46" s="10"/>
      <c r="D46" s="28"/>
      <c r="E46" s="21" t="s">
        <v>65</v>
      </c>
      <c r="F46" s="22">
        <f>COUNTIFS($C$14:$C$34,"A_E_E",$E$14:$E$34,"SI",$F$14:$F$34,"SA")</f>
        <v>0</v>
      </c>
      <c r="H46" s="31" t="s">
        <v>141</v>
      </c>
      <c r="I46" s="43">
        <f>COUNTIFS($G$14:$G$37,"110",$I$14:$I$37,"30")</f>
        <v>0</v>
      </c>
      <c r="J46" s="5"/>
      <c r="K46" s="28"/>
      <c r="L46"/>
      <c r="P46" s="28"/>
    </row>
    <row r="47" spans="2:25" ht="17.25" thickBot="1" x14ac:dyDescent="0.35">
      <c r="B47" s="10"/>
      <c r="C47" s="10"/>
      <c r="D47" s="28"/>
      <c r="E47" s="23" t="s">
        <v>66</v>
      </c>
      <c r="F47" s="24">
        <f>COUNTIFS($C$14:$C$34,"A_E_E",$E$14:$E$34,"SI",$F$14:$F$34,"DTA")</f>
        <v>0</v>
      </c>
      <c r="H47" s="40" t="s">
        <v>116</v>
      </c>
      <c r="I47" s="71">
        <f>COUNTIFS($G$14:$G$37,"80",$I$14:$I$37,"PW")</f>
        <v>1</v>
      </c>
      <c r="J47" s="73"/>
      <c r="K47" s="28"/>
      <c r="L47"/>
      <c r="P47" s="28"/>
    </row>
    <row r="48" spans="2:25" ht="17.25" thickTop="1" x14ac:dyDescent="0.3">
      <c r="D48" s="95"/>
      <c r="H48" s="31" t="s">
        <v>117</v>
      </c>
      <c r="I48" s="43">
        <f>COUNTIFS($G$14:$G$37,"90",$I$14:$I$37,"PW")</f>
        <v>1</v>
      </c>
      <c r="J48" s="73"/>
      <c r="K48" s="28"/>
      <c r="L48"/>
      <c r="P48" s="28"/>
      <c r="Q48" s="5"/>
      <c r="R48" s="5"/>
      <c r="V48" s="5"/>
      <c r="W48" s="5"/>
      <c r="X48" s="14"/>
      <c r="Y48" s="15"/>
    </row>
    <row r="49" spans="2:25" x14ac:dyDescent="0.3">
      <c r="D49" s="95"/>
      <c r="H49" s="31" t="s">
        <v>118</v>
      </c>
      <c r="I49" s="63">
        <f>COUNTIFS($G$14:$G$37,"100",$I$14:$I$37,"PW")</f>
        <v>0</v>
      </c>
      <c r="J49" s="73"/>
      <c r="K49" s="28"/>
      <c r="L49"/>
      <c r="P49" s="28"/>
      <c r="Q49" s="5"/>
      <c r="R49" s="5"/>
      <c r="V49" s="5"/>
      <c r="W49" s="5"/>
      <c r="X49" s="14"/>
      <c r="Y49" s="15"/>
    </row>
    <row r="50" spans="2:25" ht="17.25" thickBot="1" x14ac:dyDescent="0.35">
      <c r="D50" s="95"/>
      <c r="H50" s="32" t="s">
        <v>142</v>
      </c>
      <c r="I50" s="44">
        <f>COUNTIFS($G$14:$G$37,"110",$I$14:$I$37,"30")+COUNTIFS($G$14:$G$37,"110",$I$14:$I$37,"PW")</f>
        <v>0</v>
      </c>
      <c r="J50" s="73"/>
      <c r="K50" s="28"/>
      <c r="L50"/>
      <c r="P50" s="28"/>
      <c r="Q50" s="5"/>
      <c r="R50" s="5"/>
      <c r="V50" s="5"/>
      <c r="W50" s="5"/>
      <c r="X50" s="14"/>
      <c r="Y50" s="15"/>
    </row>
    <row r="51" spans="2:25" ht="17.25" thickTop="1" x14ac:dyDescent="0.3">
      <c r="D51" s="95"/>
      <c r="I51" s="6"/>
      <c r="J51" s="73"/>
      <c r="K51" s="28"/>
      <c r="L51"/>
      <c r="P51" s="28"/>
      <c r="Q51" s="5"/>
      <c r="R51" s="5"/>
      <c r="V51" s="5"/>
      <c r="W51" s="5"/>
      <c r="X51" s="14"/>
      <c r="Y51" s="15"/>
    </row>
    <row r="52" spans="2:25" x14ac:dyDescent="0.3">
      <c r="D52" s="95"/>
      <c r="I52" s="6"/>
      <c r="J52" s="73"/>
      <c r="K52" s="28"/>
      <c r="L52"/>
      <c r="P52" s="28"/>
      <c r="Q52" s="5"/>
      <c r="R52" s="5"/>
      <c r="V52" s="5"/>
      <c r="W52" s="5"/>
      <c r="X52" s="14"/>
      <c r="Y52" s="15"/>
    </row>
    <row r="53" spans="2:25" x14ac:dyDescent="0.3">
      <c r="D53" s="95"/>
      <c r="I53" s="6"/>
      <c r="J53" s="73"/>
      <c r="K53" s="28"/>
      <c r="L53"/>
      <c r="P53" s="28"/>
      <c r="Q53" s="5"/>
      <c r="R53" s="5"/>
      <c r="V53" s="5"/>
      <c r="W53" s="5"/>
      <c r="X53" s="14"/>
      <c r="Y53" s="15"/>
    </row>
    <row r="54" spans="2:25" x14ac:dyDescent="0.3">
      <c r="D54" s="95"/>
      <c r="I54" s="6"/>
      <c r="J54" s="73"/>
      <c r="K54" s="28"/>
      <c r="L54"/>
      <c r="P54" s="28"/>
      <c r="Q54" s="5"/>
      <c r="R54" s="5"/>
      <c r="V54" s="5"/>
      <c r="W54" s="5"/>
      <c r="X54" s="14"/>
      <c r="Y54" s="15"/>
    </row>
    <row r="55" spans="2:25" ht="17.25" thickBot="1" x14ac:dyDescent="0.35">
      <c r="D55" s="95"/>
      <c r="I55" s="6"/>
      <c r="J55" s="73"/>
      <c r="K55" s="28"/>
      <c r="L55"/>
      <c r="P55" s="28"/>
      <c r="Q55" s="5"/>
      <c r="R55" s="5"/>
      <c r="V55" s="5"/>
      <c r="W55" s="5"/>
      <c r="X55" s="14"/>
      <c r="Y55" s="15"/>
    </row>
    <row r="56" spans="2:25" ht="18" thickTop="1" thickBot="1" x14ac:dyDescent="0.35">
      <c r="B56" s="9" t="s">
        <v>47</v>
      </c>
      <c r="C56" s="9" t="s">
        <v>29</v>
      </c>
      <c r="D56" s="89"/>
      <c r="E56" s="9" t="s">
        <v>76</v>
      </c>
      <c r="F56" s="9" t="s">
        <v>29</v>
      </c>
      <c r="G56" s="89"/>
      <c r="H56" s="76" t="s">
        <v>78</v>
      </c>
      <c r="I56" s="9" t="s">
        <v>29</v>
      </c>
      <c r="J56" s="28"/>
      <c r="K56" s="9" t="s">
        <v>80</v>
      </c>
      <c r="L56" s="77" t="s">
        <v>29</v>
      </c>
      <c r="P56" s="28"/>
      <c r="Q56" s="5"/>
      <c r="R56" s="5"/>
      <c r="V56" s="5"/>
      <c r="W56" s="5"/>
      <c r="X56" s="14"/>
      <c r="Y56" s="15"/>
    </row>
    <row r="57" spans="2:25" ht="17.25" thickTop="1" x14ac:dyDescent="0.3">
      <c r="B57" s="30" t="s">
        <v>33</v>
      </c>
      <c r="C57" s="20">
        <f>COUNTIFS($B$14:$B$34,"Hat",$C$14:$C$34,"A_E_R",$E$14:$E$34,"NI",$F$14:$F$34,"SA")</f>
        <v>0</v>
      </c>
      <c r="D57" s="28"/>
      <c r="E57" s="30" t="s">
        <v>82</v>
      </c>
      <c r="F57" s="20">
        <f>COUNTIFS($B$14:$B$34,"Glove",$C$14:$C$34,"A_E_R",$E$14:$E$34,"NI",$F$14:$F$34,"SA")</f>
        <v>0</v>
      </c>
      <c r="G57" s="28"/>
      <c r="H57" s="30" t="s">
        <v>91</v>
      </c>
      <c r="I57" s="78">
        <f>COUNTIFS($B$14:$B$34,"Shoes",$C$14:$C$34,"A_E_R",$E$14:$E$34,"NI",$F$14:$F$34,"SA")</f>
        <v>0</v>
      </c>
      <c r="J57" s="28"/>
      <c r="K57" s="30" t="s">
        <v>100</v>
      </c>
      <c r="L57" s="78">
        <f>COUNTIFS($B$14:$B$34,"Cape",$C$14:$C$34,"A_E_R",$E$14:$E$34,"NI",$F$14:$F$34,"SA")</f>
        <v>0</v>
      </c>
    </row>
    <row r="58" spans="2:25" x14ac:dyDescent="0.3">
      <c r="B58" s="31" t="s">
        <v>34</v>
      </c>
      <c r="C58" s="22">
        <f>COUNTIFS($B$14:$B$34,"Hat",$C$14:$C$34,"A_E_R",$E$14:$E$34,"NI",$F$14:$F$34,"DTA")</f>
        <v>0</v>
      </c>
      <c r="D58" s="28"/>
      <c r="E58" s="31" t="s">
        <v>83</v>
      </c>
      <c r="F58" s="34">
        <f>COUNTIFS($B$14:$B$34,"Glove",$C$14:$C$34,"A_E_R",$E$14:$E$34,"NI",$F$14:$F$34,"DTA")</f>
        <v>0</v>
      </c>
      <c r="G58" s="28"/>
      <c r="H58" s="31" t="s">
        <v>92</v>
      </c>
      <c r="I58" s="79">
        <f>COUNTIFS($B$14:$B$34,"Shoes",$C$14:$C$34,"A_E_R",$E$14:$E$34,"NI",$F$14:$F$34,"DTA")</f>
        <v>0</v>
      </c>
      <c r="J58" s="28"/>
      <c r="K58" s="31" t="s">
        <v>101</v>
      </c>
      <c r="L58" s="79">
        <f>COUNTIFS($B$14:$B$34,"Cape",$C$14:$C$34,"A_E_R",$E$14:$E$34,"NI",$F$14:$F$34,"DTA")</f>
        <v>0</v>
      </c>
      <c r="P58" s="28"/>
    </row>
    <row r="59" spans="2:25" x14ac:dyDescent="0.3">
      <c r="B59" s="31" t="s">
        <v>35</v>
      </c>
      <c r="C59" s="34">
        <f>COUNTIFS($B$14:$B$34,"Hat",$C$14:$C$34,"A_E_R",$E$14:$E$34,"SI",$F$14:$F$34,"SA")</f>
        <v>1</v>
      </c>
      <c r="D59" s="28"/>
      <c r="E59" s="31" t="s">
        <v>84</v>
      </c>
      <c r="F59" s="34">
        <f>COUNTIFS($B$14:$B$34,"Glove",$C$14:$C$34,"A_E_R",$E$14:$E$34,"SI",$F$14:$F$34,"SA")</f>
        <v>1</v>
      </c>
      <c r="G59" s="28"/>
      <c r="H59" s="31" t="s">
        <v>93</v>
      </c>
      <c r="I59" s="79">
        <f>COUNTIFS($B$14:$B$34,"Shoes",$C$14:$C$34,"A_E_R",$E$14:$E$34,"SI",$F$14:$F$34,"SA")</f>
        <v>1</v>
      </c>
      <c r="J59" s="28"/>
      <c r="K59" s="31" t="s">
        <v>102</v>
      </c>
      <c r="L59" s="122">
        <f>COUNTIFS($B$14:$B$34,"Cape",$C$14:$C$34,"A_E_R",$E$14:$E$34,"SI",$F$14:$F$34,"SA")</f>
        <v>2</v>
      </c>
      <c r="P59" s="28"/>
    </row>
    <row r="60" spans="2:25" ht="17.25" thickBot="1" x14ac:dyDescent="0.35">
      <c r="B60" s="32" t="s">
        <v>36</v>
      </c>
      <c r="C60" s="35">
        <f>COUNTIFS($B$14:$B$34,"Hat",$C$14:$C$34,"A_E_R",$E$14:$E$34,"SI",$F$14:$F$34,"DTA")</f>
        <v>0</v>
      </c>
      <c r="D60" s="28"/>
      <c r="E60" s="32" t="s">
        <v>85</v>
      </c>
      <c r="F60" s="35">
        <f>COUNTIFS($B$14:$B$34,"Glove",$C$14:$C$34,"A_E_R",$E$14:$E$34,"SI",$F$14:$F$34,"DTA")</f>
        <v>0</v>
      </c>
      <c r="G60" s="28"/>
      <c r="H60" s="32" t="s">
        <v>94</v>
      </c>
      <c r="I60" s="80">
        <f>COUNTIFS($B$14:$B$34,"Shoes",$C$14:$C$34,"A_E_R",$E$14:$E$34,"SI",$F$14:$F$34,"DTA")</f>
        <v>1</v>
      </c>
      <c r="J60" s="28"/>
      <c r="K60" s="32" t="s">
        <v>103</v>
      </c>
      <c r="L60" s="80">
        <f>COUNTIFS($B$14:$B$34,"Cape",$C$14:$C$34,"A_E_R",$E$14:$E$34,"SI",$F$14:$F$34,"DTA")</f>
        <v>0</v>
      </c>
      <c r="P60" s="28"/>
    </row>
    <row r="61" spans="2:25" ht="18" thickTop="1" thickBot="1" x14ac:dyDescent="0.35">
      <c r="D61" s="95"/>
      <c r="G61" s="120"/>
      <c r="I61" s="6"/>
      <c r="J61" s="73"/>
      <c r="K61"/>
      <c r="L61" s="6"/>
      <c r="P61" s="28"/>
    </row>
    <row r="62" spans="2:25" ht="18" thickTop="1" thickBot="1" x14ac:dyDescent="0.35">
      <c r="B62" s="9" t="s">
        <v>48</v>
      </c>
      <c r="C62" s="9" t="s">
        <v>29</v>
      </c>
      <c r="D62" s="89"/>
      <c r="E62" s="9" t="s">
        <v>77</v>
      </c>
      <c r="F62" s="9" t="s">
        <v>29</v>
      </c>
      <c r="G62" s="89"/>
      <c r="H62" s="76" t="s">
        <v>79</v>
      </c>
      <c r="I62" s="9" t="s">
        <v>29</v>
      </c>
      <c r="J62" s="28"/>
      <c r="K62" s="9" t="s">
        <v>81</v>
      </c>
      <c r="L62" s="77" t="s">
        <v>29</v>
      </c>
      <c r="P62" s="28"/>
    </row>
    <row r="63" spans="2:25" ht="17.25" thickTop="1" x14ac:dyDescent="0.3">
      <c r="B63" s="30" t="s">
        <v>49</v>
      </c>
      <c r="C63" s="33">
        <f>COUNTIFS($B$14:$B$34,"Hat",$C$14:$C$34,"A_E_E",$E$14:$E$34,"NI",$F$14:$F$34,"SA")</f>
        <v>0</v>
      </c>
      <c r="D63" s="28"/>
      <c r="E63" s="30" t="s">
        <v>86</v>
      </c>
      <c r="F63" s="33">
        <f>COUNTIFS($B$14:$B$34,"Glove",$C$14:$C$34,"A_E_E",$E$14:$E$34,"NI",$F$14:$F$34,"SA")</f>
        <v>0</v>
      </c>
      <c r="G63" s="28"/>
      <c r="H63" s="30" t="s">
        <v>95</v>
      </c>
      <c r="I63" s="78">
        <f>COUNTIFS($B$14:$B$34,"Shoes",$C$14:$C$34,"A_E_E",$E$14:$E$34,"NI",$F$14:$F$34,"SA")</f>
        <v>0</v>
      </c>
      <c r="J63" s="28"/>
      <c r="K63" s="30" t="s">
        <v>104</v>
      </c>
      <c r="L63" s="78">
        <f>COUNTIFS($B$14:$B$34,"Cape",$C$14:$C$34,"A_E_E",$E$14:$E$34,"NI",$F$14:$F$34,"SA")</f>
        <v>0</v>
      </c>
      <c r="P63" s="28"/>
    </row>
    <row r="64" spans="2:25" x14ac:dyDescent="0.3">
      <c r="B64" s="31" t="s">
        <v>50</v>
      </c>
      <c r="C64" s="34">
        <f>COUNTIFS($B$14:$B$34,"Hat",$C$14:$C$34,"A_E_E",$E$14:$E$34,"NI",$F$14:$F$34,"DTA")</f>
        <v>0</v>
      </c>
      <c r="D64" s="28"/>
      <c r="E64" s="31" t="s">
        <v>87</v>
      </c>
      <c r="F64" s="34">
        <f>COUNTIFS($B$14:$B$34,"Glove",$C$14:$C$34,"A_E_E",$E$14:$E$34,"NI",$F$14:$F$34,"DTA")</f>
        <v>0</v>
      </c>
      <c r="G64" s="28"/>
      <c r="H64" s="31" t="s">
        <v>96</v>
      </c>
      <c r="I64" s="79">
        <f>COUNTIFS($B$14:$B$34,"Shoes",$C$14:$C$34,"A_E_E",$E$14:$E$34,"NI",$F$14:$F$34,"DTA")</f>
        <v>0</v>
      </c>
      <c r="J64" s="28"/>
      <c r="K64" s="31" t="s">
        <v>105</v>
      </c>
      <c r="L64" s="79">
        <f>COUNTIFS($B$14:$B$34,"Cape",$C$14:$C$34,"A_E_E",$E$14:$E$34,"NI",$F$14:$F$34,"DTA")</f>
        <v>0</v>
      </c>
    </row>
    <row r="65" spans="2:16" x14ac:dyDescent="0.3">
      <c r="B65" s="31" t="s">
        <v>52</v>
      </c>
      <c r="C65" s="34">
        <f>COUNTIFS($B$14:$B$34,"Hat",$C$14:$C$34,"A_E_E",$E$14:$E$34,"SI",$F$14:$F$34,"SA")</f>
        <v>0</v>
      </c>
      <c r="D65" s="28"/>
      <c r="E65" s="31" t="s">
        <v>88</v>
      </c>
      <c r="F65" s="34">
        <f>COUNTIFS($B$14:$B$34,"Glove",$C$14:$C$34,"A_E_E",$E$14:$E$34,"SI",$F$14:$F$34,"SA")</f>
        <v>0</v>
      </c>
      <c r="G65" s="28"/>
      <c r="H65" s="31" t="s">
        <v>97</v>
      </c>
      <c r="I65" s="79">
        <f>COUNTIFS($B$14:$B$34,"Shoes",$C$14:$C$34,"A_E_E",$E$14:$E$34,"SI",$F$14:$F$34,"SA")</f>
        <v>0</v>
      </c>
      <c r="J65" s="28"/>
      <c r="K65" s="31" t="s">
        <v>106</v>
      </c>
      <c r="L65" s="79">
        <f>COUNTIFS($B$14:$B$34,"Cape",$C$14:$C$34,"A_E_E",$E$14:$E$34,"SI",$F$14:$F$34,"SA")</f>
        <v>0</v>
      </c>
      <c r="P65" s="28"/>
    </row>
    <row r="66" spans="2:16" x14ac:dyDescent="0.3">
      <c r="B66" s="38" t="s">
        <v>54</v>
      </c>
      <c r="C66" s="39">
        <f>COUNTIFS($B$14:$B$34,"Hat",$C$14:$C$34,"A_E_E",$E$14:$E$34,"SI",$F$14:$F$34,"DTA")</f>
        <v>0</v>
      </c>
      <c r="D66" s="28"/>
      <c r="E66" s="31" t="s">
        <v>89</v>
      </c>
      <c r="F66" s="34">
        <f>COUNTIFS($B$14:$B$34,"Glove",$C$14:$C$34,"A_E_E",$E$14:$E$34,"SI",$F$14:$F$34,"DTA")</f>
        <v>0</v>
      </c>
      <c r="G66" s="28"/>
      <c r="H66" s="31" t="s">
        <v>98</v>
      </c>
      <c r="I66" s="83">
        <f>COUNTIFS($B$14:$B$34,"Shoes",$C$14:$C$34,"A_E_E",$E$14:$E$34,"SI",$F$14:$F$34,"DTA")</f>
        <v>0</v>
      </c>
      <c r="J66" s="28"/>
      <c r="K66" s="31" t="s">
        <v>107</v>
      </c>
      <c r="L66" s="83">
        <f>COUNTIFS($B$14:$B$34,"Cape",$C$14:$C$34,"A_E_E",$E$14:$E$34,"SI",$F$14:$F$34,"DTA")</f>
        <v>0</v>
      </c>
      <c r="P66" s="28"/>
    </row>
    <row r="67" spans="2:16" ht="17.25" thickBot="1" x14ac:dyDescent="0.35">
      <c r="B67" s="32" t="s">
        <v>57</v>
      </c>
      <c r="C67" s="35">
        <f>COUNTIFS($B$14:$B$34,"Hat",$C$14:$C$34,"A_E_E",$E$14:$E$34,"NI",$F$14:$F$34,"DTA(80)")</f>
        <v>0</v>
      </c>
      <c r="D67" s="28"/>
      <c r="E67" s="36" t="s">
        <v>90</v>
      </c>
      <c r="F67" s="37">
        <f>COUNTIFS($B$14:$B$34,"Glove",$C$14:$C$34,"M_E_E",$E$14:$E$34,"NI",$F$14:$F$34,"DTA(80)")</f>
        <v>0</v>
      </c>
      <c r="H67" s="32" t="s">
        <v>99</v>
      </c>
      <c r="I67" s="80">
        <f>COUNTIFS($B$14:$B$34,"Shoes",$C$14:$C$34,"A_E_E",$E$14:$E$34,"NI",$F$14:$F$34,"DTA(80)")</f>
        <v>0</v>
      </c>
      <c r="J67" s="28"/>
      <c r="K67" s="32" t="s">
        <v>108</v>
      </c>
      <c r="L67" s="80">
        <f>COUNTIFS($B$14:$B$34,"Cape",$C$14:$C$34,"A_E_E",$E$14:$E$34,"NI",$F$14:$F$34,"DTA(80)")</f>
        <v>0</v>
      </c>
      <c r="P67" s="28"/>
    </row>
    <row r="68" spans="2:16" ht="17.25" thickTop="1" x14ac:dyDescent="0.3">
      <c r="M68" s="28"/>
      <c r="P68" s="28"/>
    </row>
    <row r="69" spans="2:16" x14ac:dyDescent="0.3">
      <c r="M69" s="28"/>
      <c r="P69" s="28"/>
    </row>
    <row r="70" spans="2:16" x14ac:dyDescent="0.3">
      <c r="M70" s="28"/>
      <c r="P70" s="28"/>
    </row>
  </sheetData>
  <mergeCells count="1">
    <mergeCell ref="M13:P26"/>
  </mergeCells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0"/>
  <sheetViews>
    <sheetView topLeftCell="A7" zoomScaleNormal="100" workbookViewId="0">
      <selection activeCell="M29" sqref="M29"/>
    </sheetView>
  </sheetViews>
  <sheetFormatPr defaultRowHeight="16.5" x14ac:dyDescent="0.3"/>
  <cols>
    <col min="1" max="1" width="11.375" customWidth="1"/>
    <col min="2" max="2" width="18.25" customWidth="1"/>
    <col min="3" max="10" width="16.5" customWidth="1"/>
    <col min="11" max="11" width="16.5" style="6" customWidth="1"/>
    <col min="12" max="12" width="16.5" style="73" customWidth="1"/>
    <col min="13" max="14" width="16.5" customWidth="1"/>
    <col min="15" max="15" width="18.875" customWidth="1"/>
    <col min="16" max="16" width="25.25" customWidth="1"/>
    <col min="17" max="18" width="18.875" customWidth="1"/>
    <col min="19" max="21" width="20.375" customWidth="1"/>
  </cols>
  <sheetData>
    <row r="1" spans="2:16" x14ac:dyDescent="0.3">
      <c r="I1" s="10"/>
      <c r="J1" s="10"/>
      <c r="K1" s="42"/>
      <c r="L1" s="72"/>
    </row>
    <row r="2" spans="2:16" x14ac:dyDescent="0.3">
      <c r="I2" s="10"/>
      <c r="J2" s="10"/>
      <c r="K2" s="42"/>
      <c r="L2" s="72"/>
    </row>
    <row r="3" spans="2:16" x14ac:dyDescent="0.3">
      <c r="I3" s="10"/>
      <c r="J3" s="10"/>
      <c r="K3" s="42"/>
      <c r="L3" s="72"/>
    </row>
    <row r="4" spans="2:16" x14ac:dyDescent="0.3">
      <c r="B4" s="6"/>
      <c r="I4" s="10"/>
      <c r="J4" s="10"/>
      <c r="K4" s="42"/>
      <c r="L4" s="72"/>
    </row>
    <row r="5" spans="2:16" x14ac:dyDescent="0.3">
      <c r="B5" s="7"/>
      <c r="I5" s="10"/>
      <c r="J5" s="10"/>
      <c r="K5" s="42"/>
      <c r="L5" s="72"/>
    </row>
    <row r="6" spans="2:16" x14ac:dyDescent="0.3">
      <c r="I6" s="10"/>
      <c r="J6" s="10"/>
      <c r="K6" s="42"/>
      <c r="L6" s="72"/>
    </row>
    <row r="7" spans="2:16" ht="17.25" thickBot="1" x14ac:dyDescent="0.35">
      <c r="I7" s="10"/>
      <c r="J7" s="10"/>
      <c r="K7" s="42"/>
      <c r="L7" s="72"/>
    </row>
    <row r="8" spans="2:16" ht="18" thickTop="1" thickBot="1" x14ac:dyDescent="0.35">
      <c r="B8" s="9" t="s">
        <v>11</v>
      </c>
      <c r="I8" s="10"/>
      <c r="J8" s="10"/>
      <c r="K8" s="42"/>
      <c r="L8" s="72"/>
    </row>
    <row r="9" spans="2:16" ht="18" thickTop="1" thickBot="1" x14ac:dyDescent="0.35">
      <c r="B9" s="8">
        <f ca="1">NOW()</f>
        <v>44303.754543171293</v>
      </c>
      <c r="I9" s="10"/>
      <c r="J9" s="10"/>
      <c r="K9" s="42"/>
      <c r="L9" s="72"/>
    </row>
    <row r="10" spans="2:16" ht="17.25" thickTop="1" x14ac:dyDescent="0.3">
      <c r="I10" s="10"/>
      <c r="J10" s="10"/>
      <c r="K10" s="42"/>
      <c r="L10" s="72"/>
    </row>
    <row r="11" spans="2:16" x14ac:dyDescent="0.3">
      <c r="I11" s="10"/>
      <c r="J11" s="10"/>
      <c r="K11" s="42"/>
      <c r="L11" s="72"/>
    </row>
    <row r="12" spans="2:16" ht="17.25" thickBot="1" x14ac:dyDescent="0.35">
      <c r="B12" s="7"/>
      <c r="I12" s="10"/>
      <c r="J12" s="10"/>
      <c r="K12" s="42"/>
      <c r="L12" s="72"/>
    </row>
    <row r="13" spans="2:16" ht="18" thickTop="1" thickBot="1" x14ac:dyDescent="0.35">
      <c r="B13" s="45" t="s">
        <v>7</v>
      </c>
      <c r="C13" s="46" t="s">
        <v>5</v>
      </c>
      <c r="D13" s="46" t="s">
        <v>125</v>
      </c>
      <c r="E13" s="46" t="s">
        <v>8</v>
      </c>
      <c r="F13" s="46" t="s">
        <v>9</v>
      </c>
      <c r="G13" s="46" t="s">
        <v>12</v>
      </c>
      <c r="H13" s="46" t="s">
        <v>139</v>
      </c>
      <c r="I13" s="46" t="s">
        <v>13</v>
      </c>
      <c r="J13" s="46" t="s">
        <v>10</v>
      </c>
      <c r="K13" s="49" t="s">
        <v>4</v>
      </c>
      <c r="L13" s="5"/>
      <c r="M13" s="125" t="s">
        <v>178</v>
      </c>
      <c r="N13" s="126"/>
      <c r="O13" s="126"/>
      <c r="P13" s="127"/>
    </row>
    <row r="14" spans="2:16" ht="17.25" thickTop="1" x14ac:dyDescent="0.3">
      <c r="B14" s="92" t="s">
        <v>134</v>
      </c>
      <c r="C14" s="11" t="s">
        <v>17</v>
      </c>
      <c r="D14" s="11">
        <v>5</v>
      </c>
      <c r="E14" s="11" t="s">
        <v>2</v>
      </c>
      <c r="F14" s="11" t="s">
        <v>1</v>
      </c>
      <c r="G14" s="11">
        <v>110</v>
      </c>
      <c r="H14" s="11">
        <v>10</v>
      </c>
      <c r="I14" s="11">
        <v>70</v>
      </c>
      <c r="J14" s="13">
        <v>68000</v>
      </c>
      <c r="K14" s="93">
        <v>17000</v>
      </c>
      <c r="L14" s="15"/>
      <c r="M14" s="128"/>
      <c r="N14" s="129"/>
      <c r="O14" s="129"/>
      <c r="P14" s="130"/>
    </row>
    <row r="15" spans="2:16" x14ac:dyDescent="0.3">
      <c r="B15" s="92" t="s">
        <v>109</v>
      </c>
      <c r="C15" s="11" t="s">
        <v>17</v>
      </c>
      <c r="D15" s="61">
        <v>3</v>
      </c>
      <c r="E15" s="11" t="s">
        <v>3</v>
      </c>
      <c r="F15" s="11" t="s">
        <v>6</v>
      </c>
      <c r="G15" s="11">
        <v>80</v>
      </c>
      <c r="H15" s="11">
        <v>10</v>
      </c>
      <c r="I15" s="11">
        <v>70</v>
      </c>
      <c r="J15" s="13">
        <v>38600</v>
      </c>
      <c r="K15" s="94">
        <v>13600</v>
      </c>
      <c r="L15" s="15"/>
      <c r="M15" s="128"/>
      <c r="N15" s="129"/>
      <c r="O15" s="129"/>
      <c r="P15" s="130"/>
    </row>
    <row r="16" spans="2:16" x14ac:dyDescent="0.3">
      <c r="B16" s="50" t="s">
        <v>109</v>
      </c>
      <c r="C16" s="11" t="s">
        <v>17</v>
      </c>
      <c r="D16" s="61">
        <v>3</v>
      </c>
      <c r="E16" s="11" t="s">
        <v>3</v>
      </c>
      <c r="F16" s="11" t="s">
        <v>6</v>
      </c>
      <c r="G16" s="11">
        <v>90</v>
      </c>
      <c r="H16" s="11">
        <v>10</v>
      </c>
      <c r="I16" s="11">
        <v>70</v>
      </c>
      <c r="J16" s="13">
        <v>49200</v>
      </c>
      <c r="K16" s="94">
        <v>19700</v>
      </c>
      <c r="L16" s="15"/>
      <c r="M16" s="128"/>
      <c r="N16" s="129"/>
      <c r="O16" s="129"/>
      <c r="P16" s="130"/>
    </row>
    <row r="17" spans="1:16" x14ac:dyDescent="0.3">
      <c r="B17" s="102" t="s">
        <v>147</v>
      </c>
      <c r="C17" s="97" t="s">
        <v>17</v>
      </c>
      <c r="D17" s="97">
        <v>2</v>
      </c>
      <c r="E17" s="97" t="s">
        <v>130</v>
      </c>
      <c r="F17" s="97" t="s">
        <v>129</v>
      </c>
      <c r="G17" s="97">
        <v>90</v>
      </c>
      <c r="H17" s="2">
        <v>10</v>
      </c>
      <c r="I17" s="5" t="s">
        <v>175</v>
      </c>
      <c r="J17" s="116">
        <v>45900</v>
      </c>
      <c r="K17" s="99">
        <v>19600</v>
      </c>
      <c r="L17" s="15"/>
      <c r="M17" s="128"/>
      <c r="N17" s="129"/>
      <c r="O17" s="129"/>
      <c r="P17" s="130"/>
    </row>
    <row r="18" spans="1:16" x14ac:dyDescent="0.3">
      <c r="B18" s="102" t="s">
        <v>155</v>
      </c>
      <c r="C18" s="97" t="s">
        <v>17</v>
      </c>
      <c r="D18" s="100">
        <v>5</v>
      </c>
      <c r="E18" s="97" t="s">
        <v>176</v>
      </c>
      <c r="F18" s="97" t="s">
        <v>6</v>
      </c>
      <c r="G18" s="97">
        <v>100</v>
      </c>
      <c r="H18" s="97">
        <v>10</v>
      </c>
      <c r="I18" s="11">
        <v>30</v>
      </c>
      <c r="J18" s="12">
        <v>60000</v>
      </c>
      <c r="K18" s="101">
        <v>27900</v>
      </c>
      <c r="L18" s="15"/>
      <c r="M18" s="128"/>
      <c r="N18" s="129"/>
      <c r="O18" s="129"/>
      <c r="P18" s="130"/>
    </row>
    <row r="19" spans="1:16" x14ac:dyDescent="0.3">
      <c r="B19" s="102" t="s">
        <v>133</v>
      </c>
      <c r="C19" s="97" t="s">
        <v>17</v>
      </c>
      <c r="D19" s="100">
        <v>5</v>
      </c>
      <c r="E19" s="97" t="s">
        <v>2</v>
      </c>
      <c r="F19" s="97" t="s">
        <v>6</v>
      </c>
      <c r="G19" s="97">
        <v>100</v>
      </c>
      <c r="H19" s="97">
        <v>10</v>
      </c>
      <c r="I19" s="11">
        <v>30</v>
      </c>
      <c r="J19" s="12">
        <v>85900</v>
      </c>
      <c r="K19" s="99">
        <v>51900</v>
      </c>
      <c r="L19" s="15"/>
      <c r="M19" s="128"/>
      <c r="N19" s="129"/>
      <c r="O19" s="129"/>
      <c r="P19" s="130"/>
    </row>
    <row r="20" spans="1:16" x14ac:dyDescent="0.3">
      <c r="B20" s="98" t="s">
        <v>174</v>
      </c>
      <c r="C20" s="11" t="s">
        <v>17</v>
      </c>
      <c r="D20" s="100">
        <v>3</v>
      </c>
      <c r="E20" s="11" t="s">
        <v>177</v>
      </c>
      <c r="F20" s="11" t="s">
        <v>135</v>
      </c>
      <c r="G20" s="11">
        <v>90</v>
      </c>
      <c r="H20" s="11">
        <v>10</v>
      </c>
      <c r="I20" s="11">
        <v>30</v>
      </c>
      <c r="J20" s="12">
        <v>66500</v>
      </c>
      <c r="K20" s="101">
        <v>23200</v>
      </c>
      <c r="L20" s="15"/>
      <c r="M20" s="128"/>
      <c r="N20" s="129"/>
      <c r="O20" s="129"/>
      <c r="P20" s="130"/>
    </row>
    <row r="21" spans="1:16" x14ac:dyDescent="0.3">
      <c r="B21" s="98" t="s">
        <v>174</v>
      </c>
      <c r="C21" s="11" t="s">
        <v>17</v>
      </c>
      <c r="D21" s="100">
        <v>3</v>
      </c>
      <c r="E21" s="11" t="s">
        <v>2</v>
      </c>
      <c r="F21" s="11" t="s">
        <v>1</v>
      </c>
      <c r="G21" s="11">
        <v>100</v>
      </c>
      <c r="H21" s="11">
        <v>10</v>
      </c>
      <c r="I21" s="11">
        <v>30</v>
      </c>
      <c r="J21" s="12">
        <v>78700</v>
      </c>
      <c r="K21" s="101">
        <v>23200</v>
      </c>
      <c r="L21" s="15"/>
      <c r="M21" s="128"/>
      <c r="N21" s="129"/>
      <c r="O21" s="129"/>
      <c r="P21" s="130"/>
    </row>
    <row r="22" spans="1:16" x14ac:dyDescent="0.3">
      <c r="B22" s="98"/>
      <c r="C22" s="11"/>
      <c r="D22" s="97"/>
      <c r="E22" s="11"/>
      <c r="F22" s="11"/>
      <c r="G22" s="11"/>
      <c r="H22" s="11"/>
      <c r="I22" s="11"/>
      <c r="J22" s="11"/>
      <c r="K22" s="101"/>
      <c r="L22" s="15"/>
      <c r="M22" s="128"/>
      <c r="N22" s="129"/>
      <c r="O22" s="129"/>
      <c r="P22" s="130"/>
    </row>
    <row r="23" spans="1:16" x14ac:dyDescent="0.3">
      <c r="B23" s="102"/>
      <c r="C23" s="97"/>
      <c r="D23" s="100"/>
      <c r="E23" s="97"/>
      <c r="F23" s="97"/>
      <c r="G23" s="97"/>
      <c r="H23" s="97"/>
      <c r="I23" s="11"/>
      <c r="J23" s="11"/>
      <c r="K23" s="99"/>
      <c r="L23" s="15"/>
      <c r="M23" s="128"/>
      <c r="N23" s="129"/>
      <c r="O23" s="129"/>
      <c r="P23" s="130"/>
    </row>
    <row r="24" spans="1:16" x14ac:dyDescent="0.3">
      <c r="B24" s="102"/>
      <c r="C24" s="11"/>
      <c r="D24" s="100"/>
      <c r="E24" s="11"/>
      <c r="F24" s="11"/>
      <c r="G24" s="11"/>
      <c r="H24" s="11"/>
      <c r="I24" s="11"/>
      <c r="J24" s="11"/>
      <c r="K24" s="101"/>
      <c r="L24" s="15"/>
      <c r="M24" s="128"/>
      <c r="N24" s="129"/>
      <c r="O24" s="129"/>
      <c r="P24" s="130"/>
    </row>
    <row r="25" spans="1:16" x14ac:dyDescent="0.3">
      <c r="B25" s="50"/>
      <c r="C25" s="11"/>
      <c r="D25" s="11"/>
      <c r="E25" s="11"/>
      <c r="F25" s="11"/>
      <c r="G25" s="11"/>
      <c r="H25" s="11"/>
      <c r="I25" s="11"/>
      <c r="J25" s="11"/>
      <c r="K25" s="18"/>
      <c r="L25" s="15"/>
      <c r="M25" s="128"/>
      <c r="N25" s="129"/>
      <c r="O25" s="129"/>
      <c r="P25" s="130"/>
    </row>
    <row r="26" spans="1:16" ht="17.25" thickBot="1" x14ac:dyDescent="0.35">
      <c r="A26" t="s">
        <v>124</v>
      </c>
      <c r="B26" s="50"/>
      <c r="C26" s="11"/>
      <c r="D26" s="11"/>
      <c r="E26" s="11"/>
      <c r="F26" s="11"/>
      <c r="G26" s="11"/>
      <c r="H26" s="11"/>
      <c r="I26" s="11"/>
      <c r="J26" s="11"/>
      <c r="K26" s="18"/>
      <c r="L26" s="15"/>
      <c r="M26" s="131"/>
      <c r="N26" s="132"/>
      <c r="O26" s="132"/>
      <c r="P26" s="133"/>
    </row>
    <row r="27" spans="1:16" ht="17.25" thickTop="1" x14ac:dyDescent="0.3">
      <c r="B27" s="50"/>
      <c r="C27" s="11"/>
      <c r="D27" s="11"/>
      <c r="E27" s="11"/>
      <c r="F27" s="11"/>
      <c r="G27" s="11"/>
      <c r="H27" s="11"/>
      <c r="I27" s="11"/>
      <c r="J27" s="11"/>
      <c r="K27" s="18"/>
      <c r="L27" s="15"/>
      <c r="M27" s="14"/>
      <c r="N27" s="15"/>
      <c r="O27" s="15"/>
    </row>
    <row r="28" spans="1:16" x14ac:dyDescent="0.3">
      <c r="B28" s="50"/>
      <c r="C28" s="11"/>
      <c r="D28" s="11"/>
      <c r="E28" s="11"/>
      <c r="F28" s="11"/>
      <c r="G28" s="11"/>
      <c r="H28" s="11"/>
      <c r="I28" s="11"/>
      <c r="J28" s="11"/>
      <c r="K28" s="51"/>
      <c r="L28" s="15"/>
      <c r="M28" s="14"/>
      <c r="N28" s="15"/>
      <c r="O28" s="15"/>
    </row>
    <row r="29" spans="1:16" x14ac:dyDescent="0.3">
      <c r="B29" s="50"/>
      <c r="C29" s="11"/>
      <c r="D29" s="11"/>
      <c r="E29" s="11"/>
      <c r="F29" s="11"/>
      <c r="G29" s="11"/>
      <c r="H29" s="11"/>
      <c r="I29" s="11"/>
      <c r="J29" s="11"/>
      <c r="K29" s="51"/>
      <c r="L29" s="15"/>
      <c r="M29" s="14"/>
      <c r="N29" s="15"/>
      <c r="O29" s="15"/>
    </row>
    <row r="30" spans="1:16" x14ac:dyDescent="0.3">
      <c r="B30" s="50"/>
      <c r="C30" s="11"/>
      <c r="D30" s="11"/>
      <c r="E30" s="11"/>
      <c r="F30" s="11"/>
      <c r="G30" s="11"/>
      <c r="H30" s="11"/>
      <c r="I30" s="11"/>
      <c r="J30" s="11"/>
      <c r="K30" s="51"/>
      <c r="L30" s="15"/>
      <c r="M30" s="14"/>
      <c r="N30" s="15"/>
      <c r="O30" s="15"/>
    </row>
    <row r="31" spans="1:16" x14ac:dyDescent="0.3">
      <c r="B31" s="50"/>
      <c r="C31" s="11"/>
      <c r="D31" s="11"/>
      <c r="E31" s="11"/>
      <c r="F31" s="11"/>
      <c r="G31" s="11"/>
      <c r="H31" s="11"/>
      <c r="I31" s="11"/>
      <c r="J31" s="11"/>
      <c r="K31" s="51"/>
      <c r="L31" s="15"/>
      <c r="M31" s="14"/>
      <c r="N31" s="15"/>
      <c r="O31" s="15"/>
    </row>
    <row r="32" spans="1:16" x14ac:dyDescent="0.3">
      <c r="B32" s="50"/>
      <c r="C32" s="11"/>
      <c r="D32" s="11"/>
      <c r="E32" s="11"/>
      <c r="F32" s="11"/>
      <c r="G32" s="11"/>
      <c r="H32" s="11"/>
      <c r="I32" s="11"/>
      <c r="J32" s="11"/>
      <c r="K32" s="51"/>
      <c r="L32" s="15"/>
      <c r="M32" s="14"/>
      <c r="N32" s="15"/>
      <c r="O32" s="15"/>
    </row>
    <row r="33" spans="2:25" x14ac:dyDescent="0.3">
      <c r="B33" s="50"/>
      <c r="C33" s="11"/>
      <c r="D33" s="11"/>
      <c r="E33" s="11"/>
      <c r="F33" s="11"/>
      <c r="G33" s="11"/>
      <c r="H33" s="11"/>
      <c r="I33" s="11"/>
      <c r="J33" s="11"/>
      <c r="K33" s="51"/>
      <c r="L33" s="15"/>
      <c r="M33" s="14"/>
      <c r="N33" s="15"/>
      <c r="O33" s="15"/>
    </row>
    <row r="34" spans="2:25" ht="17.25" thickBot="1" x14ac:dyDescent="0.35">
      <c r="B34" s="52"/>
      <c r="C34" s="53"/>
      <c r="D34" s="53"/>
      <c r="E34" s="53"/>
      <c r="F34" s="53"/>
      <c r="G34" s="53"/>
      <c r="H34" s="53"/>
      <c r="I34" s="53"/>
      <c r="J34" s="53"/>
      <c r="K34" s="54"/>
      <c r="L34" s="15"/>
      <c r="M34" s="14"/>
      <c r="N34" s="15"/>
      <c r="O34" s="15"/>
    </row>
    <row r="35" spans="2:25" ht="17.25" thickTop="1" x14ac:dyDescent="0.3">
      <c r="B35" s="3"/>
      <c r="C35" s="3"/>
      <c r="D35" s="3"/>
      <c r="E35" s="3"/>
      <c r="F35" s="3"/>
      <c r="G35" s="3"/>
      <c r="H35" s="3"/>
      <c r="I35" s="3"/>
      <c r="J35" s="4"/>
      <c r="K35" s="16"/>
      <c r="L35" s="15"/>
    </row>
    <row r="36" spans="2:25" x14ac:dyDescent="0.3">
      <c r="B36" s="2"/>
      <c r="C36" s="2"/>
      <c r="D36" s="2"/>
      <c r="E36" s="2"/>
      <c r="F36" s="2"/>
      <c r="G36" s="2"/>
      <c r="H36" s="2"/>
      <c r="I36" s="2"/>
      <c r="J36" s="2"/>
      <c r="K36" s="17"/>
      <c r="L36" s="15"/>
    </row>
    <row r="37" spans="2:25" ht="17.25" thickBot="1" x14ac:dyDescent="0.35"/>
    <row r="38" spans="2:25" ht="18" thickTop="1" thickBot="1" x14ac:dyDescent="0.35">
      <c r="B38" s="9" t="s">
        <v>7</v>
      </c>
      <c r="C38" s="9" t="s">
        <v>29</v>
      </c>
      <c r="D38" s="28"/>
      <c r="E38" s="9" t="s">
        <v>5</v>
      </c>
      <c r="F38" s="9" t="s">
        <v>29</v>
      </c>
      <c r="H38" s="9" t="s">
        <v>27</v>
      </c>
      <c r="I38" s="9" t="s">
        <v>28</v>
      </c>
      <c r="J38" s="28"/>
      <c r="K38" s="9" t="s">
        <v>7</v>
      </c>
      <c r="L38" s="81" t="s">
        <v>4</v>
      </c>
    </row>
    <row r="39" spans="2:25" ht="17.25" thickTop="1" x14ac:dyDescent="0.3">
      <c r="B39" s="40" t="s">
        <v>0</v>
      </c>
      <c r="C39" s="41">
        <f>COUNTIF($B$14:$B$34,"Hat")</f>
        <v>1</v>
      </c>
      <c r="D39" s="28"/>
      <c r="E39" s="30" t="s">
        <v>169</v>
      </c>
      <c r="F39" s="33">
        <f>COUNTIFS($C$14:$C$34,"T_E_R",$E$14:$E$34,"NI",$F$14:$F$34,"SA")</f>
        <v>2</v>
      </c>
      <c r="H39" s="30" t="s">
        <v>145</v>
      </c>
      <c r="I39" s="33">
        <f>COUNTIFS($G$14:$G$37,"80",$I$14:$I$37,"80")</f>
        <v>0</v>
      </c>
      <c r="J39" s="28"/>
      <c r="K39" s="25" t="str">
        <f>INDEX($B$14:$B$34,MATCH(LARGE($K$14:$K$34,1),$K$14:$K$34,0))</f>
        <v>Shoes</v>
      </c>
      <c r="L39" s="121">
        <f>LARGE($K$14:K34,1)</f>
        <v>51900</v>
      </c>
    </row>
    <row r="40" spans="2:25" x14ac:dyDescent="0.3">
      <c r="B40" s="31" t="s">
        <v>67</v>
      </c>
      <c r="C40" s="34">
        <f>COUNTIF($B$14:$B$34,"Glove")</f>
        <v>1</v>
      </c>
      <c r="D40" s="28"/>
      <c r="E40" s="31" t="s">
        <v>170</v>
      </c>
      <c r="F40" s="34">
        <f>COUNTIFS($C$14:$C$34,"T_E_R",$E$14:$E$34,"NI",$F$14:$F$34,"DTA")</f>
        <v>0</v>
      </c>
      <c r="H40" s="31" t="s">
        <v>146</v>
      </c>
      <c r="I40" s="43">
        <f>COUNTIFS($G$14:$G$37,"80",$I$14:$I$37,"30")</f>
        <v>0</v>
      </c>
      <c r="J40" s="5"/>
      <c r="K40" s="58" t="str">
        <f>INDEX($B$14:$B$34,MATCH(LARGE($K$14:$K$34,2),$K$14:$K$34,0))</f>
        <v>Glove</v>
      </c>
      <c r="L40" s="82">
        <f>LARGE($K$14:K34,2)</f>
        <v>27900</v>
      </c>
    </row>
    <row r="41" spans="2:25" x14ac:dyDescent="0.3">
      <c r="B41" s="84" t="s">
        <v>68</v>
      </c>
      <c r="C41" s="85">
        <f>COUNTIF($B$14:$B$34,"Shoes")</f>
        <v>2</v>
      </c>
      <c r="D41" s="28"/>
      <c r="E41" s="84" t="s">
        <v>171</v>
      </c>
      <c r="F41" s="85">
        <f>COUNTIFS($C$14:$C$34,"T_E_R",$E$14:$E$34,"SI",$F$14:$F$34,"SA")</f>
        <v>2</v>
      </c>
      <c r="H41" s="31" t="s">
        <v>73</v>
      </c>
      <c r="I41" s="34">
        <f>COUNTIFS($G$14:$G$37,"90",$I$14:$I$37,"70")</f>
        <v>1</v>
      </c>
      <c r="J41" s="28"/>
      <c r="K41" s="58" t="str">
        <f>INDEX($B$14:$B$34,MATCH(LARGE($K$14:$K$34,3),$K$14:$K$34,0))</f>
        <v>Cape</v>
      </c>
      <c r="L41" s="82">
        <f>LARGE($K$14:K34,3)</f>
        <v>23200</v>
      </c>
    </row>
    <row r="42" spans="2:25" ht="17.25" thickBot="1" x14ac:dyDescent="0.35">
      <c r="B42" s="59" t="s">
        <v>69</v>
      </c>
      <c r="C42" s="110">
        <f>COUNTIF($B$14:$B$34,"Cape")</f>
        <v>4</v>
      </c>
      <c r="D42" s="28"/>
      <c r="E42" s="58" t="s">
        <v>172</v>
      </c>
      <c r="F42" s="27">
        <f>COUNTIFS($C$14:$C$34,"T_E_R",$E$14:$E$34,"SI",$F$14:$F$34,"DTA")</f>
        <v>3</v>
      </c>
      <c r="H42" s="31" t="s">
        <v>144</v>
      </c>
      <c r="I42" s="43">
        <f>COUNTIFS($G$14:$G$37,"90",$I$14:$I$37,"30")</f>
        <v>1</v>
      </c>
      <c r="J42" s="5"/>
      <c r="K42" s="58" t="str">
        <f>INDEX($B$14:$B$34,MATCH(LARGE($K$14:$K$34,4),$K$14:$K$34,0))</f>
        <v>Cape</v>
      </c>
      <c r="L42" s="82">
        <f>LARGE($K$14:K34,4)</f>
        <v>23200</v>
      </c>
    </row>
    <row r="43" spans="2:25" ht="18" thickTop="1" thickBot="1" x14ac:dyDescent="0.35">
      <c r="B43" s="10"/>
      <c r="C43" s="10"/>
      <c r="D43" s="28"/>
      <c r="E43" s="31" t="s">
        <v>173</v>
      </c>
      <c r="F43" s="34">
        <f>COUNTIFS($C$14:$C$34,"T_E_E",$E$14:$E$34,"NI",$F$14:$F$34,"SA")</f>
        <v>0</v>
      </c>
      <c r="H43" s="31" t="s">
        <v>74</v>
      </c>
      <c r="I43" s="34">
        <f>COUNTIFS($G$14:$G$37,"100",$I$14:$I$37,"70")</f>
        <v>0</v>
      </c>
      <c r="J43" s="28"/>
      <c r="K43" s="90" t="str">
        <f>INDEX($B$14:$B$34,MATCH(LARGE($K$14:$K$34,5),$K$14:$K$34,0))</f>
        <v>Cape</v>
      </c>
      <c r="L43" s="96">
        <f>LARGE($K$14:K34,5)</f>
        <v>19700</v>
      </c>
      <c r="P43" s="28"/>
      <c r="Q43" s="28"/>
      <c r="R43" s="28"/>
    </row>
    <row r="44" spans="2:25" ht="17.25" thickTop="1" x14ac:dyDescent="0.3">
      <c r="B44" s="10"/>
      <c r="C44" s="10"/>
      <c r="D44" s="28"/>
      <c r="E44" s="21" t="s">
        <v>51</v>
      </c>
      <c r="F44" s="22">
        <f>COUNTIFS($C$14:$C$34,"T_E_E",$E$14:$E$34,"NI",$F$14:$F$34,"DTA")</f>
        <v>0</v>
      </c>
      <c r="H44" s="58" t="s">
        <v>143</v>
      </c>
      <c r="I44" s="55">
        <f>COUNTIFS($G$14:$G$37,"100",$I$14:$I$37,"30")</f>
        <v>3</v>
      </c>
      <c r="J44" s="5"/>
      <c r="K44" s="28"/>
      <c r="L44"/>
      <c r="P44" s="28"/>
      <c r="Q44" s="28"/>
      <c r="R44" s="28"/>
    </row>
    <row r="45" spans="2:25" x14ac:dyDescent="0.3">
      <c r="B45" s="10"/>
      <c r="C45" s="10"/>
      <c r="D45" s="28"/>
      <c r="E45" s="21" t="s">
        <v>56</v>
      </c>
      <c r="F45" s="22">
        <f>COUNTIFS($C$14:$C$34,"T_E_E",$E$14:$E$34,"NI",$F$14:$F$34,"DTA(80)")</f>
        <v>0</v>
      </c>
      <c r="H45" s="31" t="s">
        <v>152</v>
      </c>
      <c r="I45" s="34">
        <f>COUNTIFS($G$14:$G$37,"110",$I$14:$I$37,"70")</f>
        <v>1</v>
      </c>
      <c r="J45" s="28"/>
      <c r="K45"/>
      <c r="L45"/>
    </row>
    <row r="46" spans="2:25" x14ac:dyDescent="0.3">
      <c r="B46" s="10"/>
      <c r="C46" s="10"/>
      <c r="D46" s="28"/>
      <c r="E46" s="21" t="s">
        <v>53</v>
      </c>
      <c r="F46" s="22">
        <f>COUNTIFS($C$14:$C$34,"T_E_E",$E$14:$E$34,"SI",$F$14:$F$34,"SA")</f>
        <v>0</v>
      </c>
      <c r="H46" s="31" t="s">
        <v>141</v>
      </c>
      <c r="I46" s="43">
        <f>COUNTIFS($G$14:$G$37,"110",$I$14:$I$37,"30")</f>
        <v>0</v>
      </c>
      <c r="J46" s="5"/>
      <c r="K46" s="28"/>
      <c r="L46"/>
      <c r="P46" s="28"/>
    </row>
    <row r="47" spans="2:25" ht="17.25" thickBot="1" x14ac:dyDescent="0.35">
      <c r="B47" s="10"/>
      <c r="C47" s="10"/>
      <c r="D47" s="28"/>
      <c r="E47" s="23" t="s">
        <v>55</v>
      </c>
      <c r="F47" s="24">
        <f>COUNTIFS($C$14:$C$34,"T_E_E",$E$14:$E$34,"SI",$F$14:$F$34,"DTA")</f>
        <v>0</v>
      </c>
      <c r="H47" s="40" t="s">
        <v>116</v>
      </c>
      <c r="I47" s="71">
        <f>COUNTIFS($G$14:$G$37,"80",$I$14:$I$37,"PW")</f>
        <v>0</v>
      </c>
      <c r="J47" s="73"/>
      <c r="K47" s="28"/>
      <c r="L47"/>
      <c r="P47" s="28"/>
    </row>
    <row r="48" spans="2:25" ht="17.25" thickTop="1" x14ac:dyDescent="0.3">
      <c r="D48" s="95"/>
      <c r="H48" s="31" t="s">
        <v>117</v>
      </c>
      <c r="I48" s="43">
        <f>COUNTIFS($G$14:$G$37,"90",$I$14:$I$37,"PW")</f>
        <v>1</v>
      </c>
      <c r="J48" s="73"/>
      <c r="K48" s="28"/>
      <c r="L48"/>
      <c r="P48" s="28"/>
      <c r="Q48" s="5"/>
      <c r="R48" s="5"/>
      <c r="V48" s="5"/>
      <c r="W48" s="5"/>
      <c r="X48" s="14"/>
      <c r="Y48" s="15"/>
    </row>
    <row r="49" spans="2:25" x14ac:dyDescent="0.3">
      <c r="D49" s="95"/>
      <c r="H49" s="31" t="s">
        <v>118</v>
      </c>
      <c r="I49" s="63">
        <f>COUNTIFS($G$14:$G$37,"100",$I$14:$I$37,"PW")</f>
        <v>0</v>
      </c>
      <c r="J49" s="73"/>
      <c r="K49" s="28"/>
      <c r="L49"/>
      <c r="P49" s="28"/>
      <c r="Q49" s="5"/>
      <c r="R49" s="5"/>
      <c r="V49" s="5"/>
      <c r="W49" s="5"/>
      <c r="X49" s="14"/>
      <c r="Y49" s="15"/>
    </row>
    <row r="50" spans="2:25" ht="17.25" thickBot="1" x14ac:dyDescent="0.35">
      <c r="D50" s="95"/>
      <c r="H50" s="32" t="s">
        <v>142</v>
      </c>
      <c r="I50" s="44">
        <f>COUNTIFS($G$14:$G$37,"110",$I$14:$I$37,"30")+COUNTIFS($G$14:$G$37,"110",$I$14:$I$37,"PW")</f>
        <v>0</v>
      </c>
      <c r="J50" s="73"/>
      <c r="K50" s="28"/>
      <c r="L50"/>
      <c r="P50" s="28"/>
      <c r="Q50" s="5"/>
      <c r="R50" s="5"/>
      <c r="V50" s="5"/>
      <c r="W50" s="5"/>
      <c r="X50" s="14"/>
      <c r="Y50" s="15"/>
    </row>
    <row r="51" spans="2:25" ht="17.25" thickTop="1" x14ac:dyDescent="0.3">
      <c r="D51" s="95"/>
      <c r="I51" s="6"/>
      <c r="J51" s="73"/>
      <c r="K51" s="28"/>
      <c r="L51"/>
      <c r="P51" s="28"/>
      <c r="Q51" s="5"/>
      <c r="R51" s="5"/>
      <c r="V51" s="5"/>
      <c r="W51" s="5"/>
      <c r="X51" s="14"/>
      <c r="Y51" s="15"/>
    </row>
    <row r="52" spans="2:25" x14ac:dyDescent="0.3">
      <c r="D52" s="95"/>
      <c r="I52" s="6"/>
      <c r="J52" s="73"/>
      <c r="K52" s="28"/>
      <c r="L52"/>
      <c r="P52" s="28"/>
      <c r="Q52" s="5"/>
      <c r="R52" s="5"/>
      <c r="V52" s="5"/>
      <c r="W52" s="5"/>
      <c r="X52" s="14"/>
      <c r="Y52" s="15"/>
    </row>
    <row r="53" spans="2:25" x14ac:dyDescent="0.3">
      <c r="D53" s="95"/>
      <c r="I53" s="6"/>
      <c r="J53" s="73"/>
      <c r="K53" s="28"/>
      <c r="L53"/>
      <c r="P53" s="28"/>
      <c r="Q53" s="5"/>
      <c r="R53" s="5"/>
      <c r="V53" s="5"/>
      <c r="W53" s="5"/>
      <c r="X53" s="14"/>
      <c r="Y53" s="15"/>
    </row>
    <row r="54" spans="2:25" x14ac:dyDescent="0.3">
      <c r="D54" s="95"/>
      <c r="I54" s="6"/>
      <c r="J54" s="73"/>
      <c r="K54" s="28"/>
      <c r="L54"/>
      <c r="P54" s="28"/>
      <c r="Q54" s="5"/>
      <c r="R54" s="5"/>
      <c r="V54" s="5"/>
      <c r="W54" s="5"/>
      <c r="X54" s="14"/>
      <c r="Y54" s="15"/>
    </row>
    <row r="55" spans="2:25" ht="17.25" thickBot="1" x14ac:dyDescent="0.35">
      <c r="D55" s="95"/>
      <c r="I55" s="6"/>
      <c r="J55" s="73"/>
      <c r="K55" s="28"/>
      <c r="L55"/>
      <c r="P55" s="28"/>
      <c r="Q55" s="5"/>
      <c r="R55" s="5"/>
      <c r="V55" s="5"/>
      <c r="W55" s="5"/>
      <c r="X55" s="14"/>
      <c r="Y55" s="15"/>
    </row>
    <row r="56" spans="2:25" ht="18" thickTop="1" thickBot="1" x14ac:dyDescent="0.35">
      <c r="B56" s="9" t="s">
        <v>47</v>
      </c>
      <c r="C56" s="9" t="s">
        <v>29</v>
      </c>
      <c r="D56" s="89"/>
      <c r="E56" s="9" t="s">
        <v>76</v>
      </c>
      <c r="F56" s="9" t="s">
        <v>29</v>
      </c>
      <c r="G56" s="89"/>
      <c r="H56" s="76" t="s">
        <v>78</v>
      </c>
      <c r="I56" s="9" t="s">
        <v>29</v>
      </c>
      <c r="J56" s="28"/>
      <c r="K56" s="9" t="s">
        <v>80</v>
      </c>
      <c r="L56" s="77" t="s">
        <v>29</v>
      </c>
      <c r="P56" s="28"/>
      <c r="Q56" s="5"/>
      <c r="R56" s="5"/>
      <c r="V56" s="5"/>
      <c r="W56" s="5"/>
      <c r="X56" s="14"/>
      <c r="Y56" s="15"/>
    </row>
    <row r="57" spans="2:25" ht="17.25" thickTop="1" x14ac:dyDescent="0.3">
      <c r="B57" s="30" t="s">
        <v>33</v>
      </c>
      <c r="C57" s="20">
        <f>COUNTIFS($B$14:$B$34,"Hat",$C$14:$C$34,"T_E_R",$E$14:$E$34,"NI",$F$14:$F$34,"SA")</f>
        <v>0</v>
      </c>
      <c r="D57" s="28"/>
      <c r="E57" s="30" t="s">
        <v>82</v>
      </c>
      <c r="F57" s="20">
        <f>COUNTIFS($B$14:$B$34,"Glove",$C$14:$C$34,"T_E_R",$E$14:$E$34,"NI",$F$14:$F$34,"SA")</f>
        <v>0</v>
      </c>
      <c r="G57" s="28"/>
      <c r="H57" s="30" t="s">
        <v>91</v>
      </c>
      <c r="I57" s="78">
        <f>COUNTIFS($B$14:$B$34,"Shoes",$C$14:$C$34,"T_E_R",$E$14:$E$34,"NI",$F$14:$F$34,"SA")</f>
        <v>0</v>
      </c>
      <c r="J57" s="28"/>
      <c r="K57" s="25" t="s">
        <v>100</v>
      </c>
      <c r="L57" s="123">
        <f>COUNTIFS($B$14:$B$34,"Cape",$C$14:$C$34,"T_E_R",$E$14:$E$34,"NI",$F$14:$F$34,"SA")</f>
        <v>2</v>
      </c>
    </row>
    <row r="58" spans="2:25" x14ac:dyDescent="0.3">
      <c r="B58" s="31" t="s">
        <v>34</v>
      </c>
      <c r="C58" s="22">
        <f>COUNTIFS($B$14:$B$34,"Hat",$C$14:$C$34,"T_E_R",$E$14:$E$34,"NI",$F$14:$F$34,"DTA")</f>
        <v>0</v>
      </c>
      <c r="D58" s="28"/>
      <c r="E58" s="31" t="s">
        <v>83</v>
      </c>
      <c r="F58" s="34">
        <f>COUNTIFS($B$14:$B$34,"Glove",$C$14:$C$34,"T_E_R",$E$14:$E$34,"NI",$F$14:$F$34,"DTA")</f>
        <v>0</v>
      </c>
      <c r="G58" s="28"/>
      <c r="H58" s="31" t="s">
        <v>92</v>
      </c>
      <c r="I58" s="79">
        <f>COUNTIFS($B$14:$B$34,"Shoes",$C$14:$C$34,"T_E_R",$E$14:$E$34,"NI",$F$14:$F$34,"DTA")</f>
        <v>0</v>
      </c>
      <c r="J58" s="28"/>
      <c r="K58" s="31" t="s">
        <v>101</v>
      </c>
      <c r="L58" s="79">
        <f>COUNTIFS($B$14:$B$34,"Cape",$C$14:$C$34,"T_E_R",$E$14:$E$34,"NI",$F$14:$F$34,"DTA")</f>
        <v>0</v>
      </c>
      <c r="P58" s="28"/>
    </row>
    <row r="59" spans="2:25" x14ac:dyDescent="0.3">
      <c r="B59" s="31" t="s">
        <v>35</v>
      </c>
      <c r="C59" s="34">
        <f>COUNTIFS($B$14:$B$34,"Hat",$C$14:$C$34,"T_E_R",$E$14:$E$34,"SI",$F$14:$F$34,"SA")</f>
        <v>1</v>
      </c>
      <c r="D59" s="28"/>
      <c r="E59" s="31" t="s">
        <v>84</v>
      </c>
      <c r="F59" s="34">
        <f>COUNTIFS($B$14:$B$34,"Glove",$C$14:$C$34,"T_E_R",$E$14:$E$34,"SI",$F$14:$F$34,"SA")</f>
        <v>0</v>
      </c>
      <c r="G59" s="28"/>
      <c r="H59" s="31" t="s">
        <v>93</v>
      </c>
      <c r="I59" s="79">
        <f>COUNTIFS($B$14:$B$34,"Shoes",$C$14:$C$34,"T_E_R",$E$14:$E$34,"SI",$F$14:$F$34,"SA")</f>
        <v>1</v>
      </c>
      <c r="J59" s="28"/>
      <c r="K59" s="31" t="s">
        <v>102</v>
      </c>
      <c r="L59" s="79">
        <f>COUNTIFS($B$14:$B$34,"Cape",$C$14:$C$34,"T_E_R",$E$14:$E$34,"SI",$F$14:$F$34,"SA")</f>
        <v>0</v>
      </c>
      <c r="P59" s="28"/>
    </row>
    <row r="60" spans="2:25" ht="17.25" thickBot="1" x14ac:dyDescent="0.35">
      <c r="B60" s="32" t="s">
        <v>36</v>
      </c>
      <c r="C60" s="35">
        <f>COUNTIFS($B$14:$B$34,"Hat",$C$14:$C$34,"T_E_R",$E$14:$E$34,"SI",$F$14:$F$34,"DTA")</f>
        <v>0</v>
      </c>
      <c r="D60" s="28"/>
      <c r="E60" s="32" t="s">
        <v>85</v>
      </c>
      <c r="F60" s="35">
        <f>COUNTIFS($B$14:$B$34,"Glove",$C$14:$C$34,"T_E_R",$E$14:$E$34,"SI",$F$14:$F$34,"DTA")</f>
        <v>0</v>
      </c>
      <c r="G60" s="28"/>
      <c r="H60" s="32" t="s">
        <v>94</v>
      </c>
      <c r="I60" s="80">
        <f>COUNTIFS($B$14:$B$34,"Shoes",$C$14:$C$34,"T_E_R",$E$14:$E$34,"SI",$F$14:$F$34,"DTA")</f>
        <v>1</v>
      </c>
      <c r="J60" s="28"/>
      <c r="K60" s="59" t="s">
        <v>103</v>
      </c>
      <c r="L60" s="124">
        <f>COUNTIFS($B$14:$B$34,"Cape",$C$14:$C$34,"T_E_R",$E$14:$E$34,"SI",$F$14:$F$34,"DTA")</f>
        <v>2</v>
      </c>
      <c r="P60" s="28"/>
    </row>
    <row r="61" spans="2:25" ht="18" thickTop="1" thickBot="1" x14ac:dyDescent="0.35">
      <c r="D61" s="95"/>
      <c r="G61" s="120"/>
      <c r="I61" s="6"/>
      <c r="J61" s="73"/>
      <c r="K61"/>
      <c r="L61" s="6"/>
      <c r="P61" s="28"/>
    </row>
    <row r="62" spans="2:25" ht="18" thickTop="1" thickBot="1" x14ac:dyDescent="0.35">
      <c r="B62" s="9" t="s">
        <v>48</v>
      </c>
      <c r="C62" s="9" t="s">
        <v>29</v>
      </c>
      <c r="D62" s="89"/>
      <c r="E62" s="9" t="s">
        <v>77</v>
      </c>
      <c r="F62" s="9" t="s">
        <v>29</v>
      </c>
      <c r="G62" s="89"/>
      <c r="H62" s="76" t="s">
        <v>79</v>
      </c>
      <c r="I62" s="9" t="s">
        <v>29</v>
      </c>
      <c r="J62" s="28"/>
      <c r="K62" s="9" t="s">
        <v>81</v>
      </c>
      <c r="L62" s="77" t="s">
        <v>29</v>
      </c>
      <c r="P62" s="28"/>
    </row>
    <row r="63" spans="2:25" ht="17.25" thickTop="1" x14ac:dyDescent="0.3">
      <c r="B63" s="30" t="s">
        <v>49</v>
      </c>
      <c r="C63" s="33">
        <f>COUNTIFS($B$14:$B$34,"Hat",$C$14:$C$34,"T_E_E",$E$14:$E$34,"NI",$F$14:$F$34,"SA")</f>
        <v>0</v>
      </c>
      <c r="D63" s="28"/>
      <c r="E63" s="30" t="s">
        <v>86</v>
      </c>
      <c r="F63" s="33">
        <f>COUNTIFS($B$14:$B$34,"Glove",$C$14:$C$34,"T_E_E",$E$14:$E$34,"NI",$F$14:$F$34,"SA")</f>
        <v>0</v>
      </c>
      <c r="G63" s="28"/>
      <c r="H63" s="30" t="s">
        <v>95</v>
      </c>
      <c r="I63" s="78">
        <f>COUNTIFS($B$14:$B$34,"Shoes",$C$14:$C$34,"T_E_E",$E$14:$E$34,"NI",$F$14:$F$34,"SA")</f>
        <v>0</v>
      </c>
      <c r="J63" s="28"/>
      <c r="K63" s="30" t="s">
        <v>104</v>
      </c>
      <c r="L63" s="78">
        <f>COUNTIFS($B$14:$B$34,"Cape",$C$14:$C$34,"T_E_E",$E$14:$E$34,"NI",$F$14:$F$34,"SA")</f>
        <v>0</v>
      </c>
      <c r="P63" s="28"/>
    </row>
    <row r="64" spans="2:25" x14ac:dyDescent="0.3">
      <c r="B64" s="31" t="s">
        <v>50</v>
      </c>
      <c r="C64" s="34">
        <f>COUNTIFS($B$14:$B$34,"Hat",$C$14:$C$34,"T_E_E",$E$14:$E$34,"NI",$F$14:$F$34,"DTA")</f>
        <v>0</v>
      </c>
      <c r="D64" s="28"/>
      <c r="E64" s="31" t="s">
        <v>87</v>
      </c>
      <c r="F64" s="34">
        <f>COUNTIFS($B$14:$B$34,"Glove",$C$14:$C$34,"T_E_E",$E$14:$E$34,"NI",$F$14:$F$34,"DTA")</f>
        <v>0</v>
      </c>
      <c r="G64" s="28"/>
      <c r="H64" s="31" t="s">
        <v>96</v>
      </c>
      <c r="I64" s="79">
        <f>COUNTIFS($B$14:$B$34,"Shoes",$C$14:$C$34,"T_E_E",$E$14:$E$34,"NI",$F$14:$F$34,"DTA")</f>
        <v>0</v>
      </c>
      <c r="J64" s="28"/>
      <c r="K64" s="31" t="s">
        <v>105</v>
      </c>
      <c r="L64" s="79">
        <f>COUNTIFS($B$14:$B$34,"Cape",$C$14:$C$34,"T_E_E",$E$14:$E$34,"NI",$F$14:$F$34,"DTA")</f>
        <v>0</v>
      </c>
    </row>
    <row r="65" spans="2:16" ht="17.25" customHeight="1" x14ac:dyDescent="0.3">
      <c r="B65" s="31" t="s">
        <v>52</v>
      </c>
      <c r="C65" s="34">
        <f>COUNTIFS($B$14:$B$34,"Hat",$C$14:$C$34,"T_E_E",$E$14:$E$34,"SI",$F$14:$F$34,"SA")</f>
        <v>0</v>
      </c>
      <c r="D65" s="28"/>
      <c r="E65" s="31" t="s">
        <v>88</v>
      </c>
      <c r="F65" s="34">
        <f>COUNTIFS($B$14:$B$34,"Glove",$C$14:$C$34,"T_E_E",$E$14:$E$34,"SI",$F$14:$F$34,"SA")</f>
        <v>0</v>
      </c>
      <c r="G65" s="28"/>
      <c r="H65" s="31" t="s">
        <v>97</v>
      </c>
      <c r="I65" s="79">
        <f>COUNTIFS($B$14:$B$34,"Shoes",$C$14:$C$34,"T_E_E",$E$14:$E$34,"SI",$F$14:$F$34,"SA")</f>
        <v>0</v>
      </c>
      <c r="J65" s="28"/>
      <c r="K65" s="31" t="s">
        <v>106</v>
      </c>
      <c r="L65" s="79">
        <f>COUNTIFS($B$14:$B$34,"Cape",$C$14:$C$34,"T_E_E",$E$14:$E$34,"SI",$F$14:$F$34,"SA")</f>
        <v>0</v>
      </c>
      <c r="P65" s="28"/>
    </row>
    <row r="66" spans="2:16" x14ac:dyDescent="0.3">
      <c r="B66" s="38" t="s">
        <v>54</v>
      </c>
      <c r="C66" s="39">
        <f>COUNTIFS($B$14:$B$34,"Hat",$C$14:$C$34,"T_E_E",$E$14:$E$34,"SI",$F$14:$F$34,"DTA")</f>
        <v>0</v>
      </c>
      <c r="D66" s="28"/>
      <c r="E66" s="31" t="s">
        <v>89</v>
      </c>
      <c r="F66" s="34">
        <f>COUNTIFS($B$14:$B$34,"Glove",$C$14:$C$34,"T_E_E",$E$14:$E$34,"SI",$F$14:$F$34,"DTA")</f>
        <v>0</v>
      </c>
      <c r="G66" s="28"/>
      <c r="H66" s="31" t="s">
        <v>98</v>
      </c>
      <c r="I66" s="83">
        <f>COUNTIFS($B$14:$B$34,"Shoes",$C$14:$C$34,"T_E_E",$E$14:$E$34,"SI",$F$14:$F$34,"DTA")</f>
        <v>0</v>
      </c>
      <c r="J66" s="28"/>
      <c r="K66" s="31" t="s">
        <v>107</v>
      </c>
      <c r="L66" s="83">
        <f>COUNTIFS($B$14:$B$34,"Cape",$C$14:$C$34,"T_E_E",$E$14:$E$34,"SI",$F$14:$F$34,"DTA")</f>
        <v>0</v>
      </c>
      <c r="P66" s="28"/>
    </row>
    <row r="67" spans="2:16" ht="17.25" thickBot="1" x14ac:dyDescent="0.35">
      <c r="B67" s="32" t="s">
        <v>57</v>
      </c>
      <c r="C67" s="35">
        <f>COUNTIFS($B$14:$B$34,"Hat",$C$14:$C$34,"T_E_E",$E$14:$E$34,"NI",$F$14:$F$34,"DTA(80)")</f>
        <v>0</v>
      </c>
      <c r="D67" s="28"/>
      <c r="E67" s="36" t="s">
        <v>90</v>
      </c>
      <c r="F67" s="37">
        <f>COUNTIFS($B$14:$B$34,"Glove",$C$14:$C$34,"M_E_E",$E$14:$E$34,"NI",$F$14:$F$34,"DTA(80)")</f>
        <v>0</v>
      </c>
      <c r="H67" s="32" t="s">
        <v>99</v>
      </c>
      <c r="I67" s="80">
        <f>COUNTIFS($B$14:$B$34,"Shoes",$C$14:$C$34,"T_E_E",$E$14:$E$34,"NI",$F$14:$F$34,"DTA(80)")</f>
        <v>0</v>
      </c>
      <c r="J67" s="28"/>
      <c r="K67" s="32" t="s">
        <v>108</v>
      </c>
      <c r="L67" s="80">
        <f>COUNTIFS($B$14:$B$34,"Cape",$C$14:$C$34,"T_E_E",$E$14:$E$34,"NI",$F$14:$F$34,"DTA(80)")</f>
        <v>0</v>
      </c>
      <c r="P67" s="28"/>
    </row>
    <row r="68" spans="2:16" ht="17.25" thickTop="1" x14ac:dyDescent="0.3">
      <c r="M68" s="28"/>
      <c r="P68" s="28"/>
    </row>
    <row r="69" spans="2:16" x14ac:dyDescent="0.3">
      <c r="M69" s="28"/>
      <c r="P69" s="28"/>
    </row>
    <row r="70" spans="2:16" x14ac:dyDescent="0.3">
      <c r="M70" s="28"/>
      <c r="P70" s="28"/>
    </row>
  </sheetData>
  <mergeCells count="1">
    <mergeCell ref="M13:P26"/>
  </mergeCells>
  <phoneticPr fontId="1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0"/>
  <sheetViews>
    <sheetView topLeftCell="A10" workbookViewId="0">
      <selection activeCell="M30" sqref="M30"/>
    </sheetView>
  </sheetViews>
  <sheetFormatPr defaultRowHeight="16.5" x14ac:dyDescent="0.3"/>
  <cols>
    <col min="1" max="1" width="11.375" customWidth="1"/>
    <col min="2" max="2" width="18.25" customWidth="1"/>
    <col min="3" max="9" width="16.5" customWidth="1"/>
    <col min="10" max="10" width="16.5" style="6" customWidth="1"/>
    <col min="11" max="11" width="16.5" style="73" customWidth="1"/>
    <col min="12" max="13" width="16.5" customWidth="1"/>
    <col min="14" max="14" width="18.875" customWidth="1"/>
    <col min="15" max="15" width="25.25" customWidth="1"/>
    <col min="16" max="17" width="18.875" customWidth="1"/>
    <col min="18" max="20" width="20.375" customWidth="1"/>
  </cols>
  <sheetData>
    <row r="1" spans="2:15" x14ac:dyDescent="0.3">
      <c r="H1" s="10"/>
      <c r="I1" s="10"/>
      <c r="J1" s="42"/>
      <c r="K1" s="72"/>
    </row>
    <row r="2" spans="2:15" x14ac:dyDescent="0.3">
      <c r="H2" s="10"/>
      <c r="I2" s="10"/>
      <c r="J2" s="42"/>
      <c r="K2" s="72"/>
    </row>
    <row r="3" spans="2:15" x14ac:dyDescent="0.3">
      <c r="H3" s="10"/>
      <c r="I3" s="10"/>
      <c r="J3" s="42"/>
      <c r="K3" s="72"/>
    </row>
    <row r="4" spans="2:15" x14ac:dyDescent="0.3">
      <c r="B4" s="6"/>
      <c r="H4" s="10"/>
      <c r="I4" s="10"/>
      <c r="J4" s="42"/>
      <c r="K4" s="72"/>
    </row>
    <row r="5" spans="2:15" x14ac:dyDescent="0.3">
      <c r="B5" s="7"/>
      <c r="H5" s="10"/>
      <c r="I5" s="10"/>
      <c r="J5" s="42"/>
      <c r="K5" s="72"/>
    </row>
    <row r="6" spans="2:15" x14ac:dyDescent="0.3">
      <c r="H6" s="10"/>
      <c r="I6" s="10"/>
      <c r="J6" s="42"/>
      <c r="K6" s="72"/>
    </row>
    <row r="7" spans="2:15" ht="17.25" thickBot="1" x14ac:dyDescent="0.35">
      <c r="H7" s="10"/>
      <c r="I7" s="10"/>
      <c r="J7" s="42"/>
      <c r="K7" s="72"/>
    </row>
    <row r="8" spans="2:15" ht="18" thickTop="1" thickBot="1" x14ac:dyDescent="0.35">
      <c r="B8" s="9" t="s">
        <v>11</v>
      </c>
      <c r="H8" s="10"/>
      <c r="I8" s="10"/>
      <c r="J8" s="42"/>
      <c r="K8" s="72"/>
    </row>
    <row r="9" spans="2:15" ht="18" thickTop="1" thickBot="1" x14ac:dyDescent="0.35">
      <c r="B9" s="8">
        <f ca="1">NOW()</f>
        <v>44303.754543171293</v>
      </c>
      <c r="H9" s="10"/>
      <c r="I9" s="10"/>
      <c r="J9" s="42"/>
      <c r="K9" s="72"/>
    </row>
    <row r="10" spans="2:15" ht="17.25" thickTop="1" x14ac:dyDescent="0.3">
      <c r="H10" s="10"/>
      <c r="I10" s="10"/>
      <c r="J10" s="42"/>
      <c r="K10" s="72"/>
    </row>
    <row r="11" spans="2:15" x14ac:dyDescent="0.3">
      <c r="H11" s="10"/>
      <c r="I11" s="10"/>
      <c r="J11" s="42"/>
      <c r="K11" s="72"/>
    </row>
    <row r="12" spans="2:15" ht="17.25" thickBot="1" x14ac:dyDescent="0.35">
      <c r="B12" s="7"/>
      <c r="H12" s="10"/>
      <c r="I12" s="10"/>
      <c r="J12" s="42"/>
      <c r="K12" s="72"/>
    </row>
    <row r="13" spans="2:15" ht="18" customHeight="1" thickTop="1" thickBot="1" x14ac:dyDescent="0.35">
      <c r="B13" s="45" t="s">
        <v>7</v>
      </c>
      <c r="C13" s="46" t="s">
        <v>5</v>
      </c>
      <c r="D13" s="46" t="s">
        <v>8</v>
      </c>
      <c r="E13" s="46" t="s">
        <v>9</v>
      </c>
      <c r="F13" s="46" t="s">
        <v>12</v>
      </c>
      <c r="G13" s="46" t="s">
        <v>139</v>
      </c>
      <c r="H13" s="46" t="s">
        <v>13</v>
      </c>
      <c r="I13" s="46" t="s">
        <v>10</v>
      </c>
      <c r="J13" s="49" t="s">
        <v>4</v>
      </c>
      <c r="K13" s="5"/>
      <c r="L13" s="125" t="s">
        <v>182</v>
      </c>
      <c r="M13" s="126"/>
      <c r="N13" s="126"/>
      <c r="O13" s="127"/>
    </row>
    <row r="14" spans="2:15" ht="17.25" thickTop="1" x14ac:dyDescent="0.3">
      <c r="B14" s="98" t="s">
        <v>0</v>
      </c>
      <c r="C14" s="97" t="s">
        <v>148</v>
      </c>
      <c r="D14" s="97" t="s">
        <v>130</v>
      </c>
      <c r="E14" s="97" t="s">
        <v>129</v>
      </c>
      <c r="F14" s="97">
        <v>90</v>
      </c>
      <c r="G14" s="11">
        <v>10</v>
      </c>
      <c r="H14" s="11">
        <v>70</v>
      </c>
      <c r="I14" s="13">
        <v>73500</v>
      </c>
      <c r="J14" s="99">
        <v>42500</v>
      </c>
      <c r="K14" s="15"/>
      <c r="L14" s="128"/>
      <c r="M14" s="129"/>
      <c r="N14" s="129"/>
      <c r="O14" s="130"/>
    </row>
    <row r="15" spans="2:15" x14ac:dyDescent="0.3">
      <c r="B15" s="98" t="s">
        <v>133</v>
      </c>
      <c r="C15" s="97" t="s">
        <v>148</v>
      </c>
      <c r="D15" s="97" t="s">
        <v>130</v>
      </c>
      <c r="E15" s="97" t="s">
        <v>129</v>
      </c>
      <c r="F15" s="97">
        <v>90</v>
      </c>
      <c r="G15" s="11">
        <v>10</v>
      </c>
      <c r="H15" s="11">
        <v>70</v>
      </c>
      <c r="I15" s="13">
        <v>45500</v>
      </c>
      <c r="J15" s="99">
        <v>13300</v>
      </c>
      <c r="K15" s="15"/>
      <c r="L15" s="128"/>
      <c r="M15" s="129"/>
      <c r="N15" s="129"/>
      <c r="O15" s="130"/>
    </row>
    <row r="16" spans="2:15" x14ac:dyDescent="0.3">
      <c r="B16" s="102" t="s">
        <v>133</v>
      </c>
      <c r="C16" s="97" t="s">
        <v>148</v>
      </c>
      <c r="D16" s="97" t="s">
        <v>3</v>
      </c>
      <c r="E16" s="97" t="s">
        <v>1</v>
      </c>
      <c r="F16" s="97">
        <v>100</v>
      </c>
      <c r="G16" s="11">
        <v>10</v>
      </c>
      <c r="H16" s="11">
        <v>70</v>
      </c>
      <c r="I16" s="13">
        <v>48000</v>
      </c>
      <c r="J16" s="99">
        <v>17000</v>
      </c>
      <c r="K16" s="15"/>
      <c r="L16" s="128"/>
      <c r="M16" s="129"/>
      <c r="N16" s="129"/>
      <c r="O16" s="130"/>
    </row>
    <row r="17" spans="1:15" x14ac:dyDescent="0.3">
      <c r="B17" s="102" t="s">
        <v>0</v>
      </c>
      <c r="C17" s="11" t="s">
        <v>148</v>
      </c>
      <c r="D17" s="11" t="s">
        <v>179</v>
      </c>
      <c r="E17" s="11" t="s">
        <v>135</v>
      </c>
      <c r="F17" s="11">
        <v>80</v>
      </c>
      <c r="G17" s="11">
        <v>10</v>
      </c>
      <c r="H17" s="11">
        <v>30</v>
      </c>
      <c r="I17" s="12">
        <v>35600</v>
      </c>
      <c r="J17" s="99">
        <v>18100</v>
      </c>
      <c r="K17" s="15"/>
      <c r="L17" s="128"/>
      <c r="M17" s="129"/>
      <c r="N17" s="129"/>
      <c r="O17" s="130"/>
    </row>
    <row r="18" spans="1:15" x14ac:dyDescent="0.3">
      <c r="B18" s="102" t="s">
        <v>0</v>
      </c>
      <c r="C18" s="11" t="s">
        <v>148</v>
      </c>
      <c r="D18" s="11" t="s">
        <v>130</v>
      </c>
      <c r="E18" s="11" t="s">
        <v>180</v>
      </c>
      <c r="F18" s="11">
        <v>80</v>
      </c>
      <c r="G18" s="11">
        <v>10</v>
      </c>
      <c r="H18" s="11">
        <v>30</v>
      </c>
      <c r="I18" s="12">
        <v>41500</v>
      </c>
      <c r="J18" s="101">
        <v>17100</v>
      </c>
      <c r="K18" s="15"/>
      <c r="L18" s="128"/>
      <c r="M18" s="129"/>
      <c r="N18" s="129"/>
      <c r="O18" s="130"/>
    </row>
    <row r="19" spans="1:15" x14ac:dyDescent="0.3">
      <c r="B19" s="118" t="s">
        <v>181</v>
      </c>
      <c r="C19" s="100" t="s">
        <v>148</v>
      </c>
      <c r="D19" s="100" t="s">
        <v>2</v>
      </c>
      <c r="E19" s="100" t="s">
        <v>1</v>
      </c>
      <c r="F19" s="100">
        <v>100</v>
      </c>
      <c r="G19" s="61">
        <v>10</v>
      </c>
      <c r="H19" s="61">
        <v>30</v>
      </c>
      <c r="I19" s="134">
        <v>61800</v>
      </c>
      <c r="J19" s="101">
        <v>14100</v>
      </c>
      <c r="K19" s="15"/>
      <c r="L19" s="128"/>
      <c r="M19" s="129"/>
      <c r="N19" s="129"/>
      <c r="O19" s="130"/>
    </row>
    <row r="20" spans="1:15" x14ac:dyDescent="0.3">
      <c r="B20" s="102" t="s">
        <v>155</v>
      </c>
      <c r="C20" s="97" t="s">
        <v>148</v>
      </c>
      <c r="D20" s="97" t="s">
        <v>130</v>
      </c>
      <c r="E20" s="97" t="s">
        <v>129</v>
      </c>
      <c r="F20" s="97">
        <v>90</v>
      </c>
      <c r="G20" s="11">
        <v>10</v>
      </c>
      <c r="H20" s="11">
        <v>30</v>
      </c>
      <c r="I20" s="12">
        <v>54500</v>
      </c>
      <c r="J20" s="99">
        <v>21600</v>
      </c>
      <c r="K20" s="15"/>
      <c r="L20" s="128"/>
      <c r="M20" s="129"/>
      <c r="N20" s="129"/>
      <c r="O20" s="130"/>
    </row>
    <row r="21" spans="1:15" x14ac:dyDescent="0.3">
      <c r="B21" s="102" t="s">
        <v>133</v>
      </c>
      <c r="C21" s="97" t="s">
        <v>148</v>
      </c>
      <c r="D21" s="97" t="s">
        <v>179</v>
      </c>
      <c r="E21" s="97" t="s">
        <v>129</v>
      </c>
      <c r="F21" s="97">
        <v>90</v>
      </c>
      <c r="G21" s="11">
        <v>9</v>
      </c>
      <c r="H21" s="11">
        <v>30</v>
      </c>
      <c r="I21" s="12">
        <v>37700</v>
      </c>
      <c r="J21" s="99">
        <v>14000</v>
      </c>
      <c r="K21" s="15"/>
      <c r="L21" s="128"/>
      <c r="M21" s="129"/>
      <c r="N21" s="129"/>
      <c r="O21" s="130"/>
    </row>
    <row r="22" spans="1:15" x14ac:dyDescent="0.3">
      <c r="B22" s="102" t="s">
        <v>133</v>
      </c>
      <c r="C22" s="97" t="s">
        <v>148</v>
      </c>
      <c r="D22" s="97" t="s">
        <v>179</v>
      </c>
      <c r="E22" s="97" t="s">
        <v>135</v>
      </c>
      <c r="F22" s="97">
        <v>90</v>
      </c>
      <c r="G22" s="11">
        <v>8</v>
      </c>
      <c r="H22" s="11">
        <v>30</v>
      </c>
      <c r="I22" s="12">
        <v>60000</v>
      </c>
      <c r="J22" s="99">
        <v>34500</v>
      </c>
      <c r="K22" s="15"/>
      <c r="L22" s="128"/>
      <c r="M22" s="129"/>
      <c r="N22" s="129"/>
      <c r="O22" s="130"/>
    </row>
    <row r="23" spans="1:15" x14ac:dyDescent="0.3">
      <c r="B23" s="102"/>
      <c r="C23" s="97"/>
      <c r="D23" s="97"/>
      <c r="E23" s="97"/>
      <c r="F23" s="97"/>
      <c r="G23" s="97"/>
      <c r="H23" s="11"/>
      <c r="I23" s="11"/>
      <c r="J23" s="99"/>
      <c r="K23" s="15"/>
      <c r="L23" s="128"/>
      <c r="M23" s="129"/>
      <c r="N23" s="129"/>
      <c r="O23" s="130"/>
    </row>
    <row r="24" spans="1:15" x14ac:dyDescent="0.3">
      <c r="B24" s="102"/>
      <c r="C24" s="11"/>
      <c r="D24" s="11"/>
      <c r="E24" s="11"/>
      <c r="F24" s="11"/>
      <c r="G24" s="11"/>
      <c r="H24" s="11"/>
      <c r="I24" s="11"/>
      <c r="J24" s="101"/>
      <c r="K24" s="15"/>
      <c r="L24" s="128"/>
      <c r="M24" s="129"/>
      <c r="N24" s="129"/>
      <c r="O24" s="130"/>
    </row>
    <row r="25" spans="1:15" x14ac:dyDescent="0.3">
      <c r="B25" s="50"/>
      <c r="C25" s="11"/>
      <c r="D25" s="11"/>
      <c r="E25" s="11"/>
      <c r="F25" s="11"/>
      <c r="G25" s="11"/>
      <c r="H25" s="11"/>
      <c r="I25" s="11"/>
      <c r="J25" s="18"/>
      <c r="K25" s="15"/>
      <c r="L25" s="128"/>
      <c r="M25" s="129"/>
      <c r="N25" s="129"/>
      <c r="O25" s="130"/>
    </row>
    <row r="26" spans="1:15" ht="17.25" thickBot="1" x14ac:dyDescent="0.35">
      <c r="A26" t="s">
        <v>124</v>
      </c>
      <c r="B26" s="50"/>
      <c r="C26" s="11"/>
      <c r="D26" s="11"/>
      <c r="E26" s="11"/>
      <c r="F26" s="11"/>
      <c r="G26" s="11"/>
      <c r="H26" s="11"/>
      <c r="I26" s="11"/>
      <c r="J26" s="18"/>
      <c r="K26" s="15"/>
      <c r="L26" s="131"/>
      <c r="M26" s="132"/>
      <c r="N26" s="132"/>
      <c r="O26" s="133"/>
    </row>
    <row r="27" spans="1:15" ht="17.25" thickTop="1" x14ac:dyDescent="0.3">
      <c r="B27" s="50"/>
      <c r="C27" s="11"/>
      <c r="D27" s="11"/>
      <c r="E27" s="11"/>
      <c r="F27" s="11"/>
      <c r="G27" s="11"/>
      <c r="H27" s="11"/>
      <c r="I27" s="11"/>
      <c r="J27" s="18"/>
      <c r="K27" s="15"/>
      <c r="L27" s="14"/>
      <c r="M27" s="15"/>
      <c r="N27" s="15"/>
    </row>
    <row r="28" spans="1:15" x14ac:dyDescent="0.3">
      <c r="B28" s="50"/>
      <c r="C28" s="11"/>
      <c r="D28" s="11"/>
      <c r="E28" s="11"/>
      <c r="F28" s="11"/>
      <c r="G28" s="11"/>
      <c r="H28" s="11"/>
      <c r="I28" s="11"/>
      <c r="J28" s="51"/>
      <c r="K28" s="15"/>
      <c r="L28" s="14"/>
      <c r="M28" s="15"/>
      <c r="N28" s="15"/>
    </row>
    <row r="29" spans="1:15" x14ac:dyDescent="0.3">
      <c r="B29" s="50"/>
      <c r="C29" s="11"/>
      <c r="D29" s="11"/>
      <c r="E29" s="11"/>
      <c r="F29" s="11"/>
      <c r="G29" s="11"/>
      <c r="H29" s="11"/>
      <c r="I29" s="11"/>
      <c r="J29" s="51"/>
      <c r="K29" s="15"/>
      <c r="L29" s="14"/>
      <c r="M29" s="15"/>
      <c r="N29" s="15"/>
    </row>
    <row r="30" spans="1:15" x14ac:dyDescent="0.3">
      <c r="B30" s="50"/>
      <c r="C30" s="11"/>
      <c r="D30" s="11"/>
      <c r="E30" s="11"/>
      <c r="F30" s="11"/>
      <c r="G30" s="11"/>
      <c r="H30" s="11"/>
      <c r="I30" s="11"/>
      <c r="J30" s="51"/>
      <c r="K30" s="15"/>
      <c r="L30" s="14"/>
      <c r="M30" s="15"/>
      <c r="N30" s="15"/>
    </row>
    <row r="31" spans="1:15" x14ac:dyDescent="0.3">
      <c r="B31" s="50"/>
      <c r="C31" s="11"/>
      <c r="D31" s="11"/>
      <c r="E31" s="11"/>
      <c r="F31" s="11"/>
      <c r="G31" s="11"/>
      <c r="H31" s="11"/>
      <c r="I31" s="11"/>
      <c r="J31" s="51"/>
      <c r="K31" s="15"/>
      <c r="L31" s="14"/>
      <c r="M31" s="15"/>
      <c r="N31" s="15"/>
    </row>
    <row r="32" spans="1:15" x14ac:dyDescent="0.3">
      <c r="B32" s="50"/>
      <c r="C32" s="11"/>
      <c r="D32" s="11"/>
      <c r="E32" s="11"/>
      <c r="F32" s="11"/>
      <c r="G32" s="11"/>
      <c r="H32" s="11"/>
      <c r="I32" s="11"/>
      <c r="J32" s="51"/>
      <c r="K32" s="15"/>
      <c r="L32" s="14"/>
      <c r="M32" s="15"/>
      <c r="N32" s="15"/>
    </row>
    <row r="33" spans="2:24" x14ac:dyDescent="0.3">
      <c r="B33" s="50"/>
      <c r="C33" s="11"/>
      <c r="D33" s="11"/>
      <c r="E33" s="11"/>
      <c r="F33" s="11"/>
      <c r="G33" s="11"/>
      <c r="H33" s="11"/>
      <c r="I33" s="11"/>
      <c r="J33" s="51"/>
      <c r="K33" s="15"/>
      <c r="L33" s="14"/>
      <c r="M33" s="15"/>
      <c r="N33" s="15"/>
    </row>
    <row r="34" spans="2:24" ht="17.25" thickBot="1" x14ac:dyDescent="0.35">
      <c r="B34" s="52"/>
      <c r="C34" s="53"/>
      <c r="D34" s="53"/>
      <c r="E34" s="53"/>
      <c r="F34" s="53"/>
      <c r="G34" s="53"/>
      <c r="H34" s="53"/>
      <c r="I34" s="53"/>
      <c r="J34" s="54"/>
      <c r="K34" s="15"/>
      <c r="L34" s="14"/>
      <c r="M34" s="15"/>
      <c r="N34" s="15"/>
    </row>
    <row r="35" spans="2:24" ht="17.25" thickTop="1" x14ac:dyDescent="0.3">
      <c r="B35" s="3"/>
      <c r="C35" s="3"/>
      <c r="D35" s="3"/>
      <c r="E35" s="3"/>
      <c r="F35" s="3"/>
      <c r="G35" s="3"/>
      <c r="H35" s="3"/>
      <c r="I35" s="4"/>
      <c r="J35" s="16"/>
      <c r="K35" s="15"/>
    </row>
    <row r="36" spans="2:24" x14ac:dyDescent="0.3">
      <c r="B36" s="2"/>
      <c r="C36" s="2"/>
      <c r="D36" s="2"/>
      <c r="E36" s="2"/>
      <c r="F36" s="2"/>
      <c r="G36" s="2"/>
      <c r="H36" s="2"/>
      <c r="I36" s="2"/>
      <c r="J36" s="17"/>
      <c r="K36" s="15"/>
    </row>
    <row r="37" spans="2:24" ht="17.25" thickBot="1" x14ac:dyDescent="0.35"/>
    <row r="38" spans="2:24" ht="18" thickTop="1" thickBot="1" x14ac:dyDescent="0.35">
      <c r="B38" s="9" t="s">
        <v>7</v>
      </c>
      <c r="C38" s="9" t="s">
        <v>29</v>
      </c>
      <c r="E38" s="9" t="s">
        <v>5</v>
      </c>
      <c r="F38" s="9" t="s">
        <v>29</v>
      </c>
      <c r="H38" s="9" t="s">
        <v>27</v>
      </c>
      <c r="I38" s="9" t="s">
        <v>28</v>
      </c>
      <c r="J38" s="28"/>
      <c r="K38" s="9" t="s">
        <v>7</v>
      </c>
      <c r="L38" s="81" t="s">
        <v>4</v>
      </c>
    </row>
    <row r="39" spans="2:24" ht="17.25" thickTop="1" x14ac:dyDescent="0.3">
      <c r="B39" s="64" t="s">
        <v>0</v>
      </c>
      <c r="C39" s="86">
        <f>COUNTIF($B$14:$B$34,"Hat")</f>
        <v>4</v>
      </c>
      <c r="E39" s="30" t="s">
        <v>19</v>
      </c>
      <c r="F39" s="33">
        <f>COUNTIFS($C$14:$C$34,"W_E_R",$D$14:$D$34,"NI",$E$14:$E$34,"SA")</f>
        <v>1</v>
      </c>
      <c r="H39" s="30" t="s">
        <v>145</v>
      </c>
      <c r="I39" s="33">
        <f>COUNTIFS($F$14:$F$37,"80",$H$14:$H$37,"80")</f>
        <v>0</v>
      </c>
      <c r="J39" s="28"/>
      <c r="K39" s="75" t="str">
        <f>INDEX($B$14:$B$34,MATCH(LARGE($J$14:$J$34,1),$J$14:$J$34,0))</f>
        <v>Hat</v>
      </c>
      <c r="L39" s="106">
        <f>LARGE($J$14:J34,1)</f>
        <v>42500</v>
      </c>
    </row>
    <row r="40" spans="2:24" x14ac:dyDescent="0.3">
      <c r="B40" s="84" t="s">
        <v>67</v>
      </c>
      <c r="C40" s="85">
        <f>COUNTIF($B$14:$B$34,"Glove")</f>
        <v>1</v>
      </c>
      <c r="E40" s="84" t="s">
        <v>20</v>
      </c>
      <c r="F40" s="85">
        <f>COUNTIFS($C$14:$C$34,"W_E_R",$D$14:$D$34,"NI",$E$14:$E$34,"DTA")</f>
        <v>3</v>
      </c>
      <c r="H40" s="84" t="s">
        <v>146</v>
      </c>
      <c r="I40" s="88">
        <f>COUNTIFS($F$14:$F$37,"80",$H$14:$H$37,"30")</f>
        <v>2</v>
      </c>
      <c r="J40" s="5"/>
      <c r="K40" s="58" t="str">
        <f>INDEX($B$14:$B$34,MATCH(LARGE($J$14:$J$34,2),$J$14:$J$34,0))</f>
        <v>Shoes</v>
      </c>
      <c r="L40" s="82">
        <f>LARGE($J$14:J34,2)</f>
        <v>34500</v>
      </c>
    </row>
    <row r="41" spans="2:24" x14ac:dyDescent="0.3">
      <c r="B41" s="58" t="s">
        <v>68</v>
      </c>
      <c r="C41" s="27">
        <f>COUNTIF($B$14:$B$34,"Shoes")</f>
        <v>4</v>
      </c>
      <c r="E41" s="58" t="s">
        <v>111</v>
      </c>
      <c r="F41" s="27">
        <f>COUNTIFS($C$14:$C$34,"W_E_R",$D$14:$D$34,"SI",$E$14:$E$34,"SA")</f>
        <v>4</v>
      </c>
      <c r="H41" s="84" t="s">
        <v>150</v>
      </c>
      <c r="I41" s="85">
        <f>COUNTIFS($F$14:$F$37,"90",$H$14:$H$37,"70")</f>
        <v>2</v>
      </c>
      <c r="J41" s="28"/>
      <c r="K41" s="58" t="str">
        <f>INDEX($B$14:$B$34,MATCH(LARGE($J$14:$J$34,3),$J$14:$J$34,0))</f>
        <v>Glove</v>
      </c>
      <c r="L41" s="82">
        <f>LARGE($J$14:J34,3)</f>
        <v>21600</v>
      </c>
    </row>
    <row r="42" spans="2:24" ht="17.25" thickBot="1" x14ac:dyDescent="0.35">
      <c r="B42" s="23" t="s">
        <v>69</v>
      </c>
      <c r="C42" s="35">
        <f>COUNTIF($B$14:$B$34,"Cape")</f>
        <v>0</v>
      </c>
      <c r="E42" s="31" t="s">
        <v>21</v>
      </c>
      <c r="F42" s="34">
        <f>COUNTIFS($C$14:$C$34,"W_E_R",$D$14:$D$34,"SI",$E$14:$E$34,"DTA")</f>
        <v>1</v>
      </c>
      <c r="H42" s="58" t="s">
        <v>144</v>
      </c>
      <c r="I42" s="55">
        <f>COUNTIFS($F$14:$F$37,"90",$H$14:$H$37,"30")</f>
        <v>3</v>
      </c>
      <c r="J42" s="5"/>
      <c r="K42" s="58" t="str">
        <f>INDEX($B$14:$B$34,MATCH(LARGE($J$14:$J$34,4),$J$14:$J$34,0))</f>
        <v>Hat</v>
      </c>
      <c r="L42" s="82">
        <f>LARGE($J$14:J34,4)</f>
        <v>18100</v>
      </c>
    </row>
    <row r="43" spans="2:24" ht="18" thickTop="1" thickBot="1" x14ac:dyDescent="0.35">
      <c r="B43" s="10"/>
      <c r="C43" s="10"/>
      <c r="E43" s="31" t="s">
        <v>22</v>
      </c>
      <c r="F43" s="34">
        <f>COUNTIFS($C$14:$C$34,"W_E_E",$D$14:$D$34,"NI",$E$14:$E$34,"SA")</f>
        <v>0</v>
      </c>
      <c r="H43" s="31" t="s">
        <v>151</v>
      </c>
      <c r="I43" s="34">
        <f>COUNTIFS($F$14:$F$37,"100",$H$14:$H$37,"70")</f>
        <v>1</v>
      </c>
      <c r="J43" s="28"/>
      <c r="K43" s="59" t="str">
        <f>INDEX($B$14:$B$34,MATCH(LARGE($J$14:$J$34,5),$J$14:$J$34,0))</f>
        <v>Hat</v>
      </c>
      <c r="L43" s="135">
        <f>LARGE($J$14:J34,5)</f>
        <v>17100</v>
      </c>
    </row>
    <row r="44" spans="2:24" ht="17.25" thickTop="1" x14ac:dyDescent="0.3">
      <c r="B44" s="10"/>
      <c r="C44" s="10"/>
      <c r="E44" s="21" t="s">
        <v>23</v>
      </c>
      <c r="F44" s="22">
        <f>COUNTIFS($C$14:$C$34,"W_E_E",$D$14:$D$34,"NI",$E$14:$E$34,"DTA")</f>
        <v>0</v>
      </c>
      <c r="H44" s="31" t="s">
        <v>143</v>
      </c>
      <c r="I44" s="43">
        <f>COUNTIFS($F$14:$F$37,"100",$H$14:$H$37,"30")</f>
        <v>1</v>
      </c>
      <c r="J44" s="5"/>
      <c r="K44" s="28"/>
    </row>
    <row r="45" spans="2:24" x14ac:dyDescent="0.3">
      <c r="B45" s="10"/>
      <c r="C45" s="10"/>
      <c r="E45" s="21" t="s">
        <v>24</v>
      </c>
      <c r="F45" s="22">
        <f>COUNTIFS($C$14:$C$34,"W_E_E",$D$14:$D$34,"NI",$E$14:$E$34,"DTA(80)")</f>
        <v>0</v>
      </c>
      <c r="H45" s="31" t="s">
        <v>152</v>
      </c>
      <c r="I45" s="34">
        <f>COUNTIFS($F$14:$F$37,"110",$H$14:$H$37,"70")</f>
        <v>0</v>
      </c>
      <c r="J45" s="28"/>
      <c r="K45"/>
    </row>
    <row r="46" spans="2:24" x14ac:dyDescent="0.3">
      <c r="B46" s="10"/>
      <c r="C46" s="10"/>
      <c r="E46" s="21" t="s">
        <v>25</v>
      </c>
      <c r="F46" s="22">
        <f>COUNTIFS($C$14:$C$34,"W_E_E",$D$14:$D$34,"SI",$E$14:$E$34,"SA")</f>
        <v>0</v>
      </c>
      <c r="H46" s="31" t="s">
        <v>141</v>
      </c>
      <c r="I46" s="43">
        <f>COUNTIFS($F$14:$F$37,"110",$H$14:$H$37,"30")</f>
        <v>0</v>
      </c>
      <c r="J46" s="5"/>
      <c r="K46" s="28"/>
    </row>
    <row r="47" spans="2:24" ht="17.25" thickBot="1" x14ac:dyDescent="0.35">
      <c r="B47" s="10"/>
      <c r="C47" s="10"/>
      <c r="E47" s="23" t="s">
        <v>26</v>
      </c>
      <c r="F47" s="24">
        <f>COUNTIFS($C$14:$C$34,"W_E_E",$D$14:$D$34,"SI",$E$14:$E$34,"DTA")</f>
        <v>0</v>
      </c>
      <c r="H47" s="40" t="s">
        <v>116</v>
      </c>
      <c r="I47" s="71">
        <f>COUNTIFS($F$14:$F$37,"80",$H$14:$H$37,"PW")</f>
        <v>0</v>
      </c>
      <c r="J47" s="73"/>
      <c r="K47" s="28"/>
    </row>
    <row r="48" spans="2:24" ht="17.25" thickTop="1" x14ac:dyDescent="0.3">
      <c r="H48" s="31" t="s">
        <v>117</v>
      </c>
      <c r="I48" s="43">
        <f>COUNTIFS($F$14:$F$37,"90",$H$14:$H$37,"PW")</f>
        <v>0</v>
      </c>
      <c r="J48" s="73"/>
      <c r="K48" s="28"/>
      <c r="U48" s="5"/>
      <c r="V48" s="5"/>
      <c r="W48" s="14"/>
      <c r="X48" s="15"/>
    </row>
    <row r="49" spans="2:24" x14ac:dyDescent="0.3">
      <c r="H49" s="31" t="s">
        <v>118</v>
      </c>
      <c r="I49" s="63">
        <f>COUNTIFS($F$14:$F$37,"100",$H$14:$H$37,"PW")</f>
        <v>0</v>
      </c>
      <c r="J49" s="73"/>
      <c r="K49" s="28"/>
      <c r="U49" s="5"/>
      <c r="V49" s="5"/>
      <c r="W49" s="14"/>
      <c r="X49" s="15"/>
    </row>
    <row r="50" spans="2:24" ht="17.25" thickBot="1" x14ac:dyDescent="0.35">
      <c r="H50" s="32" t="s">
        <v>142</v>
      </c>
      <c r="I50" s="44">
        <f>COUNTIFS($F$14:$F$37,"110",$H$14:$H$37,"30")+COUNTIFS($F$14:$F$37,"110",$H$14:$H$37,"PW")</f>
        <v>0</v>
      </c>
      <c r="J50" s="73"/>
      <c r="K50" s="28"/>
      <c r="U50" s="5"/>
      <c r="V50" s="5"/>
      <c r="W50" s="14"/>
      <c r="X50" s="15"/>
    </row>
    <row r="51" spans="2:24" ht="17.25" thickTop="1" x14ac:dyDescent="0.3">
      <c r="I51" s="6"/>
      <c r="J51" s="73"/>
      <c r="K51" s="28"/>
      <c r="U51" s="5"/>
      <c r="V51" s="5"/>
      <c r="W51" s="14"/>
      <c r="X51" s="15"/>
    </row>
    <row r="52" spans="2:24" x14ac:dyDescent="0.3">
      <c r="I52" s="6"/>
      <c r="J52" s="73"/>
      <c r="K52" s="28"/>
      <c r="U52" s="5"/>
      <c r="V52" s="5"/>
      <c r="W52" s="14"/>
      <c r="X52" s="15"/>
    </row>
    <row r="53" spans="2:24" x14ac:dyDescent="0.3">
      <c r="I53" s="6"/>
      <c r="J53" s="73"/>
      <c r="K53" s="28"/>
      <c r="U53" s="5"/>
      <c r="V53" s="5"/>
      <c r="W53" s="14"/>
      <c r="X53" s="15"/>
    </row>
    <row r="54" spans="2:24" x14ac:dyDescent="0.3">
      <c r="I54" s="6"/>
      <c r="J54" s="73"/>
      <c r="K54" s="28"/>
      <c r="U54" s="5"/>
      <c r="V54" s="5"/>
      <c r="W54" s="14"/>
      <c r="X54" s="15"/>
    </row>
    <row r="55" spans="2:24" ht="17.25" thickBot="1" x14ac:dyDescent="0.35">
      <c r="I55" s="6"/>
      <c r="J55" s="73"/>
      <c r="K55" s="28"/>
      <c r="U55" s="5"/>
      <c r="V55" s="5"/>
      <c r="W55" s="14"/>
      <c r="X55" s="15"/>
    </row>
    <row r="56" spans="2:24" ht="18" thickTop="1" thickBot="1" x14ac:dyDescent="0.35">
      <c r="B56" s="9" t="s">
        <v>47</v>
      </c>
      <c r="C56" s="9" t="s">
        <v>29</v>
      </c>
      <c r="E56" s="9" t="s">
        <v>76</v>
      </c>
      <c r="F56" s="9" t="s">
        <v>29</v>
      </c>
      <c r="G56" s="89"/>
      <c r="H56" s="76" t="s">
        <v>78</v>
      </c>
      <c r="I56" s="9" t="s">
        <v>29</v>
      </c>
      <c r="J56" s="28"/>
      <c r="K56" s="9" t="s">
        <v>80</v>
      </c>
      <c r="L56" s="77" t="s">
        <v>29</v>
      </c>
      <c r="U56" s="5"/>
      <c r="V56" s="5"/>
      <c r="W56" s="14"/>
      <c r="X56" s="15"/>
    </row>
    <row r="57" spans="2:24" ht="17.25" thickTop="1" x14ac:dyDescent="0.3">
      <c r="B57" s="30" t="s">
        <v>33</v>
      </c>
      <c r="C57" s="20">
        <f>COUNTIFS($B$14:$B$34,"Hat",$C$14:$C$34,"W_E_R",$D$14:$D$34,"NI",$E$14:$E$34,"SA")</f>
        <v>0</v>
      </c>
      <c r="E57" s="30" t="s">
        <v>82</v>
      </c>
      <c r="F57" s="20">
        <f>COUNTIFS($B$14:$B$34,"Glove",$C$14:$C$34,"W_E_R",$D$14:$D$34,"NI",$E$14:$E$34,"SA")</f>
        <v>0</v>
      </c>
      <c r="G57" s="28"/>
      <c r="H57" s="30" t="s">
        <v>91</v>
      </c>
      <c r="I57" s="78">
        <f>COUNTIFS($B$14:$B$34,"Shoes",$C$14:$C$34,"W_E_R",$D$14:$D$34,"NI",$E$14:$E$34,"SA")</f>
        <v>1</v>
      </c>
      <c r="J57" s="28"/>
      <c r="K57" s="30" t="s">
        <v>100</v>
      </c>
      <c r="L57" s="78">
        <f>COUNTIFS($B$14:$B$34,"Cape",$C$14:$C$34,"W_E_R",$D$14:$D$34,"NI",$E$14:$E$34,"SA")</f>
        <v>0</v>
      </c>
    </row>
    <row r="58" spans="2:24" x14ac:dyDescent="0.3">
      <c r="B58" s="31" t="s">
        <v>34</v>
      </c>
      <c r="C58" s="22">
        <f>COUNTIFS($B$14:$B$34,"Hat",$C$14:$C$34,"W_E_R",$D$14:$D$34,"NI",$E$14:$E$34,"DTA")</f>
        <v>1</v>
      </c>
      <c r="E58" s="31" t="s">
        <v>83</v>
      </c>
      <c r="F58" s="34">
        <f>COUNTIFS($B$14:$B$34,"Glove",$C$14:$C$34,"W_E_R",$D$14:$D$34,"NI",$E$14:$E$34,"DTA")</f>
        <v>0</v>
      </c>
      <c r="G58" s="28"/>
      <c r="H58" s="58" t="s">
        <v>92</v>
      </c>
      <c r="I58" s="122">
        <f>COUNTIFS($B$14:$B$34,"Shoes",$C$14:$C$34,"W_E_R",$D$14:$D$34,"NI",$E$14:$E$34,"DTA")</f>
        <v>2</v>
      </c>
      <c r="J58" s="28"/>
      <c r="K58" s="31" t="s">
        <v>101</v>
      </c>
      <c r="L58" s="79">
        <f>COUNTIFS($B$14:$B$34,"Cape",$C$14:$C$34,"W_E_R",$D$14:$D$34,"NI",$E$14:$E$34,"DTA")</f>
        <v>0</v>
      </c>
    </row>
    <row r="59" spans="2:24" x14ac:dyDescent="0.3">
      <c r="B59" s="58" t="s">
        <v>35</v>
      </c>
      <c r="C59" s="27">
        <f>COUNTIFS($B$14:$B$34,"Hat",$C$14:$C$34,"W_E_R",$D$14:$D$34,"SI",$E$14:$E$34,"SA")</f>
        <v>2</v>
      </c>
      <c r="E59" s="31" t="s">
        <v>84</v>
      </c>
      <c r="F59" s="34">
        <f>COUNTIFS($B$14:$B$34,"Glove",$C$14:$C$34,"W_E_R",$D$14:$D$34,"SI",$E$14:$E$34,"SA")</f>
        <v>1</v>
      </c>
      <c r="G59" s="28"/>
      <c r="H59" s="31" t="s">
        <v>93</v>
      </c>
      <c r="I59" s="79">
        <f>COUNTIFS($B$14:$B$34,"Shoes",$C$14:$C$34,"W_E_R",$D$14:$D$34,"SI",$E$14:$E$34,"SA")</f>
        <v>1</v>
      </c>
      <c r="J59" s="28"/>
      <c r="K59" s="31" t="s">
        <v>102</v>
      </c>
      <c r="L59" s="79">
        <f>COUNTIFS($B$14:$B$34,"Cape",$C$14:$C$34,"W_E_R",$D$14:$D$34,"SI",$E$14:$E$34,"SA")</f>
        <v>0</v>
      </c>
    </row>
    <row r="60" spans="2:24" ht="17.25" thickBot="1" x14ac:dyDescent="0.35">
      <c r="B60" s="32" t="s">
        <v>36</v>
      </c>
      <c r="C60" s="35">
        <f>COUNTIFS($B$14:$B$34,"Hat",$C$14:$C$34,"W_E_R",$D$14:$D$34,"SI",$E$14:$E$34,"DTA")</f>
        <v>1</v>
      </c>
      <c r="E60" s="32" t="s">
        <v>85</v>
      </c>
      <c r="F60" s="35">
        <f>COUNTIFS($B$14:$B$34,"Glove",$C$14:$C$34,"W_E_R",$D$14:$D$34,"SI",$E$14:$E$34,"DTA")</f>
        <v>0</v>
      </c>
      <c r="G60" s="28"/>
      <c r="H60" s="32" t="s">
        <v>94</v>
      </c>
      <c r="I60" s="80">
        <f>COUNTIFS($B$14:$B$34,"Shoes",$C$14:$C$34,"W_E_R",$D$14:$D$34,"SI",$E$14:$E$34,"DTA")</f>
        <v>0</v>
      </c>
      <c r="J60" s="28"/>
      <c r="K60" s="32" t="s">
        <v>103</v>
      </c>
      <c r="L60" s="80">
        <f>COUNTIFS($B$14:$B$34,"Cape",$C$14:$C$34,"W_E_R",$D$14:$D$34,"SI",$E$14:$E$34,"DTA")</f>
        <v>0</v>
      </c>
    </row>
    <row r="61" spans="2:24" ht="18" thickTop="1" thickBot="1" x14ac:dyDescent="0.35">
      <c r="G61" s="120"/>
      <c r="I61" s="6"/>
      <c r="J61" s="73"/>
      <c r="K61"/>
      <c r="L61" s="6"/>
    </row>
    <row r="62" spans="2:24" ht="18" thickTop="1" thickBot="1" x14ac:dyDescent="0.35">
      <c r="B62" s="9" t="s">
        <v>48</v>
      </c>
      <c r="C62" s="9" t="s">
        <v>29</v>
      </c>
      <c r="E62" s="9" t="s">
        <v>77</v>
      </c>
      <c r="F62" s="9" t="s">
        <v>29</v>
      </c>
      <c r="G62" s="89"/>
      <c r="H62" s="76" t="s">
        <v>79</v>
      </c>
      <c r="I62" s="9" t="s">
        <v>29</v>
      </c>
      <c r="J62" s="28"/>
      <c r="K62" s="9" t="s">
        <v>81</v>
      </c>
      <c r="L62" s="77" t="s">
        <v>29</v>
      </c>
    </row>
    <row r="63" spans="2:24" ht="17.25" thickTop="1" x14ac:dyDescent="0.3">
      <c r="B63" s="30" t="s">
        <v>49</v>
      </c>
      <c r="C63" s="33">
        <f>COUNTIFS($B$14:$B$34,"Hat",$C$14:$C$34,"W_E_E",$D$14:$D$34,"NI",$E$14:$E$34,"SA")</f>
        <v>0</v>
      </c>
      <c r="E63" s="30" t="s">
        <v>86</v>
      </c>
      <c r="F63" s="33">
        <f>COUNTIFS($B$14:$B$34,"Glove",$C$14:$C$34,"W_E_E",$D$14:$D$34,"NI",$E$14:$E$34,"SA")</f>
        <v>0</v>
      </c>
      <c r="G63" s="28"/>
      <c r="H63" s="30" t="s">
        <v>95</v>
      </c>
      <c r="I63" s="78">
        <f>COUNTIFS($B$14:$B$34,"Shoes",$C$14:$C$34,"W_E_E",$D$14:$D$34,"NI",$E$14:$E$34,"SA")</f>
        <v>0</v>
      </c>
      <c r="J63" s="28"/>
      <c r="K63" s="30" t="s">
        <v>104</v>
      </c>
      <c r="L63" s="78">
        <f>COUNTIFS($B$14:$B$34,"Cape",$C$14:$C$34,"W_E_E",$D$14:$D$34,"NI",$E$14:$E$34,"SA")</f>
        <v>0</v>
      </c>
    </row>
    <row r="64" spans="2:24" x14ac:dyDescent="0.3">
      <c r="B64" s="31" t="s">
        <v>50</v>
      </c>
      <c r="C64" s="34">
        <f>COUNTIFS($B$14:$B$34,"Hat",$C$14:$C$34,"W_E_E",$D$14:$D$34,"NI",$E$14:$E$34,"DTA")</f>
        <v>0</v>
      </c>
      <c r="E64" s="31" t="s">
        <v>87</v>
      </c>
      <c r="F64" s="34">
        <f>COUNTIFS($B$14:$B$34,"Glove",$C$14:$C$34,"W_E_E",$D$14:$D$34,"NI",$E$14:$E$34,"DTA")</f>
        <v>0</v>
      </c>
      <c r="G64" s="28"/>
      <c r="H64" s="31" t="s">
        <v>96</v>
      </c>
      <c r="I64" s="79">
        <f>COUNTIFS($B$14:$B$34,"Shoes",$C$14:$C$34,"W_E_E",$D$14:$D$34,"NI",$E$14:$E$34,"DTA")</f>
        <v>0</v>
      </c>
      <c r="J64" s="28"/>
      <c r="K64" s="31" t="s">
        <v>105</v>
      </c>
      <c r="L64" s="79">
        <f>COUNTIFS($B$14:$B$34,"Cape",$C$14:$C$34,"W_E_E",$D$14:$D$34,"NI",$E$14:$E$34,"DTA")</f>
        <v>0</v>
      </c>
    </row>
    <row r="65" spans="2:15" x14ac:dyDescent="0.3">
      <c r="B65" s="31" t="s">
        <v>52</v>
      </c>
      <c r="C65" s="34">
        <f>COUNTIFS($B$14:$B$34,"Hat",$C$14:$C$34,"W_E_E",$D$14:$D$34,"SI",$E$14:$E$34,"SA")</f>
        <v>0</v>
      </c>
      <c r="E65" s="31" t="s">
        <v>88</v>
      </c>
      <c r="F65" s="34">
        <f>COUNTIFS($B$14:$B$34,"Glove",$C$14:$C$34,"W_E_E",$D$14:$D$34,"SI",$E$14:$E$34,"SA")</f>
        <v>0</v>
      </c>
      <c r="G65" s="28"/>
      <c r="H65" s="31" t="s">
        <v>97</v>
      </c>
      <c r="I65" s="79">
        <f>COUNTIFS($B$14:$B$34,"Shoes",$C$14:$C$34,"W_E_E",$D$14:$D$34,"SI",$E$14:$E$34,"SA")</f>
        <v>0</v>
      </c>
      <c r="J65" s="28"/>
      <c r="K65" s="31" t="s">
        <v>106</v>
      </c>
      <c r="L65" s="79">
        <f>COUNTIFS($B$14:$B$34,"Cape",$C$14:$C$34,"W_E_E",$D$14:$D$34,"SI",$E$14:$E$34,"SA")</f>
        <v>0</v>
      </c>
    </row>
    <row r="66" spans="2:15" x14ac:dyDescent="0.3">
      <c r="B66" s="38" t="s">
        <v>54</v>
      </c>
      <c r="C66" s="39">
        <f>COUNTIFS($B$14:$B$34,"Hat",$C$14:$C$34,"W_E_E",$D$14:$D$34,"SI",$E$14:$E$34,"DTA")</f>
        <v>0</v>
      </c>
      <c r="E66" s="31" t="s">
        <v>89</v>
      </c>
      <c r="F66" s="34">
        <f>COUNTIFS($B$14:$B$34,"Glove",$C$14:$C$34,"W_E_E",$D$14:$D$34,"SI",$E$14:$E$34,"DTA")</f>
        <v>0</v>
      </c>
      <c r="G66" s="28"/>
      <c r="H66" s="31" t="s">
        <v>98</v>
      </c>
      <c r="I66" s="83">
        <f>COUNTIFS($B$14:$B$34,"Shoes",$C$14:$C$34,"W_E_E",$D$14:$D$34,"SI",$E$14:$E$34,"DTA")</f>
        <v>0</v>
      </c>
      <c r="J66" s="28"/>
      <c r="K66" s="31" t="s">
        <v>107</v>
      </c>
      <c r="L66" s="83">
        <f>COUNTIFS($B$14:$B$34,"Cape",$C$14:$C$34,"W_E_E",$D$14:$D$34,"SI",$E$14:$E$34,"DTA")</f>
        <v>0</v>
      </c>
    </row>
    <row r="67" spans="2:15" ht="17.25" thickBot="1" x14ac:dyDescent="0.35">
      <c r="B67" s="32" t="s">
        <v>57</v>
      </c>
      <c r="C67" s="35">
        <f>COUNTIFS($B$14:$B$34,"Hat",$C$14:$C$34,"W_E_E",$D$14:$D$34,"NI",$E$14:$E$34,"DTA(80)")</f>
        <v>0</v>
      </c>
      <c r="E67" s="36" t="s">
        <v>90</v>
      </c>
      <c r="F67" s="37">
        <f>COUNTIFS($B$14:$B$34,"Glove",$C$14:$C$34,"M_E_E",$D$14:$D$34,"NI",$E$14:$E$34,"DTA(80)")</f>
        <v>0</v>
      </c>
      <c r="H67" s="32" t="s">
        <v>99</v>
      </c>
      <c r="I67" s="80">
        <f>COUNTIFS($B$14:$B$34,"Shoes",$C$14:$C$34,"W_E_E",$D$14:$D$34,"NI",$E$14:$E$34,"DTA(80)")</f>
        <v>0</v>
      </c>
      <c r="J67" s="28"/>
      <c r="K67" s="32" t="s">
        <v>108</v>
      </c>
      <c r="L67" s="80">
        <f>COUNTIFS($B$14:$B$34,"Cape",$C$14:$C$34,"W_E_E",$D$14:$D$34,"NI",$E$14:$E$34,"DTA(80)")</f>
        <v>0</v>
      </c>
    </row>
    <row r="68" spans="2:15" ht="17.25" thickTop="1" x14ac:dyDescent="0.3">
      <c r="L68" s="28"/>
      <c r="O68" s="28"/>
    </row>
    <row r="69" spans="2:15" x14ac:dyDescent="0.3">
      <c r="L69" s="28"/>
      <c r="O69" s="28"/>
    </row>
    <row r="70" spans="2:15" x14ac:dyDescent="0.3">
      <c r="L70" s="28"/>
      <c r="O70" s="28"/>
    </row>
  </sheetData>
  <mergeCells count="1">
    <mergeCell ref="L13:O26"/>
  </mergeCells>
  <phoneticPr fontId="1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61"/>
  <sheetViews>
    <sheetView tabSelected="1" workbookViewId="0">
      <selection activeCell="M30" sqref="M30"/>
    </sheetView>
  </sheetViews>
  <sheetFormatPr defaultRowHeight="16.5" x14ac:dyDescent="0.3"/>
  <cols>
    <col min="1" max="1" width="11.375" customWidth="1"/>
    <col min="2" max="2" width="18.25" customWidth="1"/>
    <col min="3" max="10" width="16.5" customWidth="1"/>
    <col min="11" max="11" width="16.5" style="6" customWidth="1"/>
    <col min="12" max="12" width="16.5" style="73" customWidth="1"/>
    <col min="13" max="13" width="16.5" customWidth="1"/>
    <col min="14" max="14" width="16.5" style="1" customWidth="1"/>
    <col min="15" max="15" width="22.75" customWidth="1"/>
    <col min="16" max="16" width="23.875" customWidth="1"/>
    <col min="17" max="18" width="18.875" customWidth="1"/>
    <col min="19" max="21" width="20.375" customWidth="1"/>
  </cols>
  <sheetData>
    <row r="1" spans="2:16" x14ac:dyDescent="0.3">
      <c r="I1" s="10"/>
      <c r="J1" s="10"/>
      <c r="K1" s="42"/>
      <c r="L1" s="72"/>
    </row>
    <row r="2" spans="2:16" x14ac:dyDescent="0.3">
      <c r="I2" s="10"/>
      <c r="J2" s="10"/>
      <c r="K2" s="42"/>
      <c r="L2" s="72"/>
    </row>
    <row r="3" spans="2:16" x14ac:dyDescent="0.3">
      <c r="I3" s="10"/>
      <c r="J3" s="10"/>
      <c r="K3" s="42"/>
      <c r="L3" s="72"/>
    </row>
    <row r="4" spans="2:16" x14ac:dyDescent="0.3">
      <c r="B4" s="6"/>
      <c r="I4" s="10"/>
      <c r="J4" s="10"/>
      <c r="K4" s="42"/>
      <c r="L4" s="72"/>
    </row>
    <row r="5" spans="2:16" x14ac:dyDescent="0.3">
      <c r="B5" s="7"/>
      <c r="I5" s="10"/>
      <c r="J5" s="10"/>
      <c r="K5" s="42"/>
      <c r="L5" s="72"/>
    </row>
    <row r="6" spans="2:16" x14ac:dyDescent="0.3">
      <c r="I6" s="10"/>
      <c r="J6" s="10"/>
      <c r="K6" s="42"/>
      <c r="L6" s="72"/>
    </row>
    <row r="7" spans="2:16" ht="17.25" thickBot="1" x14ac:dyDescent="0.35">
      <c r="I7" s="10"/>
      <c r="J7" s="10"/>
      <c r="K7" s="42"/>
      <c r="L7" s="72"/>
    </row>
    <row r="8" spans="2:16" ht="18" thickTop="1" thickBot="1" x14ac:dyDescent="0.35">
      <c r="B8" s="9" t="s">
        <v>11</v>
      </c>
      <c r="I8" s="10"/>
      <c r="J8" s="10"/>
      <c r="K8" s="42"/>
      <c r="L8" s="72"/>
    </row>
    <row r="9" spans="2:16" ht="18" thickTop="1" thickBot="1" x14ac:dyDescent="0.35">
      <c r="B9" s="8">
        <f ca="1">NOW()</f>
        <v>44303.754543171293</v>
      </c>
      <c r="I9" s="10"/>
      <c r="J9" s="10"/>
      <c r="K9" s="42"/>
      <c r="L9" s="72"/>
    </row>
    <row r="10" spans="2:16" ht="17.25" thickTop="1" x14ac:dyDescent="0.3">
      <c r="I10" s="10"/>
      <c r="J10" s="10"/>
      <c r="K10" s="42"/>
      <c r="L10" s="72"/>
    </row>
    <row r="11" spans="2:16" x14ac:dyDescent="0.3">
      <c r="I11" s="10"/>
      <c r="J11" s="10"/>
      <c r="K11" s="42"/>
      <c r="L11" s="72"/>
    </row>
    <row r="12" spans="2:16" ht="17.25" thickBot="1" x14ac:dyDescent="0.35">
      <c r="B12" s="7"/>
      <c r="I12" s="10"/>
      <c r="J12" s="10"/>
      <c r="K12" s="42"/>
      <c r="L12" s="72"/>
    </row>
    <row r="13" spans="2:16" ht="18" customHeight="1" thickTop="1" thickBot="1" x14ac:dyDescent="0.35">
      <c r="B13" s="45" t="s">
        <v>7</v>
      </c>
      <c r="C13" s="46" t="s">
        <v>5</v>
      </c>
      <c r="D13" s="46" t="s">
        <v>28</v>
      </c>
      <c r="E13" s="46" t="s">
        <v>8</v>
      </c>
      <c r="F13" s="46" t="s">
        <v>9</v>
      </c>
      <c r="G13" s="46" t="s">
        <v>12</v>
      </c>
      <c r="H13" s="46" t="s">
        <v>139</v>
      </c>
      <c r="I13" s="46" t="s">
        <v>13</v>
      </c>
      <c r="J13" s="46" t="s">
        <v>10</v>
      </c>
      <c r="K13" s="49" t="s">
        <v>4</v>
      </c>
      <c r="L13" s="5"/>
      <c r="M13" s="125" t="s">
        <v>184</v>
      </c>
      <c r="N13" s="126"/>
      <c r="O13" s="126"/>
      <c r="P13" s="127"/>
    </row>
    <row r="14" spans="2:16" ht="17.25" thickTop="1" x14ac:dyDescent="0.3">
      <c r="B14" s="118" t="s">
        <v>133</v>
      </c>
      <c r="C14" s="100" t="s">
        <v>14</v>
      </c>
      <c r="D14" s="100">
        <v>1</v>
      </c>
      <c r="E14" s="100" t="s">
        <v>3</v>
      </c>
      <c r="F14" s="100" t="s">
        <v>6</v>
      </c>
      <c r="G14" s="100">
        <v>90</v>
      </c>
      <c r="H14" s="61">
        <v>10</v>
      </c>
      <c r="I14" s="11">
        <v>70</v>
      </c>
      <c r="J14" s="13">
        <v>40000</v>
      </c>
      <c r="K14" s="99">
        <v>16500</v>
      </c>
      <c r="L14" s="15"/>
      <c r="M14" s="128"/>
      <c r="N14" s="129"/>
      <c r="O14" s="129"/>
      <c r="P14" s="130"/>
    </row>
    <row r="15" spans="2:16" x14ac:dyDescent="0.3">
      <c r="B15" s="102" t="s">
        <v>174</v>
      </c>
      <c r="C15" s="11" t="s">
        <v>14</v>
      </c>
      <c r="D15" s="97">
        <v>2</v>
      </c>
      <c r="E15" s="11" t="s">
        <v>3</v>
      </c>
      <c r="F15" s="11" t="s">
        <v>1</v>
      </c>
      <c r="G15" s="11">
        <v>90</v>
      </c>
      <c r="H15" s="11">
        <v>10</v>
      </c>
      <c r="I15" s="11">
        <v>70</v>
      </c>
      <c r="J15" s="13">
        <v>54400</v>
      </c>
      <c r="K15" s="99">
        <v>16600</v>
      </c>
      <c r="L15" s="15"/>
      <c r="M15" s="128"/>
      <c r="N15" s="129"/>
      <c r="O15" s="129"/>
      <c r="P15" s="130"/>
    </row>
    <row r="16" spans="2:16" x14ac:dyDescent="0.3">
      <c r="B16" s="102" t="s">
        <v>183</v>
      </c>
      <c r="C16" s="97" t="s">
        <v>14</v>
      </c>
      <c r="D16" s="100">
        <v>2</v>
      </c>
      <c r="E16" s="97" t="s">
        <v>3</v>
      </c>
      <c r="F16" s="97" t="s">
        <v>6</v>
      </c>
      <c r="G16" s="97">
        <v>90</v>
      </c>
      <c r="H16" s="61">
        <v>10</v>
      </c>
      <c r="I16" s="61">
        <v>30</v>
      </c>
      <c r="J16" s="134">
        <v>60000</v>
      </c>
      <c r="K16" s="101">
        <v>36100</v>
      </c>
      <c r="L16" s="15"/>
      <c r="M16" s="128"/>
      <c r="N16" s="129"/>
      <c r="O16" s="129"/>
      <c r="P16" s="130"/>
    </row>
    <row r="17" spans="2:16" x14ac:dyDescent="0.3">
      <c r="B17" s="118" t="s">
        <v>0</v>
      </c>
      <c r="C17" s="100" t="s">
        <v>14</v>
      </c>
      <c r="D17" s="100">
        <v>2</v>
      </c>
      <c r="E17" s="100" t="s">
        <v>2</v>
      </c>
      <c r="F17" s="100" t="s">
        <v>1</v>
      </c>
      <c r="G17" s="100">
        <v>100</v>
      </c>
      <c r="H17" s="61">
        <v>9</v>
      </c>
      <c r="I17" s="61">
        <v>30</v>
      </c>
      <c r="J17" s="134">
        <v>70000</v>
      </c>
      <c r="K17" s="101">
        <v>20300</v>
      </c>
      <c r="L17" s="15"/>
      <c r="M17" s="128"/>
      <c r="N17" s="129"/>
      <c r="O17" s="129"/>
      <c r="P17" s="130"/>
    </row>
    <row r="18" spans="2:16" x14ac:dyDescent="0.3">
      <c r="B18" s="102" t="s">
        <v>0</v>
      </c>
      <c r="C18" s="11" t="s">
        <v>15</v>
      </c>
      <c r="D18" s="100">
        <v>2</v>
      </c>
      <c r="E18" s="11" t="s">
        <v>3</v>
      </c>
      <c r="F18" s="11" t="s">
        <v>1</v>
      </c>
      <c r="G18" s="11">
        <v>90</v>
      </c>
      <c r="H18" s="11">
        <v>10</v>
      </c>
      <c r="I18" s="11">
        <v>30</v>
      </c>
      <c r="J18" s="12">
        <v>88000</v>
      </c>
      <c r="K18" s="99">
        <v>32500</v>
      </c>
      <c r="L18" s="15"/>
      <c r="M18" s="128"/>
      <c r="N18" s="129"/>
      <c r="O18" s="129"/>
      <c r="P18" s="130"/>
    </row>
    <row r="19" spans="2:16" x14ac:dyDescent="0.3">
      <c r="B19" s="98" t="s">
        <v>133</v>
      </c>
      <c r="C19" s="97" t="s">
        <v>14</v>
      </c>
      <c r="D19" s="100">
        <v>1</v>
      </c>
      <c r="E19" s="97" t="s">
        <v>3</v>
      </c>
      <c r="F19" s="97" t="s">
        <v>6</v>
      </c>
      <c r="G19" s="97">
        <v>100</v>
      </c>
      <c r="H19" s="11">
        <v>9</v>
      </c>
      <c r="I19" s="11">
        <v>30</v>
      </c>
      <c r="J19" s="12">
        <v>55500</v>
      </c>
      <c r="K19" s="101">
        <v>25600</v>
      </c>
      <c r="L19" s="15"/>
      <c r="M19" s="128"/>
      <c r="N19" s="129"/>
      <c r="O19" s="129"/>
      <c r="P19" s="130"/>
    </row>
    <row r="20" spans="2:16" x14ac:dyDescent="0.3">
      <c r="B20" s="98" t="s">
        <v>174</v>
      </c>
      <c r="C20" s="11" t="s">
        <v>14</v>
      </c>
      <c r="D20" s="100">
        <v>2</v>
      </c>
      <c r="E20" s="11" t="s">
        <v>2</v>
      </c>
      <c r="F20" s="11" t="s">
        <v>6</v>
      </c>
      <c r="G20" s="11">
        <v>80</v>
      </c>
      <c r="H20" s="11">
        <v>10</v>
      </c>
      <c r="I20" s="11">
        <v>30</v>
      </c>
      <c r="J20" s="12">
        <v>57300</v>
      </c>
      <c r="K20" s="101">
        <v>18000</v>
      </c>
      <c r="L20" s="15"/>
      <c r="M20" s="128"/>
      <c r="N20" s="129"/>
      <c r="O20" s="129"/>
      <c r="P20" s="130"/>
    </row>
    <row r="21" spans="2:16" x14ac:dyDescent="0.3">
      <c r="B21" s="98" t="s">
        <v>174</v>
      </c>
      <c r="C21" s="11" t="s">
        <v>14</v>
      </c>
      <c r="D21" s="100">
        <v>2</v>
      </c>
      <c r="E21" s="11" t="s">
        <v>3</v>
      </c>
      <c r="F21" s="11" t="s">
        <v>6</v>
      </c>
      <c r="G21" s="11">
        <v>100</v>
      </c>
      <c r="H21" s="11">
        <v>10</v>
      </c>
      <c r="I21" s="11">
        <v>30</v>
      </c>
      <c r="J21" s="12">
        <v>55500</v>
      </c>
      <c r="K21" s="101">
        <v>24500</v>
      </c>
      <c r="L21" s="15"/>
      <c r="M21" s="128"/>
      <c r="N21" s="129"/>
      <c r="O21" s="129"/>
      <c r="P21" s="130"/>
    </row>
    <row r="22" spans="2:16" x14ac:dyDescent="0.3">
      <c r="B22" s="50"/>
      <c r="C22" s="11"/>
      <c r="D22" s="11"/>
      <c r="E22" s="11"/>
      <c r="F22" s="11"/>
      <c r="G22" s="11"/>
      <c r="H22" s="11"/>
      <c r="I22" s="11"/>
      <c r="J22" s="11"/>
      <c r="K22" s="51"/>
      <c r="L22" s="15"/>
      <c r="M22" s="128"/>
      <c r="N22" s="129"/>
      <c r="O22" s="129"/>
      <c r="P22" s="130"/>
    </row>
    <row r="23" spans="2:16" x14ac:dyDescent="0.3">
      <c r="B23" s="50"/>
      <c r="C23" s="11"/>
      <c r="D23" s="11"/>
      <c r="E23" s="11"/>
      <c r="F23" s="11"/>
      <c r="G23" s="11"/>
      <c r="H23" s="11"/>
      <c r="I23" s="11"/>
      <c r="J23" s="11"/>
      <c r="K23" s="51"/>
      <c r="L23" s="15"/>
      <c r="M23" s="128"/>
      <c r="N23" s="129"/>
      <c r="O23" s="129"/>
      <c r="P23" s="130"/>
    </row>
    <row r="24" spans="2:16" x14ac:dyDescent="0.3">
      <c r="B24" s="50"/>
      <c r="C24" s="11"/>
      <c r="D24" s="11"/>
      <c r="E24" s="11"/>
      <c r="F24" s="11"/>
      <c r="G24" s="11"/>
      <c r="H24" s="11"/>
      <c r="I24" s="11"/>
      <c r="J24" s="11"/>
      <c r="K24" s="51"/>
      <c r="L24" s="15"/>
      <c r="M24" s="128"/>
      <c r="N24" s="129"/>
      <c r="O24" s="129"/>
      <c r="P24" s="130"/>
    </row>
    <row r="25" spans="2:16" x14ac:dyDescent="0.3">
      <c r="B25" s="50"/>
      <c r="C25" s="11"/>
      <c r="D25" s="11"/>
      <c r="E25" s="11"/>
      <c r="F25" s="11"/>
      <c r="G25" s="11"/>
      <c r="H25" s="11"/>
      <c r="I25" s="11"/>
      <c r="J25" s="11"/>
      <c r="K25" s="51"/>
      <c r="L25" s="15"/>
      <c r="M25" s="128"/>
      <c r="N25" s="129"/>
      <c r="O25" s="129"/>
      <c r="P25" s="130"/>
    </row>
    <row r="26" spans="2:16" ht="17.25" thickBot="1" x14ac:dyDescent="0.35">
      <c r="B26" s="52"/>
      <c r="C26" s="53"/>
      <c r="D26" s="53"/>
      <c r="E26" s="53"/>
      <c r="F26" s="53"/>
      <c r="G26" s="53"/>
      <c r="H26" s="53"/>
      <c r="I26" s="53"/>
      <c r="J26" s="53"/>
      <c r="K26" s="54"/>
      <c r="L26" s="15"/>
      <c r="M26" s="131"/>
      <c r="N26" s="132"/>
      <c r="O26" s="132"/>
      <c r="P26" s="133"/>
    </row>
    <row r="27" spans="2:16" ht="17.25" thickTop="1" x14ac:dyDescent="0.3">
      <c r="B27" s="3"/>
      <c r="C27" s="3"/>
      <c r="D27" s="3"/>
      <c r="E27" s="3"/>
      <c r="F27" s="3"/>
      <c r="G27" s="3"/>
      <c r="H27" s="3"/>
      <c r="I27" s="3"/>
      <c r="J27" s="4"/>
      <c r="K27" s="16"/>
      <c r="L27" s="15"/>
    </row>
    <row r="28" spans="2:16" x14ac:dyDescent="0.3">
      <c r="B28" s="2"/>
      <c r="C28" s="2"/>
      <c r="D28" s="2"/>
      <c r="E28" s="2"/>
      <c r="F28" s="2"/>
      <c r="G28" s="2"/>
      <c r="H28" s="2"/>
      <c r="I28" s="2"/>
      <c r="J28" s="2"/>
      <c r="K28" s="17"/>
      <c r="L28" s="15"/>
    </row>
    <row r="29" spans="2:16" ht="17.25" thickBot="1" x14ac:dyDescent="0.35"/>
    <row r="30" spans="2:16" ht="18" thickTop="1" thickBot="1" x14ac:dyDescent="0.35">
      <c r="B30" s="9" t="s">
        <v>7</v>
      </c>
      <c r="C30" s="9" t="s">
        <v>29</v>
      </c>
      <c r="D30" s="28"/>
      <c r="E30" s="9" t="s">
        <v>5</v>
      </c>
      <c r="F30" s="9" t="s">
        <v>29</v>
      </c>
      <c r="H30" s="76" t="s">
        <v>27</v>
      </c>
      <c r="I30" s="87" t="s">
        <v>28</v>
      </c>
      <c r="J30" s="28"/>
      <c r="K30" s="65" t="s">
        <v>7</v>
      </c>
      <c r="L30" s="66" t="s">
        <v>114</v>
      </c>
    </row>
    <row r="31" spans="2:16" ht="17.25" thickTop="1" x14ac:dyDescent="0.3">
      <c r="B31" s="64" t="s">
        <v>0</v>
      </c>
      <c r="C31" s="86">
        <f>COUNTIF($B$14:$B$26,"Hat")</f>
        <v>3</v>
      </c>
      <c r="D31" s="28"/>
      <c r="E31" s="25" t="s">
        <v>39</v>
      </c>
      <c r="F31" s="26">
        <f>COUNTIFS($C$14:$C$26,"M_E_R",$E$14:$E$26,"NI",$F$14:$F$26,"SA")</f>
        <v>4</v>
      </c>
      <c r="H31" s="30" t="s">
        <v>145</v>
      </c>
      <c r="I31" s="33">
        <f>COUNTIFS($G$14:$G$37,"80",$I$14:$I$37,"80")</f>
        <v>0</v>
      </c>
      <c r="J31" s="28"/>
      <c r="K31" s="64" t="str">
        <f>INDEX($B$14:$B$21,MATCH(LARGE($K$14:$K$21,1),$K$14:$K$21,0))</f>
        <v>Hat</v>
      </c>
      <c r="L31" s="109">
        <f>LARGE($K14:$K26,1)</f>
        <v>36100</v>
      </c>
    </row>
    <row r="32" spans="2:16" x14ac:dyDescent="0.3">
      <c r="B32" s="31" t="s">
        <v>67</v>
      </c>
      <c r="C32" s="34">
        <f>COUNTIF($B$14:$B$26,"Glove")</f>
        <v>0</v>
      </c>
      <c r="D32" s="28"/>
      <c r="E32" s="31" t="s">
        <v>41</v>
      </c>
      <c r="F32" s="34">
        <f>COUNTIFS($C$14:$C$26,"M_E_R",$E$14:$E$26,"NI",$F$14:$F$26,"DTA")</f>
        <v>1</v>
      </c>
      <c r="H32" s="31" t="s">
        <v>146</v>
      </c>
      <c r="I32" s="43">
        <f>COUNTIFS($G$14:$G$37,"80",$I$14:$I$37,"30")</f>
        <v>1</v>
      </c>
      <c r="J32" s="5"/>
      <c r="K32" s="58" t="str">
        <f>INDEX($B$14:$B$21,MATCH(LARGE($K$14:$K$21,2),$K$14:$K$21,0))</f>
        <v>Hat</v>
      </c>
      <c r="L32" s="55">
        <f>LARGE($K$14:$K$26,2)</f>
        <v>32500</v>
      </c>
    </row>
    <row r="33" spans="2:25" x14ac:dyDescent="0.3">
      <c r="B33" s="84" t="s">
        <v>68</v>
      </c>
      <c r="C33" s="85">
        <f>COUNTIF($B$14:$B$26,"Shoes")</f>
        <v>2</v>
      </c>
      <c r="D33" s="28"/>
      <c r="E33" s="31" t="s">
        <v>38</v>
      </c>
      <c r="F33" s="34">
        <f>COUNTIFS($C$14:$C$26,"M_E_R",$E$14:$E$26,"SI",$F$14:$F$26,"SA")</f>
        <v>1</v>
      </c>
      <c r="H33" s="84" t="s">
        <v>150</v>
      </c>
      <c r="I33" s="85">
        <f>COUNTIFS($G$14:$G$37,"90",$I$14:$I$37,"70")</f>
        <v>2</v>
      </c>
      <c r="J33" s="28"/>
      <c r="K33" s="58" t="str">
        <f>INDEX($B$14:$B$21,MATCH(LARGE($K$14:$K$21,3),$K$14:$K$21,0))</f>
        <v>Shoes</v>
      </c>
      <c r="L33" s="55">
        <f>LARGE($K$14:$K$26,3)</f>
        <v>25600</v>
      </c>
    </row>
    <row r="34" spans="2:25" ht="17.25" thickBot="1" x14ac:dyDescent="0.35">
      <c r="B34" s="59" t="s">
        <v>69</v>
      </c>
      <c r="C34" s="110">
        <f>COUNTIF($B$14:$B$26,"Cape")</f>
        <v>3</v>
      </c>
      <c r="D34" s="28"/>
      <c r="E34" s="31" t="s">
        <v>40</v>
      </c>
      <c r="F34" s="34">
        <f>COUNTIFS($C$14:$C$26,"M_E_R",$E$14:$E$26,"SI",$F$14:$F$26,"DTA")</f>
        <v>1</v>
      </c>
      <c r="H34" s="84" t="s">
        <v>144</v>
      </c>
      <c r="I34" s="88">
        <f>COUNTIFS($G$14:$G$37,"90",$I$14:$I$37,"30")</f>
        <v>2</v>
      </c>
      <c r="J34" s="5"/>
      <c r="K34" s="58" t="str">
        <f>INDEX($B$14:$B$21,MATCH(LARGE($K$14:$K$21,4),$K$14:$K$21,0))</f>
        <v>Cape</v>
      </c>
      <c r="L34" s="55">
        <f>LARGE($K$14:$K$26,4)</f>
        <v>24500</v>
      </c>
    </row>
    <row r="35" spans="2:25" ht="18" thickTop="1" thickBot="1" x14ac:dyDescent="0.35">
      <c r="B35" s="10"/>
      <c r="C35" s="10"/>
      <c r="D35" s="28"/>
      <c r="E35" s="31" t="s">
        <v>42</v>
      </c>
      <c r="F35" s="34">
        <f>COUNTIFS($C$14:$C$26,"M_E_E",$E$14:$E$26,"NI",$F$14:$F$26,"SA")</f>
        <v>0</v>
      </c>
      <c r="H35" s="31" t="s">
        <v>151</v>
      </c>
      <c r="I35" s="34">
        <f>COUNTIFS($G$14:$G$37,"100",$I$14:$I$37,"70")</f>
        <v>0</v>
      </c>
      <c r="J35" s="28"/>
      <c r="K35" s="59" t="str">
        <f>INDEX($B$14:$B$21,MATCH(LARGE($K$14:$K$21,5),$K$14:$K$21,0))</f>
        <v>Hat</v>
      </c>
      <c r="L35" s="105">
        <f>LARGE($K$14:$K$26,5)</f>
        <v>20300</v>
      </c>
      <c r="P35" s="28"/>
      <c r="Q35" s="28"/>
      <c r="R35" s="28"/>
    </row>
    <row r="36" spans="2:25" ht="17.25" thickTop="1" x14ac:dyDescent="0.3">
      <c r="B36" s="10"/>
      <c r="C36" s="10"/>
      <c r="D36" s="28"/>
      <c r="E36" s="21" t="s">
        <v>43</v>
      </c>
      <c r="F36" s="22">
        <f>COUNTIFS($C$14:$C$26,"M_E_E",$E$14:$E$26,"NI",$F$14:$F$26,"DTA")</f>
        <v>1</v>
      </c>
      <c r="H36" s="58" t="s">
        <v>143</v>
      </c>
      <c r="I36" s="55">
        <f>COUNTIFS($G$14:$G$37,"100",$I$14:$I$37,"30")</f>
        <v>3</v>
      </c>
      <c r="J36" s="5"/>
      <c r="K36" s="28"/>
      <c r="L36" s="1"/>
      <c r="P36" s="28"/>
      <c r="Q36" s="28"/>
      <c r="R36" s="28"/>
    </row>
    <row r="37" spans="2:25" x14ac:dyDescent="0.3">
      <c r="B37" s="10"/>
      <c r="C37" s="10"/>
      <c r="D37" s="28"/>
      <c r="E37" s="21" t="s">
        <v>44</v>
      </c>
      <c r="F37" s="22">
        <f>COUNTIFS($C$14:$C$26,"M_E_E",$E$14:$E$26,"NI",$F$14:$F$26,"DTA(80)")</f>
        <v>0</v>
      </c>
      <c r="H37" s="31" t="s">
        <v>152</v>
      </c>
      <c r="I37" s="34">
        <f>COUNTIFS($G$14:$G$37,"110",$I$14:$I$37,"70")</f>
        <v>0</v>
      </c>
      <c r="J37" s="28"/>
      <c r="K37"/>
      <c r="L37" s="1"/>
    </row>
    <row r="38" spans="2:25" x14ac:dyDescent="0.3">
      <c r="B38" s="10"/>
      <c r="C38" s="10"/>
      <c r="D38" s="28"/>
      <c r="E38" s="21" t="s">
        <v>45</v>
      </c>
      <c r="F38" s="22">
        <f>COUNTIFS($C$14:$C$26,"M_E_E",$E$14:$E$26,"SI",$F$14:$F$26,"SA")</f>
        <v>0</v>
      </c>
      <c r="H38" s="31" t="s">
        <v>141</v>
      </c>
      <c r="I38" s="43">
        <f>COUNTIFS($G$14:$G$37,"110",$I$14:$I$37,"30")</f>
        <v>0</v>
      </c>
      <c r="J38" s="5"/>
      <c r="K38" s="28"/>
      <c r="L38" s="1"/>
      <c r="P38" s="28"/>
    </row>
    <row r="39" spans="2:25" ht="17.25" thickBot="1" x14ac:dyDescent="0.35">
      <c r="B39" s="10"/>
      <c r="C39" s="10"/>
      <c r="D39" s="28"/>
      <c r="E39" s="23" t="s">
        <v>46</v>
      </c>
      <c r="F39" s="24">
        <f>COUNTIFS($C$14:$C$26,"M_E_E",$E$14:$E$26,"SI",$F$14:$F$26,"DTA")</f>
        <v>0</v>
      </c>
      <c r="H39" s="40" t="s">
        <v>156</v>
      </c>
      <c r="I39" s="71">
        <f>COUNTIFS($G$14:$G$37,"80",$I$14:$I$37,"AP")</f>
        <v>0</v>
      </c>
      <c r="J39" s="5"/>
      <c r="K39" s="28"/>
      <c r="L39" s="1"/>
      <c r="P39" s="28"/>
    </row>
    <row r="40" spans="2:25" ht="17.25" thickTop="1" x14ac:dyDescent="0.3">
      <c r="B40" s="10"/>
      <c r="C40" s="10"/>
      <c r="D40" s="28"/>
      <c r="E40" s="62"/>
      <c r="F40" s="62"/>
      <c r="H40" s="31" t="s">
        <v>157</v>
      </c>
      <c r="I40" s="43">
        <f>COUNTIFS($G$14:$G$37,"90",$I$14:$I$37,"AP")</f>
        <v>0</v>
      </c>
      <c r="J40" s="5"/>
      <c r="K40" s="28"/>
      <c r="L40" s="1"/>
      <c r="P40" s="28"/>
    </row>
    <row r="41" spans="2:25" x14ac:dyDescent="0.3">
      <c r="B41" s="10"/>
      <c r="C41" s="10"/>
      <c r="D41" s="28"/>
      <c r="E41" s="62"/>
      <c r="F41" s="62"/>
      <c r="H41" s="31" t="s">
        <v>158</v>
      </c>
      <c r="I41" s="63">
        <f>COUNTIFS($G$14:$G$37,"100",$I$14:$I$37,"AP")</f>
        <v>0</v>
      </c>
      <c r="J41" s="5"/>
      <c r="K41" s="28"/>
      <c r="L41" s="1"/>
      <c r="P41" s="28"/>
    </row>
    <row r="42" spans="2:25" ht="17.25" thickBot="1" x14ac:dyDescent="0.35">
      <c r="B42" s="10"/>
      <c r="C42" s="10"/>
      <c r="D42" s="28"/>
      <c r="E42" s="62"/>
      <c r="F42" s="62"/>
      <c r="H42" s="32" t="s">
        <v>159</v>
      </c>
      <c r="I42" s="44">
        <f>COUNTIFS($G$14:$G$37,"110",$I$14:$I$37,"30")+COUNTIFS($G$14:$G$37,"110",$I$14:$I$37,"AP")</f>
        <v>0</v>
      </c>
      <c r="J42" s="5"/>
      <c r="K42" s="28"/>
      <c r="L42" s="1"/>
      <c r="P42" s="28"/>
    </row>
    <row r="43" spans="2:25" ht="17.25" thickTop="1" x14ac:dyDescent="0.3">
      <c r="B43" s="10"/>
      <c r="C43" s="10"/>
      <c r="D43" s="28"/>
      <c r="E43" s="62"/>
      <c r="F43" s="62"/>
      <c r="I43" s="6"/>
      <c r="J43" s="73"/>
      <c r="K43" s="28"/>
      <c r="L43" s="1"/>
      <c r="P43" s="28"/>
    </row>
    <row r="44" spans="2:25" x14ac:dyDescent="0.3">
      <c r="D44" s="95"/>
      <c r="I44" s="6"/>
      <c r="J44" s="73"/>
      <c r="K44" s="28"/>
      <c r="L44" s="1"/>
      <c r="P44" s="28"/>
      <c r="Q44" s="5"/>
      <c r="R44" s="5"/>
      <c r="V44" s="5"/>
      <c r="W44" s="5"/>
      <c r="X44" s="14"/>
      <c r="Y44" s="15"/>
    </row>
    <row r="45" spans="2:25" x14ac:dyDescent="0.3">
      <c r="D45" s="95"/>
      <c r="I45" s="6"/>
      <c r="J45" s="73"/>
      <c r="K45" s="28"/>
      <c r="L45" s="1"/>
      <c r="P45" s="28"/>
      <c r="Q45" s="5"/>
      <c r="R45" s="5"/>
      <c r="V45" s="5"/>
      <c r="W45" s="5"/>
      <c r="X45" s="14"/>
      <c r="Y45" s="15"/>
    </row>
    <row r="46" spans="2:25" ht="17.25" thickBot="1" x14ac:dyDescent="0.35">
      <c r="D46" s="95"/>
      <c r="I46" s="6"/>
      <c r="J46" s="73"/>
      <c r="K46" s="28"/>
      <c r="L46" s="1"/>
      <c r="P46" s="28"/>
      <c r="Q46" s="5"/>
      <c r="R46" s="5"/>
      <c r="V46" s="5"/>
      <c r="W46" s="5"/>
      <c r="X46" s="14"/>
      <c r="Y46" s="15"/>
    </row>
    <row r="47" spans="2:25" ht="18" thickTop="1" thickBot="1" x14ac:dyDescent="0.35">
      <c r="B47" s="9" t="s">
        <v>47</v>
      </c>
      <c r="C47" s="9" t="s">
        <v>29</v>
      </c>
      <c r="D47" s="89"/>
      <c r="E47" s="9" t="s">
        <v>76</v>
      </c>
      <c r="F47" s="9" t="s">
        <v>29</v>
      </c>
      <c r="G47" s="89"/>
      <c r="H47" s="9" t="s">
        <v>78</v>
      </c>
      <c r="I47" s="9" t="s">
        <v>29</v>
      </c>
      <c r="J47" s="28"/>
      <c r="K47" s="9" t="s">
        <v>80</v>
      </c>
      <c r="L47" s="67" t="s">
        <v>29</v>
      </c>
      <c r="P47" s="28"/>
      <c r="Q47" s="5"/>
      <c r="R47" s="5"/>
      <c r="V47" s="5"/>
      <c r="W47" s="5"/>
      <c r="X47" s="14"/>
      <c r="Y47" s="15"/>
    </row>
    <row r="48" spans="2:25" ht="17.25" thickTop="1" x14ac:dyDescent="0.3">
      <c r="B48" s="30" t="s">
        <v>33</v>
      </c>
      <c r="C48" s="20">
        <f>COUNTIFS($B$14:$B$26,"Hat",$C$14:$C$26,"M_E_R",$E$14:$E$26,"NI",$F$14:$F$26,"SA")</f>
        <v>1</v>
      </c>
      <c r="D48" s="28"/>
      <c r="E48" s="30" t="s">
        <v>82</v>
      </c>
      <c r="F48" s="20">
        <f>COUNTIFS($B$14:$B$26,"Glove",$C$14:$C$26,"M_E_R",$E$14:$E$26,"NI",$F$14:$F$26,"SA")</f>
        <v>0</v>
      </c>
      <c r="G48" s="28"/>
      <c r="H48" s="25" t="s">
        <v>91</v>
      </c>
      <c r="I48" s="26">
        <f>COUNTIFS($B$14:$B$26,"Shoes",$C$14:$C$26,"M_E_R",$E$14:$E$26,"NI",$F$14:$F$26,"SA")</f>
        <v>2</v>
      </c>
      <c r="J48" s="28"/>
      <c r="K48" s="30" t="s">
        <v>100</v>
      </c>
      <c r="L48" s="68">
        <f>COUNTIFS($B$14:$B$26,"Cape",$C$14:$C$26,"M_E_R",$E$14:$E$26,"NI",$F$14:$F$26,"SA")</f>
        <v>1</v>
      </c>
    </row>
    <row r="49" spans="2:16" x14ac:dyDescent="0.3">
      <c r="B49" s="31" t="s">
        <v>34</v>
      </c>
      <c r="C49" s="22">
        <f>COUNTIFS($B$14:$B$26,"Hat",$C$14:$C$26,"M_E_R",$E$14:$E$26,"NI",$F$14:$F$26,"DTA")</f>
        <v>0</v>
      </c>
      <c r="D49" s="28"/>
      <c r="E49" s="31" t="s">
        <v>83</v>
      </c>
      <c r="F49" s="22">
        <f>COUNTIFS($B$14:$B$26,"Glove",$C$14:$C$26,"M_E_R",$E$14:$E$26,"NI",$F$14:$F$26,"DTA")</f>
        <v>0</v>
      </c>
      <c r="G49" s="28"/>
      <c r="H49" s="31" t="s">
        <v>92</v>
      </c>
      <c r="I49" s="34">
        <f>COUNTIFS($B$14:$B$26,"Shoes",$C$14:$C$26,"M_E_R",$E$14:$E$26,"NI",$F$14:$F$26,"DTA")</f>
        <v>0</v>
      </c>
      <c r="J49" s="28"/>
      <c r="K49" s="31" t="s">
        <v>101</v>
      </c>
      <c r="L49" s="43">
        <f>COUNTIFS($B$14:$B$26,"Cape",$C$14:$C$26,"M_E_R",$E$14:$E$26,"NI",$F$14:$F$26,"DTA")</f>
        <v>1</v>
      </c>
      <c r="P49" s="28"/>
    </row>
    <row r="50" spans="2:16" x14ac:dyDescent="0.3">
      <c r="B50" s="31" t="s">
        <v>35</v>
      </c>
      <c r="C50" s="34">
        <f>COUNTIFS($B$14:$B$26,"Hat",$C$14:$C$26,"M_E_R",$E$14:$E$26,"SI",$F$14:$F$26,"SA")</f>
        <v>0</v>
      </c>
      <c r="D50" s="28"/>
      <c r="E50" s="31" t="s">
        <v>84</v>
      </c>
      <c r="F50" s="34">
        <f>COUNTIFS($B$14:$B$26,"Glove",$C$14:$C$26,"M_E_R",$E$14:$E$26,"SI",$F$14:$F$26,"SA")</f>
        <v>0</v>
      </c>
      <c r="G50" s="28"/>
      <c r="H50" s="31" t="s">
        <v>93</v>
      </c>
      <c r="I50" s="34">
        <f>COUNTIFS($B$14:$B$26,"Shoes",$C$14:$C$26,"M_E_R",$E$14:$E$26,"SI",$F$14:$F$26,"SA")</f>
        <v>0</v>
      </c>
      <c r="J50" s="28"/>
      <c r="K50" s="31" t="s">
        <v>102</v>
      </c>
      <c r="L50" s="43">
        <f>COUNTIFS($B$14:$B$26,"Cape",$C$14:$C$26,"M_E_R",$E$14:$E$26,"SI",$F$14:$F$26,"SA")</f>
        <v>1</v>
      </c>
      <c r="P50" s="28"/>
    </row>
    <row r="51" spans="2:16" ht="17.25" thickBot="1" x14ac:dyDescent="0.35">
      <c r="B51" s="32" t="s">
        <v>36</v>
      </c>
      <c r="C51" s="24">
        <f>COUNTIFS($B$14:$B$26,"Hat",$C$14:$C$26,"M_E_R",$E$14:$E$26,"SI",$F$14:$F$26,"DTA")</f>
        <v>1</v>
      </c>
      <c r="D51" s="28"/>
      <c r="E51" s="32" t="s">
        <v>85</v>
      </c>
      <c r="F51" s="24">
        <f>COUNTIFS($B$14:$B$26,"Glove",$C$14:$C$26,"M_E_R",$E$14:$E$26,"SI",$F$14:$F$26,"DTA")</f>
        <v>0</v>
      </c>
      <c r="G51" s="28"/>
      <c r="H51" s="32" t="s">
        <v>94</v>
      </c>
      <c r="I51" s="35">
        <f>COUNTIFS($B$14:$B$26,"Shoes",$C$14:$C$26,"M_E_R",$E$14:$E$26,"SI",$F$14:$F$26,"DTA")</f>
        <v>0</v>
      </c>
      <c r="J51" s="28"/>
      <c r="K51" s="32" t="s">
        <v>103</v>
      </c>
      <c r="L51" s="69">
        <f>COUNTIFS($B$14:$B$26,"Cape",$C$14:$C$26,"M_E_R",$E$14:$E$26,"SI",$F$14:$F$26,"DTA")</f>
        <v>0</v>
      </c>
      <c r="P51" s="28"/>
    </row>
    <row r="52" spans="2:16" ht="18" thickTop="1" thickBot="1" x14ac:dyDescent="0.35">
      <c r="D52" s="95"/>
      <c r="H52" s="136"/>
      <c r="I52" s="137"/>
      <c r="J52" s="73"/>
      <c r="K52"/>
      <c r="L52" s="42"/>
      <c r="P52" s="28"/>
    </row>
    <row r="53" spans="2:16" ht="18" thickTop="1" thickBot="1" x14ac:dyDescent="0.35">
      <c r="B53" s="9" t="s">
        <v>48</v>
      </c>
      <c r="C53" s="9" t="s">
        <v>29</v>
      </c>
      <c r="D53" s="89"/>
      <c r="E53" s="9" t="s">
        <v>77</v>
      </c>
      <c r="F53" s="9" t="s">
        <v>29</v>
      </c>
      <c r="G53" s="89"/>
      <c r="H53" s="9" t="s">
        <v>79</v>
      </c>
      <c r="I53" s="9" t="s">
        <v>29</v>
      </c>
      <c r="J53" s="28"/>
      <c r="K53" s="9" t="s">
        <v>81</v>
      </c>
      <c r="L53" s="67" t="s">
        <v>29</v>
      </c>
      <c r="P53" s="28"/>
    </row>
    <row r="54" spans="2:16" ht="17.25" thickTop="1" x14ac:dyDescent="0.3">
      <c r="B54" s="30" t="s">
        <v>49</v>
      </c>
      <c r="C54" s="33">
        <f>COUNTIFS($B$14:$B$26,"Hat",$C$14:$C$26,"M_E_E",$E$14:$E$26,"NI",$F$14:$F$26,"SA")</f>
        <v>0</v>
      </c>
      <c r="D54" s="28"/>
      <c r="E54" s="30" t="s">
        <v>86</v>
      </c>
      <c r="F54" s="33">
        <f>COUNTIFS($B$14:$B$26,"Glove",$C$14:$C$26,"M_E_E",$E$14:$E$26,"NI",$F$14:$F$26,"SA")</f>
        <v>0</v>
      </c>
      <c r="G54" s="28"/>
      <c r="H54" s="30" t="s">
        <v>95</v>
      </c>
      <c r="I54" s="33">
        <f>COUNTIFS($B$14:$B$26,"Shoes",$C$14:$C$26,"M_E_E",$E$14:$E$26,"NI",$F$14:$F$26,"SA")</f>
        <v>0</v>
      </c>
      <c r="J54" s="28"/>
      <c r="K54" s="30" t="s">
        <v>104</v>
      </c>
      <c r="L54" s="68">
        <f>COUNTIFS($B$14:$B$26,"Cape",$C$14:$C$26,"M_E_E",$E$14:$E$26,"NI",$F$14:$F$26,"SA")</f>
        <v>0</v>
      </c>
      <c r="P54" s="28"/>
    </row>
    <row r="55" spans="2:16" x14ac:dyDescent="0.3">
      <c r="B55" s="31" t="s">
        <v>50</v>
      </c>
      <c r="C55" s="34">
        <f>COUNTIFS($B$14:$B$26,"Hat",$C$14:$C$26,"M_E_E",$E$14:$E$26,"NI",$F$14:$F$26,"DTA")</f>
        <v>1</v>
      </c>
      <c r="D55" s="28"/>
      <c r="E55" s="31" t="s">
        <v>87</v>
      </c>
      <c r="F55" s="34">
        <f>COUNTIFS($B$14:$B$26,"Glove",$C$14:$C$26,"M_E_E",$E$14:$E$26,"NI",$F$14:$F$26,"DTA")</f>
        <v>0</v>
      </c>
      <c r="G55" s="28"/>
      <c r="H55" s="31" t="s">
        <v>96</v>
      </c>
      <c r="I55" s="34">
        <f>COUNTIFS($B$14:$B$26,"Shoes",$C$14:$C$26,"M_E_E",$E$14:$E$26,"NI",$F$14:$F$26,"DTA")</f>
        <v>0</v>
      </c>
      <c r="J55" s="28"/>
      <c r="K55" s="31" t="s">
        <v>105</v>
      </c>
      <c r="L55" s="43">
        <f>COUNTIFS($B$14:$B$26,"Cape",$C$14:$C$26,"M_E_E",$E$14:$E$26,"NI",$F$14:$F$26,"DTA")</f>
        <v>0</v>
      </c>
    </row>
    <row r="56" spans="2:16" x14ac:dyDescent="0.3">
      <c r="B56" s="31" t="s">
        <v>52</v>
      </c>
      <c r="C56" s="34">
        <f>COUNTIFS($B$14:$B$26,"Hat",$C$14:$C$26,"M_E_E",$E$14:$E$26,"SI",$F$14:$F$26,"SA")</f>
        <v>0</v>
      </c>
      <c r="D56" s="28"/>
      <c r="E56" s="31" t="s">
        <v>88</v>
      </c>
      <c r="F56" s="34">
        <f>COUNTIFS($B$14:$B$26,"Glove",$C$14:$C$26,"M_E_E",$E$14:$E$26,"SI",$F$14:$F$26,"SA")</f>
        <v>0</v>
      </c>
      <c r="G56" s="28"/>
      <c r="H56" s="31" t="s">
        <v>97</v>
      </c>
      <c r="I56" s="34">
        <f>COUNTIFS($B$14:$B$26,"Shoes",$C$14:$C$26,"M_E_E",$E$14:$E$26,"SI",$F$14:$F$26,"SA")</f>
        <v>0</v>
      </c>
      <c r="J56" s="28"/>
      <c r="K56" s="31" t="s">
        <v>106</v>
      </c>
      <c r="L56" s="43">
        <f>COUNTIFS($B$14:$B$26,"Cape",$C$14:$C$26,"M_E_E",$E$14:$E$26,"SI",$F$14:$F$26,"SA")</f>
        <v>0</v>
      </c>
      <c r="P56" s="28"/>
    </row>
    <row r="57" spans="2:16" x14ac:dyDescent="0.3">
      <c r="B57" s="38" t="s">
        <v>54</v>
      </c>
      <c r="C57" s="39">
        <f>COUNTIFS($B$14:$B$26,"Hat",$C$14:$C$26,"M_E_E",$E$14:$E$26,"SI",$F$14:$F$26,"DTA")</f>
        <v>0</v>
      </c>
      <c r="D57" s="28"/>
      <c r="E57" s="31" t="s">
        <v>89</v>
      </c>
      <c r="F57" s="34">
        <f>COUNTIFS($B$14:$B$26,"Glove",$C$14:$C$26,"M_E_E",$E$14:$E$26,"SI",$F$14:$F$26,"DTA")</f>
        <v>0</v>
      </c>
      <c r="G57" s="28"/>
      <c r="H57" s="38" t="s">
        <v>98</v>
      </c>
      <c r="I57" s="39">
        <f>COUNTIFS($B$14:$B$26,"Shoes",$C$14:$C$26,"M_E_E",$E$14:$E$26,"SI",$F$14:$F$26,"DTA")</f>
        <v>0</v>
      </c>
      <c r="J57" s="28"/>
      <c r="K57" s="38" t="s">
        <v>107</v>
      </c>
      <c r="L57" s="70">
        <f>COUNTIFS($B$14:$B$26,"Cape",$C$14:$C$26,"M_E_E",$E$14:$E$26,"SI",$F$14:$F$26,"DTA")</f>
        <v>0</v>
      </c>
      <c r="P57" s="28"/>
    </row>
    <row r="58" spans="2:16" ht="17.25" thickBot="1" x14ac:dyDescent="0.35">
      <c r="B58" s="32" t="s">
        <v>57</v>
      </c>
      <c r="C58" s="35">
        <f>COUNTIFS($B$14:$B$26,"Hat",$C$14:$C$26,"M_E_E",$E$14:$E$26,"NI",$F$14:$F$26,"DTA(80)")</f>
        <v>0</v>
      </c>
      <c r="D58" s="28"/>
      <c r="E58" s="36" t="s">
        <v>90</v>
      </c>
      <c r="F58" s="37">
        <f>COUNTIFS($B$14:$B$26,"Glove",$C$14:$C$26,"M_E_E",$E$14:$E$26,"NI",$F$14:$F$26,"DTA(80)")</f>
        <v>0</v>
      </c>
      <c r="H58" s="32" t="s">
        <v>99</v>
      </c>
      <c r="I58" s="35">
        <f>COUNTIFS($B$14:$B$26,"Shoes",$C$14:$C$26,"M_E_E",$E$14:$E$26,"NI",$F$14:$F$26,"DTA(80)")</f>
        <v>0</v>
      </c>
      <c r="J58" s="28"/>
      <c r="K58" s="32" t="s">
        <v>108</v>
      </c>
      <c r="L58" s="69">
        <f>COUNTIFS($B$14:$B$26,"Cape",$C$14:$C$26,"M_E_E",$E$14:$E$26,"NI",$F$14:$F$26,"DTA(80)")</f>
        <v>0</v>
      </c>
      <c r="P58" s="28"/>
    </row>
    <row r="59" spans="2:16" ht="17.25" thickTop="1" x14ac:dyDescent="0.3">
      <c r="M59" s="28"/>
      <c r="P59" s="28"/>
    </row>
    <row r="60" spans="2:16" x14ac:dyDescent="0.3">
      <c r="M60" s="28"/>
      <c r="P60" s="28"/>
    </row>
    <row r="61" spans="2:16" x14ac:dyDescent="0.3">
      <c r="M61" s="28"/>
      <c r="P61" s="28"/>
    </row>
  </sheetData>
  <mergeCells count="1">
    <mergeCell ref="M13:P26"/>
  </mergeCells>
  <phoneticPr fontId="1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67"/>
  <sheetViews>
    <sheetView topLeftCell="A10" workbookViewId="0">
      <selection activeCell="N37" sqref="N37"/>
    </sheetView>
  </sheetViews>
  <sheetFormatPr defaultRowHeight="16.5" x14ac:dyDescent="0.3"/>
  <cols>
    <col min="1" max="1" width="11.375" customWidth="1"/>
    <col min="2" max="2" width="18.25" customWidth="1"/>
    <col min="3" max="9" width="16.5" customWidth="1"/>
    <col min="10" max="10" width="16.5" style="6" customWidth="1"/>
    <col min="11" max="11" width="16.5" style="73" customWidth="1"/>
    <col min="12" max="13" width="16.5" customWidth="1"/>
    <col min="14" max="14" width="18.875" customWidth="1"/>
    <col min="15" max="15" width="21.75" customWidth="1"/>
    <col min="16" max="17" width="18.875" customWidth="1"/>
    <col min="18" max="20" width="20.375" customWidth="1"/>
  </cols>
  <sheetData>
    <row r="1" spans="2:15" x14ac:dyDescent="0.3">
      <c r="H1" s="10"/>
      <c r="I1" s="10"/>
      <c r="J1" s="42"/>
      <c r="K1" s="72"/>
    </row>
    <row r="2" spans="2:15" x14ac:dyDescent="0.3">
      <c r="H2" s="10"/>
      <c r="I2" s="10"/>
      <c r="J2" s="42"/>
      <c r="K2" s="72"/>
    </row>
    <row r="3" spans="2:15" x14ac:dyDescent="0.3">
      <c r="H3" s="10"/>
      <c r="I3" s="10"/>
      <c r="J3" s="42"/>
      <c r="K3" s="72"/>
    </row>
    <row r="4" spans="2:15" x14ac:dyDescent="0.3">
      <c r="B4" s="6"/>
      <c r="H4" s="10"/>
      <c r="I4" s="10"/>
      <c r="J4" s="42"/>
      <c r="K4" s="72"/>
    </row>
    <row r="5" spans="2:15" x14ac:dyDescent="0.3">
      <c r="B5" s="7"/>
      <c r="H5" s="10"/>
      <c r="I5" s="10"/>
      <c r="J5" s="42"/>
      <c r="K5" s="72"/>
    </row>
    <row r="6" spans="2:15" x14ac:dyDescent="0.3">
      <c r="H6" s="10"/>
      <c r="I6" s="10"/>
      <c r="J6" s="42"/>
      <c r="K6" s="72"/>
    </row>
    <row r="7" spans="2:15" ht="17.25" thickBot="1" x14ac:dyDescent="0.35">
      <c r="H7" s="10"/>
      <c r="I7" s="10"/>
      <c r="J7" s="42"/>
      <c r="K7" s="72"/>
    </row>
    <row r="8" spans="2:15" ht="18" thickTop="1" thickBot="1" x14ac:dyDescent="0.35">
      <c r="B8" s="9" t="s">
        <v>11</v>
      </c>
      <c r="H8" s="10"/>
      <c r="I8" s="10"/>
      <c r="J8" s="42"/>
      <c r="K8" s="72"/>
    </row>
    <row r="9" spans="2:15" ht="18" thickTop="1" thickBot="1" x14ac:dyDescent="0.35">
      <c r="B9" s="8">
        <f ca="1">NOW()</f>
        <v>44303.754543171293</v>
      </c>
      <c r="H9" s="10"/>
      <c r="I9" s="10"/>
      <c r="J9" s="42"/>
      <c r="K9" s="72"/>
    </row>
    <row r="10" spans="2:15" ht="17.25" thickTop="1" x14ac:dyDescent="0.3">
      <c r="H10" s="10"/>
      <c r="I10" s="10"/>
      <c r="J10" s="42"/>
      <c r="K10" s="72"/>
    </row>
    <row r="11" spans="2:15" x14ac:dyDescent="0.3">
      <c r="H11" s="10"/>
      <c r="I11" s="10"/>
      <c r="J11" s="42"/>
      <c r="K11" s="72"/>
    </row>
    <row r="12" spans="2:15" x14ac:dyDescent="0.3">
      <c r="B12" s="7"/>
      <c r="H12" s="10"/>
      <c r="I12" s="10"/>
      <c r="J12" s="42"/>
      <c r="K12" s="72"/>
    </row>
    <row r="13" spans="2:15" ht="18" customHeight="1" thickBot="1" x14ac:dyDescent="0.35">
      <c r="B13" s="45" t="s">
        <v>7</v>
      </c>
      <c r="C13" s="46" t="s">
        <v>5</v>
      </c>
      <c r="D13" s="46" t="s">
        <v>28</v>
      </c>
      <c r="E13" s="46" t="s">
        <v>8</v>
      </c>
      <c r="F13" s="46" t="s">
        <v>9</v>
      </c>
      <c r="G13" s="46" t="s">
        <v>12</v>
      </c>
      <c r="H13" s="46" t="s">
        <v>13</v>
      </c>
      <c r="I13" s="46" t="s">
        <v>10</v>
      </c>
      <c r="J13" s="47" t="s">
        <v>4</v>
      </c>
      <c r="K13" s="5"/>
      <c r="L13" s="119"/>
      <c r="M13" s="119"/>
      <c r="N13" s="119"/>
      <c r="O13" s="119"/>
    </row>
    <row r="14" spans="2:15" ht="17.25" thickTop="1" x14ac:dyDescent="0.3">
      <c r="B14" s="102" t="s">
        <v>0</v>
      </c>
      <c r="C14" s="97" t="s">
        <v>16</v>
      </c>
      <c r="D14" s="97">
        <v>3</v>
      </c>
      <c r="E14" s="97" t="s">
        <v>130</v>
      </c>
      <c r="F14" s="97" t="s">
        <v>129</v>
      </c>
      <c r="G14" s="97">
        <v>80</v>
      </c>
      <c r="H14" s="11">
        <v>30</v>
      </c>
      <c r="I14" s="12">
        <v>57500</v>
      </c>
      <c r="J14" s="99">
        <v>28500</v>
      </c>
      <c r="K14" s="15"/>
      <c r="L14" s="119"/>
      <c r="M14" s="119"/>
      <c r="N14" s="119"/>
      <c r="O14" s="119"/>
    </row>
    <row r="15" spans="2:15" x14ac:dyDescent="0.3">
      <c r="B15" s="98" t="s">
        <v>67</v>
      </c>
      <c r="C15" s="11" t="s">
        <v>16</v>
      </c>
      <c r="D15" s="100">
        <v>4</v>
      </c>
      <c r="E15" s="11" t="s">
        <v>130</v>
      </c>
      <c r="F15" s="11" t="s">
        <v>135</v>
      </c>
      <c r="G15" s="11">
        <v>70</v>
      </c>
      <c r="H15" s="11">
        <v>70</v>
      </c>
      <c r="I15" s="13">
        <v>49800</v>
      </c>
      <c r="J15" s="101">
        <v>21900</v>
      </c>
      <c r="K15" s="15"/>
      <c r="L15" s="119"/>
      <c r="M15" s="119"/>
      <c r="N15" s="119"/>
      <c r="O15" s="119"/>
    </row>
    <row r="16" spans="2:15" x14ac:dyDescent="0.3">
      <c r="B16" s="118" t="s">
        <v>133</v>
      </c>
      <c r="C16" s="61" t="s">
        <v>138</v>
      </c>
      <c r="D16" s="100">
        <v>2</v>
      </c>
      <c r="E16" s="61" t="s">
        <v>128</v>
      </c>
      <c r="F16" s="61" t="s">
        <v>129</v>
      </c>
      <c r="G16" s="61">
        <v>70</v>
      </c>
      <c r="H16" s="61">
        <v>70</v>
      </c>
      <c r="I16" s="56">
        <v>35500</v>
      </c>
      <c r="J16" s="101">
        <v>12600</v>
      </c>
      <c r="K16" s="15"/>
      <c r="L16" s="119"/>
      <c r="M16" s="119"/>
      <c r="N16" s="119"/>
      <c r="O16" s="119"/>
    </row>
    <row r="17" spans="2:15" x14ac:dyDescent="0.3">
      <c r="B17" s="11"/>
      <c r="C17" s="11"/>
      <c r="D17" s="11"/>
      <c r="E17" s="11"/>
      <c r="F17" s="11"/>
      <c r="G17" s="11"/>
      <c r="H17" s="11"/>
      <c r="I17" s="11"/>
      <c r="J17" s="18"/>
      <c r="K17" s="15"/>
      <c r="L17" s="119"/>
      <c r="M17" s="119"/>
      <c r="N17" s="119"/>
      <c r="O17" s="119"/>
    </row>
    <row r="18" spans="2:15" x14ac:dyDescent="0.3">
      <c r="B18" s="11"/>
      <c r="C18" s="11"/>
      <c r="D18" s="11"/>
      <c r="E18" s="11"/>
      <c r="F18" s="11"/>
      <c r="G18" s="11"/>
      <c r="H18" s="11"/>
      <c r="I18" s="11"/>
      <c r="J18" s="18"/>
      <c r="K18" s="15"/>
      <c r="L18" s="119"/>
      <c r="M18" s="119"/>
      <c r="N18" s="119"/>
      <c r="O18" s="119"/>
    </row>
    <row r="19" spans="2:15" x14ac:dyDescent="0.3">
      <c r="B19" s="11"/>
      <c r="C19" s="11"/>
      <c r="D19" s="11"/>
      <c r="E19" s="11"/>
      <c r="F19" s="11"/>
      <c r="G19" s="11"/>
      <c r="H19" s="11"/>
      <c r="I19" s="11"/>
      <c r="J19" s="18"/>
      <c r="K19" s="15"/>
      <c r="L19" s="119"/>
      <c r="M19" s="119"/>
      <c r="N19" s="119"/>
      <c r="O19" s="119"/>
    </row>
    <row r="20" spans="2:15" x14ac:dyDescent="0.3">
      <c r="B20" s="11"/>
      <c r="C20" s="11"/>
      <c r="D20" s="11"/>
      <c r="E20" s="11"/>
      <c r="F20" s="11"/>
      <c r="G20" s="11"/>
      <c r="H20" s="11"/>
      <c r="I20" s="11"/>
      <c r="J20" s="18"/>
      <c r="K20" s="15"/>
      <c r="L20" s="119"/>
      <c r="M20" s="119"/>
      <c r="N20" s="119"/>
      <c r="O20" s="119"/>
    </row>
    <row r="21" spans="2:15" x14ac:dyDescent="0.3">
      <c r="B21" s="11"/>
      <c r="C21" s="11"/>
      <c r="D21" s="11"/>
      <c r="E21" s="11"/>
      <c r="F21" s="11"/>
      <c r="G21" s="11"/>
      <c r="H21" s="11"/>
      <c r="I21" s="11"/>
      <c r="J21" s="18"/>
      <c r="K21" s="15"/>
      <c r="L21" s="119"/>
      <c r="M21" s="119"/>
      <c r="N21" s="119"/>
      <c r="O21" s="119"/>
    </row>
    <row r="22" spans="2:15" x14ac:dyDescent="0.3">
      <c r="B22" s="92"/>
      <c r="C22" s="11"/>
      <c r="D22" s="61"/>
      <c r="E22" s="11"/>
      <c r="F22" s="11"/>
      <c r="G22" s="11"/>
      <c r="H22" s="11"/>
      <c r="I22" s="11"/>
      <c r="J22" s="94"/>
      <c r="K22" s="15"/>
      <c r="L22" s="119"/>
      <c r="M22" s="119"/>
      <c r="N22" s="119"/>
      <c r="O22" s="119"/>
    </row>
    <row r="23" spans="2:15" x14ac:dyDescent="0.3">
      <c r="B23" s="92"/>
      <c r="C23" s="11"/>
      <c r="D23" s="61"/>
      <c r="E23" s="11"/>
      <c r="F23" s="11"/>
      <c r="G23" s="11"/>
      <c r="H23" s="11"/>
      <c r="I23" s="11"/>
      <c r="J23" s="93"/>
      <c r="K23" s="15"/>
      <c r="L23" s="119"/>
      <c r="M23" s="119"/>
      <c r="N23" s="119"/>
      <c r="O23" s="119"/>
    </row>
    <row r="24" spans="2:15" x14ac:dyDescent="0.3">
      <c r="B24" s="92"/>
      <c r="C24" s="11"/>
      <c r="D24" s="61"/>
      <c r="E24" s="11"/>
      <c r="F24" s="11"/>
      <c r="G24" s="11"/>
      <c r="H24" s="11"/>
      <c r="I24" s="11"/>
      <c r="J24" s="93"/>
      <c r="K24" s="15"/>
      <c r="L24" s="119"/>
      <c r="M24" s="119"/>
      <c r="N24" s="119"/>
      <c r="O24" s="119"/>
    </row>
    <row r="25" spans="2:15" x14ac:dyDescent="0.3">
      <c r="B25" s="50"/>
      <c r="C25" s="11"/>
      <c r="D25" s="61"/>
      <c r="E25" s="11"/>
      <c r="F25" s="11"/>
      <c r="G25" s="11"/>
      <c r="H25" s="11"/>
      <c r="I25" s="11"/>
      <c r="J25" s="94"/>
      <c r="K25" s="15"/>
      <c r="L25" s="119"/>
      <c r="M25" s="119"/>
      <c r="N25" s="119"/>
      <c r="O25" s="119"/>
    </row>
    <row r="26" spans="2:15" x14ac:dyDescent="0.3">
      <c r="B26" s="50"/>
      <c r="C26" s="11"/>
      <c r="D26" s="61"/>
      <c r="E26" s="11"/>
      <c r="F26" s="11"/>
      <c r="G26" s="11"/>
      <c r="H26" s="11"/>
      <c r="I26" s="11"/>
      <c r="J26" s="94"/>
      <c r="K26" s="15"/>
      <c r="L26" s="119"/>
      <c r="M26" s="119"/>
      <c r="N26" s="119"/>
      <c r="O26" s="119"/>
    </row>
    <row r="27" spans="2:15" x14ac:dyDescent="0.3">
      <c r="B27" s="50"/>
      <c r="C27" s="11"/>
      <c r="D27" s="11"/>
      <c r="E27" s="11"/>
      <c r="F27" s="11"/>
      <c r="G27" s="11"/>
      <c r="H27" s="11"/>
      <c r="I27" s="11"/>
      <c r="J27" s="18"/>
      <c r="K27" s="15"/>
      <c r="L27" s="14"/>
      <c r="M27" s="15"/>
      <c r="N27" s="15"/>
    </row>
    <row r="28" spans="2:15" x14ac:dyDescent="0.3">
      <c r="B28" s="50"/>
      <c r="C28" s="11"/>
      <c r="D28" s="11"/>
      <c r="E28" s="11"/>
      <c r="F28" s="11"/>
      <c r="G28" s="11"/>
      <c r="H28" s="11"/>
      <c r="I28" s="11"/>
      <c r="J28" s="18"/>
      <c r="K28" s="15"/>
      <c r="L28" s="14"/>
      <c r="M28" s="15"/>
      <c r="N28" s="15"/>
    </row>
    <row r="29" spans="2:15" x14ac:dyDescent="0.3">
      <c r="B29" s="50"/>
      <c r="C29" s="11"/>
      <c r="D29" s="11"/>
      <c r="E29" s="11"/>
      <c r="F29" s="11"/>
      <c r="G29" s="11"/>
      <c r="H29" s="11"/>
      <c r="I29" s="11"/>
      <c r="J29" s="18"/>
      <c r="K29" s="15"/>
      <c r="L29" s="14"/>
      <c r="M29" s="15"/>
      <c r="N29" s="15"/>
    </row>
    <row r="30" spans="2:15" x14ac:dyDescent="0.3">
      <c r="B30" s="50"/>
      <c r="C30" s="11"/>
      <c r="D30" s="11"/>
      <c r="E30" s="11"/>
      <c r="F30" s="11"/>
      <c r="G30" s="11"/>
      <c r="H30" s="11"/>
      <c r="I30" s="11"/>
      <c r="J30" s="18"/>
      <c r="K30" s="15"/>
      <c r="L30" s="14"/>
      <c r="M30" s="15"/>
      <c r="N30" s="15"/>
    </row>
    <row r="31" spans="2:15" ht="17.25" thickBot="1" x14ac:dyDescent="0.35">
      <c r="B31" s="50"/>
      <c r="C31" s="11"/>
      <c r="D31" s="11"/>
      <c r="E31" s="11"/>
      <c r="F31" s="11"/>
      <c r="G31" s="11"/>
      <c r="H31" s="11"/>
      <c r="I31" s="11"/>
      <c r="J31" s="19"/>
      <c r="K31" s="15"/>
      <c r="L31" s="14"/>
      <c r="M31" s="15"/>
      <c r="N31" s="15"/>
    </row>
    <row r="32" spans="2:15" ht="17.25" thickTop="1" x14ac:dyDescent="0.3">
      <c r="B32" s="2"/>
      <c r="C32" s="2"/>
      <c r="D32" s="2"/>
      <c r="E32" s="2"/>
      <c r="F32" s="2"/>
      <c r="G32" s="2"/>
      <c r="H32" s="2"/>
      <c r="I32" s="5"/>
      <c r="J32" s="17"/>
      <c r="K32" s="15"/>
    </row>
    <row r="33" spans="2:24" x14ac:dyDescent="0.3">
      <c r="B33" s="2"/>
      <c r="C33" s="2"/>
      <c r="D33" s="2"/>
      <c r="E33" s="2"/>
      <c r="F33" s="2"/>
      <c r="G33" s="2"/>
      <c r="H33" s="2"/>
      <c r="I33" s="2"/>
      <c r="J33" s="17"/>
      <c r="K33" s="15"/>
    </row>
    <row r="34" spans="2:24" ht="17.25" thickBot="1" x14ac:dyDescent="0.35"/>
    <row r="35" spans="2:24" ht="18" thickTop="1" thickBot="1" x14ac:dyDescent="0.35">
      <c r="B35" s="9" t="s">
        <v>7</v>
      </c>
      <c r="C35" s="9" t="s">
        <v>28</v>
      </c>
      <c r="D35" s="28"/>
      <c r="E35" s="9" t="s">
        <v>5</v>
      </c>
      <c r="F35" s="9" t="s">
        <v>28</v>
      </c>
      <c r="H35" s="9" t="s">
        <v>27</v>
      </c>
      <c r="I35" s="9" t="s">
        <v>28</v>
      </c>
      <c r="J35" s="89"/>
      <c r="K35" s="65" t="s">
        <v>7</v>
      </c>
      <c r="L35" s="66" t="s">
        <v>114</v>
      </c>
    </row>
    <row r="36" spans="2:24" ht="17.25" thickTop="1" x14ac:dyDescent="0.3">
      <c r="B36" s="40" t="s">
        <v>0</v>
      </c>
      <c r="C36" s="41">
        <f>COUNTIF($B$14:$B$31,"Hat")</f>
        <v>1</v>
      </c>
      <c r="D36" s="28"/>
      <c r="E36" s="75" t="s">
        <v>59</v>
      </c>
      <c r="F36" s="91">
        <f>COUNTIFS($C$14:$C$34,"A_E_R",$E$14:$E$34,"NI",$F$14:$F$34,"SA")</f>
        <v>0</v>
      </c>
      <c r="H36" s="25" t="s">
        <v>70</v>
      </c>
      <c r="I36" s="26">
        <f>COUNTIFS($G$14:$G$37,"70",$H$14:$H$37,"70")</f>
        <v>2</v>
      </c>
      <c r="J36" s="28"/>
      <c r="K36" s="64" t="str">
        <f>INDEX($B$14:$B$32,MATCH(LARGE($J$14:$J$32,1),$J$14:$J$32,0))</f>
        <v>Hat</v>
      </c>
      <c r="L36" s="109">
        <f>LARGE($J$14:J31,1)</f>
        <v>28500</v>
      </c>
    </row>
    <row r="37" spans="2:24" x14ac:dyDescent="0.3">
      <c r="B37" s="31" t="s">
        <v>67</v>
      </c>
      <c r="C37" s="34">
        <f>COUNTIF($B$14:$B$31,"Glove")</f>
        <v>1</v>
      </c>
      <c r="D37" s="28"/>
      <c r="E37" s="31" t="s">
        <v>61</v>
      </c>
      <c r="F37" s="34">
        <f>COUNTIFS($C$14:$C$34,"A_E_R",$E$14:$E$34,"NI",$F$14:$F$34,"DTA")</f>
        <v>0</v>
      </c>
      <c r="H37" s="31" t="s">
        <v>71</v>
      </c>
      <c r="I37" s="43">
        <f>COUNTIFS($G$14:$G$37,"70",$H$14:$H$37,"30")</f>
        <v>0</v>
      </c>
      <c r="J37" s="5"/>
      <c r="K37" s="84" t="str">
        <f>INDEX($B$14:$B$32,MATCH(LARGE($J$14:$J$32,2),$J$14:$J$32,0))</f>
        <v>Glove</v>
      </c>
      <c r="L37" s="88">
        <f>LARGE($J$14:J32,2)</f>
        <v>21900</v>
      </c>
    </row>
    <row r="38" spans="2:24" x14ac:dyDescent="0.3">
      <c r="B38" s="31" t="s">
        <v>68</v>
      </c>
      <c r="C38" s="34">
        <f>COUNTIF($B$14:$B$31,"Shoes")</f>
        <v>1</v>
      </c>
      <c r="D38" s="28"/>
      <c r="E38" s="31" t="s">
        <v>58</v>
      </c>
      <c r="F38" s="34">
        <f>COUNTIFS($C$14:$C$34,"A_E_R",$E$14:$E$34,"SI",$F$14:$F$34,"SA")</f>
        <v>1</v>
      </c>
      <c r="H38" s="31" t="s">
        <v>72</v>
      </c>
      <c r="I38" s="34">
        <f>COUNTIFS($G$14:$G$37,"80",$H$14:$H$37,"70")</f>
        <v>0</v>
      </c>
      <c r="J38" s="28"/>
      <c r="K38" s="84" t="str">
        <f>INDEX($B$14:$B$32,MATCH(LARGE($J$14:$J$32,3),$J$14:$J$32,0))</f>
        <v>Shoes</v>
      </c>
      <c r="L38" s="88">
        <f>LARGE($J$14:J33,3)</f>
        <v>12600</v>
      </c>
    </row>
    <row r="39" spans="2:24" ht="17.25" thickBot="1" x14ac:dyDescent="0.35">
      <c r="B39" s="32" t="s">
        <v>69</v>
      </c>
      <c r="C39" s="35">
        <f>COUNTIF($B$14:$B$31,"Cape")</f>
        <v>0</v>
      </c>
      <c r="D39" s="28"/>
      <c r="E39" s="31" t="s">
        <v>60</v>
      </c>
      <c r="F39" s="34">
        <f>COUNTIFS($C$14:$C$34,"A_E_R",$E$14:$E$34,"SI",$F$14:$F$34,"DTA")</f>
        <v>1</v>
      </c>
      <c r="H39" s="31" t="s">
        <v>31</v>
      </c>
      <c r="I39" s="43">
        <f>COUNTIFS($G$14:$G$37,"80",$H$14:$H$37,"30")</f>
        <v>1</v>
      </c>
      <c r="J39" s="5"/>
      <c r="K39" s="84" t="e">
        <f>INDEX($B$14:$B$32,MATCH(LARGE($J$14:$J$32,4),$J$14:$J$32,0))</f>
        <v>#NUM!</v>
      </c>
      <c r="L39" s="88" t="e">
        <f>LARGE($J$14:J34,4)</f>
        <v>#NUM!</v>
      </c>
    </row>
    <row r="40" spans="2:24" ht="18" thickTop="1" thickBot="1" x14ac:dyDescent="0.35">
      <c r="B40" s="10"/>
      <c r="C40" s="10"/>
      <c r="D40" s="28"/>
      <c r="E40" s="31" t="s">
        <v>62</v>
      </c>
      <c r="F40" s="34">
        <f>COUNTIFS($C$14:$C$34,"A_E_E",$E$14:$E$34,"NI",$F$14:$F$34,"SA")</f>
        <v>1</v>
      </c>
      <c r="H40" s="31" t="s">
        <v>73</v>
      </c>
      <c r="I40" s="34">
        <f>COUNTIFS($G$14:$G$37,"90",$H$14:$H$37,"70")</f>
        <v>0</v>
      </c>
      <c r="J40" s="28"/>
      <c r="K40" s="90" t="e">
        <f>INDEX($B$14:$B$32,MATCH(LARGE($J$14:$J$32,5),$J$14:$J$32,0))</f>
        <v>#NUM!</v>
      </c>
      <c r="L40" s="114" t="e">
        <f>LARGE($J$14:J35,5)</f>
        <v>#NUM!</v>
      </c>
      <c r="O40" s="28"/>
      <c r="P40" s="28"/>
      <c r="Q40" s="28"/>
    </row>
    <row r="41" spans="2:24" ht="17.25" thickTop="1" x14ac:dyDescent="0.3">
      <c r="B41" s="10"/>
      <c r="C41" s="10"/>
      <c r="D41" s="28"/>
      <c r="E41" s="21" t="s">
        <v>63</v>
      </c>
      <c r="F41" s="22">
        <f>COUNTIFS($C$14:$C$34,"A_E_E",$E$14:$E$34,"NI",$F$14:$F$34,"DTA")</f>
        <v>0</v>
      </c>
      <c r="H41" s="31" t="s">
        <v>32</v>
      </c>
      <c r="I41" s="43">
        <f>COUNTIFS($G$14:$G$37,"90",$H$14:$H$37,"30")</f>
        <v>0</v>
      </c>
      <c r="J41" s="5"/>
      <c r="K41" s="28"/>
      <c r="L41" s="1"/>
      <c r="O41" s="28"/>
      <c r="P41" s="28"/>
      <c r="Q41" s="28"/>
    </row>
    <row r="42" spans="2:24" x14ac:dyDescent="0.3">
      <c r="B42" s="10"/>
      <c r="C42" s="10"/>
      <c r="D42" s="28"/>
      <c r="E42" s="21" t="s">
        <v>64</v>
      </c>
      <c r="F42" s="22">
        <f>COUNTIFS($C$14:$C$34,"A_E_E",$E$14:$E$34,"NI",$F$14:$F$34,"DTA(80)")</f>
        <v>0</v>
      </c>
      <c r="H42" s="31" t="s">
        <v>74</v>
      </c>
      <c r="I42" s="34">
        <f>COUNTIFS($G$14:$G$37,"100",$H$14:$H$37,"70")</f>
        <v>0</v>
      </c>
      <c r="J42" s="28"/>
      <c r="K42"/>
      <c r="L42" s="1"/>
    </row>
    <row r="43" spans="2:24" x14ac:dyDescent="0.3">
      <c r="B43" s="10"/>
      <c r="C43" s="10"/>
      <c r="D43" s="28"/>
      <c r="E43" s="21" t="s">
        <v>65</v>
      </c>
      <c r="F43" s="22">
        <f>COUNTIFS($C$14:$C$34,"A_E_E",$E$14:$E$34,"SI",$F$14:$F$34,"SA")</f>
        <v>0</v>
      </c>
      <c r="H43" s="31" t="s">
        <v>75</v>
      </c>
      <c r="I43" s="43">
        <f>COUNTIFS($G$14:$G$37,"100",$H$14:$H$37,"30")</f>
        <v>0</v>
      </c>
      <c r="J43" s="5"/>
      <c r="K43" s="28"/>
      <c r="L43" s="1"/>
      <c r="O43" s="28"/>
    </row>
    <row r="44" spans="2:24" ht="17.25" thickBot="1" x14ac:dyDescent="0.35">
      <c r="B44" s="10"/>
      <c r="C44" s="10"/>
      <c r="D44" s="28"/>
      <c r="E44" s="23" t="s">
        <v>66</v>
      </c>
      <c r="F44" s="24">
        <f>COUNTIFS($C$14:$C$34,"A_E_E",$E$14:$E$34,"SI",$F$14:$F$34,"DTA")</f>
        <v>0</v>
      </c>
      <c r="H44" s="40" t="s">
        <v>115</v>
      </c>
      <c r="I44" s="71">
        <f>COUNTIFS($G$14:$G$37,"70",$H$14:$H$37,"PW")</f>
        <v>0</v>
      </c>
      <c r="J44" s="5"/>
      <c r="K44" s="28"/>
      <c r="L44" s="1"/>
      <c r="O44" s="28"/>
    </row>
    <row r="45" spans="2:24" ht="17.25" thickTop="1" x14ac:dyDescent="0.3">
      <c r="D45" s="95"/>
      <c r="H45" s="31" t="s">
        <v>116</v>
      </c>
      <c r="I45" s="43">
        <f>COUNTIFS($G$14:$G$37,"80",$H$14:$H$37,"PW")</f>
        <v>0</v>
      </c>
      <c r="J45" s="5"/>
      <c r="K45" s="28"/>
      <c r="L45" s="1"/>
      <c r="O45" s="28"/>
      <c r="P45" s="5"/>
      <c r="Q45" s="5"/>
      <c r="U45" s="5"/>
      <c r="V45" s="5"/>
      <c r="W45" s="14"/>
      <c r="X45" s="15"/>
    </row>
    <row r="46" spans="2:24" x14ac:dyDescent="0.3">
      <c r="D46" s="95"/>
      <c r="H46" s="31" t="s">
        <v>117</v>
      </c>
      <c r="I46" s="63">
        <f>COUNTIFS($G$14:$G$37,"90",$H$14:$H$37,"PW")</f>
        <v>0</v>
      </c>
      <c r="J46" s="5"/>
      <c r="K46" s="28"/>
      <c r="L46" s="1"/>
      <c r="O46" s="28"/>
      <c r="P46" s="5"/>
      <c r="Q46" s="5"/>
      <c r="U46" s="5"/>
      <c r="V46" s="5"/>
      <c r="W46" s="14"/>
      <c r="X46" s="15"/>
    </row>
    <row r="47" spans="2:24" ht="17.25" thickBot="1" x14ac:dyDescent="0.35">
      <c r="D47" s="95"/>
      <c r="H47" s="32" t="s">
        <v>118</v>
      </c>
      <c r="I47" s="44">
        <f>COUNTIFS($G$14:$G$37,"100",$H$14:$H$37,"30")+COUNTIFS($G$14:$G$37,"100",$H$14:$H$37,"PW")</f>
        <v>0</v>
      </c>
      <c r="J47" s="5"/>
      <c r="K47" s="28"/>
      <c r="L47" s="1"/>
      <c r="O47" s="28"/>
      <c r="P47" s="5"/>
      <c r="Q47" s="5"/>
      <c r="U47" s="5"/>
      <c r="V47" s="5"/>
      <c r="W47" s="14"/>
      <c r="X47" s="15"/>
    </row>
    <row r="48" spans="2:24" ht="17.25" thickTop="1" x14ac:dyDescent="0.3">
      <c r="D48" s="95"/>
      <c r="I48" s="6"/>
      <c r="J48" s="73"/>
      <c r="K48" s="28"/>
      <c r="O48" s="28"/>
      <c r="P48" s="5"/>
      <c r="Q48" s="5"/>
      <c r="U48" s="5"/>
      <c r="V48" s="5"/>
      <c r="W48" s="14"/>
      <c r="X48" s="15"/>
    </row>
    <row r="49" spans="2:24" x14ac:dyDescent="0.3">
      <c r="D49" s="95"/>
      <c r="I49" s="6"/>
      <c r="J49" s="73"/>
      <c r="K49" s="28"/>
      <c r="O49" s="28"/>
      <c r="P49" s="5"/>
      <c r="Q49" s="5"/>
      <c r="U49" s="5"/>
      <c r="V49" s="5"/>
      <c r="W49" s="14"/>
      <c r="X49" s="15"/>
    </row>
    <row r="50" spans="2:24" x14ac:dyDescent="0.3">
      <c r="D50" s="95"/>
      <c r="I50" s="6"/>
      <c r="J50" s="73"/>
      <c r="K50" s="28"/>
      <c r="O50" s="28"/>
      <c r="P50" s="5"/>
      <c r="Q50" s="5"/>
      <c r="U50" s="5"/>
      <c r="V50" s="5"/>
      <c r="W50" s="14"/>
      <c r="X50" s="15"/>
    </row>
    <row r="51" spans="2:24" ht="17.25" customHeight="1" x14ac:dyDescent="0.3">
      <c r="D51" s="95"/>
      <c r="I51" s="6"/>
      <c r="J51" s="73"/>
      <c r="K51" s="28"/>
      <c r="O51" s="28"/>
      <c r="P51" s="5"/>
      <c r="Q51" s="5"/>
      <c r="U51" s="5"/>
      <c r="V51" s="5"/>
      <c r="W51" s="14"/>
      <c r="X51" s="15"/>
    </row>
    <row r="52" spans="2:24" ht="17.25" thickBot="1" x14ac:dyDescent="0.35">
      <c r="D52" s="95"/>
      <c r="I52" s="6"/>
      <c r="J52" s="73"/>
      <c r="K52" s="28"/>
      <c r="O52" s="28"/>
      <c r="P52" s="5"/>
      <c r="Q52" s="5"/>
      <c r="U52" s="5"/>
      <c r="V52" s="5"/>
      <c r="W52" s="14"/>
      <c r="X52" s="15"/>
    </row>
    <row r="53" spans="2:24" ht="18" thickTop="1" thickBot="1" x14ac:dyDescent="0.35">
      <c r="B53" s="9" t="s">
        <v>47</v>
      </c>
      <c r="C53" s="9" t="s">
        <v>28</v>
      </c>
      <c r="D53" s="89"/>
      <c r="E53" s="9" t="s">
        <v>76</v>
      </c>
      <c r="F53" s="9" t="s">
        <v>28</v>
      </c>
      <c r="G53" s="29"/>
      <c r="H53" s="9" t="s">
        <v>78</v>
      </c>
      <c r="I53" s="9" t="s">
        <v>28</v>
      </c>
      <c r="J53" s="29"/>
      <c r="K53" s="9" t="s">
        <v>80</v>
      </c>
      <c r="L53" s="9" t="s">
        <v>28</v>
      </c>
      <c r="O53" s="28"/>
      <c r="P53" s="5"/>
      <c r="Q53" s="5"/>
      <c r="U53" s="5"/>
      <c r="V53" s="5"/>
      <c r="W53" s="14"/>
      <c r="X53" s="15"/>
    </row>
    <row r="54" spans="2:24" ht="17.25" thickTop="1" x14ac:dyDescent="0.3">
      <c r="B54" s="30" t="s">
        <v>33</v>
      </c>
      <c r="C54" s="20">
        <f>COUNTIFS($B$14:$B$31,"Hat",$C$14:$C$31,"A_E_R",$E$14:$E$31,"NI",$F$14:$F$31,"SA")</f>
        <v>0</v>
      </c>
      <c r="D54" s="28"/>
      <c r="E54" s="30" t="s">
        <v>82</v>
      </c>
      <c r="F54" s="33">
        <f>COUNTIFS($B$14:$B$31,"Glove",$C$14:$C$31,"A_E_R",$E$14:$E$31,"NI",$F$14:$F$31,"SA")</f>
        <v>0</v>
      </c>
      <c r="G54" s="28"/>
      <c r="H54" s="30" t="s">
        <v>91</v>
      </c>
      <c r="I54" s="33">
        <f>COUNTIFS($B$14:$B$31,"Shoes",$C$14:$C$31,"A_E_R",$E$14:$E$31,"NI",$F$14:$F$31,"SA")</f>
        <v>0</v>
      </c>
      <c r="J54" s="28"/>
      <c r="K54" s="30" t="s">
        <v>100</v>
      </c>
      <c r="L54" s="33">
        <f>COUNTIFS($B$14:$B$31,"Cape",$C$14:$C$31,"A_E_R",$E$14:$E$31,"NI",$F$14:$F$31,"SA")</f>
        <v>0</v>
      </c>
    </row>
    <row r="55" spans="2:24" x14ac:dyDescent="0.3">
      <c r="B55" s="31" t="s">
        <v>34</v>
      </c>
      <c r="C55" s="22">
        <f>COUNTIFS($B$14:$B$31,"Hat",$C$14:$C$31,"A_E_R",$E$14:$E$31,"NI",$F$14:$F$31,"DTA")</f>
        <v>0</v>
      </c>
      <c r="D55" s="28"/>
      <c r="E55" s="31" t="s">
        <v>83</v>
      </c>
      <c r="F55" s="22">
        <f>COUNTIFS($B$14:$B$31,"Glove",$C$14:$C$31,"A_E_R",$E$14:$E$31,"NI",$F$14:$F$31,"DTA")</f>
        <v>0</v>
      </c>
      <c r="G55" s="28"/>
      <c r="H55" s="31" t="s">
        <v>92</v>
      </c>
      <c r="I55" s="34">
        <f>COUNTIFS($B$14:$B$31,"Shoes",$C$14:$C$31,"A_E_R",$E$14:$E$31,"NI",$F$14:$F$31,"DTA")</f>
        <v>0</v>
      </c>
      <c r="J55" s="28"/>
      <c r="K55" s="31" t="s">
        <v>101</v>
      </c>
      <c r="L55" s="34">
        <f>COUNTIFS($B$14:$B$31,"Cape",$C$14:$C$31,"A_E_R",$E$14:$E$31,"NI",$F$14:$F$31,"DTA")</f>
        <v>0</v>
      </c>
      <c r="O55" s="28"/>
    </row>
    <row r="56" spans="2:24" x14ac:dyDescent="0.3">
      <c r="B56" s="31" t="s">
        <v>35</v>
      </c>
      <c r="C56" s="34">
        <f>COUNTIFS($B$14:$B$31,"Hat",$C$14:$C$31,"A_E_R",$E$14:$E$31,"SI",$F$14:$F$31,"SA")</f>
        <v>1</v>
      </c>
      <c r="D56" s="28"/>
      <c r="E56" s="31" t="s">
        <v>84</v>
      </c>
      <c r="F56" s="34">
        <f>COUNTIFS($B$14:$B$31,"Glove",$C$14:$C$31,"A_E_R",$E$14:$E$31,"SI",$F$14:$F$31,"SA")</f>
        <v>0</v>
      </c>
      <c r="G56" s="28"/>
      <c r="H56" s="31" t="s">
        <v>93</v>
      </c>
      <c r="I56" s="34">
        <f>COUNTIFS($B$14:$B$31,"Shoes",$C$14:$C$31,"A_E_R",$E$14:$E$31,"SI",$F$14:$F$31,"SA")</f>
        <v>0</v>
      </c>
      <c r="J56" s="28"/>
      <c r="K56" s="31" t="s">
        <v>102</v>
      </c>
      <c r="L56" s="34">
        <f>COUNTIFS($B$14:$B$31,"Cape",$C$14:$C$31,"A_E_R",$E$14:$E$31,"SI",$F$14:$F$31,"SA")</f>
        <v>0</v>
      </c>
      <c r="O56" s="28"/>
    </row>
    <row r="57" spans="2:24" ht="17.25" thickBot="1" x14ac:dyDescent="0.35">
      <c r="B57" s="32" t="s">
        <v>36</v>
      </c>
      <c r="C57" s="24">
        <f>COUNTIFS($B$14:$B$31,"Hat",$C$14:$C$31,"A_E_R",$E$14:$E$31,"SI",$F$14:$F$31,"DTA")</f>
        <v>0</v>
      </c>
      <c r="D57" s="28"/>
      <c r="E57" s="32" t="s">
        <v>85</v>
      </c>
      <c r="F57" s="24">
        <f>COUNTIFS($B$14:$B$31,"Glove",$C$14:$C$31,"A_E_R",$E$14:$E$31,"SI",$F$14:$F$31,"DTA")</f>
        <v>1</v>
      </c>
      <c r="G57" s="28"/>
      <c r="H57" s="32" t="s">
        <v>94</v>
      </c>
      <c r="I57" s="35">
        <f>COUNTIFS($B$14:$B$31,"Shoes",$C$14:$C$31,"A_E_R",$E$14:$E$31,"SI",$F$14:$F$31,"DTA")</f>
        <v>0</v>
      </c>
      <c r="J57" s="28"/>
      <c r="K57" s="32" t="s">
        <v>103</v>
      </c>
      <c r="L57" s="35">
        <f>COUNTIFS($B$14:$B$31,"Cape",$C$14:$C$31,"A_E_R",$E$14:$E$31,"SI",$F$14:$F$31,"DTA")</f>
        <v>0</v>
      </c>
      <c r="O57" s="28"/>
    </row>
    <row r="58" spans="2:24" ht="18" thickTop="1" thickBot="1" x14ac:dyDescent="0.35">
      <c r="D58" s="95"/>
      <c r="I58" s="6"/>
      <c r="J58" s="73"/>
      <c r="K58"/>
      <c r="L58" s="6"/>
      <c r="O58" s="28"/>
    </row>
    <row r="59" spans="2:24" ht="18" thickTop="1" thickBot="1" x14ac:dyDescent="0.35">
      <c r="B59" s="9" t="s">
        <v>48</v>
      </c>
      <c r="C59" s="9" t="s">
        <v>28</v>
      </c>
      <c r="D59" s="89"/>
      <c r="E59" s="9" t="s">
        <v>77</v>
      </c>
      <c r="F59" s="9" t="s">
        <v>28</v>
      </c>
      <c r="G59" s="29"/>
      <c r="H59" s="9" t="s">
        <v>79</v>
      </c>
      <c r="I59" s="9" t="s">
        <v>28</v>
      </c>
      <c r="J59" s="29"/>
      <c r="K59" s="9" t="s">
        <v>81</v>
      </c>
      <c r="L59" s="9" t="s">
        <v>28</v>
      </c>
      <c r="O59" s="28"/>
    </row>
    <row r="60" spans="2:24" ht="17.25" thickTop="1" x14ac:dyDescent="0.3">
      <c r="B60" s="30" t="s">
        <v>49</v>
      </c>
      <c r="C60" s="33">
        <f>COUNTIFS($B$14:$B$31,"Hat",$C$14:$C$31,"A_E_E",$E$14:$E$31,"NI",$F$14:$F$31,"SA")</f>
        <v>0</v>
      </c>
      <c r="D60" s="28"/>
      <c r="E60" s="30" t="s">
        <v>86</v>
      </c>
      <c r="F60" s="33">
        <f>COUNTIFS($B$14:$B$31,"Glove",$C$14:$C$31,"A_E_E",$E$14:$E$31,"NI",$F$14:$F$31,"SA")</f>
        <v>0</v>
      </c>
      <c r="G60" s="28"/>
      <c r="H60" s="30" t="s">
        <v>95</v>
      </c>
      <c r="I60" s="33">
        <f>COUNTIFS($B$14:$B$31,"Shoes",$C$14:$C$31,"A_E_E",$E$14:$E$31,"NI",$F$14:$F$31,"SA")</f>
        <v>1</v>
      </c>
      <c r="J60" s="28"/>
      <c r="K60" s="30" t="s">
        <v>104</v>
      </c>
      <c r="L60" s="33">
        <f>COUNTIFS($B$14:$B$31,"Cape",$C$14:$C$31,"A_E_E",$E$14:$E$31,"NI",$F$14:$F$31,"SA")</f>
        <v>0</v>
      </c>
      <c r="O60" s="28"/>
    </row>
    <row r="61" spans="2:24" x14ac:dyDescent="0.3">
      <c r="B61" s="31" t="s">
        <v>50</v>
      </c>
      <c r="C61" s="34">
        <f>COUNTIFS($B$14:$B$31,"Hat",$C$14:$C$31,"A_E_E",$E$14:$E$31,"NI",$F$14:$F$31,"DTA")</f>
        <v>0</v>
      </c>
      <c r="D61" s="28"/>
      <c r="E61" s="31" t="s">
        <v>87</v>
      </c>
      <c r="F61" s="34">
        <f>COUNTIFS($B$14:$B$31,"Glove",$C$14:$C$31,"A_E_E",$E$14:$E$31,"NI",$F$14:$F$31,"DTA")</f>
        <v>0</v>
      </c>
      <c r="G61" s="28"/>
      <c r="H61" s="31" t="s">
        <v>96</v>
      </c>
      <c r="I61" s="34">
        <f>COUNTIFS($B$14:$B$31,"Shoes",$C$14:$C$31,"A_E_E",$E$14:$E$31,"NI",$F$14:$F$31,"DTA")</f>
        <v>0</v>
      </c>
      <c r="J61" s="28"/>
      <c r="K61" s="31" t="s">
        <v>105</v>
      </c>
      <c r="L61" s="34">
        <f>COUNTIFS($B$14:$B$31,"Cape",$C$14:$C$31,"A_E_E",$E$14:$E$31,"NI",$F$14:$F$31,"DTA")</f>
        <v>0</v>
      </c>
    </row>
    <row r="62" spans="2:24" x14ac:dyDescent="0.3">
      <c r="B62" s="31" t="s">
        <v>52</v>
      </c>
      <c r="C62" s="34">
        <f>COUNTIFS($B$14:$B$31,"Hat",$C$14:$C$31,"A_E_E",$E$14:$E$31,"SI",$F$14:$F$31,"SA")</f>
        <v>0</v>
      </c>
      <c r="D62" s="28"/>
      <c r="E62" s="31" t="s">
        <v>88</v>
      </c>
      <c r="F62" s="34">
        <f>COUNTIFS($B$14:$B$31,"Glove",$C$14:$C$31,"A_E_E",$E$14:$E$31,"SI",$F$14:$F$31,"SA")</f>
        <v>0</v>
      </c>
      <c r="G62" s="28"/>
      <c r="H62" s="31" t="s">
        <v>97</v>
      </c>
      <c r="I62" s="34">
        <f>COUNTIFS($B$14:$B$31,"Shoes",$C$14:$C$31,"A_E_E",$E$14:$E$31,"SI",$F$14:$F$31,"SA")</f>
        <v>0</v>
      </c>
      <c r="J62" s="28"/>
      <c r="K62" s="31" t="s">
        <v>106</v>
      </c>
      <c r="L62" s="34">
        <f>COUNTIFS($B$14:$B$31,"Cape",$C$14:$C$31,"A_E_E",$E$14:$E$31,"SI",$F$14:$F$31,"SA")</f>
        <v>0</v>
      </c>
      <c r="O62" s="28"/>
    </row>
    <row r="63" spans="2:24" x14ac:dyDescent="0.3">
      <c r="B63" s="38" t="s">
        <v>54</v>
      </c>
      <c r="C63" s="39">
        <f>COUNTIFS($B$14:$B$31,"Hat",$C$14:$C$31,"A_E_E",$E$14:$E$31,"SI",$F$14:$F$31,"DTA")</f>
        <v>0</v>
      </c>
      <c r="D63" s="28"/>
      <c r="E63" s="31" t="s">
        <v>89</v>
      </c>
      <c r="F63" s="34">
        <f>COUNTIFS($B$14:$B$31,"Glove",$C$14:$C$31,"A_E_E",$E$14:$E$31,"SI",$F$14:$F$31,"DTA")</f>
        <v>0</v>
      </c>
      <c r="G63" s="28"/>
      <c r="H63" s="38" t="s">
        <v>98</v>
      </c>
      <c r="I63" s="39">
        <f>COUNTIFS($B$14:$B$31,"Shoes",$C$14:$C$31,"A_E_E",$E$14:$E$31,"SI",$F$14:$F$31,"DTA")</f>
        <v>0</v>
      </c>
      <c r="J63" s="28"/>
      <c r="K63" s="38" t="s">
        <v>107</v>
      </c>
      <c r="L63" s="39">
        <f>COUNTIFS($B$14:$B$31,"Cape",$C$14:$C$31,"A_E_E",$E$14:$E$31,"SI",$F$14:$F$31,"DTA")</f>
        <v>0</v>
      </c>
      <c r="O63" s="28"/>
    </row>
    <row r="64" spans="2:24" ht="17.25" thickBot="1" x14ac:dyDescent="0.35">
      <c r="B64" s="32" t="s">
        <v>57</v>
      </c>
      <c r="C64" s="35">
        <f>COUNTIFS($B$14:$B$31,"Hat",$C$14:$C$31,"A_E_E",$E$14:$E$31,"NI",$F$14:$F$31,"DTA(80)")</f>
        <v>0</v>
      </c>
      <c r="D64" s="28"/>
      <c r="E64" s="36" t="s">
        <v>90</v>
      </c>
      <c r="F64" s="37">
        <f>COUNTIFS($B$14:$B$31,"Glove",$C$14:$C$31,"M_E_E",$E$14:$E$31,"NI",$F$14:$F$31,"DTA(80)")</f>
        <v>0</v>
      </c>
      <c r="H64" s="32" t="s">
        <v>99</v>
      </c>
      <c r="I64" s="35">
        <f>COUNTIFS($B$14:$B$31,"Shoes",$C$14:$C$31,"A_E_E",$E$14:$E$31,"NI",$F$14:$F$31,"DTA(80)")</f>
        <v>0</v>
      </c>
      <c r="J64" s="28"/>
      <c r="K64" s="32" t="s">
        <v>108</v>
      </c>
      <c r="L64" s="35">
        <f>COUNTIFS($B$14:$B$31,"Cape",$C$14:$C$31,"A_E_E",$E$14:$E$31,"NI",$F$14:$F$31,"DTA(80)")</f>
        <v>0</v>
      </c>
      <c r="O64" s="28"/>
    </row>
    <row r="65" spans="12:15" ht="17.25" thickTop="1" x14ac:dyDescent="0.3">
      <c r="L65" s="28"/>
      <c r="O65" s="28"/>
    </row>
    <row r="66" spans="12:15" x14ac:dyDescent="0.3">
      <c r="L66" s="28"/>
      <c r="O66" s="28"/>
    </row>
    <row r="67" spans="12:15" x14ac:dyDescent="0.3">
      <c r="L67" s="28"/>
      <c r="O67" s="28"/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81"/>
  <sheetViews>
    <sheetView topLeftCell="A7" workbookViewId="0">
      <selection activeCell="F48" sqref="F48"/>
    </sheetView>
  </sheetViews>
  <sheetFormatPr defaultRowHeight="16.5" x14ac:dyDescent="0.3"/>
  <cols>
    <col min="1" max="1" width="11.375" customWidth="1"/>
    <col min="2" max="2" width="18.25" customWidth="1"/>
    <col min="3" max="9" width="16.5" customWidth="1"/>
    <col min="10" max="10" width="16.5" style="6" customWidth="1"/>
    <col min="11" max="11" width="16.5" style="73" customWidth="1"/>
    <col min="12" max="13" width="16.5" customWidth="1"/>
    <col min="14" max="17" width="18.875" customWidth="1"/>
    <col min="18" max="20" width="20.375" customWidth="1"/>
  </cols>
  <sheetData>
    <row r="1" spans="2:20" x14ac:dyDescent="0.3">
      <c r="H1" s="10"/>
      <c r="I1" s="10"/>
      <c r="J1" s="42"/>
      <c r="K1" s="72"/>
    </row>
    <row r="2" spans="2:20" x14ac:dyDescent="0.3">
      <c r="H2" s="10"/>
      <c r="I2" s="10"/>
      <c r="J2" s="42"/>
      <c r="K2" s="72"/>
    </row>
    <row r="3" spans="2:20" x14ac:dyDescent="0.3">
      <c r="H3" s="10"/>
      <c r="I3" s="10"/>
      <c r="J3" s="42"/>
      <c r="K3" s="72"/>
    </row>
    <row r="4" spans="2:20" ht="17.25" customHeight="1" x14ac:dyDescent="0.3">
      <c r="B4" s="6"/>
      <c r="H4" s="10"/>
      <c r="I4" s="10"/>
      <c r="J4" s="42"/>
      <c r="K4" s="72"/>
    </row>
    <row r="5" spans="2:20" x14ac:dyDescent="0.3">
      <c r="B5" s="7"/>
      <c r="H5" s="10"/>
      <c r="I5" s="10"/>
      <c r="J5" s="42"/>
      <c r="K5" s="72"/>
    </row>
    <row r="6" spans="2:20" x14ac:dyDescent="0.3">
      <c r="H6" s="10"/>
      <c r="I6" s="10"/>
      <c r="J6" s="42"/>
      <c r="K6" s="72"/>
    </row>
    <row r="7" spans="2:20" ht="17.25" thickBot="1" x14ac:dyDescent="0.35">
      <c r="H7" s="10"/>
      <c r="I7" s="10"/>
      <c r="J7" s="42"/>
      <c r="K7" s="72"/>
    </row>
    <row r="8" spans="2:20" ht="18" thickTop="1" thickBot="1" x14ac:dyDescent="0.35">
      <c r="B8" s="9" t="s">
        <v>11</v>
      </c>
      <c r="H8" s="10"/>
      <c r="I8" s="10"/>
      <c r="J8" s="42"/>
      <c r="K8" s="72"/>
    </row>
    <row r="9" spans="2:20" ht="18" thickTop="1" thickBot="1" x14ac:dyDescent="0.35">
      <c r="B9" s="8">
        <f ca="1">NOW()</f>
        <v>44303.754543171293</v>
      </c>
      <c r="H9" s="10"/>
      <c r="I9" s="10"/>
      <c r="J9" s="42"/>
      <c r="K9" s="72"/>
    </row>
    <row r="10" spans="2:20" ht="17.25" thickTop="1" x14ac:dyDescent="0.3">
      <c r="H10" s="10"/>
      <c r="I10" s="10"/>
      <c r="J10" s="42"/>
      <c r="K10" s="72"/>
    </row>
    <row r="11" spans="2:20" x14ac:dyDescent="0.3">
      <c r="H11" s="10"/>
      <c r="I11" s="10"/>
      <c r="J11" s="42"/>
      <c r="K11" s="72"/>
    </row>
    <row r="12" spans="2:20" x14ac:dyDescent="0.3">
      <c r="B12" s="7"/>
      <c r="H12" s="10"/>
      <c r="I12" s="10"/>
      <c r="J12" s="42"/>
      <c r="K12" s="72"/>
    </row>
    <row r="13" spans="2:20" ht="17.25" thickBot="1" x14ac:dyDescent="0.35">
      <c r="B13" s="45" t="s">
        <v>7</v>
      </c>
      <c r="C13" s="46" t="s">
        <v>5</v>
      </c>
      <c r="D13" s="46" t="s">
        <v>125</v>
      </c>
      <c r="E13" s="46" t="s">
        <v>8</v>
      </c>
      <c r="F13" s="46" t="s">
        <v>9</v>
      </c>
      <c r="G13" s="46" t="s">
        <v>12</v>
      </c>
      <c r="H13" s="46" t="s">
        <v>13</v>
      </c>
      <c r="I13" s="46" t="s">
        <v>10</v>
      </c>
      <c r="J13" s="49" t="s">
        <v>4</v>
      </c>
      <c r="K13" s="5"/>
      <c r="L13" s="28"/>
      <c r="M13" s="28"/>
      <c r="N13" s="28"/>
      <c r="O13" s="28"/>
      <c r="P13" s="28"/>
      <c r="Q13" s="28"/>
      <c r="R13" s="28"/>
      <c r="S13" s="28"/>
      <c r="T13" s="5"/>
    </row>
    <row r="14" spans="2:20" ht="17.25" thickTop="1" x14ac:dyDescent="0.3">
      <c r="B14" s="111" t="s">
        <v>134</v>
      </c>
      <c r="C14" s="48" t="s">
        <v>17</v>
      </c>
      <c r="D14" s="48">
        <v>5</v>
      </c>
      <c r="E14" s="48" t="s">
        <v>2</v>
      </c>
      <c r="F14" s="48" t="s">
        <v>6</v>
      </c>
      <c r="G14" s="48">
        <v>90</v>
      </c>
      <c r="H14" s="48">
        <v>70</v>
      </c>
      <c r="I14" s="57">
        <v>40000</v>
      </c>
      <c r="J14" s="112">
        <v>13000</v>
      </c>
      <c r="K14" s="15"/>
      <c r="L14" s="5"/>
      <c r="M14" s="5"/>
      <c r="N14" s="5"/>
      <c r="O14" s="5"/>
      <c r="P14" s="5"/>
      <c r="Q14" s="5"/>
      <c r="R14" s="5"/>
      <c r="S14" s="5"/>
      <c r="T14" s="15"/>
    </row>
    <row r="15" spans="2:20" x14ac:dyDescent="0.3">
      <c r="B15" s="50" t="s">
        <v>134</v>
      </c>
      <c r="C15" s="11" t="s">
        <v>17</v>
      </c>
      <c r="D15" s="11">
        <v>5</v>
      </c>
      <c r="E15" s="11" t="s">
        <v>2</v>
      </c>
      <c r="F15" s="11" t="s">
        <v>6</v>
      </c>
      <c r="G15" s="11">
        <v>100</v>
      </c>
      <c r="H15" s="11">
        <v>70</v>
      </c>
      <c r="I15" s="13">
        <v>60000</v>
      </c>
      <c r="J15" s="93">
        <v>28000</v>
      </c>
      <c r="K15" s="15"/>
      <c r="L15" s="5"/>
      <c r="M15" s="5"/>
      <c r="N15" s="5"/>
      <c r="O15" s="5"/>
      <c r="P15" s="5"/>
      <c r="Q15" s="5"/>
      <c r="R15" s="5"/>
      <c r="S15" s="5"/>
      <c r="T15" s="15"/>
    </row>
    <row r="16" spans="2:20" x14ac:dyDescent="0.3">
      <c r="B16" s="92" t="s">
        <v>134</v>
      </c>
      <c r="C16" s="11" t="s">
        <v>17</v>
      </c>
      <c r="D16" s="61">
        <v>5</v>
      </c>
      <c r="E16" s="11" t="s">
        <v>3</v>
      </c>
      <c r="F16" s="11" t="s">
        <v>1</v>
      </c>
      <c r="G16" s="11">
        <v>70</v>
      </c>
      <c r="H16" s="11" t="s">
        <v>137</v>
      </c>
      <c r="I16" s="12">
        <v>35000</v>
      </c>
      <c r="J16" s="94">
        <v>17200</v>
      </c>
      <c r="K16" s="15"/>
      <c r="L16" s="5"/>
      <c r="M16" s="5"/>
      <c r="N16" s="5"/>
      <c r="O16" s="5"/>
      <c r="P16" s="5"/>
      <c r="Q16" s="5"/>
      <c r="R16" s="5"/>
      <c r="S16" s="5"/>
      <c r="T16" s="15"/>
    </row>
    <row r="17" spans="2:20" x14ac:dyDescent="0.3">
      <c r="B17" s="92" t="s">
        <v>30</v>
      </c>
      <c r="C17" s="11" t="s">
        <v>17</v>
      </c>
      <c r="D17" s="61">
        <v>2</v>
      </c>
      <c r="E17" s="11" t="s">
        <v>2</v>
      </c>
      <c r="F17" s="11" t="s">
        <v>6</v>
      </c>
      <c r="G17" s="11">
        <v>80</v>
      </c>
      <c r="H17" s="11">
        <v>70</v>
      </c>
      <c r="I17" s="13">
        <v>52200</v>
      </c>
      <c r="J17" s="94">
        <v>33300</v>
      </c>
      <c r="K17" s="15"/>
      <c r="L17" s="5"/>
      <c r="M17" s="5"/>
      <c r="N17" s="5"/>
      <c r="O17" s="5"/>
      <c r="P17" s="5"/>
      <c r="Q17" s="5"/>
      <c r="R17" s="5"/>
      <c r="S17" s="5"/>
      <c r="T17" s="15"/>
    </row>
    <row r="18" spans="2:20" x14ac:dyDescent="0.3">
      <c r="B18" s="92" t="s">
        <v>30</v>
      </c>
      <c r="C18" s="11" t="s">
        <v>17</v>
      </c>
      <c r="D18" s="61">
        <v>2</v>
      </c>
      <c r="E18" s="11" t="s">
        <v>3</v>
      </c>
      <c r="F18" s="11" t="s">
        <v>6</v>
      </c>
      <c r="G18" s="11">
        <v>90</v>
      </c>
      <c r="H18" s="11">
        <v>70</v>
      </c>
      <c r="I18" s="13">
        <v>28900</v>
      </c>
      <c r="J18" s="93">
        <v>13700</v>
      </c>
      <c r="K18" s="15"/>
      <c r="L18" s="5"/>
      <c r="M18" s="5"/>
      <c r="N18" s="5"/>
      <c r="O18" s="5"/>
      <c r="P18" s="5"/>
      <c r="Q18" s="5"/>
      <c r="R18" s="5"/>
      <c r="S18" s="5"/>
      <c r="T18" s="15"/>
    </row>
    <row r="19" spans="2:20" x14ac:dyDescent="0.3">
      <c r="B19" s="92" t="s">
        <v>30</v>
      </c>
      <c r="C19" s="11" t="s">
        <v>17</v>
      </c>
      <c r="D19" s="11">
        <v>2</v>
      </c>
      <c r="E19" s="11" t="s">
        <v>2</v>
      </c>
      <c r="F19" s="11" t="s">
        <v>6</v>
      </c>
      <c r="G19" s="11">
        <v>90</v>
      </c>
      <c r="H19" s="5">
        <v>70</v>
      </c>
      <c r="I19" s="115">
        <v>50000</v>
      </c>
      <c r="J19" s="93">
        <v>29000</v>
      </c>
      <c r="K19" s="15"/>
      <c r="L19" s="5"/>
      <c r="M19" s="5"/>
      <c r="N19" s="5"/>
      <c r="O19" s="5"/>
      <c r="P19" s="5"/>
      <c r="Q19" s="5"/>
      <c r="R19" s="5"/>
      <c r="S19" s="5"/>
      <c r="T19" s="15"/>
    </row>
    <row r="20" spans="2:20" x14ac:dyDescent="0.3">
      <c r="B20" s="92" t="s">
        <v>30</v>
      </c>
      <c r="C20" s="11" t="s">
        <v>136</v>
      </c>
      <c r="D20" s="11">
        <v>1</v>
      </c>
      <c r="E20" s="11" t="s">
        <v>3</v>
      </c>
      <c r="F20" s="11" t="s">
        <v>6</v>
      </c>
      <c r="G20" s="11">
        <v>70</v>
      </c>
      <c r="H20" s="11">
        <v>70</v>
      </c>
      <c r="I20" s="13">
        <v>28800</v>
      </c>
      <c r="J20" s="93">
        <v>15000</v>
      </c>
      <c r="K20" s="15"/>
      <c r="L20" s="5"/>
      <c r="M20" s="5"/>
      <c r="N20" s="5"/>
      <c r="O20" s="5"/>
      <c r="P20" s="5"/>
      <c r="Q20" s="5"/>
      <c r="R20" s="5"/>
      <c r="S20" s="5"/>
      <c r="T20" s="15"/>
    </row>
    <row r="21" spans="2:20" x14ac:dyDescent="0.3">
      <c r="B21" s="92" t="s">
        <v>30</v>
      </c>
      <c r="C21" s="11" t="s">
        <v>17</v>
      </c>
      <c r="D21" s="11">
        <v>2</v>
      </c>
      <c r="E21" s="11" t="s">
        <v>3</v>
      </c>
      <c r="F21" s="11" t="s">
        <v>6</v>
      </c>
      <c r="G21" s="11">
        <v>70</v>
      </c>
      <c r="H21" s="11">
        <v>30</v>
      </c>
      <c r="I21" s="12">
        <v>45000</v>
      </c>
      <c r="J21" s="93">
        <v>33000</v>
      </c>
      <c r="K21" s="15"/>
      <c r="L21" s="5"/>
      <c r="M21" s="5"/>
      <c r="N21" s="5"/>
      <c r="O21" s="5"/>
      <c r="P21" s="5"/>
      <c r="Q21" s="5"/>
      <c r="R21" s="5"/>
      <c r="S21" s="5"/>
      <c r="T21" s="15"/>
    </row>
    <row r="22" spans="2:20" x14ac:dyDescent="0.3">
      <c r="B22" s="92" t="s">
        <v>30</v>
      </c>
      <c r="C22" s="11" t="s">
        <v>17</v>
      </c>
      <c r="D22" s="61">
        <v>2</v>
      </c>
      <c r="E22" s="11" t="s">
        <v>3</v>
      </c>
      <c r="F22" s="11" t="s">
        <v>6</v>
      </c>
      <c r="G22" s="11">
        <v>100</v>
      </c>
      <c r="H22" s="11">
        <v>30</v>
      </c>
      <c r="I22" s="12">
        <v>63000</v>
      </c>
      <c r="J22" s="93">
        <v>18800</v>
      </c>
      <c r="K22" s="15"/>
      <c r="L22" s="5"/>
      <c r="M22" s="5"/>
      <c r="N22" s="5"/>
      <c r="O22" s="5"/>
      <c r="P22" s="5"/>
      <c r="Q22" s="5"/>
      <c r="R22" s="5"/>
      <c r="S22" s="5"/>
      <c r="T22" s="15"/>
    </row>
    <row r="23" spans="2:20" x14ac:dyDescent="0.3">
      <c r="B23" s="92" t="s">
        <v>110</v>
      </c>
      <c r="C23" s="11" t="s">
        <v>17</v>
      </c>
      <c r="D23" s="61">
        <v>5</v>
      </c>
      <c r="E23" s="11" t="s">
        <v>2</v>
      </c>
      <c r="F23" s="11" t="s">
        <v>6</v>
      </c>
      <c r="G23" s="11">
        <v>90</v>
      </c>
      <c r="H23" s="11">
        <v>70</v>
      </c>
      <c r="I23" s="13">
        <v>45000</v>
      </c>
      <c r="J23" s="93">
        <v>13600</v>
      </c>
      <c r="K23" s="15"/>
      <c r="L23" s="5"/>
      <c r="M23" s="5"/>
      <c r="N23" s="5"/>
      <c r="O23" s="5"/>
      <c r="P23" s="5"/>
      <c r="Q23" s="5"/>
      <c r="R23" s="5"/>
      <c r="S23" s="5"/>
      <c r="T23" s="15"/>
    </row>
    <row r="24" spans="2:20" x14ac:dyDescent="0.3">
      <c r="B24" s="50" t="s">
        <v>109</v>
      </c>
      <c r="C24" s="11" t="s">
        <v>17</v>
      </c>
      <c r="D24" s="61">
        <v>3</v>
      </c>
      <c r="E24" s="11" t="s">
        <v>2</v>
      </c>
      <c r="F24" s="11" t="s">
        <v>6</v>
      </c>
      <c r="G24" s="11">
        <v>100</v>
      </c>
      <c r="H24" s="11">
        <v>70</v>
      </c>
      <c r="I24" s="13">
        <v>60000</v>
      </c>
      <c r="J24" s="94">
        <v>16500</v>
      </c>
      <c r="K24" s="15"/>
      <c r="L24" s="5"/>
      <c r="M24" s="5"/>
      <c r="N24" s="5"/>
      <c r="O24" s="5"/>
      <c r="P24" s="5"/>
      <c r="Q24" s="5"/>
      <c r="R24" s="5"/>
      <c r="S24" s="5"/>
      <c r="T24" s="15"/>
    </row>
    <row r="25" spans="2:20" x14ac:dyDescent="0.3">
      <c r="B25" s="52" t="s">
        <v>109</v>
      </c>
      <c r="C25" s="53" t="s">
        <v>17</v>
      </c>
      <c r="D25" s="61">
        <v>3</v>
      </c>
      <c r="E25" s="53" t="s">
        <v>3</v>
      </c>
      <c r="F25" s="53" t="s">
        <v>6</v>
      </c>
      <c r="G25" s="53">
        <v>80</v>
      </c>
      <c r="H25" s="53">
        <v>30</v>
      </c>
      <c r="I25" s="108">
        <v>61100</v>
      </c>
      <c r="J25" s="113">
        <v>32100</v>
      </c>
      <c r="K25" s="15"/>
      <c r="L25" s="5"/>
      <c r="M25" s="5"/>
      <c r="N25" s="5"/>
      <c r="O25" s="5"/>
      <c r="P25" s="5"/>
      <c r="Q25" s="5"/>
      <c r="R25" s="5"/>
      <c r="S25" s="5"/>
      <c r="T25" s="15"/>
    </row>
    <row r="26" spans="2:20" x14ac:dyDescent="0.3">
      <c r="B26" s="92"/>
      <c r="C26" s="11"/>
      <c r="D26" s="11"/>
      <c r="E26" s="11"/>
      <c r="F26" s="11"/>
      <c r="G26" s="11"/>
      <c r="H26" s="11"/>
      <c r="I26" s="11"/>
      <c r="J26" s="93"/>
      <c r="K26" s="15"/>
      <c r="L26" s="5"/>
      <c r="M26" s="5"/>
      <c r="N26" s="5"/>
      <c r="O26" s="5"/>
      <c r="P26" s="5"/>
      <c r="Q26" s="5"/>
      <c r="R26" s="5"/>
      <c r="S26" s="5"/>
      <c r="T26" s="15"/>
    </row>
    <row r="27" spans="2:20" x14ac:dyDescent="0.3">
      <c r="B27" s="50"/>
      <c r="C27" s="11"/>
      <c r="D27" s="11"/>
      <c r="E27" s="11"/>
      <c r="F27" s="11"/>
      <c r="G27" s="11"/>
      <c r="H27" s="11"/>
      <c r="I27" s="11"/>
      <c r="J27" s="94"/>
      <c r="K27" s="15"/>
      <c r="L27" s="5"/>
      <c r="M27" s="5"/>
      <c r="N27" s="5"/>
      <c r="O27" s="5"/>
      <c r="P27" s="5"/>
      <c r="Q27" s="5"/>
      <c r="R27" s="5"/>
      <c r="S27" s="5"/>
      <c r="T27" s="15"/>
    </row>
    <row r="28" spans="2:20" x14ac:dyDescent="0.3">
      <c r="B28" s="50"/>
      <c r="C28" s="11"/>
      <c r="D28" s="11"/>
      <c r="E28" s="11"/>
      <c r="F28" s="11"/>
      <c r="G28" s="11"/>
      <c r="H28" s="11"/>
      <c r="I28" s="11"/>
      <c r="J28" s="93"/>
      <c r="K28" s="15"/>
      <c r="L28" s="5"/>
      <c r="M28" s="5"/>
      <c r="N28" s="5"/>
      <c r="O28" s="5"/>
      <c r="P28" s="5"/>
      <c r="Q28" s="5"/>
      <c r="R28" s="5"/>
      <c r="S28" s="5"/>
      <c r="T28" s="15"/>
    </row>
    <row r="29" spans="2:20" x14ac:dyDescent="0.3">
      <c r="B29" s="50"/>
      <c r="C29" s="11"/>
      <c r="D29" s="11"/>
      <c r="E29" s="11"/>
      <c r="F29" s="11"/>
      <c r="G29" s="11"/>
      <c r="H29" s="11"/>
      <c r="I29" s="11"/>
      <c r="J29" s="18"/>
      <c r="K29" s="15"/>
      <c r="L29" s="5"/>
      <c r="M29" s="5"/>
      <c r="N29" s="5"/>
      <c r="O29" s="5"/>
      <c r="P29" s="5"/>
      <c r="Q29" s="5"/>
      <c r="R29" s="5"/>
      <c r="S29" s="5"/>
      <c r="T29" s="15"/>
    </row>
    <row r="30" spans="2:20" x14ac:dyDescent="0.3">
      <c r="B30" s="50"/>
      <c r="C30" s="11"/>
      <c r="D30" s="11"/>
      <c r="E30" s="11"/>
      <c r="F30" s="11"/>
      <c r="G30" s="11"/>
      <c r="H30" s="11"/>
      <c r="I30" s="11"/>
      <c r="J30" s="18"/>
      <c r="K30" s="15"/>
      <c r="L30" s="5"/>
      <c r="M30" s="5"/>
      <c r="N30" s="5"/>
      <c r="O30" s="5"/>
      <c r="P30" s="5"/>
      <c r="Q30" s="5"/>
      <c r="R30" s="5"/>
      <c r="S30" s="5"/>
      <c r="T30" s="15"/>
    </row>
    <row r="31" spans="2:20" x14ac:dyDescent="0.3">
      <c r="B31" s="50"/>
      <c r="C31" s="11"/>
      <c r="D31" s="11"/>
      <c r="E31" s="11"/>
      <c r="F31" s="11"/>
      <c r="G31" s="11"/>
      <c r="H31" s="11"/>
      <c r="I31" s="11"/>
      <c r="J31" s="51"/>
      <c r="K31" s="15"/>
      <c r="L31" s="5"/>
      <c r="M31" s="5"/>
      <c r="N31" s="5"/>
      <c r="O31" s="5"/>
      <c r="P31" s="5"/>
      <c r="Q31" s="5"/>
      <c r="R31" s="5"/>
      <c r="S31" s="5"/>
      <c r="T31" s="15"/>
    </row>
    <row r="32" spans="2:20" ht="17.25" thickBot="1" x14ac:dyDescent="0.35">
      <c r="B32" s="52"/>
      <c r="C32" s="53"/>
      <c r="D32" s="53"/>
      <c r="E32" s="53"/>
      <c r="F32" s="53"/>
      <c r="G32" s="53"/>
      <c r="H32" s="53"/>
      <c r="I32" s="53"/>
      <c r="J32" s="54"/>
      <c r="K32" s="15"/>
      <c r="L32" s="5"/>
      <c r="M32" s="5"/>
      <c r="N32" s="5"/>
      <c r="O32" s="5"/>
      <c r="P32" s="5"/>
      <c r="Q32" s="5"/>
      <c r="R32" s="5"/>
      <c r="S32" s="5"/>
      <c r="T32" s="15"/>
    </row>
    <row r="33" spans="2:17" ht="17.25" thickTop="1" x14ac:dyDescent="0.3">
      <c r="B33" s="3"/>
      <c r="C33" s="3"/>
      <c r="D33" s="3"/>
      <c r="E33" s="3"/>
      <c r="F33" s="3"/>
      <c r="G33" s="3"/>
      <c r="H33" s="3"/>
      <c r="I33" s="4"/>
      <c r="J33" s="16"/>
      <c r="K33" s="15"/>
    </row>
    <row r="34" spans="2:17" x14ac:dyDescent="0.3">
      <c r="B34" s="2"/>
      <c r="C34" s="2"/>
      <c r="D34" s="2"/>
      <c r="E34" s="2"/>
      <c r="F34" s="2"/>
      <c r="G34" s="2"/>
      <c r="H34" s="2"/>
      <c r="I34" s="2"/>
      <c r="J34" s="17"/>
      <c r="K34" s="15"/>
    </row>
    <row r="35" spans="2:17" ht="17.25" thickBot="1" x14ac:dyDescent="0.35"/>
    <row r="36" spans="2:17" ht="18" thickTop="1" thickBot="1" x14ac:dyDescent="0.35">
      <c r="B36" s="9" t="s">
        <v>7</v>
      </c>
      <c r="C36" s="9" t="s">
        <v>28</v>
      </c>
      <c r="D36" s="28"/>
      <c r="E36" s="9" t="s">
        <v>5</v>
      </c>
      <c r="F36" s="9" t="s">
        <v>28</v>
      </c>
      <c r="H36" s="9" t="s">
        <v>27</v>
      </c>
      <c r="I36" s="9" t="s">
        <v>28</v>
      </c>
      <c r="J36" s="28"/>
      <c r="K36" s="65" t="s">
        <v>113</v>
      </c>
      <c r="L36" s="66" t="s">
        <v>114</v>
      </c>
    </row>
    <row r="37" spans="2:17" ht="17.25" thickTop="1" x14ac:dyDescent="0.3">
      <c r="B37" s="40" t="s">
        <v>0</v>
      </c>
      <c r="C37" s="86">
        <f>COUNTIF($B$14:$B$32,"Hat")</f>
        <v>6</v>
      </c>
      <c r="D37" s="28"/>
      <c r="E37" s="75" t="s">
        <v>119</v>
      </c>
      <c r="F37" s="91">
        <f>COUNTIFS($C$14:$C$32,"T_E_R",$E$14:$E$32,"NI",$F$14:$F$32,"SA")</f>
        <v>4</v>
      </c>
      <c r="H37" s="30" t="s">
        <v>70</v>
      </c>
      <c r="I37" s="33">
        <f>IF(COUNTIFS($G$14:$G$35,"70",$H$14:$H$35,"70")=0," ",COUNTIFS($G$14:$G$35,"70",$H$14:$H$35,"70"))</f>
        <v>1</v>
      </c>
      <c r="J37" s="28"/>
      <c r="K37" s="103" t="str">
        <f>INDEX($B$14:$B$32,MATCH(LARGE($J$14:$J$32,1),$J$14:$J$32,0))</f>
        <v>Hat</v>
      </c>
      <c r="L37" s="104">
        <f>LARGE($J$14:J32,1)</f>
        <v>33300</v>
      </c>
    </row>
    <row r="38" spans="2:17" x14ac:dyDescent="0.3">
      <c r="B38" s="31" t="s">
        <v>67</v>
      </c>
      <c r="C38" s="34">
        <f>COUNTIF($B$14:$B$32,"Glove")</f>
        <v>1</v>
      </c>
      <c r="D38" s="28"/>
      <c r="E38" s="31" t="s">
        <v>120</v>
      </c>
      <c r="F38" s="34">
        <f>COUNTIFS($C$14:$C$32,"T_E_R",$E$14:$E$32,"NI",$F$14:$F$32,"DTA")</f>
        <v>1</v>
      </c>
      <c r="H38" s="31" t="s">
        <v>71</v>
      </c>
      <c r="I38" s="43">
        <f>IF(COUNTIFS($G$14:$G$35,"70",$H$14:$H$35,"30")=0," ",COUNTIFS($G$14:$G$35,"70",$H$14:$H$35,"30"))</f>
        <v>1</v>
      </c>
      <c r="J38" s="5"/>
      <c r="K38" s="58" t="str">
        <f>INDEX($B$14:$B$32,MATCH(LARGE($J$14:$J$32,2),$J$14:$J$32,0))</f>
        <v>Hat</v>
      </c>
      <c r="L38" s="55">
        <f>LARGE($J$14:J33,2)</f>
        <v>33000</v>
      </c>
    </row>
    <row r="39" spans="2:17" x14ac:dyDescent="0.3">
      <c r="B39" s="31" t="s">
        <v>68</v>
      </c>
      <c r="C39" s="85">
        <f>COUNTIF($B$14:$B$32,"Shoes")</f>
        <v>3</v>
      </c>
      <c r="D39" s="28"/>
      <c r="E39" s="58" t="s">
        <v>121</v>
      </c>
      <c r="F39" s="27">
        <f>COUNTIFS($C$14:$C$32,"T_E_R",$E$14:$E$32,"SI",$F$14:$F$32,"SA")</f>
        <v>6</v>
      </c>
      <c r="H39" s="31" t="s">
        <v>72</v>
      </c>
      <c r="I39" s="34">
        <f>IF(COUNTIFS($G$14:$G$35,"80",$H$14:$H$35,"70")=0," ",COUNTIFS($G$14:$G$35,"80",$H$14:$H$35,"70"))</f>
        <v>1</v>
      </c>
      <c r="J39" s="28"/>
      <c r="K39" s="58" t="str">
        <f>INDEX($B$14:$B$32,MATCH(LARGE($J$14:$J$32,3),$J$14:$J$32,0))</f>
        <v>Cape</v>
      </c>
      <c r="L39" s="55">
        <f>LARGE($J$14:J34,3)</f>
        <v>32100</v>
      </c>
    </row>
    <row r="40" spans="2:17" ht="17.25" thickBot="1" x14ac:dyDescent="0.35">
      <c r="B40" s="23" t="s">
        <v>109</v>
      </c>
      <c r="C40" s="35">
        <f>COUNTIF($B$14:$B$32,"Cape")</f>
        <v>2</v>
      </c>
      <c r="D40" s="28"/>
      <c r="E40" s="31" t="s">
        <v>122</v>
      </c>
      <c r="F40" s="34">
        <f>COUNTIFS($C$14:$C$32,"T_E_R",$E$14:$E$32,"SI",$F$14:$F$32,"DTA")</f>
        <v>0</v>
      </c>
      <c r="H40" s="31" t="s">
        <v>31</v>
      </c>
      <c r="I40" s="43">
        <f>IF(COUNTIFS($G$14:$G$35,"80",$H$14:$H$35,"30")=0," ",COUNTIFS($G$14:$G$35,"80",$H$14:$H$35,"30"))</f>
        <v>1</v>
      </c>
      <c r="J40" s="5"/>
      <c r="K40" s="84" t="str">
        <f>INDEX($B$14:$B$32,MATCH(LARGE($J$14:$J$32,4),$J$14:$J$32,0))</f>
        <v>Hat</v>
      </c>
      <c r="L40" s="88">
        <f>LARGE($J$14:J35,4)</f>
        <v>29000</v>
      </c>
    </row>
    <row r="41" spans="2:17" ht="18" thickTop="1" thickBot="1" x14ac:dyDescent="0.35">
      <c r="B41" s="10"/>
      <c r="C41" s="10"/>
      <c r="D41" s="28"/>
      <c r="E41" s="31" t="s">
        <v>123</v>
      </c>
      <c r="F41" s="34">
        <f>COUNTIFS($C$14:$C$32,"T_E_E",$E$14:$E$32,"NI",$F$14:$F$32,"SA")</f>
        <v>1</v>
      </c>
      <c r="H41" s="58" t="s">
        <v>73</v>
      </c>
      <c r="I41" s="27">
        <f>IF(COUNTIFS($G$14:$G$35,"90",$H$14:$H$35,"70")=0," ",COUNTIFS($G$14:$G$35,"90",$H$14:$H$35,"70"))</f>
        <v>4</v>
      </c>
      <c r="J41" s="28"/>
      <c r="K41" s="90" t="str">
        <f>INDEX($B$14:$B$32,MATCH(LARGE($J$14:$J$32,5),$J$14:$J$32,0))</f>
        <v>Shoes</v>
      </c>
      <c r="L41" s="114">
        <f>LARGE($J$14:J36,5)</f>
        <v>28000</v>
      </c>
      <c r="O41" s="28"/>
      <c r="P41" s="28"/>
      <c r="Q41" s="28"/>
    </row>
    <row r="42" spans="2:17" ht="17.25" thickTop="1" x14ac:dyDescent="0.3">
      <c r="B42" s="10"/>
      <c r="C42" s="10"/>
      <c r="D42" s="28"/>
      <c r="E42" s="21" t="s">
        <v>51</v>
      </c>
      <c r="F42" s="34">
        <f>COUNTIFS($C$14:$C$32,"T_E_E",$E$14:$E$32,"NI",$F$14:$F$32,"DTA")</f>
        <v>0</v>
      </c>
      <c r="H42" s="31" t="s">
        <v>32</v>
      </c>
      <c r="I42" s="43" t="str">
        <f>IF(COUNTIFS($G$14:$G$35,"90",$H$14:$H$35,"30")=0," ",COUNTIFS($G$14:$G$35,"90",$H$14:$H$35,"30"))</f>
        <v xml:space="preserve"> </v>
      </c>
      <c r="J42" s="5"/>
      <c r="K42" s="28"/>
      <c r="L42" s="1"/>
      <c r="O42" s="28"/>
      <c r="P42" s="28"/>
      <c r="Q42" s="28"/>
    </row>
    <row r="43" spans="2:17" x14ac:dyDescent="0.3">
      <c r="B43" s="10"/>
      <c r="C43" s="10"/>
      <c r="D43" s="28"/>
      <c r="E43" s="21" t="s">
        <v>56</v>
      </c>
      <c r="F43" s="34">
        <f>COUNTIFS($C$14:$C$32,"T_E_E",$E$14:$E$32,"NI",$F$14:$F$32,"DTA(80)")</f>
        <v>0</v>
      </c>
      <c r="H43" s="84" t="s">
        <v>74</v>
      </c>
      <c r="I43" s="85">
        <f>IF(COUNTIFS($G$14:$G$35,"100",$H$14:$H$35,"70")=0," ",COUNTIFS($G$14:$G$35,"100",$H$14:$H$35,"70"))</f>
        <v>2</v>
      </c>
      <c r="J43" s="28"/>
      <c r="K43"/>
      <c r="L43" s="1"/>
    </row>
    <row r="44" spans="2:17" x14ac:dyDescent="0.3">
      <c r="B44" s="10"/>
      <c r="C44" s="10"/>
      <c r="D44" s="28"/>
      <c r="E44" s="21" t="s">
        <v>53</v>
      </c>
      <c r="F44" s="34">
        <f>COUNTIFS($C$14:$C$32,"T_E_E",$E$14:$E$32,"SI",$F$14:$F$32,"SA")</f>
        <v>0</v>
      </c>
      <c r="H44" s="31" t="s">
        <v>75</v>
      </c>
      <c r="I44" s="43">
        <f>IF(COUNTIFS($G$14:$G$35,"100",$H$14:$H$35,"30")=0," ",COUNTIFS($G$14:$G$35,"100",$H$14:$H$35,"30"))</f>
        <v>1</v>
      </c>
      <c r="J44" s="5"/>
      <c r="K44" s="28"/>
      <c r="L44" s="1"/>
      <c r="O44" s="28"/>
    </row>
    <row r="45" spans="2:17" ht="17.25" thickBot="1" x14ac:dyDescent="0.35">
      <c r="B45" s="10"/>
      <c r="C45" s="10"/>
      <c r="D45" s="28"/>
      <c r="E45" s="23" t="s">
        <v>55</v>
      </c>
      <c r="F45" s="35">
        <f>COUNTIFS($C$14:$C$32,"T_E_E",$E$14:$E$32,"SI",$F$14:$F$32,"DTA")</f>
        <v>0</v>
      </c>
      <c r="H45" s="40" t="s">
        <v>115</v>
      </c>
      <c r="I45" s="71">
        <f>IF(COUNTIFS($G$14:$G$35,"70",$H$14:$H$35,"PW")=0," ",COUNTIFS($G$14:$G$35,"70",$H$14:$H$35,"PW"))</f>
        <v>1</v>
      </c>
      <c r="J45" s="5"/>
      <c r="K45" s="28"/>
      <c r="L45" s="1"/>
      <c r="O45" s="28"/>
    </row>
    <row r="46" spans="2:17" ht="17.25" thickTop="1" x14ac:dyDescent="0.3">
      <c r="B46" s="10"/>
      <c r="C46" s="10"/>
      <c r="D46" s="28"/>
      <c r="E46" s="62"/>
      <c r="F46" s="28"/>
      <c r="H46" s="31" t="s">
        <v>116</v>
      </c>
      <c r="I46" s="43" t="str">
        <f>IF(COUNTIFS($G$14:$G$35,"80",$H$14:$H$35,"PW")=0," ",COUNTIFS($G$14:$G$35,"80",$H$14:$H$35,"PW"))</f>
        <v xml:space="preserve"> </v>
      </c>
      <c r="J46" s="5"/>
      <c r="K46" s="28"/>
      <c r="L46" s="1"/>
      <c r="O46" s="28"/>
    </row>
    <row r="47" spans="2:17" x14ac:dyDescent="0.3">
      <c r="B47" s="10"/>
      <c r="C47" s="10"/>
      <c r="D47" s="28"/>
      <c r="E47" s="62"/>
      <c r="F47" s="28"/>
      <c r="H47" s="31" t="s">
        <v>117</v>
      </c>
      <c r="I47" s="63" t="str">
        <f>IF(COUNTIFS($G$14:$G$35,"90",$H$14:$H$35,"PW")=0," ",COUNTIFS($G$14:$G$35,"90",$H$14:$H$35,"PW"))</f>
        <v xml:space="preserve"> </v>
      </c>
      <c r="J47" s="5"/>
      <c r="K47" s="28"/>
      <c r="L47" s="1"/>
      <c r="O47" s="28"/>
    </row>
    <row r="48" spans="2:17" ht="17.25" thickBot="1" x14ac:dyDescent="0.35">
      <c r="B48" s="10"/>
      <c r="C48" s="10"/>
      <c r="D48" s="28"/>
      <c r="E48" s="62"/>
      <c r="F48" s="28"/>
      <c r="H48" s="32" t="s">
        <v>118</v>
      </c>
      <c r="I48" s="44" t="str">
        <f>IF(COUNTIFS($G$14:$G$35,"100",$H$14:$H$35,"PW")=0," ",COUNTIFS($G$14:$G$35,"100",$H$14:$H$35,"PW"))</f>
        <v xml:space="preserve"> </v>
      </c>
      <c r="J48" s="5"/>
      <c r="K48" s="28"/>
      <c r="L48" s="1"/>
      <c r="O48" s="28"/>
    </row>
    <row r="49" spans="2:24" ht="17.25" thickTop="1" x14ac:dyDescent="0.3">
      <c r="B49" s="10"/>
      <c r="C49" s="10"/>
      <c r="D49" s="28"/>
      <c r="E49" s="62"/>
      <c r="F49" s="28"/>
      <c r="I49" s="6"/>
      <c r="J49" s="73"/>
      <c r="K49" s="28"/>
      <c r="O49" s="28"/>
    </row>
    <row r="50" spans="2:24" ht="17.25" thickBot="1" x14ac:dyDescent="0.35">
      <c r="D50" s="95"/>
      <c r="I50" s="6"/>
      <c r="J50" s="73"/>
      <c r="K50" s="28"/>
      <c r="O50" s="28"/>
      <c r="P50" s="5"/>
      <c r="Q50" s="5"/>
      <c r="U50" s="5"/>
      <c r="V50" s="5"/>
      <c r="W50" s="14"/>
      <c r="X50" s="15"/>
    </row>
    <row r="51" spans="2:24" ht="18" thickTop="1" thickBot="1" x14ac:dyDescent="0.35">
      <c r="B51" s="9" t="s">
        <v>47</v>
      </c>
      <c r="C51" s="9" t="s">
        <v>28</v>
      </c>
      <c r="D51" s="89"/>
      <c r="E51" s="9" t="s">
        <v>76</v>
      </c>
      <c r="F51" s="9" t="s">
        <v>28</v>
      </c>
      <c r="G51" s="29"/>
      <c r="H51" s="9" t="s">
        <v>78</v>
      </c>
      <c r="I51" s="9" t="s">
        <v>28</v>
      </c>
      <c r="J51" s="28"/>
      <c r="K51" s="9" t="s">
        <v>80</v>
      </c>
      <c r="L51" s="9" t="s">
        <v>28</v>
      </c>
      <c r="O51" s="28"/>
      <c r="P51" s="5"/>
      <c r="Q51" s="5"/>
      <c r="U51" s="5"/>
      <c r="V51" s="5"/>
      <c r="W51" s="14"/>
      <c r="X51" s="15"/>
    </row>
    <row r="52" spans="2:24" ht="17.25" thickTop="1" x14ac:dyDescent="0.3">
      <c r="B52" s="25" t="s">
        <v>33</v>
      </c>
      <c r="C52" s="26">
        <f>COUNTIFS($B$14:$B$32,"Hat",$C$14:$C$32,"T_E_R",$E$14:$E$32,"NI",$F$14:$F$32,"SA")</f>
        <v>3</v>
      </c>
      <c r="D52" s="28"/>
      <c r="E52" s="30" t="s">
        <v>82</v>
      </c>
      <c r="F52" s="33">
        <f>COUNTIFS($B$14:$B$32,"Glove",$C$14:$C$32,"T_E_R",$E$14:$E$32,"NI",$F$14:$F$32,"SA")</f>
        <v>0</v>
      </c>
      <c r="G52" s="28"/>
      <c r="H52" s="30" t="s">
        <v>91</v>
      </c>
      <c r="I52" s="33">
        <f>COUNTIFS($B$14:$B$32,"Shoes",$C$14:$C$32,"T_E_R",$E$14:$E$32,"NI",$F$14:$F$32,"SA")</f>
        <v>0</v>
      </c>
      <c r="J52" s="28"/>
      <c r="K52" s="30" t="s">
        <v>100</v>
      </c>
      <c r="L52" s="33">
        <f>COUNTIFS($B$14:$B$32,"Cape",$C$14:$C$32,"T_E_R",$E$14:$E$32,"NI",$F$14:$F$32,"SA")</f>
        <v>1</v>
      </c>
    </row>
    <row r="53" spans="2:24" x14ac:dyDescent="0.3">
      <c r="B53" s="31" t="s">
        <v>34</v>
      </c>
      <c r="C53" s="22">
        <f>COUNTIFS($B$14:$B$32,"Hat",$C$14:$C$32,"T_E_R",$E$14:$E$32,"NI",$F$14:$F$32,"DTA")</f>
        <v>0</v>
      </c>
      <c r="D53" s="28"/>
      <c r="E53" s="31" t="s">
        <v>83</v>
      </c>
      <c r="F53" s="34">
        <f>COUNTIFS($B$14:$B$32,"Glove",$C$14:$C$32,"T_E_R",$E$14:$E$32,"NI",$F$14:$F$32,"DTA")</f>
        <v>0</v>
      </c>
      <c r="G53" s="28"/>
      <c r="H53" s="31" t="s">
        <v>92</v>
      </c>
      <c r="I53" s="34">
        <f>COUNTIFS($B$14:$B$32,"Shoes",$C$14:$C$32,"T_E_R",$E$14:$E$32,"NI",$F$14:$F$32,"DTA")</f>
        <v>1</v>
      </c>
      <c r="J53" s="28"/>
      <c r="K53" s="31" t="s">
        <v>101</v>
      </c>
      <c r="L53" s="34">
        <f>COUNTIFS($B$14:$B$32,"Cape",$C$14:$C$32,"T_E_R",$E$14:$E$32,"NI",$F$14:$F$32,"DTA")</f>
        <v>0</v>
      </c>
      <c r="O53" s="28"/>
    </row>
    <row r="54" spans="2:24" x14ac:dyDescent="0.3">
      <c r="B54" s="84" t="s">
        <v>35</v>
      </c>
      <c r="C54" s="85">
        <f>COUNTIFS($B$14:$B$32,"Hat",$C$14:$C$32,"T_E_R",$E$14:$E$32,"SI",$F$14:$F$32,"SA")</f>
        <v>2</v>
      </c>
      <c r="D54" s="28"/>
      <c r="E54" s="58" t="s">
        <v>84</v>
      </c>
      <c r="F54" s="27">
        <f>COUNTIFS($B$14:$B$32,"Glove",$C$14:$C$32,"T_E_R",$E$14:$E$32,"SI",$F$14:$F$32,"SA")</f>
        <v>1</v>
      </c>
      <c r="G54" s="28"/>
      <c r="H54" s="58" t="s">
        <v>93</v>
      </c>
      <c r="I54" s="27">
        <f>COUNTIFS($B$14:$B$32,"Shoes",$C$14:$C$32,"T_E_R",$E$14:$E$32,"SI",$F$14:$F$32,"SA")</f>
        <v>2</v>
      </c>
      <c r="J54" s="28"/>
      <c r="K54" s="31" t="s">
        <v>102</v>
      </c>
      <c r="L54" s="34">
        <f>COUNTIFS($B$14:$B$32,"Cape",$C$14:$C$32,"T_E_R",$E$14:$E$32,"SI",$F$14:$F$32,"SA")</f>
        <v>1</v>
      </c>
      <c r="O54" s="28"/>
    </row>
    <row r="55" spans="2:24" ht="17.25" thickBot="1" x14ac:dyDescent="0.35">
      <c r="B55" s="32" t="s">
        <v>36</v>
      </c>
      <c r="C55" s="24">
        <f>COUNTIFS($B$14:$B$32,"Hat",$C$14:$C$32,"T_E_R",$E$14:$E$32,"SI",$F$14:$F$32,"DTA")</f>
        <v>0</v>
      </c>
      <c r="D55" s="28"/>
      <c r="E55" s="32" t="s">
        <v>85</v>
      </c>
      <c r="F55" s="24">
        <f>COUNTIFS($B$14:$B$32,"Glove",$C$14:$C$32,"T_E_R",$E$14:$E$32,"SI",$F$14:$F$32,"DTA")</f>
        <v>0</v>
      </c>
      <c r="G55" s="28"/>
      <c r="H55" s="32" t="s">
        <v>94</v>
      </c>
      <c r="I55" s="35">
        <f>COUNTIFS($B$14:$B$32,"Shoes",$C$14:$C$32,"T_E_R",$E$14:$E$32,"SI",$F$14:$F$32,"DTA")</f>
        <v>0</v>
      </c>
      <c r="J55" s="28"/>
      <c r="K55" s="32" t="s">
        <v>103</v>
      </c>
      <c r="L55" s="35">
        <f>COUNTIFS($B$14:$B$32,"Cape",$C$14:$C$32,"T_E_R",$E$14:$E$32,"SI",$F$14:$F$32,"DTA")</f>
        <v>0</v>
      </c>
      <c r="O55" s="28"/>
    </row>
    <row r="56" spans="2:24" ht="18" thickTop="1" thickBot="1" x14ac:dyDescent="0.35">
      <c r="D56" s="95"/>
      <c r="I56" s="74"/>
      <c r="J56" s="73"/>
      <c r="K56" s="60"/>
      <c r="L56" s="6"/>
      <c r="O56" s="28"/>
    </row>
    <row r="57" spans="2:24" ht="18" thickTop="1" thickBot="1" x14ac:dyDescent="0.35">
      <c r="B57" s="9" t="s">
        <v>48</v>
      </c>
      <c r="C57" s="9" t="s">
        <v>28</v>
      </c>
      <c r="D57" s="89"/>
      <c r="E57" s="9" t="s">
        <v>77</v>
      </c>
      <c r="F57" s="9" t="s">
        <v>28</v>
      </c>
      <c r="G57" s="29"/>
      <c r="H57" s="9" t="s">
        <v>79</v>
      </c>
      <c r="I57" s="9" t="s">
        <v>28</v>
      </c>
      <c r="J57" s="28"/>
      <c r="K57" s="9" t="s">
        <v>81</v>
      </c>
      <c r="L57" s="9" t="s">
        <v>28</v>
      </c>
      <c r="O57" s="28"/>
    </row>
    <row r="58" spans="2:24" ht="17.25" thickTop="1" x14ac:dyDescent="0.3">
      <c r="B58" s="30" t="s">
        <v>49</v>
      </c>
      <c r="C58" s="33">
        <f>COUNTIFS($B$14:$B$32,"Hat",$C$14:$C$32,"T_E_E",$E$14:$E$32,"NI",$F$14:$F$32,"SA")</f>
        <v>1</v>
      </c>
      <c r="D58" s="28"/>
      <c r="E58" s="30" t="s">
        <v>86</v>
      </c>
      <c r="F58" s="33">
        <f>COUNTIFS($B$14:$B$32,"Glove",$C$14:$C$32,"T_E_E",$E$14:$E$32,"NI",$F$14:$F$32,"SA")</f>
        <v>0</v>
      </c>
      <c r="G58" s="28"/>
      <c r="H58" s="30" t="s">
        <v>95</v>
      </c>
      <c r="I58" s="33">
        <f>COUNTIFS($B$14:$B$32,"Shoes",$C$14:$C$32,"T_E_E",$E$14:$E$32,"NI",$F$14:$F$32,"SA")</f>
        <v>0</v>
      </c>
      <c r="J58" s="28"/>
      <c r="K58" s="30" t="s">
        <v>104</v>
      </c>
      <c r="L58" s="33">
        <f>COUNTIFS($B$14:$B$32,"Cape",$C$14:$C$32,"T_E_E",$E$14:$E$32,"NI",$F$14:$F$32,"SA")</f>
        <v>0</v>
      </c>
      <c r="O58" s="28"/>
    </row>
    <row r="59" spans="2:24" x14ac:dyDescent="0.3">
      <c r="B59" s="31" t="s">
        <v>50</v>
      </c>
      <c r="C59" s="34">
        <f>COUNTIFS($B$14:$B$32,"Hat",$C$14:$C$32,"T_E_E",$E$14:$E$32,"NI",$F$14:$F$32,"DTA")</f>
        <v>0</v>
      </c>
      <c r="D59" s="28"/>
      <c r="E59" s="31" t="s">
        <v>87</v>
      </c>
      <c r="F59" s="34">
        <f>COUNTIFS($B$14:$B$32,"Glove",$C$14:$C$32,"T_E_E",$E$14:$E$32,"NI",$F$14:$F$32,"DTA")</f>
        <v>0</v>
      </c>
      <c r="G59" s="28"/>
      <c r="H59" s="31" t="s">
        <v>96</v>
      </c>
      <c r="I59" s="34">
        <f>COUNTIFS($B$14:$B$32,"Shoes",$C$14:$C$32,"T_E_E",$E$14:$E$32,"NI",$F$14:$F$32,"DTA")</f>
        <v>0</v>
      </c>
      <c r="J59" s="28"/>
      <c r="K59" s="31" t="s">
        <v>105</v>
      </c>
      <c r="L59" s="34">
        <f>COUNTIFS($B$14:$B$32,"Cape",$C$14:$C$32,"T_E_E",$E$14:$E$32,"NI",$F$14:$F$32,"DTA")</f>
        <v>0</v>
      </c>
    </row>
    <row r="60" spans="2:24" x14ac:dyDescent="0.3">
      <c r="B60" s="31" t="s">
        <v>52</v>
      </c>
      <c r="C60" s="34">
        <f>COUNTIFS($B$14:$B$32,"Hat",$C$14:$C$32,"T_E_E",$E$14:$E$32,"SI",$F$14:$F$32,"SA")</f>
        <v>0</v>
      </c>
      <c r="D60" s="28"/>
      <c r="E60" s="31" t="s">
        <v>88</v>
      </c>
      <c r="F60" s="34">
        <f>COUNTIFS($B$14:$B$32,"Glove",$C$14:$C$32,"T_E_E",$E$14:$E$32,"SI",$F$14:$F$32,"SA")</f>
        <v>0</v>
      </c>
      <c r="G60" s="28"/>
      <c r="H60" s="31" t="s">
        <v>97</v>
      </c>
      <c r="I60" s="34">
        <f>COUNTIFS($B$14:$B$32,"Shoes",$C$14:$C$32,"T_E_E",$E$14:$E$32,"SI",$F$14:$F$32,"SA")</f>
        <v>0</v>
      </c>
      <c r="J60" s="28"/>
      <c r="K60" s="31" t="s">
        <v>106</v>
      </c>
      <c r="L60" s="34">
        <f>COUNTIFS($B$14:$B$32,"Cape",$C$14:$C$32,"T_E_E",$E$14:$E$32,"SI",$F$14:$F$32,"SA")</f>
        <v>0</v>
      </c>
      <c r="O60" s="28"/>
    </row>
    <row r="61" spans="2:24" x14ac:dyDescent="0.3">
      <c r="B61" s="38" t="s">
        <v>54</v>
      </c>
      <c r="C61" s="39">
        <f>COUNTIFS($B$14:$B$32,"Hat",$C$14:$C$32,"T_E_E",$E$14:$E$32,"SI",$F$14:$F$32,"DTA")</f>
        <v>0</v>
      </c>
      <c r="D61" s="28"/>
      <c r="E61" s="31" t="s">
        <v>89</v>
      </c>
      <c r="F61" s="34">
        <f>COUNTIFS($B$14:$B$32,"Glove",$C$14:$C$32,"T_E_E",$E$14:$E$32,"SI",$F$14:$F$32,"DTA")</f>
        <v>0</v>
      </c>
      <c r="G61" s="28"/>
      <c r="H61" s="38" t="s">
        <v>98</v>
      </c>
      <c r="I61" s="39">
        <f>COUNTIFS($B$14:$B$32,"Shoes",$C$14:$C$32,"T_E_E",$E$14:$E$32,"SI",$F$14:$F$32,"DTA")</f>
        <v>0</v>
      </c>
      <c r="J61" s="28"/>
      <c r="K61" s="38" t="s">
        <v>107</v>
      </c>
      <c r="L61" s="39">
        <f>COUNTIFS($B$14:$B$32,"Cape",$C$14:$C$32,"T_E_E",$E$14:$E$32,"SI",$F$14:$F$32,"DTA")</f>
        <v>0</v>
      </c>
      <c r="O61" s="28"/>
    </row>
    <row r="62" spans="2:24" ht="17.25" thickBot="1" x14ac:dyDescent="0.35">
      <c r="B62" s="32" t="s">
        <v>57</v>
      </c>
      <c r="C62" s="35">
        <f>COUNTIFS($B$14:$B$32,"Hat",$C$14:$C$32,"T_E_E",$E$14:$E$32,"NI",$F$14:$F$32,"DTA(80)")</f>
        <v>0</v>
      </c>
      <c r="D62" s="28"/>
      <c r="E62" s="36" t="s">
        <v>90</v>
      </c>
      <c r="F62" s="37">
        <f>COUNTIFS($B$14:$B$32,"Glove",$C$14:$C$32,"T_E_E",$E$14:$E$32,"NI",$F$14:$F$32,"DTA(80)")</f>
        <v>0</v>
      </c>
      <c r="H62" s="32" t="s">
        <v>99</v>
      </c>
      <c r="I62" s="35">
        <f>COUNTIFS($B$14:$B$32,"Shoes",$C$14:$C$32,"T_E_E",$E$14:$E$32,"NI",$F$14:$F$32,"DTA(80)")</f>
        <v>0</v>
      </c>
      <c r="J62" s="28"/>
      <c r="K62" s="32" t="s">
        <v>108</v>
      </c>
      <c r="L62" s="35">
        <f>COUNTIFS($B$14:$B$32,"Cape",$C$14:$C$32,"T_E_E",$E$14:$E$32,"NI",$F$14:$F$32,"DTA(80)")</f>
        <v>0</v>
      </c>
      <c r="O62" s="28"/>
    </row>
    <row r="63" spans="2:24" ht="17.25" thickTop="1" x14ac:dyDescent="0.3">
      <c r="L63" s="28"/>
      <c r="O63" s="28"/>
    </row>
    <row r="64" spans="2:24" x14ac:dyDescent="0.3">
      <c r="L64" s="28"/>
      <c r="O64" s="28"/>
    </row>
    <row r="65" spans="2:15" x14ac:dyDescent="0.3">
      <c r="L65" s="28"/>
      <c r="O65" s="28"/>
    </row>
    <row r="68" spans="2:15" x14ac:dyDescent="0.3">
      <c r="B68" s="117"/>
      <c r="C68" s="117"/>
      <c r="D68" s="117"/>
      <c r="E68" s="117"/>
    </row>
    <row r="69" spans="2:15" x14ac:dyDescent="0.3">
      <c r="B69" s="117"/>
      <c r="C69" s="117"/>
      <c r="D69" s="117"/>
      <c r="E69" s="117"/>
    </row>
    <row r="70" spans="2:15" x14ac:dyDescent="0.3">
      <c r="B70" s="117"/>
      <c r="C70" s="117"/>
      <c r="D70" s="117"/>
      <c r="E70" s="117"/>
    </row>
    <row r="71" spans="2:15" x14ac:dyDescent="0.3">
      <c r="B71" s="117"/>
      <c r="C71" s="117"/>
      <c r="D71" s="117"/>
      <c r="E71" s="117"/>
    </row>
    <row r="72" spans="2:15" x14ac:dyDescent="0.3">
      <c r="B72" s="117"/>
      <c r="C72" s="117"/>
      <c r="D72" s="117"/>
      <c r="E72" s="117"/>
    </row>
    <row r="73" spans="2:15" x14ac:dyDescent="0.3">
      <c r="B73" s="117"/>
      <c r="C73" s="117"/>
      <c r="D73" s="117"/>
      <c r="E73" s="117"/>
    </row>
    <row r="74" spans="2:15" x14ac:dyDescent="0.3">
      <c r="B74" s="117"/>
      <c r="C74" s="117"/>
      <c r="D74" s="117"/>
      <c r="E74" s="117"/>
    </row>
    <row r="75" spans="2:15" x14ac:dyDescent="0.3">
      <c r="B75" s="117"/>
      <c r="C75" s="117"/>
      <c r="D75" s="117"/>
      <c r="E75" s="117"/>
    </row>
    <row r="76" spans="2:15" x14ac:dyDescent="0.3">
      <c r="B76" s="117"/>
      <c r="C76" s="117"/>
      <c r="D76" s="117"/>
      <c r="E76" s="117"/>
    </row>
    <row r="77" spans="2:15" x14ac:dyDescent="0.3">
      <c r="B77" s="117"/>
      <c r="C77" s="117"/>
      <c r="D77" s="117"/>
      <c r="E77" s="117"/>
    </row>
    <row r="78" spans="2:15" x14ac:dyDescent="0.3">
      <c r="B78" s="117"/>
      <c r="C78" s="117"/>
      <c r="D78" s="117"/>
      <c r="E78" s="117"/>
    </row>
    <row r="79" spans="2:15" x14ac:dyDescent="0.3">
      <c r="B79" s="117"/>
      <c r="C79" s="117"/>
      <c r="D79" s="117"/>
      <c r="E79" s="117"/>
    </row>
    <row r="80" spans="2:15" x14ac:dyDescent="0.3">
      <c r="B80" s="117"/>
      <c r="C80" s="117"/>
      <c r="D80" s="117"/>
      <c r="E80" s="117"/>
    </row>
    <row r="81" spans="2:5" x14ac:dyDescent="0.3">
      <c r="B81" s="117"/>
      <c r="C81" s="117"/>
      <c r="D81" s="117"/>
      <c r="E81" s="117"/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SALE(W)</vt:lpstr>
      <vt:lpstr>SALE(M)</vt:lpstr>
      <vt:lpstr>SALE(A)</vt:lpstr>
      <vt:lpstr>SALE(T)</vt:lpstr>
      <vt:lpstr>BUY(W)</vt:lpstr>
      <vt:lpstr>BUY(M)</vt:lpstr>
      <vt:lpstr>BUY(A)</vt:lpstr>
      <vt:lpstr>BUY(T)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incipe</dc:creator>
  <cp:lastModifiedBy>Windows 사용자</cp:lastModifiedBy>
  <cp:lastPrinted>2020-11-29T08:59:48Z</cp:lastPrinted>
  <dcterms:created xsi:type="dcterms:W3CDTF">2020-06-01T05:40:09Z</dcterms:created>
  <dcterms:modified xsi:type="dcterms:W3CDTF">2021-04-17T09:06:33Z</dcterms:modified>
  <cp:contentStatus/>
</cp:coreProperties>
</file>