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\Desktop\판매실적\'21\4M\"/>
    </mc:Choice>
  </mc:AlternateContent>
  <bookViews>
    <workbookView xWindow="0" yWindow="0" windowWidth="2160" windowHeight="0" activeTab="4"/>
  </bookViews>
  <sheets>
    <sheet name="SF(3W_W)" sheetId="27" r:id="rId1"/>
    <sheet name="SF(3W_M)" sheetId="28" r:id="rId2"/>
    <sheet name="SF(3W_A)" sheetId="29" r:id="rId3"/>
    <sheet name="SF(3W_T)" sheetId="30" r:id="rId4"/>
    <sheet name="SF(Compile)" sheetId="31" r:id="rId5"/>
  </sheets>
  <definedNames>
    <definedName name="_xlnm._FilterDatabase" localSheetId="2" hidden="1">'SF(3W_A)'!$B$11:$R$51</definedName>
    <definedName name="_xlnm._FilterDatabase" localSheetId="4" hidden="1">'SF(Compile)'!$B$12:$I$52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28" l="1"/>
  <c r="H37" i="27" l="1"/>
  <c r="J37" i="27"/>
  <c r="I37" i="27"/>
  <c r="H42" i="27"/>
  <c r="J42" i="27"/>
  <c r="H28" i="28"/>
  <c r="J28" i="28"/>
  <c r="I42" i="27"/>
  <c r="I28" i="28"/>
  <c r="H32" i="29"/>
  <c r="J32" i="29"/>
  <c r="I32" i="29"/>
  <c r="J46" i="28"/>
  <c r="J40" i="29"/>
  <c r="R37" i="29"/>
  <c r="R31" i="28"/>
  <c r="R30" i="27" l="1"/>
  <c r="R44" i="28"/>
  <c r="R41" i="27"/>
  <c r="R14" i="30" l="1"/>
  <c r="R33" i="27"/>
  <c r="R17" i="27"/>
  <c r="R29" i="28" l="1"/>
  <c r="J38" i="28" l="1"/>
  <c r="J13" i="28" l="1"/>
  <c r="J21" i="27"/>
  <c r="I21" i="27"/>
  <c r="I13" i="28"/>
  <c r="M13" i="27"/>
  <c r="O13" i="27" s="1"/>
  <c r="I46" i="28"/>
  <c r="H17" i="28" l="1"/>
  <c r="J17" i="28"/>
  <c r="M23" i="27" l="1"/>
  <c r="M24" i="27"/>
  <c r="M38" i="28" l="1"/>
  <c r="O38" i="28" s="1"/>
  <c r="M39" i="28"/>
  <c r="M40" i="28"/>
  <c r="M41" i="28"/>
  <c r="M42" i="28"/>
  <c r="M36" i="28"/>
  <c r="M37" i="28"/>
  <c r="I38" i="28"/>
  <c r="J37" i="28" l="1"/>
  <c r="M42" i="27" l="1"/>
  <c r="M43" i="27"/>
  <c r="M44" i="27"/>
  <c r="I38" i="27" l="1"/>
  <c r="J32" i="28"/>
  <c r="I32" i="28"/>
  <c r="H31" i="28"/>
  <c r="J31" i="28"/>
  <c r="I31" i="28"/>
  <c r="H35" i="27"/>
  <c r="J35" i="27"/>
  <c r="I35" i="27"/>
  <c r="H30" i="27"/>
  <c r="J30" i="27"/>
  <c r="H29" i="27"/>
  <c r="J29" i="27"/>
  <c r="H45" i="30"/>
  <c r="M13" i="28" l="1"/>
  <c r="O13" i="28" s="1"/>
  <c r="M14" i="28"/>
  <c r="M15" i="28"/>
  <c r="M16" i="28"/>
  <c r="M17" i="28"/>
  <c r="O17" i="28" s="1"/>
  <c r="M18" i="28"/>
  <c r="M19" i="28"/>
  <c r="M20" i="28"/>
  <c r="M21" i="28"/>
  <c r="M22" i="28"/>
  <c r="M23" i="28"/>
  <c r="M26" i="28"/>
  <c r="M27" i="28"/>
  <c r="M28" i="28"/>
  <c r="M36" i="27"/>
  <c r="M37" i="27"/>
  <c r="M38" i="27"/>
  <c r="M39" i="27"/>
  <c r="M13" i="29" l="1"/>
  <c r="M15" i="29"/>
  <c r="M24" i="29"/>
  <c r="M29" i="29"/>
  <c r="M30" i="29"/>
  <c r="J31" i="29"/>
  <c r="M31" i="29"/>
  <c r="M32" i="29"/>
  <c r="M33" i="29"/>
  <c r="M34" i="29"/>
  <c r="M35" i="29"/>
  <c r="M36" i="29"/>
  <c r="H37" i="29"/>
  <c r="M37" i="29" s="1"/>
  <c r="O37" i="29" s="1"/>
  <c r="J37" i="29"/>
  <c r="M38" i="29"/>
  <c r="M39" i="29"/>
  <c r="M40" i="29"/>
  <c r="M41" i="29"/>
  <c r="M42" i="29"/>
  <c r="M43" i="29"/>
  <c r="M44" i="29"/>
  <c r="M45" i="29"/>
  <c r="M46" i="29"/>
  <c r="M47" i="29"/>
  <c r="H48" i="29"/>
  <c r="M48" i="29" s="1"/>
  <c r="J48" i="29"/>
  <c r="H49" i="29"/>
  <c r="I49" i="29"/>
  <c r="J49" i="29"/>
  <c r="M49" i="29" s="1"/>
  <c r="M51" i="29"/>
  <c r="H44" i="28" l="1"/>
  <c r="J44" i="28"/>
  <c r="I44" i="28"/>
  <c r="H34" i="30"/>
  <c r="H41" i="27"/>
  <c r="H14" i="30"/>
  <c r="J14" i="30"/>
  <c r="J41" i="27"/>
  <c r="I41" i="27"/>
  <c r="J34" i="30"/>
  <c r="H36" i="28"/>
  <c r="H45" i="28"/>
  <c r="J45" i="28"/>
  <c r="H18" i="30"/>
  <c r="H17" i="27"/>
  <c r="J18" i="30"/>
  <c r="J17" i="27"/>
  <c r="H33" i="27"/>
  <c r="J33" i="27"/>
  <c r="M41" i="27" l="1"/>
  <c r="O41" i="27" s="1"/>
  <c r="M14" i="30"/>
  <c r="O14" i="30" s="1"/>
  <c r="M15" i="30"/>
  <c r="M16" i="30"/>
  <c r="M18" i="30"/>
  <c r="M19" i="30"/>
  <c r="M20" i="30"/>
  <c r="M22" i="30"/>
  <c r="M23" i="30"/>
  <c r="M24" i="30"/>
  <c r="M27" i="30"/>
  <c r="M28" i="30"/>
  <c r="M30" i="30"/>
  <c r="M31" i="30"/>
  <c r="M32" i="30"/>
  <c r="M34" i="30"/>
  <c r="M35" i="30"/>
  <c r="M36" i="30"/>
  <c r="M37" i="30"/>
  <c r="M38" i="30"/>
  <c r="M39" i="30"/>
  <c r="M40" i="30"/>
  <c r="M41" i="30"/>
  <c r="M42" i="30"/>
  <c r="M43" i="30"/>
  <c r="M45" i="30"/>
  <c r="M43" i="28" l="1"/>
  <c r="M44" i="28"/>
  <c r="O44" i="28" s="1"/>
  <c r="M45" i="28"/>
  <c r="M46" i="28"/>
  <c r="O46" i="28" s="1"/>
  <c r="M47" i="28" l="1"/>
  <c r="M29" i="27" l="1"/>
  <c r="M30" i="27"/>
  <c r="O30" i="27" s="1"/>
  <c r="M33" i="27"/>
  <c r="O33" i="27" s="1"/>
  <c r="M34" i="27"/>
  <c r="M35" i="27"/>
  <c r="M14" i="27" l="1"/>
  <c r="M15" i="27"/>
  <c r="M16" i="27"/>
  <c r="M17" i="27"/>
  <c r="O17" i="27" s="1"/>
  <c r="M21" i="27"/>
  <c r="O21" i="27" s="1"/>
  <c r="M20" i="27"/>
  <c r="J29" i="28" l="1"/>
  <c r="M29" i="28" s="1"/>
  <c r="O29" i="28" s="1"/>
  <c r="J12" i="29"/>
  <c r="M12" i="29" l="1"/>
  <c r="I40" i="27" l="1"/>
  <c r="M40" i="27" s="1"/>
  <c r="M31" i="28" l="1"/>
  <c r="O31" i="28" s="1"/>
  <c r="M32" i="28"/>
  <c r="I77" i="31" l="1"/>
  <c r="H77" i="31"/>
  <c r="G77" i="31"/>
  <c r="F77" i="31"/>
  <c r="E77" i="31"/>
  <c r="D77" i="31"/>
  <c r="C77" i="31"/>
  <c r="I76" i="31"/>
  <c r="H76" i="31"/>
  <c r="G76" i="31"/>
  <c r="F76" i="31"/>
  <c r="E76" i="31"/>
  <c r="D76" i="31"/>
  <c r="C76" i="31"/>
  <c r="I75" i="31"/>
  <c r="H75" i="31"/>
  <c r="G75" i="31"/>
  <c r="F75" i="31"/>
  <c r="E75" i="31"/>
  <c r="D75" i="31"/>
  <c r="C75" i="31"/>
  <c r="I74" i="31"/>
  <c r="H74" i="31"/>
  <c r="G74" i="31"/>
  <c r="F74" i="31"/>
  <c r="E74" i="31"/>
  <c r="D74" i="31"/>
  <c r="C74" i="31"/>
  <c r="I65" i="31"/>
  <c r="H65" i="31"/>
  <c r="G65" i="31"/>
  <c r="F65" i="31"/>
  <c r="E65" i="31"/>
  <c r="D65" i="31"/>
  <c r="C65" i="31"/>
  <c r="I64" i="31"/>
  <c r="H64" i="31"/>
  <c r="G64" i="31"/>
  <c r="F64" i="31"/>
  <c r="E64" i="31"/>
  <c r="D64" i="31"/>
  <c r="C64" i="31"/>
  <c r="I63" i="31"/>
  <c r="H63" i="31"/>
  <c r="G63" i="31"/>
  <c r="F63" i="31"/>
  <c r="E63" i="31"/>
  <c r="D63" i="31"/>
  <c r="C63" i="31"/>
  <c r="I62" i="31"/>
  <c r="H62" i="31"/>
  <c r="G62" i="31"/>
  <c r="F62" i="31"/>
  <c r="E62" i="31"/>
  <c r="D62" i="31"/>
  <c r="C62" i="31"/>
  <c r="K58" i="31"/>
  <c r="J58" i="31"/>
  <c r="I58" i="31"/>
  <c r="H58" i="31"/>
  <c r="G58" i="31"/>
  <c r="F58" i="31"/>
  <c r="E58" i="31"/>
  <c r="D58" i="31"/>
  <c r="C58" i="31"/>
  <c r="K57" i="31"/>
  <c r="J57" i="31"/>
  <c r="I57" i="31"/>
  <c r="H57" i="31"/>
  <c r="G57" i="31"/>
  <c r="F57" i="31"/>
  <c r="E57" i="31"/>
  <c r="D57" i="31"/>
  <c r="C57" i="31"/>
  <c r="J64" i="31" l="1"/>
  <c r="K56" i="31"/>
  <c r="J56" i="31"/>
  <c r="I56" i="31"/>
  <c r="H56" i="31"/>
  <c r="G56" i="31"/>
  <c r="F56" i="31"/>
  <c r="E56" i="31"/>
  <c r="D56" i="31"/>
  <c r="C56" i="31"/>
  <c r="K55" i="31"/>
  <c r="J55" i="31"/>
  <c r="I55" i="31"/>
  <c r="H55" i="31"/>
  <c r="G55" i="31"/>
  <c r="F55" i="31"/>
  <c r="E55" i="31"/>
  <c r="D55" i="31"/>
  <c r="C55" i="31"/>
  <c r="I71" i="31" l="1"/>
  <c r="H71" i="31"/>
  <c r="G71" i="31"/>
  <c r="I70" i="31"/>
  <c r="H70" i="31"/>
  <c r="G70" i="31"/>
  <c r="F70" i="31"/>
  <c r="E70" i="31"/>
  <c r="D70" i="31"/>
  <c r="C70" i="31"/>
  <c r="I69" i="31"/>
  <c r="H69" i="31"/>
  <c r="G69" i="31"/>
  <c r="F69" i="31"/>
  <c r="E69" i="31"/>
  <c r="D69" i="31"/>
  <c r="C69" i="31"/>
  <c r="I68" i="31"/>
  <c r="H68" i="31"/>
  <c r="G68" i="31"/>
  <c r="F68" i="31"/>
  <c r="E68" i="31"/>
  <c r="D68" i="31"/>
  <c r="C68" i="31"/>
  <c r="F71" i="31"/>
  <c r="E71" i="31"/>
  <c r="C71" i="31"/>
  <c r="D71" i="31"/>
  <c r="I35" i="28" l="1"/>
  <c r="M35" i="28" s="1"/>
  <c r="J77" i="31" l="1"/>
  <c r="J76" i="31"/>
  <c r="J75" i="31"/>
  <c r="J74" i="31"/>
  <c r="J62" i="31"/>
  <c r="J63" i="31"/>
  <c r="J65" i="31"/>
  <c r="L74" i="31" l="1"/>
</calcChain>
</file>

<file path=xl/sharedStrings.xml><?xml version="1.0" encoding="utf-8"?>
<sst xmlns="http://schemas.openxmlformats.org/spreadsheetml/2006/main" count="456" uniqueCount="144">
  <si>
    <t>Margin</t>
    <phoneticPr fontId="1" type="noConversion"/>
  </si>
  <si>
    <t>AO</t>
    <phoneticPr fontId="1" type="noConversion"/>
  </si>
  <si>
    <t>Equipment</t>
    <phoneticPr fontId="1" type="noConversion"/>
  </si>
  <si>
    <t>EQ</t>
    <phoneticPr fontId="1" type="noConversion"/>
  </si>
  <si>
    <t>SF</t>
  </si>
  <si>
    <t>TODA</t>
    <phoneticPr fontId="1" type="noConversion"/>
  </si>
  <si>
    <t>Item</t>
  </si>
  <si>
    <t>Product Cost</t>
    <phoneticPr fontId="1" type="noConversion"/>
  </si>
  <si>
    <t>Sale Price</t>
    <phoneticPr fontId="1" type="noConversion"/>
  </si>
  <si>
    <t>Notice Date</t>
    <phoneticPr fontId="1" type="noConversion"/>
  </si>
  <si>
    <t>Sale Date</t>
    <phoneticPr fontId="1" type="noConversion"/>
  </si>
  <si>
    <t>Lead Time</t>
    <phoneticPr fontId="1" type="noConversion"/>
  </si>
  <si>
    <t>RWH</t>
    <phoneticPr fontId="1" type="noConversion"/>
  </si>
  <si>
    <t>RWT</t>
    <phoneticPr fontId="1" type="noConversion"/>
  </si>
  <si>
    <t>RWP</t>
    <phoneticPr fontId="1" type="noConversion"/>
  </si>
  <si>
    <t>RMH</t>
  </si>
  <si>
    <t>AWH</t>
    <phoneticPr fontId="1" type="noConversion"/>
  </si>
  <si>
    <t>AWG</t>
    <phoneticPr fontId="1" type="noConversion"/>
  </si>
  <si>
    <t>AWS</t>
    <phoneticPr fontId="1" type="noConversion"/>
  </si>
  <si>
    <t>Potential</t>
    <phoneticPr fontId="1" type="noConversion"/>
  </si>
  <si>
    <t>Additioanl</t>
    <phoneticPr fontId="1" type="noConversion"/>
  </si>
  <si>
    <t>AWC</t>
    <phoneticPr fontId="1" type="noConversion"/>
  </si>
  <si>
    <t>Type</t>
    <phoneticPr fontId="1" type="noConversion"/>
  </si>
  <si>
    <t>Etc</t>
    <phoneticPr fontId="1" type="noConversion"/>
  </si>
  <si>
    <t>VE(Make)</t>
    <phoneticPr fontId="1" type="noConversion"/>
  </si>
  <si>
    <t>VE(Cost)</t>
    <phoneticPr fontId="1" type="noConversion"/>
  </si>
  <si>
    <t>RMT</t>
  </si>
  <si>
    <t>RMP</t>
  </si>
  <si>
    <t>AMH</t>
  </si>
  <si>
    <t>AMG</t>
  </si>
  <si>
    <t>AMS</t>
  </si>
  <si>
    <t>AMC</t>
  </si>
  <si>
    <t>RAH</t>
  </si>
  <si>
    <t>RAT</t>
  </si>
  <si>
    <t>RAP</t>
  </si>
  <si>
    <t>AAH</t>
  </si>
  <si>
    <t>AAG</t>
  </si>
  <si>
    <t>AAS</t>
  </si>
  <si>
    <t>AAC</t>
  </si>
  <si>
    <t>RTH</t>
  </si>
  <si>
    <t>RTT</t>
  </si>
  <si>
    <t>RTP</t>
  </si>
  <si>
    <t>ATH</t>
  </si>
  <si>
    <t>ATG</t>
  </si>
  <si>
    <t>ATS</t>
  </si>
  <si>
    <t>ATC</t>
  </si>
  <si>
    <t>Class</t>
    <phoneticPr fontId="1" type="noConversion"/>
  </si>
  <si>
    <t>W</t>
    <phoneticPr fontId="1" type="noConversion"/>
  </si>
  <si>
    <t>M</t>
    <phoneticPr fontId="1" type="noConversion"/>
  </si>
  <si>
    <t>A</t>
    <phoneticPr fontId="1" type="noConversion"/>
  </si>
  <si>
    <t>T</t>
    <phoneticPr fontId="1" type="noConversion"/>
  </si>
  <si>
    <t>T</t>
    <phoneticPr fontId="1" type="noConversion"/>
  </si>
  <si>
    <t>RH</t>
    <phoneticPr fontId="1" type="noConversion"/>
  </si>
  <si>
    <t>RT</t>
    <phoneticPr fontId="1" type="noConversion"/>
  </si>
  <si>
    <t>RP</t>
    <phoneticPr fontId="1" type="noConversion"/>
  </si>
  <si>
    <t>AH</t>
    <phoneticPr fontId="1" type="noConversion"/>
  </si>
  <si>
    <t>AG</t>
    <phoneticPr fontId="1" type="noConversion"/>
  </si>
  <si>
    <t>AS</t>
    <phoneticPr fontId="1" type="noConversion"/>
  </si>
  <si>
    <t>AC</t>
    <phoneticPr fontId="1" type="noConversion"/>
  </si>
  <si>
    <t>Type(R-SI-DTA)</t>
    <phoneticPr fontId="1" type="noConversion"/>
  </si>
  <si>
    <t>Type(NI-(R)SA)</t>
  </si>
  <si>
    <t>Type(NI-(R)DTA)</t>
  </si>
  <si>
    <t>Type(SI-(R)SA)</t>
  </si>
  <si>
    <t>Type(NI-(E)SA)</t>
  </si>
  <si>
    <t>Type(NI-(E)DTA)</t>
  </si>
  <si>
    <t>Type(SI-(E)SA)</t>
  </si>
  <si>
    <t>Type(SI-(E)DTA)</t>
  </si>
  <si>
    <t>Total</t>
    <phoneticPr fontId="1" type="noConversion"/>
  </si>
  <si>
    <t>Class(Num)</t>
    <phoneticPr fontId="1" type="noConversion"/>
  </si>
  <si>
    <t>Class(Margin)</t>
    <phoneticPr fontId="1" type="noConversion"/>
  </si>
  <si>
    <t>Type(NI-(E)DTA(80)</t>
    <phoneticPr fontId="1" type="noConversion"/>
  </si>
  <si>
    <t>Class Magin</t>
    <phoneticPr fontId="1" type="noConversion"/>
  </si>
  <si>
    <t>Total Magin</t>
    <phoneticPr fontId="1" type="noConversion"/>
  </si>
  <si>
    <t>Class(ALT)</t>
    <phoneticPr fontId="1" type="noConversion"/>
  </si>
  <si>
    <t>ER</t>
    <phoneticPr fontId="1" type="noConversion"/>
  </si>
  <si>
    <t>SI</t>
    <phoneticPr fontId="1" type="noConversion"/>
  </si>
  <si>
    <t>NI</t>
    <phoneticPr fontId="1" type="noConversion"/>
  </si>
  <si>
    <t>DTA</t>
    <phoneticPr fontId="1" type="noConversion"/>
  </si>
  <si>
    <t>EE</t>
    <phoneticPr fontId="1" type="noConversion"/>
  </si>
  <si>
    <t>DTA(80)</t>
    <phoneticPr fontId="1" type="noConversion"/>
  </si>
  <si>
    <t>AMH</t>
    <phoneticPr fontId="1" type="noConversion"/>
  </si>
  <si>
    <t>AAG</t>
    <phoneticPr fontId="1" type="noConversion"/>
  </si>
  <si>
    <t>SA</t>
    <phoneticPr fontId="1" type="noConversion"/>
  </si>
  <si>
    <t>AMS</t>
    <phoneticPr fontId="1" type="noConversion"/>
  </si>
  <si>
    <t>AMC</t>
    <phoneticPr fontId="1" type="noConversion"/>
  </si>
  <si>
    <t>DTA</t>
    <phoneticPr fontId="1" type="noConversion"/>
  </si>
  <si>
    <t>RTH</t>
    <phoneticPr fontId="1" type="noConversion"/>
  </si>
  <si>
    <t>SA</t>
    <phoneticPr fontId="1" type="noConversion"/>
  </si>
  <si>
    <t>ER</t>
    <phoneticPr fontId="1" type="noConversion"/>
  </si>
  <si>
    <t>SI</t>
    <phoneticPr fontId="1" type="noConversion"/>
  </si>
  <si>
    <t>DTA</t>
    <phoneticPr fontId="1" type="noConversion"/>
  </si>
  <si>
    <t>ER</t>
    <phoneticPr fontId="1" type="noConversion"/>
  </si>
  <si>
    <t>i</t>
    <phoneticPr fontId="1" type="noConversion"/>
  </si>
  <si>
    <t>AAG</t>
    <phoneticPr fontId="1" type="noConversion"/>
  </si>
  <si>
    <t>AAG</t>
    <phoneticPr fontId="1" type="noConversion"/>
  </si>
  <si>
    <t>AMH</t>
    <phoneticPr fontId="1" type="noConversion"/>
  </si>
  <si>
    <t>SA</t>
    <phoneticPr fontId="1" type="noConversion"/>
  </si>
  <si>
    <t>ER</t>
    <phoneticPr fontId="1" type="noConversion"/>
  </si>
  <si>
    <t>SI</t>
    <phoneticPr fontId="1" type="noConversion"/>
  </si>
  <si>
    <t>ER</t>
    <phoneticPr fontId="1" type="noConversion"/>
  </si>
  <si>
    <t>SI</t>
    <phoneticPr fontId="1" type="noConversion"/>
  </si>
  <si>
    <t>SA</t>
    <phoneticPr fontId="1" type="noConversion"/>
  </si>
  <si>
    <t>ER</t>
    <phoneticPr fontId="1" type="noConversion"/>
  </si>
  <si>
    <t>SI</t>
    <phoneticPr fontId="1" type="noConversion"/>
  </si>
  <si>
    <t>SA</t>
    <phoneticPr fontId="1" type="noConversion"/>
  </si>
  <si>
    <t>EE</t>
    <phoneticPr fontId="1" type="noConversion"/>
  </si>
  <si>
    <t>ER</t>
    <phoneticPr fontId="1" type="noConversion"/>
  </si>
  <si>
    <t>NI</t>
    <phoneticPr fontId="1" type="noConversion"/>
  </si>
  <si>
    <t>DTA</t>
    <phoneticPr fontId="1" type="noConversion"/>
  </si>
  <si>
    <t>DTA</t>
    <phoneticPr fontId="1" type="noConversion"/>
  </si>
  <si>
    <t>??</t>
    <phoneticPr fontId="1" type="noConversion"/>
  </si>
  <si>
    <t>SA</t>
    <phoneticPr fontId="1" type="noConversion"/>
  </si>
  <si>
    <t>EE</t>
    <phoneticPr fontId="1" type="noConversion"/>
  </si>
  <si>
    <t>ER</t>
    <phoneticPr fontId="1" type="noConversion"/>
  </si>
  <si>
    <t>SI</t>
    <phoneticPr fontId="1" type="noConversion"/>
  </si>
  <si>
    <t>DTA</t>
    <phoneticPr fontId="1" type="noConversion"/>
  </si>
  <si>
    <t>SA</t>
    <phoneticPr fontId="1" type="noConversion"/>
  </si>
  <si>
    <t>ER</t>
    <phoneticPr fontId="1" type="noConversion"/>
  </si>
  <si>
    <t>SA</t>
    <phoneticPr fontId="1" type="noConversion"/>
  </si>
  <si>
    <t>ER</t>
    <phoneticPr fontId="1" type="noConversion"/>
  </si>
  <si>
    <t>SI</t>
    <phoneticPr fontId="1" type="noConversion"/>
  </si>
  <si>
    <t>UI</t>
    <phoneticPr fontId="1" type="noConversion"/>
  </si>
  <si>
    <t>ER</t>
    <phoneticPr fontId="1" type="noConversion"/>
  </si>
  <si>
    <t>SI</t>
    <phoneticPr fontId="1" type="noConversion"/>
  </si>
  <si>
    <t>SA</t>
    <phoneticPr fontId="1" type="noConversion"/>
  </si>
  <si>
    <t>ER</t>
    <phoneticPr fontId="1" type="noConversion"/>
  </si>
  <si>
    <t>SI</t>
    <phoneticPr fontId="1" type="noConversion"/>
  </si>
  <si>
    <t>DTA</t>
    <phoneticPr fontId="1" type="noConversion"/>
  </si>
  <si>
    <t>ER</t>
    <phoneticPr fontId="1" type="noConversion"/>
  </si>
  <si>
    <t>SI</t>
    <phoneticPr fontId="1" type="noConversion"/>
  </si>
  <si>
    <t>DTA</t>
    <phoneticPr fontId="1" type="noConversion"/>
  </si>
  <si>
    <t>ER</t>
    <phoneticPr fontId="1" type="noConversion"/>
  </si>
  <si>
    <t>SI</t>
    <phoneticPr fontId="1" type="noConversion"/>
  </si>
  <si>
    <t>SI</t>
    <phoneticPr fontId="1" type="noConversion"/>
  </si>
  <si>
    <t>SA</t>
    <phoneticPr fontId="1" type="noConversion"/>
  </si>
  <si>
    <t>AWG</t>
    <phoneticPr fontId="1" type="noConversion"/>
  </si>
  <si>
    <t>AAC</t>
    <phoneticPr fontId="1" type="noConversion"/>
  </si>
  <si>
    <t>EE</t>
    <phoneticPr fontId="1" type="noConversion"/>
  </si>
  <si>
    <t>NI</t>
    <phoneticPr fontId="1" type="noConversion"/>
  </si>
  <si>
    <t>ER</t>
  </si>
  <si>
    <t>SI</t>
  </si>
  <si>
    <t>SA</t>
  </si>
  <si>
    <t>UI</t>
  </si>
  <si>
    <t>DTA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</si>
</sst>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;[Red]\-#,##0\ "/>
    <numFmt numFmtId="177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3333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rgb="FFFF0000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theme="6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6" xfId="0" applyNumberFormat="1" applyFont="1" applyFill="1" applyBorder="1" applyAlignment="1">
      <alignment horizontal="center" vertical="center"/>
    </xf>
    <xf numFmtId="176" fontId="2" fillId="0" borderId="17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12" xfId="0" applyNumberFormat="1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176" fontId="2" fillId="2" borderId="1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176" fontId="3" fillId="0" borderId="1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6" fontId="2" fillId="0" borderId="19" xfId="0" applyNumberFormat="1" applyFont="1" applyFill="1" applyBorder="1" applyAlignment="1">
      <alignment horizontal="center" vertical="center"/>
    </xf>
    <xf numFmtId="176" fontId="2" fillId="0" borderId="18" xfId="0" applyNumberFormat="1" applyFont="1" applyFill="1" applyBorder="1" applyAlignment="1">
      <alignment horizontal="center" vertical="center"/>
    </xf>
    <xf numFmtId="176" fontId="2" fillId="0" borderId="20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23" xfId="0" applyNumberFormat="1" applyFont="1" applyFill="1" applyBorder="1" applyAlignment="1">
      <alignment horizontal="center" vertical="center"/>
    </xf>
    <xf numFmtId="176" fontId="2" fillId="2" borderId="24" xfId="0" applyNumberFormat="1" applyFont="1" applyFill="1" applyBorder="1" applyAlignment="1">
      <alignment horizontal="center" vertical="center"/>
    </xf>
    <xf numFmtId="176" fontId="3" fillId="2" borderId="24" xfId="0" applyNumberFormat="1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center" vertical="center"/>
    </xf>
    <xf numFmtId="176" fontId="3" fillId="0" borderId="22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3" fillId="0" borderId="25" xfId="0" applyNumberFormat="1" applyFont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0" borderId="26" xfId="0" applyNumberFormat="1" applyFont="1" applyBorder="1" applyAlignment="1">
      <alignment horizontal="center" vertical="center"/>
    </xf>
    <xf numFmtId="176" fontId="2" fillId="0" borderId="27" xfId="0" applyNumberFormat="1" applyFont="1" applyBorder="1" applyAlignment="1">
      <alignment horizontal="center" vertical="center"/>
    </xf>
    <xf numFmtId="176" fontId="3" fillId="0" borderId="27" xfId="0" applyNumberFormat="1" applyFont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176" fontId="2" fillId="3" borderId="27" xfId="0" applyNumberFormat="1" applyFont="1" applyFill="1" applyBorder="1" applyAlignment="1">
      <alignment horizontal="center" vertical="center"/>
    </xf>
    <xf numFmtId="176" fontId="3" fillId="3" borderId="27" xfId="0" applyNumberFormat="1" applyFont="1" applyFill="1" applyBorder="1" applyAlignment="1">
      <alignment horizontal="center" vertical="center"/>
    </xf>
    <xf numFmtId="176" fontId="3" fillId="3" borderId="25" xfId="0" applyNumberFormat="1" applyFont="1" applyFill="1" applyBorder="1" applyAlignment="1">
      <alignment horizontal="center" vertical="center"/>
    </xf>
    <xf numFmtId="176" fontId="2" fillId="0" borderId="29" xfId="0" applyNumberFormat="1" applyFont="1" applyFill="1" applyBorder="1" applyAlignment="1">
      <alignment horizontal="center" vertical="center"/>
    </xf>
    <xf numFmtId="176" fontId="2" fillId="0" borderId="27" xfId="0" applyNumberFormat="1" applyFont="1" applyFill="1" applyBorder="1" applyAlignment="1">
      <alignment horizontal="center" vertical="center"/>
    </xf>
    <xf numFmtId="176" fontId="3" fillId="0" borderId="27" xfId="0" applyNumberFormat="1" applyFont="1" applyFill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28" xfId="0" applyBorder="1">
      <alignment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176" fontId="3" fillId="0" borderId="1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9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FF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FF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3333FF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rgb="FF3333FF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ck">
          <color auto="1"/>
        </top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FF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FF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</dxf>
    <dxf>
      <border>
        <bottom style="thick">
          <color auto="1"/>
        </bottom>
      </border>
    </dxf>
    <dxf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sz val="11"/>
        <color rgb="FF3333FF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rgb="FF3333FF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ck">
          <color auto="1"/>
        </top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3333FF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mm&quot;월&quot;\ dd&quot;일&quot;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mm&quot;월&quot;\ dd&quot;일&quot;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rgb="FF3333FF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ck">
          <color auto="1"/>
        </top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333FF"/>
      <color rgb="FF9966FF"/>
      <color rgb="FF666633"/>
      <color rgb="FF3366FF"/>
      <color rgb="FF300E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표2" displayName="표2" ref="B12:R44" totalsRowShown="0" headerRowDxfId="94" dataDxfId="92" headerRowBorderDxfId="93" tableBorderDxfId="91">
  <autoFilter ref="B12:R44"/>
  <tableColumns count="17">
    <tableColumn id="1" name="EQ" dataDxfId="90"/>
    <tableColumn id="17" name="Type" dataDxfId="89"/>
    <tableColumn id="2" name="Potential" dataDxfId="88"/>
    <tableColumn id="3" name="Additioanl" dataDxfId="87"/>
    <tableColumn id="18" name="VE(Make)" dataDxfId="86"/>
    <tableColumn id="5" name="AO" dataDxfId="85"/>
    <tableColumn id="6" name="SF" dataDxfId="84"/>
    <tableColumn id="7" name="Etc" dataDxfId="83"/>
    <tableColumn id="8" name="VE(Cost)" dataDxfId="82"/>
    <tableColumn id="9" name="TODA" dataDxfId="81"/>
    <tableColumn id="10" name="Item" dataDxfId="80"/>
    <tableColumn id="11" name="Product Cost" dataDxfId="79"/>
    <tableColumn id="12" name="Sale Price" dataDxfId="78"/>
    <tableColumn id="13" name="Margin" dataDxfId="77"/>
    <tableColumn id="14" name="Notice Date" dataDxfId="76"/>
    <tableColumn id="15" name="Sale Date" dataDxfId="75"/>
    <tableColumn id="16" name="Lead Time" dataDxfId="74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표2_4" displayName="표2_4" ref="B12:R47" totalsRowShown="0" headerRowDxfId="73" dataDxfId="71" headerRowBorderDxfId="72" tableBorderDxfId="70">
  <autoFilter ref="B12:R47"/>
  <tableColumns count="17">
    <tableColumn id="1" name="EQ" dataDxfId="69"/>
    <tableColumn id="17" name="Type" dataDxfId="68"/>
    <tableColumn id="2" name="Potential" dataDxfId="67"/>
    <tableColumn id="3" name="Additioanl" dataDxfId="66"/>
    <tableColumn id="18" name="VE(Make)" dataDxfId="65"/>
    <tableColumn id="5" name="AO" dataDxfId="64"/>
    <tableColumn id="6" name="SF" dataDxfId="63"/>
    <tableColumn id="7" name="Etc" dataDxfId="62"/>
    <tableColumn id="8" name="VE(Cost)" dataDxfId="61"/>
    <tableColumn id="9" name="TODA" dataDxfId="60"/>
    <tableColumn id="10" name="Item" dataDxfId="59"/>
    <tableColumn id="11" name="Product Cost" dataDxfId="58">
      <calculatedColumnFormula>IF(SUM(표2_4[[#This Row],[SF]:[Item]])=0,"",SUM(표2_4[[#This Row],[SF]:[Item]]))</calculatedColumnFormula>
    </tableColumn>
    <tableColumn id="12" name="Sale Price" dataDxfId="57"/>
    <tableColumn id="13" name="Margin" dataDxfId="56"/>
    <tableColumn id="14" name="Notice Date" dataDxfId="55"/>
    <tableColumn id="15" name="Sale Date" dataDxfId="54"/>
    <tableColumn id="16" name="Lead Time" dataDxfId="5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4" name="표4" displayName="표4" ref="B11:R51" totalsRowShown="0" headerRowDxfId="52" dataDxfId="50" headerRowBorderDxfId="51">
  <autoFilter ref="B11:R51"/>
  <tableColumns count="17">
    <tableColumn id="1" name="EQ" dataDxfId="49"/>
    <tableColumn id="2" name="Type" dataDxfId="48"/>
    <tableColumn id="3" name="Potential" dataDxfId="47"/>
    <tableColumn id="4" name="Additioanl" dataDxfId="46"/>
    <tableColumn id="5" name="VE(Make)" dataDxfId="45"/>
    <tableColumn id="6" name="AO" dataDxfId="44"/>
    <tableColumn id="7" name="SF" dataDxfId="43"/>
    <tableColumn id="8" name="Etc" dataDxfId="42"/>
    <tableColumn id="9" name="VE(Cost)" dataDxfId="41"/>
    <tableColumn id="10" name="TODA" dataDxfId="40"/>
    <tableColumn id="11" name="Item" dataDxfId="39"/>
    <tableColumn id="12" name="Product Cost" dataDxfId="38">
      <calculatedColumnFormula>IF(SUM('SF(3W_A)'!$H12:$L12)=0,"",SUM('SF(3W_A)'!$H12:$L12))</calculatedColumnFormula>
    </tableColumn>
    <tableColumn id="13" name="Sale Price" dataDxfId="37"/>
    <tableColumn id="14" name="Margin" dataDxfId="36"/>
    <tableColumn id="15" name="Notice Date" dataDxfId="35"/>
    <tableColumn id="16" name="Sale Date" dataDxfId="34"/>
    <tableColumn id="17" name="Lead Time" dataDxfId="33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6" name="표2_467" displayName="표2_467" ref="B12:R47" totalsRowShown="0" headerRowDxfId="32" dataDxfId="30" headerRowBorderDxfId="31" tableBorderDxfId="29">
  <autoFilter ref="B12:R47"/>
  <tableColumns count="17">
    <tableColumn id="1" name="EQ" dataDxfId="28"/>
    <tableColumn id="17" name="Type" dataDxfId="27"/>
    <tableColumn id="2" name="Potential" dataDxfId="26"/>
    <tableColumn id="3" name="Additioanl" dataDxfId="25"/>
    <tableColumn id="18" name="VE(Make)" dataDxfId="24"/>
    <tableColumn id="5" name="AO" dataDxfId="23"/>
    <tableColumn id="6" name="SF" dataDxfId="22"/>
    <tableColumn id="7" name="Etc" dataDxfId="21"/>
    <tableColumn id="8" name="VE(Cost)" dataDxfId="20"/>
    <tableColumn id="9" name="TODA" dataDxfId="19"/>
    <tableColumn id="10" name="Item" dataDxfId="18"/>
    <tableColumn id="11" name="Product Cost" dataDxfId="17">
      <calculatedColumnFormula>IF(SUM(표2_467[[#This Row],[SF]:[Item]])=0,"",SUM(표2_467[[#This Row],[SF]:[Item]]))</calculatedColumnFormula>
    </tableColumn>
    <tableColumn id="12" name="Sale Price" dataDxfId="16"/>
    <tableColumn id="13" name="Margin" dataDxfId="15"/>
    <tableColumn id="14" name="Notice Date" dataDxfId="14"/>
    <tableColumn id="15" name="Sale Date" dataDxfId="13"/>
    <tableColumn id="16" name="Lead Time" dataDxfId="1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" name="표1" displayName="표1" ref="B12:I52" totalsRowShown="0" headerRowDxfId="11" dataDxfId="9" headerRowBorderDxfId="10" tableBorderDxfId="8">
  <autoFilter ref="B12:I52"/>
  <sortState ref="B13:I38">
    <sortCondition descending="1" ref="B12:B25"/>
  </sortState>
  <tableColumns count="8">
    <tableColumn id="1" name="Equipment" dataDxfId="7"/>
    <tableColumn id="2" name="Type" dataDxfId="6"/>
    <tableColumn id="3" name="Potential" dataDxfId="5"/>
    <tableColumn id="4" name="Additioanl" dataDxfId="4"/>
    <tableColumn id="5" name="VE(Make)" dataDxfId="3"/>
    <tableColumn id="6" name="AO" dataDxfId="2"/>
    <tableColumn id="7" name="Margin" dataDxfId="1"/>
    <tableColumn id="8" name="Lead Time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B46"/>
  <sheetViews>
    <sheetView zoomScale="85" zoomScaleNormal="85" workbookViewId="0">
      <selection activeCell="L58" sqref="L58"/>
    </sheetView>
  </sheetViews>
  <sheetFormatPr defaultRowHeight="16.5" x14ac:dyDescent="0.3"/>
  <cols>
    <col min="1" max="1" width="11.375" customWidth="1"/>
    <col min="2" max="5" width="16.125" style="13" customWidth="1"/>
    <col min="6" max="6" width="18.125" style="13" customWidth="1"/>
    <col min="7" max="14" width="16.125" style="13" customWidth="1"/>
    <col min="15" max="15" width="16.125" style="28" customWidth="1"/>
    <col min="16" max="17" width="16.125" style="22" customWidth="1"/>
    <col min="18" max="18" width="16.125" style="28" customWidth="1"/>
    <col min="19" max="28" width="9" style="83"/>
  </cols>
  <sheetData>
    <row r="12" spans="2:18" ht="17.25" thickBot="1" x14ac:dyDescent="0.35">
      <c r="B12" s="14" t="s">
        <v>3</v>
      </c>
      <c r="C12" s="14" t="s">
        <v>22</v>
      </c>
      <c r="D12" s="14" t="s">
        <v>19</v>
      </c>
      <c r="E12" s="14" t="s">
        <v>20</v>
      </c>
      <c r="F12" s="14" t="s">
        <v>24</v>
      </c>
      <c r="G12" s="14" t="s">
        <v>1</v>
      </c>
      <c r="H12" s="14" t="s">
        <v>4</v>
      </c>
      <c r="I12" s="14" t="s">
        <v>23</v>
      </c>
      <c r="J12" s="14" t="s">
        <v>25</v>
      </c>
      <c r="K12" s="14" t="s">
        <v>5</v>
      </c>
      <c r="L12" s="15" t="s">
        <v>6</v>
      </c>
      <c r="M12" s="16" t="s">
        <v>7</v>
      </c>
      <c r="N12" s="17" t="s">
        <v>8</v>
      </c>
      <c r="O12" s="29" t="s">
        <v>0</v>
      </c>
      <c r="P12" s="11" t="s">
        <v>9</v>
      </c>
      <c r="Q12" s="11" t="s">
        <v>10</v>
      </c>
      <c r="R12" s="29" t="s">
        <v>11</v>
      </c>
    </row>
    <row r="13" spans="2:18" ht="17.25" thickTop="1" x14ac:dyDescent="0.3">
      <c r="B13" s="18" t="s">
        <v>12</v>
      </c>
      <c r="C13" s="20" t="s">
        <v>128</v>
      </c>
      <c r="D13" s="4" t="s">
        <v>129</v>
      </c>
      <c r="E13" s="4" t="s">
        <v>130</v>
      </c>
      <c r="F13" s="4">
        <v>30</v>
      </c>
      <c r="G13" s="4">
        <v>110</v>
      </c>
      <c r="H13" s="4">
        <v>1100</v>
      </c>
      <c r="I13" s="4"/>
      <c r="J13" s="4"/>
      <c r="K13" s="4">
        <v>20000</v>
      </c>
      <c r="L13" s="4">
        <v>4300</v>
      </c>
      <c r="M13" s="4">
        <f>SUM(표2[[#This Row],[SF]:[Item]])</f>
        <v>25400</v>
      </c>
      <c r="N13" s="4">
        <v>40500</v>
      </c>
      <c r="O13" s="33">
        <f>표2[[#This Row],[Sale Price]]-표2[[#This Row],[Product Cost]]</f>
        <v>15100</v>
      </c>
      <c r="P13" s="38">
        <v>44297</v>
      </c>
      <c r="Q13" s="38">
        <v>44299</v>
      </c>
      <c r="R13" s="30">
        <v>2</v>
      </c>
    </row>
    <row r="14" spans="2:18" x14ac:dyDescent="0.3">
      <c r="B14" s="3" t="s">
        <v>12</v>
      </c>
      <c r="C14" s="20"/>
      <c r="D14" s="4"/>
      <c r="E14" s="4"/>
      <c r="F14" s="4"/>
      <c r="G14" s="4"/>
      <c r="H14" s="4"/>
      <c r="I14" s="4"/>
      <c r="J14" s="4"/>
      <c r="K14" s="4"/>
      <c r="L14" s="4"/>
      <c r="M14" s="4" t="str">
        <f>IF(SUM(표2[[#This Row],[SF]:[Item]])=0,"",SUM(표2[[#This Row],[SF]:[Item]]))</f>
        <v/>
      </c>
      <c r="N14" s="4"/>
      <c r="O14" s="34"/>
      <c r="P14" s="23"/>
      <c r="Q14" s="23"/>
      <c r="R14" s="31"/>
    </row>
    <row r="15" spans="2:18" x14ac:dyDescent="0.3">
      <c r="B15" s="3" t="s">
        <v>12</v>
      </c>
      <c r="C15" s="20"/>
      <c r="D15" s="4"/>
      <c r="E15" s="4"/>
      <c r="F15" s="4"/>
      <c r="G15" s="4"/>
      <c r="H15" s="4"/>
      <c r="I15" s="4"/>
      <c r="J15" s="4"/>
      <c r="K15" s="4"/>
      <c r="L15" s="4"/>
      <c r="M15" s="4" t="str">
        <f>IF(SUM(표2[[#This Row],[SF]:[Item]])=0,"",SUM(표2[[#This Row],[SF]:[Item]]))</f>
        <v/>
      </c>
      <c r="N15" s="4"/>
      <c r="O15" s="34"/>
      <c r="P15" s="23"/>
      <c r="Q15" s="23"/>
      <c r="R15" s="31"/>
    </row>
    <row r="16" spans="2:18" x14ac:dyDescent="0.3">
      <c r="B16" s="3" t="s">
        <v>12</v>
      </c>
      <c r="C16" s="20"/>
      <c r="D16" s="4"/>
      <c r="E16" s="4"/>
      <c r="F16" s="4"/>
      <c r="G16" s="4"/>
      <c r="H16" s="4"/>
      <c r="I16" s="4"/>
      <c r="J16" s="4"/>
      <c r="K16" s="4"/>
      <c r="L16" s="4"/>
      <c r="M16" s="4" t="str">
        <f>IF(SUM(표2[[#This Row],[SF]:[Item]])=0,"",SUM(표2[[#This Row],[SF]:[Item]]))</f>
        <v/>
      </c>
      <c r="N16" s="4"/>
      <c r="O16" s="34"/>
      <c r="P16" s="23"/>
      <c r="Q16" s="23"/>
      <c r="R16" s="31"/>
    </row>
    <row r="17" spans="2:18" x14ac:dyDescent="0.3">
      <c r="B17" s="7" t="s">
        <v>13</v>
      </c>
      <c r="C17" s="9" t="s">
        <v>102</v>
      </c>
      <c r="D17" s="5" t="s">
        <v>103</v>
      </c>
      <c r="E17" s="5" t="s">
        <v>104</v>
      </c>
      <c r="F17" s="5">
        <v>30</v>
      </c>
      <c r="G17" s="4">
        <v>96</v>
      </c>
      <c r="H17" s="4">
        <f>982+240</f>
        <v>1222</v>
      </c>
      <c r="I17" s="4"/>
      <c r="J17" s="4">
        <f>0.22*290*(7)</f>
        <v>446.59999999999997</v>
      </c>
      <c r="K17" s="4">
        <v>12200</v>
      </c>
      <c r="L17" s="4">
        <v>2500</v>
      </c>
      <c r="M17" s="4">
        <f>IF(SUM(표2[[#This Row],[SF]:[Item]])=0,"",SUM(표2[[#This Row],[SF]:[Item]]))</f>
        <v>16368.6</v>
      </c>
      <c r="N17" s="4">
        <v>25555</v>
      </c>
      <c r="O17" s="34">
        <f>표2[[#This Row],[Sale Price]]-표2[[#This Row],[Product Cost]]</f>
        <v>9186.4</v>
      </c>
      <c r="P17" s="25">
        <v>44276</v>
      </c>
      <c r="Q17" s="25">
        <v>44299</v>
      </c>
      <c r="R17" s="31">
        <f>표2[[#This Row],[Sale Date]]-표2[[#This Row],[Notice Date]]</f>
        <v>23</v>
      </c>
    </row>
    <row r="18" spans="2:18" x14ac:dyDescent="0.3">
      <c r="B18" s="7" t="s">
        <v>13</v>
      </c>
      <c r="C18" s="9"/>
      <c r="D18" s="4"/>
      <c r="E18" s="4"/>
      <c r="F18" s="4"/>
      <c r="G18" s="5"/>
      <c r="H18" s="5"/>
      <c r="I18" s="4"/>
      <c r="J18" s="4"/>
      <c r="K18" s="4"/>
      <c r="L18" s="5"/>
      <c r="M18" s="5"/>
      <c r="N18" s="4"/>
      <c r="O18" s="34"/>
      <c r="P18" s="25"/>
      <c r="Q18" s="25"/>
      <c r="R18" s="31"/>
    </row>
    <row r="19" spans="2:18" x14ac:dyDescent="0.3">
      <c r="B19" s="7" t="s">
        <v>13</v>
      </c>
      <c r="C19" s="9"/>
      <c r="D19" s="4"/>
      <c r="E19" s="4"/>
      <c r="F19" s="4"/>
      <c r="G19" s="5"/>
      <c r="H19" s="5"/>
      <c r="I19" s="4"/>
      <c r="J19" s="4"/>
      <c r="K19" s="4"/>
      <c r="L19" s="5"/>
      <c r="M19" s="5"/>
      <c r="N19" s="4"/>
      <c r="O19" s="34"/>
      <c r="P19" s="25"/>
      <c r="Q19" s="25"/>
      <c r="R19" s="31"/>
    </row>
    <row r="20" spans="2:18" x14ac:dyDescent="0.3">
      <c r="B20" s="7" t="s">
        <v>13</v>
      </c>
      <c r="C20" s="9"/>
      <c r="D20" s="5"/>
      <c r="E20" s="5"/>
      <c r="F20" s="5"/>
      <c r="G20" s="4"/>
      <c r="H20" s="4"/>
      <c r="I20" s="4"/>
      <c r="J20" s="4"/>
      <c r="K20" s="4"/>
      <c r="L20" s="4"/>
      <c r="M20" s="4" t="str">
        <f>IF(SUM(표2[[#This Row],[SF]:[Item]])=0,"",SUM(표2[[#This Row],[SF]:[Item]]))</f>
        <v/>
      </c>
      <c r="N20" s="4"/>
      <c r="O20" s="34"/>
      <c r="P20" s="25"/>
      <c r="Q20" s="25"/>
      <c r="R20" s="31"/>
    </row>
    <row r="21" spans="2:18" x14ac:dyDescent="0.3">
      <c r="B21" s="7" t="s">
        <v>14</v>
      </c>
      <c r="C21" s="9" t="s">
        <v>102</v>
      </c>
      <c r="D21" s="5" t="s">
        <v>103</v>
      </c>
      <c r="E21" s="5" t="s">
        <v>77</v>
      </c>
      <c r="F21" s="5">
        <v>30</v>
      </c>
      <c r="G21" s="4">
        <v>92</v>
      </c>
      <c r="H21" s="4">
        <v>875</v>
      </c>
      <c r="I21" s="4">
        <f>700*1+600*1</f>
        <v>1300</v>
      </c>
      <c r="J21" s="4">
        <f>0.18*290*(6+5+7)</f>
        <v>939.59999999999991</v>
      </c>
      <c r="K21" s="4">
        <v>15500</v>
      </c>
      <c r="L21" s="4">
        <v>3400</v>
      </c>
      <c r="M21" s="4">
        <f>IF(SUM(표2[[#This Row],[SF]:[Item]])=0,"",SUM(표2[[#This Row],[SF]:[Item]]))</f>
        <v>22014.6</v>
      </c>
      <c r="N21" s="4">
        <v>25555</v>
      </c>
      <c r="O21" s="34">
        <f>표2[[#This Row],[Sale Price]]-표2[[#This Row],[Product Cost]]</f>
        <v>3540.4000000000015</v>
      </c>
      <c r="P21" s="25">
        <v>44297</v>
      </c>
      <c r="Q21" s="25">
        <v>44298</v>
      </c>
      <c r="R21" s="31">
        <v>1</v>
      </c>
    </row>
    <row r="22" spans="2:18" x14ac:dyDescent="0.3">
      <c r="B22" s="7" t="s">
        <v>14</v>
      </c>
      <c r="C22" s="9"/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34"/>
      <c r="P22" s="25"/>
      <c r="Q22" s="25"/>
      <c r="R22" s="31"/>
    </row>
    <row r="23" spans="2:18" x14ac:dyDescent="0.3">
      <c r="B23" s="7" t="s">
        <v>14</v>
      </c>
      <c r="C23" s="9"/>
      <c r="D23" s="5"/>
      <c r="E23" s="5"/>
      <c r="F23" s="5"/>
      <c r="G23" s="4"/>
      <c r="H23" s="4"/>
      <c r="I23" s="4"/>
      <c r="J23" s="4"/>
      <c r="K23" s="4"/>
      <c r="L23" s="4"/>
      <c r="M23" s="4" t="str">
        <f>IF(SUM(표2[[#This Row],[SF]:[Item]])=0,"",SUM(표2[[#This Row],[SF]:[Item]]))</f>
        <v/>
      </c>
      <c r="N23" s="4"/>
      <c r="O23" s="34"/>
      <c r="P23" s="23"/>
      <c r="Q23" s="23"/>
      <c r="R23" s="31"/>
    </row>
    <row r="24" spans="2:18" x14ac:dyDescent="0.3">
      <c r="B24" s="7" t="s">
        <v>14</v>
      </c>
      <c r="C24" s="9"/>
      <c r="D24" s="5"/>
      <c r="E24" s="5"/>
      <c r="F24" s="5"/>
      <c r="G24" s="4"/>
      <c r="H24" s="4"/>
      <c r="I24" s="4"/>
      <c r="J24" s="4"/>
      <c r="K24" s="4"/>
      <c r="L24" s="4"/>
      <c r="M24" s="4" t="str">
        <f>IF(SUM(표2[[#This Row],[SF]:[Item]])=0,"",SUM(표2[[#This Row],[SF]:[Item]]))</f>
        <v/>
      </c>
      <c r="N24" s="4"/>
      <c r="O24" s="34"/>
      <c r="P24" s="23"/>
      <c r="Q24" s="23"/>
      <c r="R24" s="31"/>
    </row>
    <row r="25" spans="2:18" x14ac:dyDescent="0.3">
      <c r="B25" s="7" t="s">
        <v>16</v>
      </c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4"/>
      <c r="P25" s="25"/>
      <c r="Q25" s="25"/>
      <c r="R25" s="31"/>
    </row>
    <row r="26" spans="2:18" x14ac:dyDescent="0.3">
      <c r="B26" s="7" t="s">
        <v>16</v>
      </c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4"/>
      <c r="P26" s="25"/>
      <c r="Q26" s="25"/>
      <c r="R26" s="31"/>
    </row>
    <row r="27" spans="2:18" x14ac:dyDescent="0.3">
      <c r="B27" s="7" t="s">
        <v>16</v>
      </c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5"/>
      <c r="P27" s="25"/>
      <c r="Q27" s="25"/>
      <c r="R27" s="31"/>
    </row>
    <row r="28" spans="2:18" x14ac:dyDescent="0.3">
      <c r="B28" s="7" t="s">
        <v>16</v>
      </c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35"/>
      <c r="P28" s="25"/>
      <c r="Q28" s="25"/>
      <c r="R28" s="31"/>
    </row>
    <row r="29" spans="2:18" x14ac:dyDescent="0.3">
      <c r="B29" s="7" t="s">
        <v>16</v>
      </c>
      <c r="C29" s="20" t="s">
        <v>106</v>
      </c>
      <c r="D29" s="4" t="s">
        <v>103</v>
      </c>
      <c r="E29" s="4" t="s">
        <v>104</v>
      </c>
      <c r="F29" s="4">
        <v>30</v>
      </c>
      <c r="G29" s="4">
        <v>80</v>
      </c>
      <c r="H29" s="4">
        <f>1282+150</f>
        <v>1432</v>
      </c>
      <c r="I29" s="4"/>
      <c r="J29" s="4">
        <f>0.19*345*(11)</f>
        <v>721.05</v>
      </c>
      <c r="K29" s="4">
        <v>18200</v>
      </c>
      <c r="L29" s="4">
        <v>16500</v>
      </c>
      <c r="M29" s="4">
        <f>IF(SUM(표2[[#This Row],[SF]:[Item]])=0,"",SUM(표2[[#This Row],[SF]:[Item]]))</f>
        <v>36853.050000000003</v>
      </c>
      <c r="N29" s="4">
        <v>41555</v>
      </c>
      <c r="O29" s="34"/>
      <c r="P29" s="25">
        <v>44283</v>
      </c>
      <c r="Q29" s="25"/>
      <c r="R29" s="31"/>
    </row>
    <row r="30" spans="2:18" x14ac:dyDescent="0.3">
      <c r="B30" s="7" t="s">
        <v>16</v>
      </c>
      <c r="C30" s="20" t="s">
        <v>106</v>
      </c>
      <c r="D30" s="4" t="s">
        <v>103</v>
      </c>
      <c r="E30" s="4" t="s">
        <v>104</v>
      </c>
      <c r="F30" s="4">
        <v>30</v>
      </c>
      <c r="G30" s="4">
        <v>80</v>
      </c>
      <c r="H30" s="4">
        <f>1282+150</f>
        <v>1432</v>
      </c>
      <c r="I30" s="4"/>
      <c r="J30" s="4">
        <f>0.19*345*(11)</f>
        <v>721.05</v>
      </c>
      <c r="K30" s="4">
        <v>18200</v>
      </c>
      <c r="L30" s="4">
        <v>15200</v>
      </c>
      <c r="M30" s="4">
        <f>IF(SUM(표2[[#This Row],[SF]:[Item]])=0,"",SUM(표2[[#This Row],[SF]:[Item]]))</f>
        <v>35553.050000000003</v>
      </c>
      <c r="N30" s="4">
        <v>41555</v>
      </c>
      <c r="O30" s="34">
        <f>표2[[#This Row],[Sale Price]]-표2[[#This Row],[Product Cost]]</f>
        <v>6001.9499999999971</v>
      </c>
      <c r="P30" s="25">
        <v>44283</v>
      </c>
      <c r="Q30" s="25">
        <v>44303</v>
      </c>
      <c r="R30" s="31">
        <f>표2[[#This Row],[Sale Date]]-표2[[#This Row],[Notice Date]]</f>
        <v>20</v>
      </c>
    </row>
    <row r="31" spans="2:18" x14ac:dyDescent="0.3">
      <c r="B31" s="7" t="s">
        <v>17</v>
      </c>
      <c r="C31" s="20"/>
      <c r="D31" s="4"/>
      <c r="E31" s="4"/>
      <c r="F31" s="4"/>
      <c r="G31" s="4"/>
      <c r="H31" s="4"/>
      <c r="I31" s="4"/>
      <c r="J31" s="64"/>
      <c r="K31" s="4"/>
      <c r="L31" s="4"/>
      <c r="M31" s="4"/>
      <c r="N31" s="4"/>
      <c r="O31" s="34"/>
      <c r="P31" s="25"/>
      <c r="Q31" s="25"/>
      <c r="R31" s="31"/>
    </row>
    <row r="32" spans="2:18" x14ac:dyDescent="0.3">
      <c r="B32" s="7" t="s">
        <v>135</v>
      </c>
      <c r="C32" s="20"/>
      <c r="D32" s="4"/>
      <c r="E32" s="4"/>
      <c r="F32" s="4"/>
      <c r="G32" s="4"/>
      <c r="H32" s="4"/>
      <c r="I32" s="4"/>
      <c r="J32" s="64"/>
      <c r="K32" s="4"/>
      <c r="L32" s="4"/>
      <c r="M32" s="4"/>
      <c r="N32" s="4"/>
      <c r="O32" s="34"/>
      <c r="P32" s="25"/>
      <c r="Q32" s="25"/>
      <c r="R32" s="31"/>
    </row>
    <row r="33" spans="1:28" x14ac:dyDescent="0.3">
      <c r="B33" s="7" t="s">
        <v>17</v>
      </c>
      <c r="C33" s="20" t="s">
        <v>106</v>
      </c>
      <c r="D33" s="4" t="s">
        <v>103</v>
      </c>
      <c r="E33" s="4" t="s">
        <v>104</v>
      </c>
      <c r="F33" s="4">
        <v>30</v>
      </c>
      <c r="G33" s="4">
        <v>96</v>
      </c>
      <c r="H33" s="4">
        <f>982+900</f>
        <v>1882</v>
      </c>
      <c r="I33" s="4"/>
      <c r="J33" s="4">
        <f>0.2*460*(7)</f>
        <v>644</v>
      </c>
      <c r="K33" s="4">
        <v>13700</v>
      </c>
      <c r="L33" s="4">
        <v>24000</v>
      </c>
      <c r="M33" s="4">
        <f>IF(SUM(표2[[#This Row],[SF]:[Item]])=0,"",SUM(표2[[#This Row],[SF]:[Item]]))</f>
        <v>40226</v>
      </c>
      <c r="N33" s="4">
        <v>54555</v>
      </c>
      <c r="O33" s="34">
        <f>표2[[#This Row],[Sale Price]]-표2[[#This Row],[Product Cost]]</f>
        <v>14329</v>
      </c>
      <c r="P33" s="25">
        <v>44276</v>
      </c>
      <c r="Q33" s="25">
        <v>44300</v>
      </c>
      <c r="R33" s="31">
        <f>표2[[#This Row],[Sale Date]]-표2[[#This Row],[Notice Date]]</f>
        <v>24</v>
      </c>
    </row>
    <row r="34" spans="1:28" x14ac:dyDescent="0.3">
      <c r="B34" s="7" t="s">
        <v>17</v>
      </c>
      <c r="C34" s="9" t="s">
        <v>113</v>
      </c>
      <c r="D34" s="4" t="s">
        <v>114</v>
      </c>
      <c r="E34" s="4" t="s">
        <v>116</v>
      </c>
      <c r="F34" s="4">
        <v>30</v>
      </c>
      <c r="G34" s="4"/>
      <c r="H34" s="4">
        <v>875</v>
      </c>
      <c r="I34" s="4"/>
      <c r="J34" s="4"/>
      <c r="K34" s="4">
        <v>14000</v>
      </c>
      <c r="L34" s="4"/>
      <c r="M34" s="4">
        <f>IF(SUM(표2[[#This Row],[SF]:[Item]])=0,"",SUM(표2[[#This Row],[SF]:[Item]]))</f>
        <v>14875</v>
      </c>
      <c r="N34" s="4"/>
      <c r="O34" s="34"/>
      <c r="P34" s="25"/>
      <c r="Q34" s="25"/>
      <c r="R34" s="31"/>
    </row>
    <row r="35" spans="1:28" x14ac:dyDescent="0.3">
      <c r="B35" s="7" t="s">
        <v>17</v>
      </c>
      <c r="C35" s="9" t="s">
        <v>117</v>
      </c>
      <c r="D35" s="4" t="s">
        <v>114</v>
      </c>
      <c r="E35" s="4" t="s">
        <v>115</v>
      </c>
      <c r="F35" s="4">
        <v>30</v>
      </c>
      <c r="G35" s="4">
        <v>104</v>
      </c>
      <c r="H35" s="4">
        <f>875+150</f>
        <v>1025</v>
      </c>
      <c r="I35" s="4">
        <f>600*1</f>
        <v>600</v>
      </c>
      <c r="J35" s="4">
        <f>0.19*460*(3+7)</f>
        <v>874</v>
      </c>
      <c r="K35" s="4">
        <v>19800</v>
      </c>
      <c r="L35" s="4">
        <v>27700</v>
      </c>
      <c r="M35" s="4">
        <f>IF(SUM(표2[[#This Row],[SF]:[Item]])=0,"",SUM(표2[[#This Row],[SF]:[Item]]))</f>
        <v>49999</v>
      </c>
      <c r="N35" s="4">
        <v>74555</v>
      </c>
      <c r="O35" s="34"/>
      <c r="P35" s="25">
        <v>44283</v>
      </c>
      <c r="Q35" s="25"/>
      <c r="R35" s="31"/>
    </row>
    <row r="36" spans="1:28" x14ac:dyDescent="0.3">
      <c r="B36" s="7" t="s">
        <v>17</v>
      </c>
      <c r="C36" s="9"/>
      <c r="D36" s="4"/>
      <c r="E36" s="4"/>
      <c r="F36" s="4"/>
      <c r="G36" s="4"/>
      <c r="H36" s="4"/>
      <c r="I36" s="4"/>
      <c r="J36" s="4"/>
      <c r="K36" s="4"/>
      <c r="L36" s="4"/>
      <c r="M36" s="4" t="str">
        <f>IF(SUM(표2[[#This Row],[SF]:[Item]])=0,"",SUM(표2[[#This Row],[SF]:[Item]]))</f>
        <v/>
      </c>
      <c r="N36" s="4"/>
      <c r="O36" s="34"/>
      <c r="P36" s="25"/>
      <c r="Q36" s="25"/>
      <c r="R36" s="31"/>
    </row>
    <row r="37" spans="1:28" x14ac:dyDescent="0.3">
      <c r="B37" s="7" t="s">
        <v>18</v>
      </c>
      <c r="C37" s="9" t="s">
        <v>113</v>
      </c>
      <c r="D37" s="4" t="s">
        <v>114</v>
      </c>
      <c r="E37" s="4" t="s">
        <v>115</v>
      </c>
      <c r="F37" s="4">
        <v>30</v>
      </c>
      <c r="G37" s="5">
        <v>115</v>
      </c>
      <c r="H37" s="5">
        <f>875+150</f>
        <v>1025</v>
      </c>
      <c r="I37" s="4">
        <f>600*6+500*3+1100*3+1000*4</f>
        <v>12400</v>
      </c>
      <c r="J37" s="4">
        <f>0.16*345*(4+5+4+5+4+5+7+6+3+7+4+7+7)</f>
        <v>3753.6000000000004</v>
      </c>
      <c r="K37" s="4">
        <v>23500</v>
      </c>
      <c r="L37" s="4">
        <v>40000</v>
      </c>
      <c r="M37" s="4">
        <f>IF(SUM(표2[[#This Row],[SF]:[Item]])=0,"",SUM(표2[[#This Row],[SF]:[Item]]))</f>
        <v>80678.600000000006</v>
      </c>
      <c r="N37" s="4">
        <v>82555</v>
      </c>
      <c r="O37" s="34"/>
      <c r="P37" s="25">
        <v>44304</v>
      </c>
      <c r="Q37" s="25"/>
      <c r="R37" s="31"/>
    </row>
    <row r="38" spans="1:28" x14ac:dyDescent="0.3">
      <c r="B38" s="7" t="s">
        <v>18</v>
      </c>
      <c r="C38" s="9" t="s">
        <v>113</v>
      </c>
      <c r="D38" s="4" t="s">
        <v>114</v>
      </c>
      <c r="E38" s="4" t="s">
        <v>115</v>
      </c>
      <c r="F38" s="4"/>
      <c r="G38" s="4"/>
      <c r="H38" s="4"/>
      <c r="I38" s="4">
        <f>600+8000</f>
        <v>8600</v>
      </c>
      <c r="J38" s="4"/>
      <c r="K38" s="4">
        <v>1600</v>
      </c>
      <c r="L38" s="4"/>
      <c r="M38" s="4">
        <f>IF(SUM(표2[[#This Row],[SF]:[Item]])=0,"",SUM(표2[[#This Row],[SF]:[Item]]))</f>
        <v>10200</v>
      </c>
      <c r="N38" s="4"/>
      <c r="O38" s="34"/>
      <c r="P38" s="25"/>
      <c r="Q38" s="25"/>
      <c r="R38" s="31"/>
    </row>
    <row r="39" spans="1:28" x14ac:dyDescent="0.3">
      <c r="B39" s="7" t="s">
        <v>18</v>
      </c>
      <c r="C39" s="9"/>
      <c r="D39" s="4"/>
      <c r="E39" s="4"/>
      <c r="F39" s="4"/>
      <c r="G39" s="4"/>
      <c r="H39" s="4"/>
      <c r="I39" s="4"/>
      <c r="J39" s="4"/>
      <c r="K39" s="4"/>
      <c r="L39" s="4"/>
      <c r="M39" s="4" t="str">
        <f>IF(SUM(표2[[#This Row],[SF]:[Item]])=0,"",SUM(표2[[#This Row],[SF]:[Item]]))</f>
        <v/>
      </c>
      <c r="N39" s="4"/>
      <c r="O39" s="34"/>
      <c r="P39" s="23"/>
      <c r="Q39" s="23"/>
      <c r="R39" s="31"/>
    </row>
    <row r="40" spans="1:28" x14ac:dyDescent="0.3">
      <c r="B40" s="7" t="s">
        <v>21</v>
      </c>
      <c r="C40" s="9" t="s">
        <v>88</v>
      </c>
      <c r="D40" s="4" t="s">
        <v>75</v>
      </c>
      <c r="E40" s="4" t="s">
        <v>85</v>
      </c>
      <c r="F40" s="4">
        <v>30</v>
      </c>
      <c r="G40" s="4">
        <v>85</v>
      </c>
      <c r="H40" s="4">
        <v>78830</v>
      </c>
      <c r="I40" s="4">
        <f>1400+20000</f>
        <v>21400</v>
      </c>
      <c r="J40" s="4">
        <v>1466.25</v>
      </c>
      <c r="K40" s="4">
        <v>27800</v>
      </c>
      <c r="L40" s="4">
        <v>28500</v>
      </c>
      <c r="M40" s="4">
        <f>IF(SUM(표2[[#This Row],[SF]:[Item]])=0,"",SUM(표2[[#This Row],[SF]:[Item]]))</f>
        <v>157996.25</v>
      </c>
      <c r="N40" s="4"/>
      <c r="O40" s="34"/>
      <c r="P40" s="25"/>
      <c r="Q40" s="25"/>
      <c r="R40" s="31"/>
    </row>
    <row r="41" spans="1:28" s="68" customFormat="1" x14ac:dyDescent="0.3">
      <c r="A41" s="69"/>
      <c r="B41" s="7" t="s">
        <v>21</v>
      </c>
      <c r="C41" s="67" t="s">
        <v>105</v>
      </c>
      <c r="D41" s="67" t="s">
        <v>107</v>
      </c>
      <c r="E41" s="67" t="s">
        <v>109</v>
      </c>
      <c r="F41" s="67">
        <v>30</v>
      </c>
      <c r="G41" s="67">
        <v>91</v>
      </c>
      <c r="H41" s="67">
        <f>982+750+44000</f>
        <v>45732</v>
      </c>
      <c r="I41" s="67">
        <f>2500+700</f>
        <v>3200</v>
      </c>
      <c r="J41" s="64">
        <f>0.22*345*(7+7)</f>
        <v>1062.6000000000001</v>
      </c>
      <c r="K41" s="67">
        <v>25500</v>
      </c>
      <c r="L41" s="4">
        <v>22000</v>
      </c>
      <c r="M41" s="4">
        <f>IF(SUM(표2[[#This Row],[SF]:[Item]])=0,"",SUM(표2[[#This Row],[SF]:[Item]]))</f>
        <v>97494.6</v>
      </c>
      <c r="N41" s="4">
        <v>112777</v>
      </c>
      <c r="O41" s="34">
        <f>표2[[#This Row],[Sale Price]]-표2[[#This Row],[Product Cost]]</f>
        <v>15282.399999999994</v>
      </c>
      <c r="P41" s="25">
        <v>44276</v>
      </c>
      <c r="Q41" s="25">
        <v>44302</v>
      </c>
      <c r="R41" s="31">
        <f>표2[[#This Row],[Sale Date]]-표2[[#This Row],[Notice Date]]</f>
        <v>26</v>
      </c>
      <c r="S41" s="83"/>
      <c r="T41" s="83"/>
      <c r="U41" s="83"/>
      <c r="V41" s="83"/>
      <c r="W41" s="83"/>
      <c r="X41" s="83"/>
      <c r="Y41" s="83"/>
      <c r="Z41" s="83"/>
      <c r="AA41" s="83"/>
      <c r="AB41" s="83"/>
    </row>
    <row r="42" spans="1:28" x14ac:dyDescent="0.3">
      <c r="B42" s="7" t="s">
        <v>21</v>
      </c>
      <c r="C42" s="9" t="s">
        <v>122</v>
      </c>
      <c r="D42" s="4" t="s">
        <v>123</v>
      </c>
      <c r="E42" s="4" t="s">
        <v>124</v>
      </c>
      <c r="F42" s="4">
        <v>30</v>
      </c>
      <c r="G42" s="5">
        <v>120</v>
      </c>
      <c r="H42" s="5">
        <f>900+150</f>
        <v>1050</v>
      </c>
      <c r="I42" s="4">
        <f>600*3+500*1</f>
        <v>2300</v>
      </c>
      <c r="J42" s="4">
        <f>0.16*345*(4+5+5+4+7)</f>
        <v>1380</v>
      </c>
      <c r="K42" s="4">
        <v>15500</v>
      </c>
      <c r="L42" s="5">
        <v>35000</v>
      </c>
      <c r="M42" s="5">
        <f>IF(SUM(표2[[#This Row],[SF]:[Item]])=0,"",SUM(표2[[#This Row],[SF]:[Item]]))</f>
        <v>55230</v>
      </c>
      <c r="N42" s="4">
        <v>88733</v>
      </c>
      <c r="O42" s="35"/>
      <c r="P42" s="25">
        <v>44304</v>
      </c>
      <c r="Q42" s="25"/>
      <c r="R42" s="31"/>
    </row>
    <row r="43" spans="1:28" x14ac:dyDescent="0.3">
      <c r="B43" s="7" t="s">
        <v>21</v>
      </c>
      <c r="C43" s="9"/>
      <c r="D43" s="4"/>
      <c r="E43" s="4"/>
      <c r="F43" s="4"/>
      <c r="G43" s="5"/>
      <c r="H43" s="5"/>
      <c r="I43" s="4"/>
      <c r="J43" s="4"/>
      <c r="K43" s="4"/>
      <c r="L43" s="5"/>
      <c r="M43" s="5" t="str">
        <f>IF(SUM(표2[[#This Row],[SF]:[Item]])=0,"",SUM(표2[[#This Row],[SF]:[Item]]))</f>
        <v/>
      </c>
      <c r="N43" s="4"/>
      <c r="O43" s="35"/>
      <c r="P43" s="25"/>
      <c r="Q43" s="25"/>
      <c r="R43" s="31"/>
    </row>
    <row r="44" spans="1:28" ht="17.25" thickBot="1" x14ac:dyDescent="0.35">
      <c r="B44" s="8" t="s">
        <v>21</v>
      </c>
      <c r="C44" s="10"/>
      <c r="D44" s="21"/>
      <c r="E44" s="21"/>
      <c r="F44" s="21"/>
      <c r="G44" s="6"/>
      <c r="H44" s="6"/>
      <c r="I44" s="21"/>
      <c r="J44" s="21"/>
      <c r="K44" s="21"/>
      <c r="L44" s="6"/>
      <c r="M44" s="6" t="str">
        <f>IF(SUM(표2[[#This Row],[SF]:[Item]])=0,"",SUM(표2[[#This Row],[SF]:[Item]]))</f>
        <v/>
      </c>
      <c r="N44" s="6"/>
      <c r="O44" s="36"/>
      <c r="P44" s="66"/>
      <c r="Q44" s="66"/>
      <c r="R44" s="32"/>
    </row>
    <row r="45" spans="1:28" ht="17.25" thickTop="1" x14ac:dyDescent="0.3">
      <c r="G45" s="2"/>
      <c r="H45" s="2"/>
      <c r="L45" s="2"/>
      <c r="M45" s="2"/>
      <c r="N45" s="2"/>
      <c r="O45" s="37"/>
    </row>
    <row r="46" spans="1:28" x14ac:dyDescent="0.3">
      <c r="G46" s="2"/>
      <c r="H46" s="2"/>
      <c r="L46" s="2"/>
      <c r="M46" s="2"/>
      <c r="N46" s="2"/>
      <c r="O46" s="37"/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R49"/>
  <sheetViews>
    <sheetView topLeftCell="A4" zoomScale="85" zoomScaleNormal="85" workbookViewId="0">
      <selection activeCell="Q54" sqref="Q54"/>
    </sheetView>
  </sheetViews>
  <sheetFormatPr defaultRowHeight="16.5" x14ac:dyDescent="0.3"/>
  <cols>
    <col min="1" max="1" width="11.375" customWidth="1"/>
    <col min="2" max="5" width="16.125" style="13" customWidth="1"/>
    <col min="6" max="6" width="18.125" style="13" customWidth="1"/>
    <col min="7" max="12" width="16.125" style="13" customWidth="1"/>
    <col min="13" max="13" width="17.875" style="13" customWidth="1"/>
    <col min="14" max="14" width="16.125" style="13" customWidth="1"/>
    <col min="15" max="15" width="16.125" style="28" customWidth="1"/>
    <col min="16" max="17" width="16.125" style="22" customWidth="1"/>
    <col min="18" max="18" width="16.125" style="28" customWidth="1"/>
  </cols>
  <sheetData>
    <row r="12" spans="2:18" ht="17.25" thickBot="1" x14ac:dyDescent="0.35">
      <c r="B12" s="14" t="s">
        <v>3</v>
      </c>
      <c r="C12" s="14" t="s">
        <v>22</v>
      </c>
      <c r="D12" s="14" t="s">
        <v>19</v>
      </c>
      <c r="E12" s="14" t="s">
        <v>20</v>
      </c>
      <c r="F12" s="14" t="s">
        <v>24</v>
      </c>
      <c r="G12" s="14" t="s">
        <v>1</v>
      </c>
      <c r="H12" s="14" t="s">
        <v>4</v>
      </c>
      <c r="I12" s="14" t="s">
        <v>23</v>
      </c>
      <c r="J12" s="14" t="s">
        <v>25</v>
      </c>
      <c r="K12" s="14" t="s">
        <v>5</v>
      </c>
      <c r="L12" s="15" t="s">
        <v>6</v>
      </c>
      <c r="M12" s="16" t="s">
        <v>7</v>
      </c>
      <c r="N12" s="17" t="s">
        <v>8</v>
      </c>
      <c r="O12" s="29" t="s">
        <v>0</v>
      </c>
      <c r="P12" s="11" t="s">
        <v>9</v>
      </c>
      <c r="Q12" s="11" t="s">
        <v>10</v>
      </c>
      <c r="R12" s="29" t="s">
        <v>11</v>
      </c>
    </row>
    <row r="13" spans="2:18" ht="17.25" thickTop="1" x14ac:dyDescent="0.3">
      <c r="B13" s="18" t="s">
        <v>15</v>
      </c>
      <c r="C13" s="19" t="s">
        <v>128</v>
      </c>
      <c r="D13" s="12" t="s">
        <v>133</v>
      </c>
      <c r="E13" s="12" t="s">
        <v>134</v>
      </c>
      <c r="F13" s="12">
        <v>30</v>
      </c>
      <c r="G13" s="12">
        <v>100</v>
      </c>
      <c r="H13" s="12">
        <v>1100</v>
      </c>
      <c r="I13" s="12">
        <f>600</f>
        <v>600</v>
      </c>
      <c r="J13" s="12">
        <f>0.18*290*(6+11)</f>
        <v>887.4</v>
      </c>
      <c r="K13" s="12">
        <v>9900</v>
      </c>
      <c r="L13" s="12">
        <v>2500</v>
      </c>
      <c r="M13" s="4">
        <f>IF(SUM(표2_4[[#This Row],[SF]:[Item]])=0,"",SUM(표2_4[[#This Row],[SF]:[Item]]))</f>
        <v>14987.4</v>
      </c>
      <c r="N13" s="12">
        <v>32777</v>
      </c>
      <c r="O13" s="33">
        <f>표2_4[[#This Row],[Sale Price]]-표2_4[[#This Row],[Product Cost]]</f>
        <v>17789.599999999999</v>
      </c>
      <c r="P13" s="38">
        <v>44297</v>
      </c>
      <c r="Q13" s="38">
        <v>44304</v>
      </c>
      <c r="R13" s="30">
        <v>7</v>
      </c>
    </row>
    <row r="14" spans="2:18" x14ac:dyDescent="0.3">
      <c r="B14" s="3" t="s">
        <v>15</v>
      </c>
      <c r="C14" s="20"/>
      <c r="D14" s="4"/>
      <c r="E14" s="4"/>
      <c r="F14" s="4"/>
      <c r="G14" s="4"/>
      <c r="H14" s="4"/>
      <c r="I14" s="4"/>
      <c r="J14" s="4"/>
      <c r="K14" s="4"/>
      <c r="L14" s="4"/>
      <c r="M14" s="4" t="str">
        <f>IF(SUM(표2_4[[#This Row],[SF]:[Item]])=0,"",SUM(표2_4[[#This Row],[SF]:[Item]]))</f>
        <v/>
      </c>
      <c r="N14" s="4"/>
      <c r="O14" s="34"/>
      <c r="P14" s="23"/>
      <c r="Q14" s="23"/>
      <c r="R14" s="31"/>
    </row>
    <row r="15" spans="2:18" x14ac:dyDescent="0.3">
      <c r="B15" s="3" t="s">
        <v>15</v>
      </c>
      <c r="C15" s="20"/>
      <c r="D15" s="4"/>
      <c r="E15" s="4"/>
      <c r="F15" s="4"/>
      <c r="G15" s="4"/>
      <c r="H15" s="4"/>
      <c r="I15" s="4"/>
      <c r="J15" s="4"/>
      <c r="K15" s="4"/>
      <c r="L15" s="4"/>
      <c r="M15" s="4" t="str">
        <f>IF(SUM(표2_4[[#This Row],[SF]:[Item]])=0,"",SUM(표2_4[[#This Row],[SF]:[Item]]))</f>
        <v/>
      </c>
      <c r="N15" s="4"/>
      <c r="O15" s="34"/>
      <c r="P15" s="23"/>
      <c r="Q15" s="23"/>
      <c r="R15" s="31"/>
    </row>
    <row r="16" spans="2:18" x14ac:dyDescent="0.3">
      <c r="B16" s="3" t="s">
        <v>15</v>
      </c>
      <c r="C16" s="20"/>
      <c r="D16" s="4"/>
      <c r="E16" s="4"/>
      <c r="F16" s="4"/>
      <c r="G16" s="4"/>
      <c r="H16" s="4"/>
      <c r="I16" s="4"/>
      <c r="J16" s="4"/>
      <c r="K16" s="4"/>
      <c r="L16" s="4"/>
      <c r="M16" s="4" t="str">
        <f>IF(SUM(표2_4[[#This Row],[SF]:[Item]])=0,"",SUM(표2_4[[#This Row],[SF]:[Item]]))</f>
        <v/>
      </c>
      <c r="N16" s="4"/>
      <c r="O16" s="34"/>
      <c r="P16" s="23"/>
      <c r="Q16" s="23"/>
      <c r="R16" s="31"/>
    </row>
    <row r="17" spans="2:18" x14ac:dyDescent="0.3">
      <c r="B17" s="7" t="s">
        <v>26</v>
      </c>
      <c r="C17" s="9" t="s">
        <v>113</v>
      </c>
      <c r="D17" s="4" t="s">
        <v>114</v>
      </c>
      <c r="E17" s="4" t="s">
        <v>118</v>
      </c>
      <c r="F17" s="4">
        <v>30</v>
      </c>
      <c r="G17" s="4">
        <v>106</v>
      </c>
      <c r="H17" s="4">
        <f>875+80</f>
        <v>955</v>
      </c>
      <c r="I17" s="4"/>
      <c r="J17" s="4">
        <f>0.19*290*(7)</f>
        <v>385.7</v>
      </c>
      <c r="K17" s="4">
        <v>10000</v>
      </c>
      <c r="L17" s="4">
        <v>4300</v>
      </c>
      <c r="M17" s="4">
        <f>IF(SUM(표2_4[[#This Row],[SF]:[Item]])=0,"",SUM(표2_4[[#This Row],[SF]:[Item]]))</f>
        <v>15640.7</v>
      </c>
      <c r="N17" s="4">
        <v>36555</v>
      </c>
      <c r="O17" s="34">
        <f>표2_4[[#This Row],[Sale Price]]-표2_4[[#This Row],[Product Cost]]</f>
        <v>20914.3</v>
      </c>
      <c r="P17" s="25">
        <v>44297</v>
      </c>
      <c r="Q17" s="25">
        <v>44299</v>
      </c>
      <c r="R17" s="31">
        <v>2</v>
      </c>
    </row>
    <row r="18" spans="2:18" x14ac:dyDescent="0.3">
      <c r="B18" s="7" t="s">
        <v>26</v>
      </c>
      <c r="C18" s="9"/>
      <c r="D18" s="5"/>
      <c r="E18" s="5"/>
      <c r="F18" s="5"/>
      <c r="G18" s="4"/>
      <c r="H18" s="4"/>
      <c r="I18" s="4"/>
      <c r="J18" s="4"/>
      <c r="K18" s="4"/>
      <c r="L18" s="4"/>
      <c r="M18" s="4" t="str">
        <f>IF(SUM(표2_4[[#This Row],[SF]:[Item]])=0,"",SUM(표2_4[[#This Row],[SF]:[Item]]))</f>
        <v/>
      </c>
      <c r="N18" s="4"/>
      <c r="O18" s="34"/>
      <c r="P18" s="25"/>
      <c r="Q18" s="25"/>
      <c r="R18" s="31"/>
    </row>
    <row r="19" spans="2:18" x14ac:dyDescent="0.3">
      <c r="B19" s="7" t="s">
        <v>26</v>
      </c>
      <c r="C19" s="9"/>
      <c r="D19" s="5"/>
      <c r="E19" s="5"/>
      <c r="F19" s="5"/>
      <c r="G19" s="4"/>
      <c r="H19" s="4"/>
      <c r="I19" s="4"/>
      <c r="J19" s="4"/>
      <c r="K19" s="4"/>
      <c r="L19" s="4"/>
      <c r="M19" s="4" t="str">
        <f>IF(SUM(표2_4[[#This Row],[SF]:[Item]])=0,"",SUM(표2_4[[#This Row],[SF]:[Item]]))</f>
        <v/>
      </c>
      <c r="N19" s="4"/>
      <c r="O19" s="34"/>
      <c r="P19" s="25"/>
      <c r="Q19" s="25"/>
      <c r="R19" s="31"/>
    </row>
    <row r="20" spans="2:18" x14ac:dyDescent="0.3">
      <c r="B20" s="7" t="s">
        <v>26</v>
      </c>
      <c r="C20" s="9"/>
      <c r="D20" s="4"/>
      <c r="E20" s="4"/>
      <c r="F20" s="4"/>
      <c r="G20" s="4"/>
      <c r="H20" s="4"/>
      <c r="I20" s="4"/>
      <c r="J20" s="4"/>
      <c r="K20" s="4"/>
      <c r="L20" s="4"/>
      <c r="M20" s="4" t="str">
        <f>IF(SUM(표2_4[[#This Row],[SF]:[Item]])=0,"",SUM(표2_4[[#This Row],[SF]:[Item]]))</f>
        <v/>
      </c>
      <c r="N20" s="4"/>
      <c r="O20" s="34"/>
      <c r="P20" s="23"/>
      <c r="Q20" s="23"/>
      <c r="R20" s="31"/>
    </row>
    <row r="21" spans="2:18" x14ac:dyDescent="0.3">
      <c r="B21" s="7" t="s">
        <v>27</v>
      </c>
      <c r="C21" s="9"/>
      <c r="D21" s="4"/>
      <c r="E21" s="4"/>
      <c r="F21" s="4"/>
      <c r="G21" s="4"/>
      <c r="H21" s="4"/>
      <c r="I21" s="4"/>
      <c r="J21" s="4"/>
      <c r="K21" s="4"/>
      <c r="L21" s="4"/>
      <c r="M21" s="4" t="str">
        <f>IF(SUM(표2_4[[#This Row],[SF]:[Item]])=0,"",SUM(표2_4[[#This Row],[SF]:[Item]]))</f>
        <v/>
      </c>
      <c r="N21" s="4"/>
      <c r="O21" s="34"/>
      <c r="P21" s="25"/>
      <c r="Q21" s="25"/>
      <c r="R21" s="31"/>
    </row>
    <row r="22" spans="2:18" x14ac:dyDescent="0.3">
      <c r="B22" s="7" t="s">
        <v>27</v>
      </c>
      <c r="C22" s="9"/>
      <c r="D22" s="5"/>
      <c r="E22" s="5"/>
      <c r="F22" s="5"/>
      <c r="G22" s="4"/>
      <c r="H22" s="4"/>
      <c r="I22" s="4"/>
      <c r="J22" s="4"/>
      <c r="K22" s="4"/>
      <c r="L22" s="4"/>
      <c r="M22" s="4" t="str">
        <f>IF(SUM(표2_4[[#This Row],[SF]:[Item]])=0,"",SUM(표2_4[[#This Row],[SF]:[Item]]))</f>
        <v/>
      </c>
      <c r="N22" s="4"/>
      <c r="O22" s="34"/>
      <c r="P22" s="25"/>
      <c r="Q22" s="25"/>
      <c r="R22" s="31"/>
    </row>
    <row r="23" spans="2:18" x14ac:dyDescent="0.3">
      <c r="B23" s="7" t="s">
        <v>27</v>
      </c>
      <c r="C23" s="9"/>
      <c r="D23" s="5"/>
      <c r="E23" s="5"/>
      <c r="F23" s="5"/>
      <c r="G23" s="4"/>
      <c r="H23" s="4"/>
      <c r="I23" s="4"/>
      <c r="J23" s="4"/>
      <c r="K23" s="4"/>
      <c r="L23" s="4"/>
      <c r="M23" s="4" t="str">
        <f>IF(SUM(표2_4[[#This Row],[SF]:[Item]])=0,"",SUM(표2_4[[#This Row],[SF]:[Item]]))</f>
        <v/>
      </c>
      <c r="N23" s="4"/>
      <c r="O23" s="34"/>
      <c r="P23" s="25"/>
      <c r="Q23" s="23"/>
      <c r="R23" s="31"/>
    </row>
    <row r="24" spans="2:18" x14ac:dyDescent="0.3">
      <c r="B24" s="7" t="s">
        <v>27</v>
      </c>
      <c r="C24" s="9"/>
      <c r="D24" s="5"/>
      <c r="E24" s="5"/>
      <c r="F24" s="5"/>
      <c r="G24" s="4"/>
      <c r="H24" s="4"/>
      <c r="I24" s="4"/>
      <c r="J24" s="4"/>
      <c r="K24" s="4"/>
      <c r="L24" s="4"/>
      <c r="M24" s="4"/>
      <c r="N24" s="4"/>
      <c r="O24" s="34"/>
      <c r="P24" s="23"/>
      <c r="Q24" s="23"/>
      <c r="R24" s="31"/>
    </row>
    <row r="25" spans="2:18" x14ac:dyDescent="0.3">
      <c r="B25" s="7" t="s">
        <v>80</v>
      </c>
      <c r="C25" s="9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4"/>
      <c r="P25" s="25"/>
      <c r="Q25" s="25"/>
      <c r="R25" s="31"/>
    </row>
    <row r="26" spans="2:18" x14ac:dyDescent="0.3">
      <c r="B26" s="7" t="s">
        <v>28</v>
      </c>
      <c r="C26" s="9"/>
      <c r="D26" s="4"/>
      <c r="E26" s="4"/>
      <c r="F26" s="4"/>
      <c r="G26" s="4"/>
      <c r="H26" s="4"/>
      <c r="I26" s="4"/>
      <c r="J26" s="4"/>
      <c r="K26" s="4"/>
      <c r="L26" s="4"/>
      <c r="M26" s="4" t="str">
        <f>IF(SUM(표2_4[[#This Row],[SF]:[Item]])=0,"",SUM(표2_4[[#This Row],[SF]:[Item]]))</f>
        <v/>
      </c>
      <c r="N26" s="4"/>
      <c r="O26" s="34"/>
      <c r="P26" s="25"/>
      <c r="Q26" s="25"/>
      <c r="R26" s="31"/>
    </row>
    <row r="27" spans="2:18" x14ac:dyDescent="0.3">
      <c r="B27" s="7" t="s">
        <v>28</v>
      </c>
      <c r="C27" s="9"/>
      <c r="D27" s="4"/>
      <c r="E27" s="4"/>
      <c r="F27" s="4"/>
      <c r="G27" s="4"/>
      <c r="H27" s="4"/>
      <c r="I27" s="4"/>
      <c r="J27" s="4"/>
      <c r="K27" s="4"/>
      <c r="L27" s="4"/>
      <c r="M27" s="4" t="str">
        <f>IF(SUM(표2_4[[#This Row],[SF]:[Item]])=0,"",SUM(표2_4[[#This Row],[SF]:[Item]]))</f>
        <v/>
      </c>
      <c r="N27" s="4"/>
      <c r="O27" s="34"/>
      <c r="P27" s="25"/>
      <c r="Q27" s="25"/>
      <c r="R27" s="31"/>
    </row>
    <row r="28" spans="2:18" x14ac:dyDescent="0.3">
      <c r="B28" s="7" t="s">
        <v>28</v>
      </c>
      <c r="C28" s="9" t="s">
        <v>137</v>
      </c>
      <c r="D28" s="4" t="s">
        <v>138</v>
      </c>
      <c r="E28" s="4" t="s">
        <v>79</v>
      </c>
      <c r="F28" s="4">
        <v>30</v>
      </c>
      <c r="G28" s="4">
        <v>95</v>
      </c>
      <c r="H28" s="4">
        <f>900+150</f>
        <v>1050</v>
      </c>
      <c r="I28" s="4">
        <f>2000+600*4+500*1</f>
        <v>4900</v>
      </c>
      <c r="J28" s="4">
        <f>0.16*345*(11+6+9+6+10+11)</f>
        <v>2925.6000000000004</v>
      </c>
      <c r="K28" s="4">
        <v>15500</v>
      </c>
      <c r="L28" s="4">
        <v>25000</v>
      </c>
      <c r="M28" s="4">
        <f>IF(SUM(표2_4[[#This Row],[SF]:[Item]])=0,"",SUM(표2_4[[#This Row],[SF]:[Item]]))</f>
        <v>49375.6</v>
      </c>
      <c r="N28" s="4">
        <v>83255</v>
      </c>
      <c r="O28" s="34"/>
      <c r="P28" s="25">
        <v>44304</v>
      </c>
      <c r="Q28" s="25"/>
      <c r="R28" s="31"/>
    </row>
    <row r="29" spans="2:18" x14ac:dyDescent="0.3">
      <c r="B29" s="7" t="s">
        <v>80</v>
      </c>
      <c r="C29" s="9" t="s">
        <v>74</v>
      </c>
      <c r="D29" s="4" t="s">
        <v>75</v>
      </c>
      <c r="E29" s="4" t="s">
        <v>96</v>
      </c>
      <c r="F29" s="4">
        <v>30</v>
      </c>
      <c r="G29" s="4">
        <v>94</v>
      </c>
      <c r="H29" s="4">
        <v>982</v>
      </c>
      <c r="I29" s="4"/>
      <c r="J29" s="4">
        <f>0.24*345*11</f>
        <v>910.8</v>
      </c>
      <c r="K29" s="4">
        <v>15000</v>
      </c>
      <c r="L29" s="4">
        <v>8400</v>
      </c>
      <c r="M29" s="4">
        <f>IF(SUM(표2_4[[#This Row],[SF]:[Item]])=0,"",SUM(표2_4[[#This Row],[SF]:[Item]]))</f>
        <v>25292.799999999999</v>
      </c>
      <c r="N29" s="4">
        <v>57666</v>
      </c>
      <c r="O29" s="34">
        <f>표2_4[[#This Row],[Sale Price]]-표2_4[[#This Row],[Product Cost]]</f>
        <v>32373.200000000001</v>
      </c>
      <c r="P29" s="25">
        <v>44274</v>
      </c>
      <c r="Q29" s="25">
        <v>44298</v>
      </c>
      <c r="R29" s="31">
        <f>표2_4[[#This Row],[Sale Date]]-표2_4[[#This Row],[Notice Date]]</f>
        <v>24</v>
      </c>
    </row>
    <row r="30" spans="2:18" x14ac:dyDescent="0.3">
      <c r="B30" s="7" t="s">
        <v>95</v>
      </c>
      <c r="C30" s="9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34"/>
      <c r="P30" s="25"/>
      <c r="Q30" s="25"/>
      <c r="R30" s="31"/>
    </row>
    <row r="31" spans="2:18" x14ac:dyDescent="0.3">
      <c r="B31" s="7" t="s">
        <v>29</v>
      </c>
      <c r="C31" s="9" t="s">
        <v>113</v>
      </c>
      <c r="D31" s="4" t="s">
        <v>121</v>
      </c>
      <c r="E31" s="4" t="s">
        <v>116</v>
      </c>
      <c r="F31" s="4">
        <v>30</v>
      </c>
      <c r="G31" s="4">
        <v>95</v>
      </c>
      <c r="H31" s="4">
        <f>875+150</f>
        <v>1025</v>
      </c>
      <c r="I31" s="4">
        <f>600*1</f>
        <v>600</v>
      </c>
      <c r="J31" s="4">
        <f>0.19*460*(4+7)</f>
        <v>961.40000000000009</v>
      </c>
      <c r="K31" s="4">
        <v>29000</v>
      </c>
      <c r="L31" s="4">
        <v>26600</v>
      </c>
      <c r="M31" s="4">
        <f>IF(SUM(표2_4[[#This Row],[SF]:[Item]])=0,"",SUM(표2_4[[#This Row],[SF]:[Item]]))</f>
        <v>58186.400000000001</v>
      </c>
      <c r="N31" s="4">
        <v>69444</v>
      </c>
      <c r="O31" s="34">
        <f>표2_4[[#This Row],[Sale Price]]-표2_4[[#This Row],[Product Cost]]</f>
        <v>11257.599999999999</v>
      </c>
      <c r="P31" s="25">
        <v>44283</v>
      </c>
      <c r="Q31" s="25">
        <v>44303</v>
      </c>
      <c r="R31" s="31">
        <f>표2_4[[#This Row],[Sale Date]]-표2_4[[#This Row],[Notice Date]]</f>
        <v>20</v>
      </c>
    </row>
    <row r="32" spans="2:18" x14ac:dyDescent="0.3">
      <c r="B32" s="7" t="s">
        <v>29</v>
      </c>
      <c r="C32" s="9" t="s">
        <v>113</v>
      </c>
      <c r="D32" s="4" t="s">
        <v>114</v>
      </c>
      <c r="E32" s="4" t="s">
        <v>115</v>
      </c>
      <c r="F32" s="4">
        <v>30</v>
      </c>
      <c r="G32" s="4">
        <v>95</v>
      </c>
      <c r="H32" s="4">
        <v>875</v>
      </c>
      <c r="I32" s="4">
        <f>1000+700*2</f>
        <v>2400</v>
      </c>
      <c r="J32" s="4">
        <f>0.19*460*(6+7)</f>
        <v>1136.2</v>
      </c>
      <c r="K32" s="4">
        <v>2400</v>
      </c>
      <c r="L32" s="4">
        <v>26000</v>
      </c>
      <c r="M32" s="4">
        <f>IF(SUM(표2_4[[#This Row],[SF]:[Item]])=0,"",SUM(표2_4[[#This Row],[SF]:[Item]]))</f>
        <v>32811.199999999997</v>
      </c>
      <c r="N32" s="4">
        <v>53555</v>
      </c>
      <c r="O32" s="34"/>
      <c r="P32" s="25">
        <v>44283</v>
      </c>
      <c r="Q32" s="25"/>
      <c r="R32" s="31"/>
    </row>
    <row r="33" spans="2:18" x14ac:dyDescent="0.3">
      <c r="B33" s="7" t="s">
        <v>29</v>
      </c>
      <c r="C33" s="9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34"/>
      <c r="P33" s="25"/>
      <c r="Q33" s="25"/>
      <c r="R33" s="31"/>
    </row>
    <row r="34" spans="2:18" x14ac:dyDescent="0.3">
      <c r="B34" s="7" t="s">
        <v>29</v>
      </c>
      <c r="C34" s="9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34"/>
      <c r="P34" s="25"/>
      <c r="Q34" s="25"/>
      <c r="R34" s="31"/>
    </row>
    <row r="35" spans="2:18" x14ac:dyDescent="0.3">
      <c r="B35" s="7" t="s">
        <v>30</v>
      </c>
      <c r="C35" s="9" t="s">
        <v>78</v>
      </c>
      <c r="D35" s="4" t="s">
        <v>76</v>
      </c>
      <c r="E35" s="4" t="s">
        <v>79</v>
      </c>
      <c r="F35" s="4">
        <v>30</v>
      </c>
      <c r="G35" s="5">
        <v>85</v>
      </c>
      <c r="H35" s="5">
        <v>76500</v>
      </c>
      <c r="I35" s="4">
        <f>20400</f>
        <v>20400</v>
      </c>
      <c r="J35" s="4">
        <v>562.25</v>
      </c>
      <c r="K35" s="4">
        <v>14500</v>
      </c>
      <c r="L35" s="4">
        <v>48000</v>
      </c>
      <c r="M35" s="4">
        <f>IF(SUM(표2_4[[#This Row],[SF]:[Item]])=0,"",SUM(표2_4[[#This Row],[SF]:[Item]]))</f>
        <v>159962.25</v>
      </c>
      <c r="N35" s="4"/>
      <c r="O35" s="34"/>
      <c r="P35" s="25"/>
      <c r="Q35" s="25"/>
      <c r="R35" s="31"/>
    </row>
    <row r="36" spans="2:18" x14ac:dyDescent="0.3">
      <c r="B36" s="7" t="s">
        <v>83</v>
      </c>
      <c r="C36" s="9" t="s">
        <v>106</v>
      </c>
      <c r="D36" s="4" t="s">
        <v>103</v>
      </c>
      <c r="E36" s="4" t="s">
        <v>77</v>
      </c>
      <c r="F36" s="4">
        <v>30</v>
      </c>
      <c r="G36" s="4">
        <v>114</v>
      </c>
      <c r="H36" s="4">
        <f>982+300</f>
        <v>1282</v>
      </c>
      <c r="I36" s="4">
        <v>752</v>
      </c>
      <c r="J36" s="4"/>
      <c r="K36" s="4">
        <v>16200</v>
      </c>
      <c r="L36" s="4">
        <v>30000</v>
      </c>
      <c r="M36" s="4">
        <f>IF(SUM(표2_4[[#This Row],[SF]:[Item]])=0,"",SUM(표2_4[[#This Row],[SF]:[Item]]))</f>
        <v>48234</v>
      </c>
      <c r="N36" s="4">
        <v>79555</v>
      </c>
      <c r="O36" s="34"/>
      <c r="P36" s="25">
        <v>44279</v>
      </c>
      <c r="Q36" s="25"/>
      <c r="R36" s="31"/>
    </row>
    <row r="37" spans="2:18" x14ac:dyDescent="0.3">
      <c r="B37" s="7" t="s">
        <v>30</v>
      </c>
      <c r="C37" s="9" t="s">
        <v>105</v>
      </c>
      <c r="D37" s="4" t="s">
        <v>98</v>
      </c>
      <c r="E37" s="4" t="s">
        <v>90</v>
      </c>
      <c r="F37" s="4">
        <v>30</v>
      </c>
      <c r="G37" s="4">
        <v>99</v>
      </c>
      <c r="H37" s="4">
        <v>1130</v>
      </c>
      <c r="I37" s="4"/>
      <c r="J37" s="4">
        <f>345*0.23*7</f>
        <v>555.45000000000005</v>
      </c>
      <c r="K37" s="4">
        <v>20000</v>
      </c>
      <c r="L37" s="4">
        <v>34200</v>
      </c>
      <c r="M37" s="4">
        <f>IF(SUM(표2_4[[#This Row],[SF]:[Item]])=0,"",SUM(표2_4[[#This Row],[SF]:[Item]]))</f>
        <v>55885.45</v>
      </c>
      <c r="N37" s="4">
        <v>62555</v>
      </c>
      <c r="O37" s="34"/>
      <c r="P37" s="25">
        <v>44269</v>
      </c>
      <c r="Q37" s="25"/>
      <c r="R37" s="31"/>
    </row>
    <row r="38" spans="2:18" x14ac:dyDescent="0.3">
      <c r="B38" s="7" t="s">
        <v>30</v>
      </c>
      <c r="C38" s="9" t="s">
        <v>125</v>
      </c>
      <c r="D38" s="4" t="s">
        <v>126</v>
      </c>
      <c r="E38" s="4" t="s">
        <v>127</v>
      </c>
      <c r="F38" s="4">
        <v>30</v>
      </c>
      <c r="G38" s="4">
        <v>85</v>
      </c>
      <c r="H38" s="4">
        <v>1300</v>
      </c>
      <c r="I38" s="4">
        <f>500*2</f>
        <v>1000</v>
      </c>
      <c r="J38" s="4">
        <f>0.2*345*7</f>
        <v>483</v>
      </c>
      <c r="K38" s="4">
        <v>3000</v>
      </c>
      <c r="L38" s="4">
        <v>8000</v>
      </c>
      <c r="M38" s="4">
        <f>IF(SUM(표2_4[[#This Row],[SF]:[Item]])=0,"",SUM(표2_4[[#This Row],[SF]:[Item]]))</f>
        <v>13783</v>
      </c>
      <c r="N38" s="4">
        <v>57555</v>
      </c>
      <c r="O38" s="34">
        <f>표2_4[[#This Row],[Sale Price]]-표2_4[[#This Row],[Product Cost]]</f>
        <v>43772</v>
      </c>
      <c r="P38" s="25">
        <v>44297</v>
      </c>
      <c r="Q38" s="25">
        <v>44304</v>
      </c>
      <c r="R38" s="31">
        <f>표2_4[[#This Row],[Sale Date]]-표2_4[[#This Row],[Notice Date]]</f>
        <v>7</v>
      </c>
    </row>
    <row r="39" spans="2:18" x14ac:dyDescent="0.3">
      <c r="B39" s="7" t="s">
        <v>30</v>
      </c>
      <c r="C39" s="9"/>
      <c r="D39" s="4"/>
      <c r="E39" s="4"/>
      <c r="F39" s="4"/>
      <c r="G39" s="4"/>
      <c r="H39" s="4"/>
      <c r="I39" s="4"/>
      <c r="J39" s="4"/>
      <c r="K39" s="4"/>
      <c r="L39" s="4"/>
      <c r="M39" s="4" t="str">
        <f>IF(SUM(표2_4[[#This Row],[SF]:[Item]])=0,"",SUM(표2_4[[#This Row],[SF]:[Item]]))</f>
        <v/>
      </c>
      <c r="N39" s="4"/>
      <c r="O39" s="34"/>
      <c r="P39" s="23"/>
      <c r="Q39" s="23"/>
      <c r="R39" s="31"/>
    </row>
    <row r="40" spans="2:18" x14ac:dyDescent="0.3">
      <c r="B40" s="7" t="s">
        <v>30</v>
      </c>
      <c r="C40" s="9"/>
      <c r="D40" s="4"/>
      <c r="E40" s="4"/>
      <c r="F40" s="4"/>
      <c r="G40" s="4"/>
      <c r="H40" s="4"/>
      <c r="I40" s="4"/>
      <c r="J40" s="4"/>
      <c r="K40" s="4"/>
      <c r="L40" s="4"/>
      <c r="M40" s="4" t="str">
        <f>IF(SUM(표2_4[[#This Row],[SF]:[Item]])=0,"",SUM(표2_4[[#This Row],[SF]:[Item]]))</f>
        <v/>
      </c>
      <c r="N40" s="4"/>
      <c r="O40" s="34"/>
      <c r="P40" s="23"/>
      <c r="Q40" s="23"/>
      <c r="R40" s="31"/>
    </row>
    <row r="41" spans="2:18" x14ac:dyDescent="0.3">
      <c r="B41" s="7" t="s">
        <v>30</v>
      </c>
      <c r="C41" s="9"/>
      <c r="D41" s="4"/>
      <c r="E41" s="4"/>
      <c r="F41" s="4"/>
      <c r="G41" s="4"/>
      <c r="H41" s="4"/>
      <c r="I41" s="4"/>
      <c r="J41" s="4"/>
      <c r="K41" s="4"/>
      <c r="L41" s="4"/>
      <c r="M41" s="4" t="str">
        <f>IF(SUM(표2_4[[#This Row],[SF]:[Item]])=0,"",SUM(표2_4[[#This Row],[SF]:[Item]]))</f>
        <v/>
      </c>
      <c r="N41" s="4"/>
      <c r="O41" s="34"/>
      <c r="P41" s="23"/>
      <c r="Q41" s="23"/>
      <c r="R41" s="31"/>
    </row>
    <row r="42" spans="2:18" x14ac:dyDescent="0.3">
      <c r="B42" s="7" t="s">
        <v>30</v>
      </c>
      <c r="C42" s="9"/>
      <c r="D42" s="4"/>
      <c r="E42" s="4"/>
      <c r="F42" s="4"/>
      <c r="G42" s="4"/>
      <c r="H42" s="4"/>
      <c r="I42" s="4"/>
      <c r="J42" s="4"/>
      <c r="K42" s="4"/>
      <c r="L42" s="4"/>
      <c r="M42" s="4" t="str">
        <f>IF(SUM(표2_4[[#This Row],[SF]:[Item]])=0,"",SUM(표2_4[[#This Row],[SF]:[Item]]))</f>
        <v/>
      </c>
      <c r="N42" s="4"/>
      <c r="O42" s="34"/>
      <c r="P42" s="23"/>
      <c r="Q42" s="23"/>
      <c r="R42" s="31"/>
    </row>
    <row r="43" spans="2:18" x14ac:dyDescent="0.3">
      <c r="B43" s="7" t="s">
        <v>30</v>
      </c>
      <c r="C43" s="9"/>
      <c r="D43" s="4"/>
      <c r="E43" s="4"/>
      <c r="F43" s="4"/>
      <c r="G43" s="4"/>
      <c r="H43" s="4"/>
      <c r="I43" s="4"/>
      <c r="J43" s="4"/>
      <c r="K43" s="4"/>
      <c r="L43" s="4"/>
      <c r="M43" s="4" t="str">
        <f>IF(SUM(표2_4[[#This Row],[SF]:[Item]])=0,"",SUM(표2_4[[#This Row],[SF]:[Item]]))</f>
        <v/>
      </c>
      <c r="N43" s="4"/>
      <c r="O43" s="34"/>
      <c r="P43" s="25"/>
      <c r="Q43" s="25"/>
      <c r="R43" s="31"/>
    </row>
    <row r="44" spans="2:18" x14ac:dyDescent="0.3">
      <c r="B44" s="7" t="s">
        <v>84</v>
      </c>
      <c r="C44" s="9" t="s">
        <v>106</v>
      </c>
      <c r="D44" s="4" t="s">
        <v>103</v>
      </c>
      <c r="E44" s="4" t="s">
        <v>104</v>
      </c>
      <c r="F44" s="4">
        <v>30</v>
      </c>
      <c r="G44" s="4">
        <v>85</v>
      </c>
      <c r="H44" s="4">
        <f>982+150</f>
        <v>1132</v>
      </c>
      <c r="I44" s="4">
        <f>700*5</f>
        <v>3500</v>
      </c>
      <c r="J44" s="4">
        <f>0.22*345*(7+4+5+3+6+6+7)</f>
        <v>2884.2000000000003</v>
      </c>
      <c r="K44" s="4">
        <v>16000</v>
      </c>
      <c r="L44" s="4">
        <v>22000</v>
      </c>
      <c r="M44" s="4">
        <f>IF(SUM(표2_4[[#This Row],[SF]:[Item]])=0,"",SUM(표2_4[[#This Row],[SF]:[Item]]))</f>
        <v>45516.2</v>
      </c>
      <c r="N44" s="4">
        <v>57333</v>
      </c>
      <c r="O44" s="34">
        <f>표2_4[[#This Row],[Sale Price]]-표2_4[[#This Row],[Product Cost]]</f>
        <v>11816.800000000003</v>
      </c>
      <c r="P44" s="25">
        <v>44276</v>
      </c>
      <c r="Q44" s="25">
        <v>44303</v>
      </c>
      <c r="R44" s="31">
        <f>표2_4[[#This Row],[Sale Date]]-표2_4[[#This Row],[Notice Date]]</f>
        <v>27</v>
      </c>
    </row>
    <row r="45" spans="2:18" x14ac:dyDescent="0.3">
      <c r="B45" s="7" t="s">
        <v>31</v>
      </c>
      <c r="C45" s="9" t="s">
        <v>106</v>
      </c>
      <c r="D45" s="4" t="s">
        <v>103</v>
      </c>
      <c r="E45" s="4" t="s">
        <v>104</v>
      </c>
      <c r="F45" s="4">
        <v>30</v>
      </c>
      <c r="G45" s="4">
        <v>96</v>
      </c>
      <c r="H45" s="4">
        <f>982+300</f>
        <v>1282</v>
      </c>
      <c r="I45" s="4"/>
      <c r="J45" s="4">
        <f>0.22*345*(7)</f>
        <v>531.30000000000007</v>
      </c>
      <c r="K45" s="4">
        <v>11000</v>
      </c>
      <c r="L45" s="4">
        <v>32200</v>
      </c>
      <c r="M45" s="4">
        <f>IF(SUM(표2_4[[#This Row],[SF]:[Item]])=0,"",SUM(표2_4[[#This Row],[SF]:[Item]]))</f>
        <v>45013.3</v>
      </c>
      <c r="N45" s="4">
        <v>64555</v>
      </c>
      <c r="O45" s="34"/>
      <c r="P45" s="25">
        <v>44276</v>
      </c>
      <c r="Q45" s="25"/>
      <c r="R45" s="31"/>
    </row>
    <row r="46" spans="2:18" x14ac:dyDescent="0.3">
      <c r="B46" s="7" t="s">
        <v>31</v>
      </c>
      <c r="C46" s="9" t="s">
        <v>131</v>
      </c>
      <c r="D46" s="4" t="s">
        <v>132</v>
      </c>
      <c r="E46" s="4" t="s">
        <v>130</v>
      </c>
      <c r="F46" s="4">
        <v>30</v>
      </c>
      <c r="G46" s="5">
        <v>110</v>
      </c>
      <c r="H46" s="5">
        <v>900</v>
      </c>
      <c r="I46" s="4">
        <f>0.19*345*(8)</f>
        <v>524.4</v>
      </c>
      <c r="J46" s="4">
        <f>0.16*345*(4)</f>
        <v>220.8</v>
      </c>
      <c r="K46" s="4">
        <v>15500</v>
      </c>
      <c r="L46" s="5">
        <v>32200</v>
      </c>
      <c r="M46" s="4">
        <f>IF(SUM(표2_4[[#This Row],[SF]:[Item]])=0,"",SUM(표2_4[[#This Row],[SF]:[Item]]))</f>
        <v>49345.2</v>
      </c>
      <c r="N46" s="5">
        <v>78777</v>
      </c>
      <c r="O46" s="35">
        <f>표2_4[[#This Row],[Sale Price]]-표2_4[[#This Row],[Product Cost]]</f>
        <v>29431.800000000003</v>
      </c>
      <c r="P46" s="25">
        <v>44297</v>
      </c>
      <c r="Q46" s="25">
        <v>44299</v>
      </c>
      <c r="R46" s="31">
        <v>2</v>
      </c>
    </row>
    <row r="47" spans="2:18" ht="17.25" thickBot="1" x14ac:dyDescent="0.35">
      <c r="B47" s="8" t="s">
        <v>31</v>
      </c>
      <c r="C47" s="10"/>
      <c r="D47" s="21"/>
      <c r="E47" s="21"/>
      <c r="F47" s="21"/>
      <c r="G47" s="6"/>
      <c r="H47" s="6"/>
      <c r="I47" s="21"/>
      <c r="J47" s="21"/>
      <c r="K47" s="21"/>
      <c r="L47" s="6"/>
      <c r="M47" s="6" t="str">
        <f>IF(SUM(표2_4[[#This Row],[SF]:[Item]])=0,"",SUM(표2_4[[#This Row],[SF]:[Item]]))</f>
        <v/>
      </c>
      <c r="N47" s="6"/>
      <c r="O47" s="36"/>
      <c r="P47" s="24"/>
      <c r="Q47" s="24"/>
      <c r="R47" s="32"/>
    </row>
    <row r="48" spans="2:18" ht="17.25" thickTop="1" x14ac:dyDescent="0.3">
      <c r="G48" s="2"/>
      <c r="H48" s="2"/>
      <c r="L48" s="2"/>
      <c r="M48" s="2"/>
      <c r="N48" s="2"/>
      <c r="O48" s="37"/>
    </row>
    <row r="49" spans="7:15" x14ac:dyDescent="0.3">
      <c r="G49" s="2"/>
      <c r="H49" s="2"/>
      <c r="L49" s="2"/>
      <c r="M49" s="2"/>
      <c r="N49" s="2"/>
      <c r="O49" s="37"/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3" zoomScale="85" zoomScaleNormal="85" workbookViewId="0">
      <selection activeCell="R37" activeCellId="2" sqref="B37:G37 O37 R37"/>
    </sheetView>
  </sheetViews>
  <sheetFormatPr defaultRowHeight="16.5" x14ac:dyDescent="0.3"/>
  <cols>
    <col min="1" max="1" width="11.375" customWidth="1"/>
    <col min="2" max="5" width="16.125" style="13" customWidth="1"/>
    <col min="6" max="6" width="18.125" style="13" customWidth="1"/>
    <col min="7" max="12" width="16.125" style="13" customWidth="1"/>
    <col min="13" max="13" width="17.875" style="13" customWidth="1"/>
    <col min="14" max="14" width="16.125" style="13" customWidth="1"/>
    <col min="15" max="15" width="16.125" style="28" customWidth="1"/>
    <col min="16" max="17" width="16.125" style="22" customWidth="1"/>
    <col min="18" max="18" width="16.125" style="28" customWidth="1"/>
  </cols>
  <sheetData>
    <row r="1" spans="2:18" x14ac:dyDescent="0.3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  <c r="P1" s="76"/>
      <c r="Q1" s="76"/>
      <c r="R1" s="75"/>
    </row>
    <row r="2" spans="2:18" x14ac:dyDescent="0.3"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  <c r="P2" s="76"/>
      <c r="Q2" s="76"/>
      <c r="R2" s="75"/>
    </row>
    <row r="3" spans="2:18" x14ac:dyDescent="0.3"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5"/>
      <c r="P3" s="76"/>
      <c r="Q3" s="76"/>
      <c r="R3" s="75"/>
    </row>
    <row r="4" spans="2:18" x14ac:dyDescent="0.3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5"/>
      <c r="P4" s="76"/>
      <c r="Q4" s="76"/>
      <c r="R4" s="75"/>
    </row>
    <row r="5" spans="2:18" x14ac:dyDescent="0.3"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5"/>
      <c r="P5" s="76"/>
      <c r="Q5" s="76"/>
      <c r="R5" s="75"/>
    </row>
    <row r="6" spans="2:18" x14ac:dyDescent="0.3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5"/>
      <c r="P6" s="76"/>
      <c r="Q6" s="76"/>
      <c r="R6" s="75"/>
    </row>
    <row r="7" spans="2:18" x14ac:dyDescent="0.3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5"/>
      <c r="P7" s="76"/>
      <c r="Q7" s="76"/>
      <c r="R7" s="75"/>
    </row>
    <row r="8" spans="2:18" x14ac:dyDescent="0.3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5"/>
      <c r="P8" s="76"/>
      <c r="Q8" s="76"/>
      <c r="R8" s="75"/>
    </row>
    <row r="9" spans="2:18" x14ac:dyDescent="0.3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5"/>
      <c r="P9" s="76"/>
      <c r="Q9" s="76"/>
      <c r="R9" s="75"/>
    </row>
    <row r="10" spans="2:18" ht="17.25" thickBot="1" x14ac:dyDescent="0.35"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5"/>
      <c r="P10" s="76"/>
      <c r="Q10" s="76"/>
      <c r="R10" s="75"/>
    </row>
    <row r="11" spans="2:18" ht="18" thickTop="1" thickBot="1" x14ac:dyDescent="0.35">
      <c r="B11" s="1" t="s">
        <v>3</v>
      </c>
      <c r="C11" s="1" t="s">
        <v>22</v>
      </c>
      <c r="D11" s="1" t="s">
        <v>19</v>
      </c>
      <c r="E11" s="1" t="s">
        <v>20</v>
      </c>
      <c r="F11" s="1" t="s">
        <v>24</v>
      </c>
      <c r="G11" s="1" t="s">
        <v>1</v>
      </c>
      <c r="H11" s="1" t="s">
        <v>4</v>
      </c>
      <c r="I11" s="1" t="s">
        <v>23</v>
      </c>
      <c r="J11" s="1" t="s">
        <v>25</v>
      </c>
      <c r="K11" s="1" t="s">
        <v>5</v>
      </c>
      <c r="L11" s="1" t="s">
        <v>6</v>
      </c>
      <c r="M11" s="1" t="s">
        <v>7</v>
      </c>
      <c r="N11" s="1" t="s">
        <v>8</v>
      </c>
      <c r="O11" s="72" t="s">
        <v>0</v>
      </c>
      <c r="P11" s="73" t="s">
        <v>9</v>
      </c>
      <c r="Q11" s="73" t="s">
        <v>10</v>
      </c>
      <c r="R11" s="72" t="s">
        <v>11</v>
      </c>
    </row>
    <row r="12" spans="2:18" ht="17.25" thickTop="1" x14ac:dyDescent="0.3">
      <c r="B12" s="48" t="s">
        <v>32</v>
      </c>
      <c r="C12" s="49" t="s">
        <v>97</v>
      </c>
      <c r="D12" s="49" t="s">
        <v>75</v>
      </c>
      <c r="E12" s="49" t="s">
        <v>82</v>
      </c>
      <c r="F12" s="49">
        <v>30</v>
      </c>
      <c r="G12" s="49">
        <v>100</v>
      </c>
      <c r="H12" s="49">
        <v>1100</v>
      </c>
      <c r="I12" s="49"/>
      <c r="J12" s="49">
        <f>290*0.23*11</f>
        <v>733.7</v>
      </c>
      <c r="K12" s="49">
        <v>11000</v>
      </c>
      <c r="L12" s="49">
        <v>2000</v>
      </c>
      <c r="M12" s="49">
        <f>IF(SUM('SF(3W_A)'!$H12:$L12)=0,"",SUM('SF(3W_A)'!$H12:$L12))</f>
        <v>14833.7</v>
      </c>
      <c r="N12" s="49"/>
      <c r="O12" s="77"/>
      <c r="P12" s="78"/>
      <c r="Q12" s="78"/>
      <c r="R12" s="79"/>
    </row>
    <row r="13" spans="2:18" x14ac:dyDescent="0.3">
      <c r="B13" s="7" t="s">
        <v>32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 t="str">
        <f>IF(SUM('SF(3W_A)'!$H13:$L13)=0,"",SUM('SF(3W_A)'!$H13:$L13))</f>
        <v/>
      </c>
      <c r="N13" s="5"/>
      <c r="O13" s="35"/>
      <c r="P13" s="70"/>
      <c r="Q13" s="70"/>
      <c r="R13" s="80"/>
    </row>
    <row r="14" spans="2:18" x14ac:dyDescent="0.3">
      <c r="B14" s="7" t="s">
        <v>32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35"/>
      <c r="P14" s="70"/>
      <c r="Q14" s="70"/>
      <c r="R14" s="80"/>
    </row>
    <row r="15" spans="2:18" x14ac:dyDescent="0.3">
      <c r="B15" s="7" t="s">
        <v>32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 t="str">
        <f>IF(SUM('SF(3W_A)'!$H15:$L15)=0,"",SUM('SF(3W_A)'!$H15:$L15))</f>
        <v/>
      </c>
      <c r="N15" s="5"/>
      <c r="O15" s="35"/>
      <c r="P15" s="71"/>
      <c r="Q15" s="71"/>
      <c r="R15" s="80"/>
    </row>
    <row r="16" spans="2:18" x14ac:dyDescent="0.3">
      <c r="B16" s="7" t="s">
        <v>33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35"/>
      <c r="P16" s="70"/>
      <c r="Q16" s="70"/>
      <c r="R16" s="80"/>
    </row>
    <row r="17" spans="1:18" x14ac:dyDescent="0.3">
      <c r="B17" s="7" t="s">
        <v>33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35"/>
      <c r="P17" s="70"/>
      <c r="Q17" s="70"/>
      <c r="R17" s="80"/>
    </row>
    <row r="18" spans="1:18" x14ac:dyDescent="0.3">
      <c r="B18" s="7" t="s">
        <v>33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35"/>
      <c r="P18" s="70"/>
      <c r="Q18" s="70"/>
      <c r="R18" s="80"/>
    </row>
    <row r="19" spans="1:18" x14ac:dyDescent="0.3">
      <c r="B19" s="7" t="s">
        <v>33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35"/>
      <c r="P19" s="70"/>
      <c r="Q19" s="71"/>
      <c r="R19" s="80"/>
    </row>
    <row r="20" spans="1:18" x14ac:dyDescent="0.3">
      <c r="B20" s="7" t="s">
        <v>34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35"/>
      <c r="P20" s="70"/>
      <c r="Q20" s="70"/>
      <c r="R20" s="80"/>
    </row>
    <row r="21" spans="1:18" x14ac:dyDescent="0.3">
      <c r="B21" s="7" t="s">
        <v>34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35"/>
      <c r="P21" s="70"/>
      <c r="Q21" s="70"/>
      <c r="R21" s="80"/>
    </row>
    <row r="22" spans="1:18" x14ac:dyDescent="0.3">
      <c r="B22" s="7" t="s">
        <v>34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35"/>
      <c r="P22" s="70"/>
      <c r="Q22" s="70"/>
      <c r="R22" s="80"/>
    </row>
    <row r="23" spans="1:18" x14ac:dyDescent="0.3">
      <c r="B23" s="7" t="s">
        <v>34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35"/>
      <c r="P23" s="70"/>
      <c r="Q23" s="70"/>
      <c r="R23" s="80"/>
    </row>
    <row r="24" spans="1:18" x14ac:dyDescent="0.3">
      <c r="B24" s="7" t="s">
        <v>35</v>
      </c>
      <c r="C24" s="5" t="s">
        <v>74</v>
      </c>
      <c r="D24" s="5" t="s">
        <v>75</v>
      </c>
      <c r="E24" s="5" t="s">
        <v>82</v>
      </c>
      <c r="F24" s="5">
        <v>30</v>
      </c>
      <c r="G24" s="5" t="s">
        <v>110</v>
      </c>
      <c r="H24" s="5">
        <v>1100</v>
      </c>
      <c r="I24" s="5"/>
      <c r="J24" s="5">
        <v>873</v>
      </c>
      <c r="K24" s="5">
        <v>9400</v>
      </c>
      <c r="L24" s="5">
        <v>8400</v>
      </c>
      <c r="M24" s="5">
        <f>IF(SUM('SF(3W_A)'!$H24:$L24)=0,"",SUM('SF(3W_A)'!$H24:$L24))</f>
        <v>19773</v>
      </c>
      <c r="N24" s="5"/>
      <c r="O24" s="35"/>
      <c r="P24" s="70"/>
      <c r="Q24" s="70"/>
      <c r="R24" s="80"/>
    </row>
    <row r="25" spans="1:18" x14ac:dyDescent="0.3">
      <c r="B25" s="7" t="s">
        <v>35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35"/>
      <c r="P25" s="70"/>
      <c r="Q25" s="70"/>
      <c r="R25" s="80"/>
    </row>
    <row r="26" spans="1:18" x14ac:dyDescent="0.3">
      <c r="B26" s="7" t="s">
        <v>35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35"/>
      <c r="P26" s="70"/>
      <c r="Q26" s="70"/>
      <c r="R26" s="80"/>
    </row>
    <row r="27" spans="1:18" x14ac:dyDescent="0.3">
      <c r="B27" s="7" t="s">
        <v>35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35"/>
      <c r="P27" s="70"/>
      <c r="Q27" s="70"/>
      <c r="R27" s="80"/>
    </row>
    <row r="28" spans="1:18" x14ac:dyDescent="0.3">
      <c r="B28" s="7" t="s">
        <v>35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35"/>
      <c r="P28" s="70"/>
      <c r="Q28" s="70"/>
      <c r="R28" s="80"/>
    </row>
    <row r="29" spans="1:18" x14ac:dyDescent="0.3">
      <c r="A29" t="s">
        <v>92</v>
      </c>
      <c r="B29" s="7" t="s">
        <v>35</v>
      </c>
      <c r="C29" s="5" t="s">
        <v>91</v>
      </c>
      <c r="D29" s="5" t="s">
        <v>89</v>
      </c>
      <c r="E29" s="5" t="s">
        <v>87</v>
      </c>
      <c r="F29" s="5">
        <v>30</v>
      </c>
      <c r="G29" s="5"/>
      <c r="H29" s="5">
        <v>1100</v>
      </c>
      <c r="I29" s="5"/>
      <c r="J29" s="5"/>
      <c r="K29" s="5">
        <v>11000</v>
      </c>
      <c r="L29" s="5"/>
      <c r="M29" s="5">
        <f>IF(SUM('SF(3W_A)'!$H29:$L29)=0,"",SUM('SF(3W_A)'!$H29:$L29))</f>
        <v>12100</v>
      </c>
      <c r="N29" s="5"/>
      <c r="O29" s="35"/>
      <c r="P29" s="70"/>
      <c r="Q29" s="70"/>
      <c r="R29" s="80"/>
    </row>
    <row r="30" spans="1:18" x14ac:dyDescent="0.3">
      <c r="B30" s="7" t="s">
        <v>35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 t="str">
        <f>IF(SUM('SF(3W_A)'!$H30:$L30)=0,"",SUM('SF(3W_A)'!$H30:$L30))</f>
        <v/>
      </c>
      <c r="N30" s="5"/>
      <c r="O30" s="35"/>
      <c r="P30" s="70"/>
      <c r="Q30" s="70"/>
      <c r="R30" s="80"/>
    </row>
    <row r="31" spans="1:18" x14ac:dyDescent="0.3">
      <c r="B31" s="7" t="s">
        <v>93</v>
      </c>
      <c r="C31" s="5" t="s">
        <v>99</v>
      </c>
      <c r="D31" s="5" t="s">
        <v>100</v>
      </c>
      <c r="E31" s="5" t="s">
        <v>101</v>
      </c>
      <c r="F31" s="5">
        <v>70</v>
      </c>
      <c r="G31" s="5">
        <v>90</v>
      </c>
      <c r="H31" s="5">
        <v>1130</v>
      </c>
      <c r="I31" s="5"/>
      <c r="J31" s="5">
        <f>0.23*385*7</f>
        <v>619.85</v>
      </c>
      <c r="K31" s="5">
        <v>11000</v>
      </c>
      <c r="L31" s="5">
        <v>12000</v>
      </c>
      <c r="M31" s="5">
        <f>IF(SUM('SF(3W_A)'!$H31:$L31)=0,"",SUM('SF(3W_A)'!$H31:$L31))</f>
        <v>24749.85</v>
      </c>
      <c r="N31" s="5">
        <v>46555</v>
      </c>
      <c r="O31" s="35"/>
      <c r="P31" s="70">
        <v>44289</v>
      </c>
      <c r="Q31" s="70"/>
      <c r="R31" s="80"/>
    </row>
    <row r="32" spans="1:18" x14ac:dyDescent="0.3">
      <c r="B32" s="7" t="s">
        <v>94</v>
      </c>
      <c r="C32" s="5" t="s">
        <v>119</v>
      </c>
      <c r="D32" s="5" t="s">
        <v>120</v>
      </c>
      <c r="E32" s="5" t="s">
        <v>115</v>
      </c>
      <c r="F32" s="5">
        <v>30</v>
      </c>
      <c r="G32" s="5">
        <v>110</v>
      </c>
      <c r="H32" s="5">
        <f>1100+450</f>
        <v>1550</v>
      </c>
      <c r="I32" s="5">
        <f>600*4</f>
        <v>2400</v>
      </c>
      <c r="J32" s="5">
        <f>0.16*460*(6+5+7+7+7)</f>
        <v>2355.2000000000003</v>
      </c>
      <c r="K32" s="5">
        <v>15500</v>
      </c>
      <c r="L32" s="5">
        <v>35500</v>
      </c>
      <c r="M32" s="5">
        <f>IF(SUM('SF(3W_A)'!$H32:$L32)=0,"",SUM('SF(3W_A)'!$H32:$L32))</f>
        <v>57305.2</v>
      </c>
      <c r="N32" s="5">
        <v>82333</v>
      </c>
      <c r="O32" s="35"/>
      <c r="P32" s="70">
        <v>44304</v>
      </c>
      <c r="Q32" s="71"/>
      <c r="R32" s="80"/>
    </row>
    <row r="33" spans="2:18" x14ac:dyDescent="0.3">
      <c r="B33" s="7" t="s">
        <v>36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 t="str">
        <f>IF(SUM('SF(3W_A)'!$H33:$L33)=0,"",SUM('SF(3W_A)'!$H33:$L33))</f>
        <v/>
      </c>
      <c r="N33" s="5"/>
      <c r="O33" s="35"/>
      <c r="P33" s="70"/>
      <c r="Q33" s="70"/>
      <c r="R33" s="80"/>
    </row>
    <row r="34" spans="2:18" x14ac:dyDescent="0.3">
      <c r="B34" s="7" t="s">
        <v>36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 t="str">
        <f>IF(SUM('SF(3W_A)'!$H34:$L34)=0,"",SUM('SF(3W_A)'!$H34:$L34))</f>
        <v/>
      </c>
      <c r="N34" s="5"/>
      <c r="O34" s="35"/>
      <c r="P34" s="70"/>
      <c r="Q34" s="70"/>
      <c r="R34" s="80"/>
    </row>
    <row r="35" spans="2:18" x14ac:dyDescent="0.3">
      <c r="B35" s="7" t="s">
        <v>81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 t="str">
        <f>IF(SUM('SF(3W_A)'!$H35:$L35)=0,"",SUM('SF(3W_A)'!$H35:$L35))</f>
        <v/>
      </c>
      <c r="N35" s="5"/>
      <c r="O35" s="35"/>
      <c r="P35" s="70"/>
      <c r="Q35" s="70"/>
      <c r="R35" s="80"/>
    </row>
    <row r="36" spans="2:18" x14ac:dyDescent="0.3">
      <c r="B36" s="7" t="s">
        <v>36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 t="str">
        <f>IF(SUM('SF(3W_A)'!$H36:$L36)=0,"",SUM('SF(3W_A)'!$H36:$L36))</f>
        <v/>
      </c>
      <c r="N36" s="5"/>
      <c r="O36" s="35"/>
      <c r="P36" s="70"/>
      <c r="Q36" s="70"/>
      <c r="R36" s="80"/>
    </row>
    <row r="37" spans="2:18" x14ac:dyDescent="0.3">
      <c r="B37" s="7" t="s">
        <v>37</v>
      </c>
      <c r="C37" s="5" t="s">
        <v>105</v>
      </c>
      <c r="D37" s="5" t="s">
        <v>103</v>
      </c>
      <c r="E37" s="5" t="s">
        <v>104</v>
      </c>
      <c r="F37" s="5">
        <v>30</v>
      </c>
      <c r="G37" s="5">
        <v>98</v>
      </c>
      <c r="H37" s="5">
        <f>982+300</f>
        <v>1282</v>
      </c>
      <c r="I37" s="5">
        <v>700</v>
      </c>
      <c r="J37" s="5">
        <f>0.22*345*(4+7)</f>
        <v>834.90000000000009</v>
      </c>
      <c r="K37" s="5">
        <v>11000</v>
      </c>
      <c r="L37" s="5">
        <v>33300</v>
      </c>
      <c r="M37" s="5">
        <f>IF(SUM('SF(3W_A)'!$H37:$L37)=0,"",SUM('SF(3W_A)'!$H37:$L37))</f>
        <v>47116.9</v>
      </c>
      <c r="N37" s="5">
        <v>58777</v>
      </c>
      <c r="O37" s="35">
        <f>표4[[#This Row],[Sale Price]]-표4[[#This Row],[Product Cost]]</f>
        <v>11660.099999999999</v>
      </c>
      <c r="P37" s="70">
        <v>44276</v>
      </c>
      <c r="Q37" s="70">
        <v>44304</v>
      </c>
      <c r="R37" s="80">
        <f>표4[[#This Row],[Sale Date]]-표4[[#This Row],[Notice Date]]</f>
        <v>28</v>
      </c>
    </row>
    <row r="38" spans="2:18" x14ac:dyDescent="0.3">
      <c r="B38" s="7" t="s">
        <v>37</v>
      </c>
      <c r="C38" s="5" t="s">
        <v>113</v>
      </c>
      <c r="D38" s="5" t="s">
        <v>114</v>
      </c>
      <c r="E38" s="5" t="s">
        <v>116</v>
      </c>
      <c r="F38" s="5">
        <v>30</v>
      </c>
      <c r="G38" s="5"/>
      <c r="H38" s="5">
        <v>875</v>
      </c>
      <c r="I38" s="5"/>
      <c r="J38" s="5"/>
      <c r="K38" s="5">
        <v>7300</v>
      </c>
      <c r="L38" s="5"/>
      <c r="M38" s="5">
        <f>IF(SUM('SF(3W_A)'!$H38:$L38)=0,"",SUM('SF(3W_A)'!$H38:$L38))</f>
        <v>8175</v>
      </c>
      <c r="N38" s="5"/>
      <c r="O38" s="35"/>
      <c r="P38" s="70"/>
      <c r="Q38" s="70"/>
      <c r="R38" s="80"/>
    </row>
    <row r="39" spans="2:18" x14ac:dyDescent="0.3">
      <c r="B39" s="7" t="s">
        <v>37</v>
      </c>
      <c r="C39" s="5" t="s">
        <v>113</v>
      </c>
      <c r="D39" s="5" t="s">
        <v>114</v>
      </c>
      <c r="E39" s="5" t="s">
        <v>116</v>
      </c>
      <c r="F39" s="5">
        <v>30</v>
      </c>
      <c r="G39" s="5"/>
      <c r="H39" s="5">
        <v>875</v>
      </c>
      <c r="I39" s="5"/>
      <c r="J39" s="5"/>
      <c r="K39" s="5">
        <v>7500</v>
      </c>
      <c r="L39" s="5"/>
      <c r="M39" s="5">
        <f>IF(SUM('SF(3W_A)'!$H39:$L39)=0,"",SUM('SF(3W_A)'!$H39:$L39))</f>
        <v>8375</v>
      </c>
      <c r="N39" s="5"/>
      <c r="O39" s="35"/>
      <c r="P39" s="70"/>
      <c r="Q39" s="70"/>
      <c r="R39" s="80"/>
    </row>
    <row r="40" spans="2:18" x14ac:dyDescent="0.3">
      <c r="B40" s="7" t="s">
        <v>37</v>
      </c>
      <c r="C40" s="5" t="s">
        <v>113</v>
      </c>
      <c r="D40" s="5" t="s">
        <v>114</v>
      </c>
      <c r="E40" s="5" t="s">
        <v>115</v>
      </c>
      <c r="F40" s="5">
        <v>30</v>
      </c>
      <c r="G40" s="5">
        <v>110</v>
      </c>
      <c r="H40" s="5">
        <v>875</v>
      </c>
      <c r="I40" s="5"/>
      <c r="J40" s="5">
        <f>0.16*345*(7)</f>
        <v>386.40000000000003</v>
      </c>
      <c r="K40" s="5">
        <v>9800</v>
      </c>
      <c r="L40" s="5">
        <v>35500</v>
      </c>
      <c r="M40" s="5">
        <f>IF(SUM('SF(3W_A)'!$H40:$L40)=0,"",SUM('SF(3W_A)'!$H40:$L40))</f>
        <v>46561.4</v>
      </c>
      <c r="N40" s="5">
        <v>83555</v>
      </c>
      <c r="O40" s="35"/>
      <c r="P40" s="70">
        <v>44304</v>
      </c>
      <c r="Q40" s="70"/>
      <c r="R40" s="80"/>
    </row>
    <row r="41" spans="2:18" x14ac:dyDescent="0.3">
      <c r="B41" s="7" t="s">
        <v>37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 t="str">
        <f>IF(SUM('SF(3W_A)'!$H41:$L41)=0,"",SUM('SF(3W_A)'!$H41:$L41))</f>
        <v/>
      </c>
      <c r="N41" s="5"/>
      <c r="O41" s="35"/>
      <c r="P41" s="70"/>
      <c r="Q41" s="70"/>
      <c r="R41" s="80"/>
    </row>
    <row r="42" spans="2:18" x14ac:dyDescent="0.3">
      <c r="B42" s="7" t="s">
        <v>37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 t="str">
        <f>IF(SUM('SF(3W_A)'!$H42:$L42)=0,"",SUM('SF(3W_A)'!$H42:$L42))</f>
        <v/>
      </c>
      <c r="N42" s="5"/>
      <c r="O42" s="35"/>
      <c r="P42" s="70"/>
      <c r="Q42" s="70"/>
      <c r="R42" s="80"/>
    </row>
    <row r="43" spans="2:18" x14ac:dyDescent="0.3">
      <c r="B43" s="7" t="s">
        <v>37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 t="str">
        <f>IF(SUM('SF(3W_A)'!$H43:$L43)=0,"",SUM('SF(3W_A)'!$H43:$L43))</f>
        <v/>
      </c>
      <c r="N43" s="5"/>
      <c r="O43" s="35"/>
      <c r="P43" s="70"/>
      <c r="Q43" s="71"/>
      <c r="R43" s="80"/>
    </row>
    <row r="44" spans="2:18" x14ac:dyDescent="0.3">
      <c r="B44" s="7" t="s">
        <v>37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 t="str">
        <f>IF(SUM('SF(3W_A)'!$H44:$L44)=0,"",SUM('SF(3W_A)'!$H44:$L44))</f>
        <v/>
      </c>
      <c r="N44" s="5"/>
      <c r="O44" s="35"/>
      <c r="P44" s="70"/>
      <c r="Q44" s="71"/>
      <c r="R44" s="80"/>
    </row>
    <row r="45" spans="2:18" x14ac:dyDescent="0.3">
      <c r="B45" s="7" t="s">
        <v>37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 t="str">
        <f>IF(SUM('SF(3W_A)'!$H45:$L45)=0,"",SUM('SF(3W_A)'!$H45:$L45))</f>
        <v/>
      </c>
      <c r="N45" s="5"/>
      <c r="O45" s="35"/>
      <c r="P45" s="70"/>
      <c r="Q45" s="71"/>
      <c r="R45" s="80"/>
    </row>
    <row r="46" spans="2:18" x14ac:dyDescent="0.3">
      <c r="B46" s="7" t="s">
        <v>37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 t="str">
        <f>IF(SUM('SF(3W_A)'!$H46:$L46)=0,"",SUM('SF(3W_A)'!$H46:$L46))</f>
        <v/>
      </c>
      <c r="N46" s="5"/>
      <c r="O46" s="35"/>
      <c r="P46" s="70"/>
      <c r="Q46" s="71"/>
      <c r="R46" s="80"/>
    </row>
    <row r="47" spans="2:18" x14ac:dyDescent="0.3">
      <c r="B47" s="7" t="s">
        <v>37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 t="str">
        <f>IF(SUM('SF(3W_A)'!$H47:$L47)=0,"",SUM('SF(3W_A)'!$H47:$L47))</f>
        <v/>
      </c>
      <c r="N47" s="5"/>
      <c r="O47" s="35"/>
      <c r="P47" s="70"/>
      <c r="Q47" s="70"/>
      <c r="R47" s="80"/>
    </row>
    <row r="48" spans="2:18" x14ac:dyDescent="0.3">
      <c r="B48" s="7" t="s">
        <v>38</v>
      </c>
      <c r="C48" s="5" t="s">
        <v>106</v>
      </c>
      <c r="D48" s="5" t="s">
        <v>103</v>
      </c>
      <c r="E48" s="5" t="s">
        <v>104</v>
      </c>
      <c r="F48" s="5">
        <v>30</v>
      </c>
      <c r="G48" s="5">
        <v>88</v>
      </c>
      <c r="H48" s="5">
        <f>982+150</f>
        <v>1132</v>
      </c>
      <c r="I48" s="5"/>
      <c r="J48" s="5">
        <f>0.22*345*7</f>
        <v>531.30000000000007</v>
      </c>
      <c r="K48" s="5">
        <v>21000</v>
      </c>
      <c r="L48" s="5">
        <v>27000</v>
      </c>
      <c r="M48" s="5">
        <f>IF(SUM('SF(3W_A)'!$H48:$L48)=0,"",SUM('SF(3W_A)'!$H48:$L48))</f>
        <v>49663.3</v>
      </c>
      <c r="N48" s="5">
        <v>61555</v>
      </c>
      <c r="O48" s="35"/>
      <c r="P48" s="70">
        <v>44276</v>
      </c>
      <c r="Q48" s="70"/>
      <c r="R48" s="80"/>
    </row>
    <row r="49" spans="2:18" x14ac:dyDescent="0.3">
      <c r="B49" s="7" t="s">
        <v>38</v>
      </c>
      <c r="C49" s="5" t="s">
        <v>106</v>
      </c>
      <c r="D49" s="5" t="s">
        <v>103</v>
      </c>
      <c r="E49" s="5" t="s">
        <v>104</v>
      </c>
      <c r="F49" s="5">
        <v>30</v>
      </c>
      <c r="G49" s="5">
        <v>85</v>
      </c>
      <c r="H49" s="5">
        <f>982+750</f>
        <v>1732</v>
      </c>
      <c r="I49" s="5">
        <f>700*5</f>
        <v>3500</v>
      </c>
      <c r="J49" s="5">
        <f>0.22*345*(8+6+7+3+7+7)</f>
        <v>2884.2000000000003</v>
      </c>
      <c r="K49" s="5">
        <v>21400</v>
      </c>
      <c r="L49" s="5">
        <v>26000</v>
      </c>
      <c r="M49" s="5">
        <f>IF(SUM('SF(3W_A)'!$H49:$L49)=0,"",SUM('SF(3W_A)'!$H49:$L49))</f>
        <v>55516.2</v>
      </c>
      <c r="N49" s="5">
        <v>58555</v>
      </c>
      <c r="O49" s="35"/>
      <c r="P49" s="70">
        <v>44276</v>
      </c>
      <c r="Q49" s="70"/>
      <c r="R49" s="80"/>
    </row>
    <row r="50" spans="2:18" x14ac:dyDescent="0.3">
      <c r="B50" s="7" t="s">
        <v>136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35"/>
      <c r="P50" s="70"/>
      <c r="Q50" s="70"/>
      <c r="R50" s="80"/>
    </row>
    <row r="51" spans="2:18" ht="17.25" thickBot="1" x14ac:dyDescent="0.35">
      <c r="B51" s="8" t="s">
        <v>38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 t="str">
        <f>IF(SUM('SF(3W_A)'!$H51:$L51)=0,"",SUM('SF(3W_A)'!$H51:$L51))</f>
        <v/>
      </c>
      <c r="N51" s="6"/>
      <c r="O51" s="36"/>
      <c r="P51" s="81"/>
      <c r="Q51" s="81"/>
      <c r="R51" s="82"/>
    </row>
    <row r="52" spans="2:18" ht="17.25" thickTop="1" x14ac:dyDescent="0.3">
      <c r="G52" s="2"/>
      <c r="H52" s="2"/>
      <c r="L52" s="2"/>
      <c r="M52" s="2"/>
      <c r="N52" s="2"/>
      <c r="O52" s="37"/>
    </row>
    <row r="53" spans="2:18" x14ac:dyDescent="0.3">
      <c r="G53" s="2"/>
      <c r="H53" s="2"/>
      <c r="L53" s="2"/>
      <c r="M53" s="2"/>
      <c r="N53" s="2"/>
      <c r="O53" s="3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R49"/>
  <sheetViews>
    <sheetView topLeftCell="A6" zoomScale="85" zoomScaleNormal="85" workbookViewId="0">
      <selection activeCell="R14" activeCellId="2" sqref="B14:G14 O14 R14"/>
    </sheetView>
  </sheetViews>
  <sheetFormatPr defaultRowHeight="16.5" x14ac:dyDescent="0.3"/>
  <cols>
    <col min="1" max="1" width="11.375" customWidth="1"/>
    <col min="2" max="5" width="16.125" style="13" customWidth="1"/>
    <col min="6" max="6" width="18.125" style="13" customWidth="1"/>
    <col min="7" max="12" width="16.125" style="13" customWidth="1"/>
    <col min="13" max="13" width="17.875" style="13" customWidth="1"/>
    <col min="14" max="14" width="16.125" style="13" customWidth="1"/>
    <col min="15" max="15" width="16.125" style="28" customWidth="1"/>
    <col min="16" max="17" width="16.125" style="22" customWidth="1"/>
    <col min="18" max="18" width="16.125" style="28" customWidth="1"/>
  </cols>
  <sheetData>
    <row r="12" spans="2:18" ht="17.25" thickBot="1" x14ac:dyDescent="0.35">
      <c r="B12" s="14" t="s">
        <v>3</v>
      </c>
      <c r="C12" s="14" t="s">
        <v>22</v>
      </c>
      <c r="D12" s="14" t="s">
        <v>19</v>
      </c>
      <c r="E12" s="14" t="s">
        <v>20</v>
      </c>
      <c r="F12" s="14" t="s">
        <v>24</v>
      </c>
      <c r="G12" s="14" t="s">
        <v>1</v>
      </c>
      <c r="H12" s="14" t="s">
        <v>4</v>
      </c>
      <c r="I12" s="14" t="s">
        <v>23</v>
      </c>
      <c r="J12" s="14" t="s">
        <v>25</v>
      </c>
      <c r="K12" s="14" t="s">
        <v>5</v>
      </c>
      <c r="L12" s="15" t="s">
        <v>6</v>
      </c>
      <c r="M12" s="16" t="s">
        <v>7</v>
      </c>
      <c r="N12" s="17" t="s">
        <v>8</v>
      </c>
      <c r="O12" s="29" t="s">
        <v>0</v>
      </c>
      <c r="P12" s="11" t="s">
        <v>9</v>
      </c>
      <c r="Q12" s="11" t="s">
        <v>10</v>
      </c>
      <c r="R12" s="29" t="s">
        <v>11</v>
      </c>
    </row>
    <row r="13" spans="2:18" ht="17.25" thickTop="1" x14ac:dyDescent="0.3">
      <c r="B13" s="18" t="s">
        <v>86</v>
      </c>
      <c r="C13" s="9"/>
      <c r="D13" s="5"/>
      <c r="E13" s="5"/>
      <c r="F13" s="5"/>
      <c r="G13" s="4"/>
      <c r="H13" s="4"/>
      <c r="I13" s="4"/>
      <c r="J13" s="4"/>
      <c r="K13" s="4"/>
      <c r="L13" s="4"/>
      <c r="M13" s="4"/>
      <c r="N13" s="4"/>
      <c r="O13" s="34"/>
      <c r="P13" s="38"/>
      <c r="Q13" s="38"/>
      <c r="R13" s="30"/>
    </row>
    <row r="14" spans="2:18" x14ac:dyDescent="0.3">
      <c r="B14" s="3" t="s">
        <v>39</v>
      </c>
      <c r="C14" s="20" t="s">
        <v>106</v>
      </c>
      <c r="D14" s="4" t="s">
        <v>103</v>
      </c>
      <c r="E14" s="4" t="s">
        <v>104</v>
      </c>
      <c r="F14" s="4">
        <v>30</v>
      </c>
      <c r="G14" s="4">
        <v>100</v>
      </c>
      <c r="H14" s="4">
        <f>982+150</f>
        <v>1132</v>
      </c>
      <c r="I14" s="4">
        <v>700</v>
      </c>
      <c r="J14" s="4">
        <f>0.2*290*(11+11)</f>
        <v>1276</v>
      </c>
      <c r="K14" s="4">
        <v>13300</v>
      </c>
      <c r="L14" s="4">
        <v>3000</v>
      </c>
      <c r="M14" s="4">
        <f>IF(SUM(표2_467[[#This Row],[SF]:[Item]])=0,"",SUM(표2_467[[#This Row],[SF]:[Item]]))</f>
        <v>19408</v>
      </c>
      <c r="N14" s="4">
        <v>22555</v>
      </c>
      <c r="O14" s="34">
        <f>표2_467[[#This Row],[Sale Price]]-표2_467[[#This Row],[Product Cost]]</f>
        <v>3147</v>
      </c>
      <c r="P14" s="25">
        <v>44279</v>
      </c>
      <c r="Q14" s="25">
        <v>44300</v>
      </c>
      <c r="R14" s="31">
        <f>표2_467[[#This Row],[Sale Date]]-표2_467[[#This Row],[Notice Date]]</f>
        <v>21</v>
      </c>
    </row>
    <row r="15" spans="2:18" x14ac:dyDescent="0.3">
      <c r="B15" s="3" t="s">
        <v>39</v>
      </c>
      <c r="C15" s="9"/>
      <c r="D15" s="5"/>
      <c r="E15" s="5"/>
      <c r="F15" s="5"/>
      <c r="G15" s="4"/>
      <c r="H15" s="4"/>
      <c r="I15" s="4"/>
      <c r="J15" s="4"/>
      <c r="K15" s="4"/>
      <c r="L15" s="4"/>
      <c r="M15" s="4" t="str">
        <f>IF(SUM(표2_467[[#This Row],[SF]:[Item]])=0,"",SUM(표2_467[[#This Row],[SF]:[Item]]))</f>
        <v/>
      </c>
      <c r="N15" s="4"/>
      <c r="O15" s="34"/>
      <c r="P15" s="25"/>
      <c r="Q15" s="25"/>
      <c r="R15" s="31"/>
    </row>
    <row r="16" spans="2:18" x14ac:dyDescent="0.3">
      <c r="B16" s="3" t="s">
        <v>39</v>
      </c>
      <c r="C16" s="9"/>
      <c r="D16" s="5"/>
      <c r="E16" s="5"/>
      <c r="F16" s="5"/>
      <c r="G16" s="4"/>
      <c r="H16" s="4"/>
      <c r="I16" s="4"/>
      <c r="J16" s="4"/>
      <c r="K16" s="4"/>
      <c r="L16" s="4"/>
      <c r="M16" s="4" t="str">
        <f>IF(SUM(표2_467[[#This Row],[SF]:[Item]])=0,"",SUM(표2_467[[#This Row],[SF]:[Item]]))</f>
        <v/>
      </c>
      <c r="N16" s="4"/>
      <c r="O16" s="34"/>
      <c r="P16" s="23"/>
      <c r="Q16" s="23"/>
      <c r="R16" s="31"/>
    </row>
    <row r="17" spans="2:18" x14ac:dyDescent="0.3">
      <c r="B17" s="7" t="s">
        <v>40</v>
      </c>
      <c r="C17" s="9"/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34"/>
      <c r="P17" s="25"/>
      <c r="Q17" s="25"/>
      <c r="R17" s="31"/>
    </row>
    <row r="18" spans="2:18" x14ac:dyDescent="0.3">
      <c r="B18" s="7" t="s">
        <v>40</v>
      </c>
      <c r="C18" s="9" t="s">
        <v>112</v>
      </c>
      <c r="D18" s="5" t="s">
        <v>103</v>
      </c>
      <c r="E18" s="5" t="s">
        <v>111</v>
      </c>
      <c r="F18" s="5">
        <v>30</v>
      </c>
      <c r="G18" s="4">
        <v>100</v>
      </c>
      <c r="H18" s="4">
        <f>982+360+495</f>
        <v>1837</v>
      </c>
      <c r="I18" s="4"/>
      <c r="J18" s="4">
        <f>0.22*290*(7)</f>
        <v>446.59999999999997</v>
      </c>
      <c r="K18" s="4">
        <v>12500</v>
      </c>
      <c r="L18" s="4">
        <v>6100</v>
      </c>
      <c r="M18" s="4">
        <f>IF(SUM(표2_467[[#This Row],[SF]:[Item]])=0,"",SUM(표2_467[[#This Row],[SF]:[Item]]))</f>
        <v>20883.599999999999</v>
      </c>
      <c r="N18" s="4">
        <v>28555</v>
      </c>
      <c r="O18" s="34"/>
      <c r="P18" s="25">
        <v>44276</v>
      </c>
      <c r="Q18" s="25"/>
      <c r="R18" s="31"/>
    </row>
    <row r="19" spans="2:18" x14ac:dyDescent="0.3">
      <c r="B19" s="7" t="s">
        <v>40</v>
      </c>
      <c r="C19" s="9"/>
      <c r="D19" s="5"/>
      <c r="E19" s="5"/>
      <c r="F19" s="5"/>
      <c r="G19" s="4"/>
      <c r="H19" s="4"/>
      <c r="I19" s="4"/>
      <c r="J19" s="4"/>
      <c r="K19" s="4"/>
      <c r="L19" s="4"/>
      <c r="M19" s="4" t="str">
        <f>IF(SUM(표2_467[[#This Row],[SF]:[Item]])=0,"",SUM(표2_467[[#This Row],[SF]:[Item]]))</f>
        <v/>
      </c>
      <c r="N19" s="4"/>
      <c r="O19" s="34"/>
      <c r="P19" s="25"/>
      <c r="Q19" s="23"/>
      <c r="R19" s="31"/>
    </row>
    <row r="20" spans="2:18" x14ac:dyDescent="0.3">
      <c r="B20" s="7" t="s">
        <v>40</v>
      </c>
      <c r="C20" s="9"/>
      <c r="D20" s="5"/>
      <c r="E20" s="5"/>
      <c r="F20" s="5"/>
      <c r="G20" s="4"/>
      <c r="H20" s="4"/>
      <c r="I20" s="4"/>
      <c r="J20" s="4"/>
      <c r="K20" s="4"/>
      <c r="L20" s="4"/>
      <c r="M20" s="4" t="str">
        <f>IF(SUM(표2_467[[#This Row],[SF]:[Item]])=0,"",SUM(표2_467[[#This Row],[SF]:[Item]]))</f>
        <v/>
      </c>
      <c r="N20" s="4"/>
      <c r="O20" s="34"/>
      <c r="P20" s="25"/>
      <c r="Q20" s="23"/>
      <c r="R20" s="31"/>
    </row>
    <row r="21" spans="2:18" x14ac:dyDescent="0.3">
      <c r="B21" s="7" t="s">
        <v>41</v>
      </c>
      <c r="C21" s="9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34"/>
      <c r="P21" s="25"/>
      <c r="Q21" s="25"/>
      <c r="R21" s="31"/>
    </row>
    <row r="22" spans="2:18" x14ac:dyDescent="0.3">
      <c r="B22" s="7" t="s">
        <v>41</v>
      </c>
      <c r="C22" s="9"/>
      <c r="D22" s="5"/>
      <c r="E22" s="5"/>
      <c r="F22" s="5"/>
      <c r="G22" s="4"/>
      <c r="H22" s="4"/>
      <c r="I22" s="4"/>
      <c r="J22" s="4"/>
      <c r="K22" s="4"/>
      <c r="L22" s="4"/>
      <c r="M22" s="4" t="str">
        <f>IF(SUM(표2_467[[#This Row],[SF]:[Item]])=0,"",SUM(표2_467[[#This Row],[SF]:[Item]]))</f>
        <v/>
      </c>
      <c r="N22" s="4"/>
      <c r="O22" s="34"/>
      <c r="P22" s="23"/>
      <c r="Q22" s="23"/>
      <c r="R22" s="31"/>
    </row>
    <row r="23" spans="2:18" x14ac:dyDescent="0.3">
      <c r="B23" s="7" t="s">
        <v>41</v>
      </c>
      <c r="C23" s="9"/>
      <c r="D23" s="5"/>
      <c r="E23" s="5"/>
      <c r="F23" s="5"/>
      <c r="G23" s="4"/>
      <c r="H23" s="4"/>
      <c r="I23" s="4"/>
      <c r="J23" s="4"/>
      <c r="K23" s="4"/>
      <c r="L23" s="4"/>
      <c r="M23" s="4" t="str">
        <f>IF(SUM(표2_467[[#This Row],[SF]:[Item]])=0,"",SUM(표2_467[[#This Row],[SF]:[Item]]))</f>
        <v/>
      </c>
      <c r="N23" s="4"/>
      <c r="O23" s="34"/>
      <c r="P23" s="23"/>
      <c r="Q23" s="23"/>
      <c r="R23" s="31"/>
    </row>
    <row r="24" spans="2:18" x14ac:dyDescent="0.3">
      <c r="B24" s="7" t="s">
        <v>41</v>
      </c>
      <c r="C24" s="9"/>
      <c r="D24" s="5"/>
      <c r="E24" s="5"/>
      <c r="F24" s="5"/>
      <c r="G24" s="4"/>
      <c r="H24" s="4"/>
      <c r="I24" s="4"/>
      <c r="J24" s="4"/>
      <c r="K24" s="4"/>
      <c r="L24" s="4"/>
      <c r="M24" s="4" t="str">
        <f>IF(SUM(표2_467[[#This Row],[SF]:[Item]])=0,"",SUM(표2_467[[#This Row],[SF]:[Item]]))</f>
        <v/>
      </c>
      <c r="N24" s="4"/>
      <c r="O24" s="34"/>
      <c r="P24" s="23"/>
      <c r="Q24" s="23"/>
      <c r="R24" s="31"/>
    </row>
    <row r="25" spans="2:18" x14ac:dyDescent="0.3">
      <c r="B25" s="7" t="s">
        <v>42</v>
      </c>
      <c r="C25" s="9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4"/>
      <c r="P25" s="25"/>
      <c r="Q25" s="25"/>
      <c r="R25" s="31"/>
    </row>
    <row r="26" spans="2:18" x14ac:dyDescent="0.3">
      <c r="B26" s="7" t="s">
        <v>42</v>
      </c>
      <c r="C26" s="9"/>
      <c r="D26" s="5"/>
      <c r="E26" s="5"/>
      <c r="F26" s="5"/>
      <c r="G26" s="4"/>
      <c r="H26" s="4"/>
      <c r="I26" s="4"/>
      <c r="J26" s="4"/>
      <c r="K26" s="4"/>
      <c r="L26" s="4"/>
      <c r="M26" s="4"/>
      <c r="N26" s="4"/>
      <c r="O26" s="34"/>
      <c r="P26" s="25"/>
      <c r="Q26" s="25"/>
      <c r="R26" s="31"/>
    </row>
    <row r="27" spans="2:18" x14ac:dyDescent="0.3">
      <c r="B27" s="7" t="s">
        <v>42</v>
      </c>
      <c r="C27" s="9"/>
      <c r="D27" s="4"/>
      <c r="E27" s="4"/>
      <c r="F27" s="4"/>
      <c r="G27" s="4"/>
      <c r="H27" s="4"/>
      <c r="I27" s="4"/>
      <c r="J27" s="4"/>
      <c r="K27" s="4"/>
      <c r="L27" s="4"/>
      <c r="M27" s="4" t="str">
        <f>IF(SUM(표2_467[[#This Row],[SF]:[Item]])=0,"",SUM(표2_467[[#This Row],[SF]:[Item]]))</f>
        <v/>
      </c>
      <c r="N27" s="4"/>
      <c r="O27" s="34"/>
      <c r="P27" s="25"/>
      <c r="Q27" s="25"/>
      <c r="R27" s="31"/>
    </row>
    <row r="28" spans="2:18" x14ac:dyDescent="0.3">
      <c r="B28" s="7" t="s">
        <v>42</v>
      </c>
      <c r="C28" s="9"/>
      <c r="D28" s="4"/>
      <c r="E28" s="4"/>
      <c r="F28" s="4"/>
      <c r="G28" s="4"/>
      <c r="H28" s="4"/>
      <c r="I28" s="4"/>
      <c r="J28" s="4"/>
      <c r="K28" s="4"/>
      <c r="L28" s="4"/>
      <c r="M28" s="4" t="str">
        <f>IF(SUM(표2_467[[#This Row],[SF]:[Item]])=0,"",SUM(표2_467[[#This Row],[SF]:[Item]]))</f>
        <v/>
      </c>
      <c r="N28" s="4"/>
      <c r="O28" s="34"/>
      <c r="P28" s="25"/>
      <c r="Q28" s="25"/>
      <c r="R28" s="31"/>
    </row>
    <row r="29" spans="2:18" x14ac:dyDescent="0.3">
      <c r="B29" s="7" t="s">
        <v>43</v>
      </c>
      <c r="C29" s="9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34"/>
      <c r="P29" s="25"/>
      <c r="Q29" s="25"/>
      <c r="R29" s="31"/>
    </row>
    <row r="30" spans="2:18" x14ac:dyDescent="0.3">
      <c r="B30" s="7" t="s">
        <v>43</v>
      </c>
      <c r="C30" s="9"/>
      <c r="D30" s="4"/>
      <c r="E30" s="4"/>
      <c r="F30" s="4"/>
      <c r="G30" s="4"/>
      <c r="H30" s="4"/>
      <c r="I30" s="4"/>
      <c r="J30" s="4"/>
      <c r="K30" s="4"/>
      <c r="L30" s="4"/>
      <c r="M30" s="4" t="str">
        <f>IF(SUM(표2_467[[#This Row],[SF]:[Item]])=0,"",SUM(표2_467[[#This Row],[SF]:[Item]]))</f>
        <v/>
      </c>
      <c r="N30" s="4"/>
      <c r="O30" s="34"/>
      <c r="P30" s="23"/>
      <c r="Q30" s="23"/>
      <c r="R30" s="31"/>
    </row>
    <row r="31" spans="2:18" x14ac:dyDescent="0.3">
      <c r="B31" s="7" t="s">
        <v>43</v>
      </c>
      <c r="C31" s="9"/>
      <c r="D31" s="4"/>
      <c r="E31" s="4"/>
      <c r="F31" s="4"/>
      <c r="G31" s="4"/>
      <c r="H31" s="4"/>
      <c r="I31" s="4"/>
      <c r="J31" s="4"/>
      <c r="K31" s="4"/>
      <c r="L31" s="4"/>
      <c r="M31" s="4" t="str">
        <f>IF(SUM(표2_467[[#This Row],[SF]:[Item]])=0,"",SUM(표2_467[[#This Row],[SF]:[Item]]))</f>
        <v/>
      </c>
      <c r="N31" s="4"/>
      <c r="O31" s="34"/>
      <c r="P31" s="25"/>
      <c r="Q31" s="25"/>
      <c r="R31" s="31"/>
    </row>
    <row r="32" spans="2:18" x14ac:dyDescent="0.3">
      <c r="B32" s="7" t="s">
        <v>43</v>
      </c>
      <c r="C32" s="9"/>
      <c r="D32" s="4"/>
      <c r="E32" s="4"/>
      <c r="F32" s="4"/>
      <c r="G32" s="4"/>
      <c r="H32" s="4"/>
      <c r="I32" s="4"/>
      <c r="J32" s="4"/>
      <c r="K32" s="4"/>
      <c r="L32" s="4"/>
      <c r="M32" s="4" t="str">
        <f>IF(SUM(표2_467[[#This Row],[SF]:[Item]])=0,"",SUM(표2_467[[#This Row],[SF]:[Item]]))</f>
        <v/>
      </c>
      <c r="N32" s="4"/>
      <c r="O32" s="34"/>
      <c r="P32" s="23"/>
      <c r="Q32" s="23"/>
      <c r="R32" s="31"/>
    </row>
    <row r="33" spans="2:18" x14ac:dyDescent="0.3">
      <c r="B33" s="7" t="s">
        <v>44</v>
      </c>
      <c r="C33" s="9"/>
      <c r="D33" s="4"/>
      <c r="E33" s="4"/>
      <c r="F33" s="4"/>
      <c r="G33" s="5"/>
      <c r="H33" s="5"/>
      <c r="I33" s="4"/>
      <c r="J33" s="4"/>
      <c r="K33" s="4"/>
      <c r="L33" s="4"/>
      <c r="M33" s="4"/>
      <c r="N33" s="4"/>
      <c r="O33" s="34"/>
      <c r="P33" s="25"/>
      <c r="Q33" s="25"/>
      <c r="R33" s="31"/>
    </row>
    <row r="34" spans="2:18" x14ac:dyDescent="0.3">
      <c r="B34" s="7" t="s">
        <v>44</v>
      </c>
      <c r="C34" s="9" t="s">
        <v>105</v>
      </c>
      <c r="D34" s="4" t="s">
        <v>103</v>
      </c>
      <c r="E34" s="4" t="s">
        <v>108</v>
      </c>
      <c r="F34" s="4">
        <v>30</v>
      </c>
      <c r="G34" s="4">
        <v>104</v>
      </c>
      <c r="H34" s="4">
        <f>982+150+600+75000</f>
        <v>76732</v>
      </c>
      <c r="I34" s="4">
        <v>1128</v>
      </c>
      <c r="J34" s="4">
        <f>0.22*345*(7)</f>
        <v>531.30000000000007</v>
      </c>
      <c r="K34" s="4">
        <v>10500</v>
      </c>
      <c r="L34" s="4">
        <v>43000</v>
      </c>
      <c r="M34" s="4">
        <f>IF(SUM(표2_467[[#This Row],[SF]:[Item]])=0,"",SUM(표2_467[[#This Row],[SF]:[Item]]))</f>
        <v>131891.29999999999</v>
      </c>
      <c r="N34" s="4">
        <v>135555</v>
      </c>
      <c r="O34" s="34"/>
      <c r="P34" s="25">
        <v>44276</v>
      </c>
      <c r="Q34" s="25"/>
      <c r="R34" s="31"/>
    </row>
    <row r="35" spans="2:18" x14ac:dyDescent="0.3">
      <c r="B35" s="7" t="s">
        <v>44</v>
      </c>
      <c r="C35" s="9"/>
      <c r="D35" s="4"/>
      <c r="E35" s="4"/>
      <c r="F35" s="4"/>
      <c r="G35" s="5"/>
      <c r="H35" s="5"/>
      <c r="I35" s="4"/>
      <c r="J35" s="4"/>
      <c r="K35" s="4"/>
      <c r="L35" s="4"/>
      <c r="M35" s="4" t="str">
        <f>IF(SUM(표2_467[[#This Row],[SF]:[Item]])=0,"",SUM(표2_467[[#This Row],[SF]:[Item]]))</f>
        <v/>
      </c>
      <c r="N35" s="4"/>
      <c r="O35" s="34"/>
      <c r="P35" s="25"/>
      <c r="Q35" s="25"/>
      <c r="R35" s="31"/>
    </row>
    <row r="36" spans="2:18" x14ac:dyDescent="0.3">
      <c r="B36" s="7" t="s">
        <v>44</v>
      </c>
      <c r="C36" s="9"/>
      <c r="D36" s="4"/>
      <c r="E36" s="4"/>
      <c r="F36" s="4"/>
      <c r="G36" s="5"/>
      <c r="H36" s="5"/>
      <c r="I36" s="4"/>
      <c r="J36" s="4"/>
      <c r="K36" s="4"/>
      <c r="L36" s="4"/>
      <c r="M36" s="4" t="str">
        <f>IF(SUM(표2_467[[#This Row],[SF]:[Item]])=0,"",SUM(표2_467[[#This Row],[SF]:[Item]]))</f>
        <v/>
      </c>
      <c r="N36" s="4"/>
      <c r="O36" s="34"/>
      <c r="P36" s="25"/>
      <c r="Q36" s="23"/>
      <c r="R36" s="31"/>
    </row>
    <row r="37" spans="2:18" x14ac:dyDescent="0.3">
      <c r="B37" s="7" t="s">
        <v>44</v>
      </c>
      <c r="C37" s="9"/>
      <c r="D37" s="4"/>
      <c r="E37" s="4"/>
      <c r="F37" s="4"/>
      <c r="G37" s="5"/>
      <c r="H37" s="5"/>
      <c r="I37" s="4"/>
      <c r="J37" s="4"/>
      <c r="K37" s="4"/>
      <c r="L37" s="4"/>
      <c r="M37" s="4" t="str">
        <f>IF(SUM(표2_467[[#This Row],[SF]:[Item]])=0,"",SUM(표2_467[[#This Row],[SF]:[Item]]))</f>
        <v/>
      </c>
      <c r="N37" s="4"/>
      <c r="O37" s="34"/>
      <c r="P37" s="25"/>
      <c r="Q37" s="25"/>
      <c r="R37" s="31"/>
    </row>
    <row r="38" spans="2:18" x14ac:dyDescent="0.3">
      <c r="B38" s="7" t="s">
        <v>44</v>
      </c>
      <c r="C38" s="9"/>
      <c r="D38" s="4"/>
      <c r="E38" s="4"/>
      <c r="F38" s="4"/>
      <c r="G38" s="5"/>
      <c r="H38" s="5"/>
      <c r="I38" s="4"/>
      <c r="J38" s="4"/>
      <c r="K38" s="4"/>
      <c r="L38" s="4"/>
      <c r="M38" s="4" t="str">
        <f>IF(SUM(표2_467[[#This Row],[SF]:[Item]])=0,"",SUM(표2_467[[#This Row],[SF]:[Item]]))</f>
        <v/>
      </c>
      <c r="N38" s="4"/>
      <c r="O38" s="34"/>
      <c r="P38" s="25"/>
      <c r="Q38" s="25"/>
      <c r="R38" s="31"/>
    </row>
    <row r="39" spans="2:18" x14ac:dyDescent="0.3">
      <c r="B39" s="7" t="s">
        <v>44</v>
      </c>
      <c r="C39" s="9"/>
      <c r="D39" s="4"/>
      <c r="E39" s="4"/>
      <c r="F39" s="4"/>
      <c r="G39" s="5"/>
      <c r="H39" s="5"/>
      <c r="I39" s="4"/>
      <c r="J39" s="4"/>
      <c r="K39" s="4"/>
      <c r="L39" s="4"/>
      <c r="M39" s="4" t="str">
        <f>IF(SUM(표2_467[[#This Row],[SF]:[Item]])=0,"",SUM(표2_467[[#This Row],[SF]:[Item]]))</f>
        <v/>
      </c>
      <c r="N39" s="4"/>
      <c r="O39" s="34"/>
      <c r="P39" s="25"/>
      <c r="Q39" s="23"/>
      <c r="R39" s="31"/>
    </row>
    <row r="40" spans="2:18" x14ac:dyDescent="0.3">
      <c r="B40" s="7" t="s">
        <v>44</v>
      </c>
      <c r="C40" s="9"/>
      <c r="D40" s="4"/>
      <c r="E40" s="4"/>
      <c r="F40" s="4"/>
      <c r="G40" s="5"/>
      <c r="H40" s="5"/>
      <c r="I40" s="4"/>
      <c r="J40" s="4"/>
      <c r="K40" s="4"/>
      <c r="L40" s="4"/>
      <c r="M40" s="4" t="str">
        <f>IF(SUM(표2_467[[#This Row],[SF]:[Item]])=0,"",SUM(표2_467[[#This Row],[SF]:[Item]]))</f>
        <v/>
      </c>
      <c r="N40" s="4"/>
      <c r="O40" s="34"/>
      <c r="P40" s="25"/>
      <c r="Q40" s="23"/>
      <c r="R40" s="31"/>
    </row>
    <row r="41" spans="2:18" x14ac:dyDescent="0.3">
      <c r="B41" s="7" t="s">
        <v>44</v>
      </c>
      <c r="C41" s="9"/>
      <c r="D41" s="4"/>
      <c r="E41" s="4"/>
      <c r="F41" s="4"/>
      <c r="G41" s="5"/>
      <c r="H41" s="5"/>
      <c r="I41" s="4"/>
      <c r="J41" s="4"/>
      <c r="K41" s="4"/>
      <c r="L41" s="4"/>
      <c r="M41" s="4" t="str">
        <f>IF(SUM(표2_467[[#This Row],[SF]:[Item]])=0,"",SUM(표2_467[[#This Row],[SF]:[Item]]))</f>
        <v/>
      </c>
      <c r="N41" s="4"/>
      <c r="O41" s="34"/>
      <c r="P41" s="25"/>
      <c r="Q41" s="23"/>
      <c r="R41" s="31"/>
    </row>
    <row r="42" spans="2:18" x14ac:dyDescent="0.3">
      <c r="B42" s="7" t="s">
        <v>44</v>
      </c>
      <c r="C42" s="9"/>
      <c r="D42" s="4"/>
      <c r="E42" s="4"/>
      <c r="F42" s="4"/>
      <c r="G42" s="5"/>
      <c r="H42" s="5"/>
      <c r="I42" s="4"/>
      <c r="J42" s="4"/>
      <c r="K42" s="4"/>
      <c r="L42" s="4"/>
      <c r="M42" s="4" t="str">
        <f>IF(SUM(표2_467[[#This Row],[SF]:[Item]])=0,"",SUM(표2_467[[#This Row],[SF]:[Item]]))</f>
        <v/>
      </c>
      <c r="N42" s="4"/>
      <c r="O42" s="34"/>
      <c r="P42" s="25"/>
      <c r="Q42" s="23"/>
      <c r="R42" s="31"/>
    </row>
    <row r="43" spans="2:18" x14ac:dyDescent="0.3">
      <c r="B43" s="7" t="s">
        <v>44</v>
      </c>
      <c r="C43" s="9"/>
      <c r="D43" s="4"/>
      <c r="E43" s="4"/>
      <c r="F43" s="4"/>
      <c r="G43" s="4"/>
      <c r="H43" s="4"/>
      <c r="I43" s="4"/>
      <c r="J43" s="4"/>
      <c r="K43" s="4"/>
      <c r="L43" s="4"/>
      <c r="M43" s="4" t="str">
        <f>IF(SUM(표2_467[[#This Row],[SF]:[Item]])=0,"",SUM(표2_467[[#This Row],[SF]:[Item]]))</f>
        <v/>
      </c>
      <c r="N43" s="4"/>
      <c r="O43" s="34"/>
      <c r="P43" s="25"/>
      <c r="Q43" s="25"/>
      <c r="R43" s="31"/>
    </row>
    <row r="44" spans="2:18" x14ac:dyDescent="0.3">
      <c r="B44" s="7" t="s">
        <v>45</v>
      </c>
      <c r="C44" s="9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34"/>
      <c r="P44" s="25"/>
      <c r="Q44" s="25"/>
      <c r="R44" s="31"/>
    </row>
    <row r="45" spans="2:18" x14ac:dyDescent="0.3">
      <c r="B45" s="7" t="s">
        <v>45</v>
      </c>
      <c r="C45" s="9" t="s">
        <v>113</v>
      </c>
      <c r="D45" s="4" t="s">
        <v>114</v>
      </c>
      <c r="E45" s="4" t="s">
        <v>115</v>
      </c>
      <c r="F45" s="4">
        <v>30</v>
      </c>
      <c r="G45" s="4">
        <v>95</v>
      </c>
      <c r="H45" s="4">
        <f>875+150</f>
        <v>1025</v>
      </c>
      <c r="I45" s="4"/>
      <c r="J45" s="4"/>
      <c r="K45" s="4">
        <v>19000</v>
      </c>
      <c r="L45" s="4">
        <v>25500</v>
      </c>
      <c r="M45" s="4">
        <f>IF(SUM(표2_467[[#This Row],[SF]:[Item]])=0,"",SUM(표2_467[[#This Row],[SF]:[Item]]))</f>
        <v>45525</v>
      </c>
      <c r="N45" s="4">
        <v>66400</v>
      </c>
      <c r="O45" s="34"/>
      <c r="P45" s="25">
        <v>44286</v>
      </c>
      <c r="Q45" s="23"/>
      <c r="R45" s="31"/>
    </row>
    <row r="46" spans="2:18" x14ac:dyDescent="0.3">
      <c r="B46" s="7" t="s">
        <v>45</v>
      </c>
      <c r="C46" s="9"/>
      <c r="D46" s="4"/>
      <c r="E46" s="4"/>
      <c r="F46" s="4"/>
      <c r="G46" s="4"/>
      <c r="H46" s="4"/>
      <c r="I46" s="4"/>
      <c r="J46" s="4"/>
      <c r="K46" s="4"/>
      <c r="L46" s="5"/>
      <c r="M46" s="5"/>
      <c r="N46" s="5"/>
      <c r="O46" s="35"/>
      <c r="P46" s="23"/>
      <c r="Q46" s="23"/>
      <c r="R46" s="31"/>
    </row>
    <row r="47" spans="2:18" ht="17.25" thickBot="1" x14ac:dyDescent="0.35">
      <c r="B47" s="8" t="s">
        <v>45</v>
      </c>
      <c r="C47" s="10"/>
      <c r="D47" s="21"/>
      <c r="E47" s="21"/>
      <c r="F47" s="21"/>
      <c r="G47" s="6"/>
      <c r="H47" s="6"/>
      <c r="I47" s="21"/>
      <c r="J47" s="21"/>
      <c r="K47" s="21"/>
      <c r="L47" s="6"/>
      <c r="M47" s="6"/>
      <c r="N47" s="6"/>
      <c r="O47" s="36"/>
      <c r="P47" s="24"/>
      <c r="Q47" s="24"/>
      <c r="R47" s="32"/>
    </row>
    <row r="48" spans="2:18" ht="17.25" thickTop="1" x14ac:dyDescent="0.3">
      <c r="G48" s="2"/>
      <c r="H48" s="2"/>
      <c r="L48" s="2"/>
      <c r="M48" s="2"/>
      <c r="N48" s="2"/>
      <c r="O48" s="37"/>
    </row>
    <row r="49" spans="7:15" x14ac:dyDescent="0.3">
      <c r="G49" s="2"/>
      <c r="H49" s="2"/>
      <c r="L49" s="2"/>
      <c r="M49" s="2"/>
      <c r="N49" s="2"/>
      <c r="O49" s="37"/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L78"/>
  <sheetViews>
    <sheetView tabSelected="1" topLeftCell="A4" workbookViewId="0">
      <selection activeCell="F34" sqref="F34"/>
    </sheetView>
  </sheetViews>
  <sheetFormatPr defaultRowHeight="16.5" x14ac:dyDescent="0.3"/>
  <cols>
    <col min="1" max="1" width="11.375" customWidth="1"/>
    <col min="2" max="2" width="17" style="13" customWidth="1"/>
    <col min="3" max="7" width="18.5" style="13" customWidth="1"/>
    <col min="8" max="9" width="18.5" style="28" customWidth="1"/>
    <col min="10" max="12" width="18.5" customWidth="1"/>
  </cols>
  <sheetData>
    <row r="12" spans="2:9" ht="17.25" thickBot="1" x14ac:dyDescent="0.35">
      <c r="B12" s="43" t="s">
        <v>2</v>
      </c>
      <c r="C12" s="44" t="s">
        <v>22</v>
      </c>
      <c r="D12" s="44" t="s">
        <v>19</v>
      </c>
      <c r="E12" s="44" t="s">
        <v>20</v>
      </c>
      <c r="F12" s="44" t="s">
        <v>24</v>
      </c>
      <c r="G12" s="44" t="s">
        <v>1</v>
      </c>
      <c r="H12" s="45" t="s">
        <v>0</v>
      </c>
      <c r="I12" s="45" t="s">
        <v>11</v>
      </c>
    </row>
    <row r="13" spans="2:9" ht="17.25" thickTop="1" x14ac:dyDescent="0.3">
      <c r="B13" s="18" t="s">
        <v>12</v>
      </c>
      <c r="C13" s="20" t="s">
        <v>128</v>
      </c>
      <c r="D13" s="4" t="s">
        <v>75</v>
      </c>
      <c r="E13" s="4" t="s">
        <v>90</v>
      </c>
      <c r="F13" s="4">
        <v>30</v>
      </c>
      <c r="G13" s="4">
        <v>110</v>
      </c>
      <c r="H13" s="33">
        <v>15100</v>
      </c>
      <c r="I13" s="30">
        <v>2</v>
      </c>
    </row>
    <row r="14" spans="2:9" x14ac:dyDescent="0.3">
      <c r="B14" s="7" t="s">
        <v>13</v>
      </c>
      <c r="C14" s="9" t="s">
        <v>91</v>
      </c>
      <c r="D14" s="5" t="s">
        <v>103</v>
      </c>
      <c r="E14" s="5" t="s">
        <v>82</v>
      </c>
      <c r="F14" s="5">
        <v>30</v>
      </c>
      <c r="G14" s="4">
        <v>96</v>
      </c>
      <c r="H14" s="34">
        <v>9186.4</v>
      </c>
      <c r="I14" s="31">
        <v>23</v>
      </c>
    </row>
    <row r="15" spans="2:9" x14ac:dyDescent="0.3">
      <c r="B15" s="7" t="s">
        <v>14</v>
      </c>
      <c r="C15" s="9" t="s">
        <v>91</v>
      </c>
      <c r="D15" s="5" t="s">
        <v>103</v>
      </c>
      <c r="E15" s="5" t="s">
        <v>77</v>
      </c>
      <c r="F15" s="5">
        <v>30</v>
      </c>
      <c r="G15" s="4">
        <v>92</v>
      </c>
      <c r="H15" s="34">
        <v>3540.4000000000015</v>
      </c>
      <c r="I15" s="31">
        <v>1</v>
      </c>
    </row>
    <row r="16" spans="2:9" x14ac:dyDescent="0.3">
      <c r="B16" s="7" t="s">
        <v>16</v>
      </c>
      <c r="C16" s="20" t="s">
        <v>106</v>
      </c>
      <c r="D16" s="4" t="s">
        <v>103</v>
      </c>
      <c r="E16" s="4" t="s">
        <v>82</v>
      </c>
      <c r="F16" s="4">
        <v>30</v>
      </c>
      <c r="G16" s="4">
        <v>80</v>
      </c>
      <c r="H16" s="34">
        <v>6001.9499999999971</v>
      </c>
      <c r="I16" s="31">
        <v>20</v>
      </c>
    </row>
    <row r="17" spans="2:9" x14ac:dyDescent="0.3">
      <c r="B17" s="7" t="s">
        <v>17</v>
      </c>
      <c r="C17" s="20" t="s">
        <v>106</v>
      </c>
      <c r="D17" s="4" t="s">
        <v>103</v>
      </c>
      <c r="E17" s="4" t="s">
        <v>82</v>
      </c>
      <c r="F17" s="4">
        <v>30</v>
      </c>
      <c r="G17" s="4">
        <v>96</v>
      </c>
      <c r="H17" s="34">
        <v>14329</v>
      </c>
      <c r="I17" s="31">
        <v>24</v>
      </c>
    </row>
    <row r="18" spans="2:9" x14ac:dyDescent="0.3">
      <c r="B18" s="7" t="s">
        <v>21</v>
      </c>
      <c r="C18" s="67" t="s">
        <v>105</v>
      </c>
      <c r="D18" s="67" t="s">
        <v>107</v>
      </c>
      <c r="E18" s="67" t="s">
        <v>90</v>
      </c>
      <c r="F18" s="67">
        <v>30</v>
      </c>
      <c r="G18" s="67">
        <v>91</v>
      </c>
      <c r="H18" s="34">
        <v>15282.399999999994</v>
      </c>
      <c r="I18" s="31">
        <v>26</v>
      </c>
    </row>
    <row r="19" spans="2:9" x14ac:dyDescent="0.3">
      <c r="B19" s="63" t="s">
        <v>15</v>
      </c>
      <c r="C19" s="64" t="s">
        <v>139</v>
      </c>
      <c r="D19" s="64" t="s">
        <v>140</v>
      </c>
      <c r="E19" s="64" t="s">
        <v>141</v>
      </c>
      <c r="F19" s="64">
        <v>30</v>
      </c>
      <c r="G19" s="64">
        <v>100</v>
      </c>
      <c r="H19" s="65">
        <v>17789.599999999999</v>
      </c>
      <c r="I19" s="65"/>
    </row>
    <row r="20" spans="2:9" x14ac:dyDescent="0.3">
      <c r="B20" s="63" t="s">
        <v>26</v>
      </c>
      <c r="C20" s="64" t="s">
        <v>139</v>
      </c>
      <c r="D20" s="64" t="s">
        <v>140</v>
      </c>
      <c r="E20" s="64" t="s">
        <v>141</v>
      </c>
      <c r="F20" s="64">
        <v>30</v>
      </c>
      <c r="G20" s="64">
        <v>106</v>
      </c>
      <c r="H20" s="65">
        <v>20914.3</v>
      </c>
      <c r="I20" s="65">
        <v>2</v>
      </c>
    </row>
    <row r="21" spans="2:9" x14ac:dyDescent="0.3">
      <c r="B21" s="63" t="s">
        <v>28</v>
      </c>
      <c r="C21" s="64" t="s">
        <v>139</v>
      </c>
      <c r="D21" s="64" t="s">
        <v>140</v>
      </c>
      <c r="E21" s="64" t="s">
        <v>141</v>
      </c>
      <c r="F21" s="64">
        <v>30</v>
      </c>
      <c r="G21" s="64">
        <v>94</v>
      </c>
      <c r="H21" s="65">
        <v>32373.200000000001</v>
      </c>
      <c r="I21" s="65">
        <v>24</v>
      </c>
    </row>
    <row r="22" spans="2:9" x14ac:dyDescent="0.3">
      <c r="B22" s="63" t="s">
        <v>29</v>
      </c>
      <c r="C22" s="64" t="s">
        <v>139</v>
      </c>
      <c r="D22" s="64" t="s">
        <v>142</v>
      </c>
      <c r="E22" s="64" t="s">
        <v>141</v>
      </c>
      <c r="F22" s="64">
        <v>30</v>
      </c>
      <c r="G22" s="64">
        <v>95</v>
      </c>
      <c r="H22" s="65">
        <v>11257.599999999999</v>
      </c>
      <c r="I22" s="65">
        <v>20</v>
      </c>
    </row>
    <row r="23" spans="2:9" x14ac:dyDescent="0.3">
      <c r="B23" s="63" t="s">
        <v>30</v>
      </c>
      <c r="C23" s="64" t="s">
        <v>139</v>
      </c>
      <c r="D23" s="64" t="s">
        <v>140</v>
      </c>
      <c r="E23" s="64" t="s">
        <v>143</v>
      </c>
      <c r="F23" s="64">
        <v>30</v>
      </c>
      <c r="G23" s="64">
        <v>85</v>
      </c>
      <c r="H23" s="65">
        <v>43772</v>
      </c>
      <c r="I23" s="65">
        <v>7</v>
      </c>
    </row>
    <row r="24" spans="2:9" x14ac:dyDescent="0.3">
      <c r="B24" s="63" t="s">
        <v>31</v>
      </c>
      <c r="C24" s="64" t="s">
        <v>139</v>
      </c>
      <c r="D24" s="64" t="s">
        <v>140</v>
      </c>
      <c r="E24" s="64" t="s">
        <v>141</v>
      </c>
      <c r="F24" s="64">
        <v>30</v>
      </c>
      <c r="G24" s="64">
        <v>85</v>
      </c>
      <c r="H24" s="65">
        <v>11816.800000000003</v>
      </c>
      <c r="I24" s="65">
        <v>27</v>
      </c>
    </row>
    <row r="25" spans="2:9" x14ac:dyDescent="0.3">
      <c r="B25" s="63" t="s">
        <v>31</v>
      </c>
      <c r="C25" s="64" t="s">
        <v>139</v>
      </c>
      <c r="D25" s="64" t="s">
        <v>140</v>
      </c>
      <c r="E25" s="64" t="s">
        <v>143</v>
      </c>
      <c r="F25" s="64">
        <v>30</v>
      </c>
      <c r="G25" s="64">
        <v>110</v>
      </c>
      <c r="H25" s="65">
        <v>29431.800000000003</v>
      </c>
      <c r="I25" s="65">
        <v>2</v>
      </c>
    </row>
    <row r="26" spans="2:9" x14ac:dyDescent="0.3">
      <c r="B26" s="7" t="s">
        <v>37</v>
      </c>
      <c r="C26" s="5" t="s">
        <v>105</v>
      </c>
      <c r="D26" s="5" t="s">
        <v>103</v>
      </c>
      <c r="E26" s="5" t="s">
        <v>82</v>
      </c>
      <c r="F26" s="5">
        <v>30</v>
      </c>
      <c r="G26" s="5">
        <v>98</v>
      </c>
      <c r="H26" s="35">
        <v>11660.099999999999</v>
      </c>
      <c r="I26" s="80">
        <v>28</v>
      </c>
    </row>
    <row r="27" spans="2:9" x14ac:dyDescent="0.3">
      <c r="B27" s="3" t="s">
        <v>39</v>
      </c>
      <c r="C27" s="20" t="s">
        <v>106</v>
      </c>
      <c r="D27" s="4" t="s">
        <v>103</v>
      </c>
      <c r="E27" s="4" t="s">
        <v>82</v>
      </c>
      <c r="F27" s="4">
        <v>30</v>
      </c>
      <c r="G27" s="4">
        <v>100</v>
      </c>
      <c r="H27" s="34">
        <v>3147</v>
      </c>
      <c r="I27" s="31">
        <v>21</v>
      </c>
    </row>
    <row r="28" spans="2:9" x14ac:dyDescent="0.3">
      <c r="B28" s="7"/>
      <c r="C28" s="9"/>
      <c r="D28" s="4"/>
      <c r="E28" s="4"/>
      <c r="F28" s="4"/>
      <c r="G28" s="4"/>
      <c r="H28" s="34"/>
      <c r="I28" s="31"/>
    </row>
    <row r="29" spans="2:9" x14ac:dyDescent="0.3">
      <c r="B29" s="7"/>
      <c r="C29" s="9"/>
      <c r="D29" s="4"/>
      <c r="E29" s="4"/>
      <c r="F29" s="4"/>
      <c r="G29" s="4"/>
      <c r="H29" s="34"/>
      <c r="I29" s="31"/>
    </row>
    <row r="30" spans="2:9" x14ac:dyDescent="0.3">
      <c r="B30" s="9"/>
      <c r="C30" s="46"/>
      <c r="D30" s="5"/>
      <c r="E30" s="5"/>
      <c r="F30" s="5"/>
      <c r="G30" s="5"/>
      <c r="H30" s="35"/>
      <c r="I30" s="47"/>
    </row>
    <row r="31" spans="2:9" x14ac:dyDescent="0.3">
      <c r="B31" s="9"/>
      <c r="C31" s="46"/>
      <c r="D31" s="5"/>
      <c r="E31" s="5"/>
      <c r="F31" s="5"/>
      <c r="G31" s="5"/>
      <c r="H31" s="35"/>
      <c r="I31" s="47"/>
    </row>
    <row r="32" spans="2:9" x14ac:dyDescent="0.3">
      <c r="B32" s="9"/>
      <c r="C32" s="46"/>
      <c r="D32" s="5"/>
      <c r="E32" s="5"/>
      <c r="F32" s="5"/>
      <c r="G32" s="5"/>
      <c r="H32" s="35"/>
      <c r="I32" s="47"/>
    </row>
    <row r="33" spans="2:9" x14ac:dyDescent="0.3">
      <c r="B33" s="9"/>
      <c r="C33" s="46"/>
      <c r="D33" s="5"/>
      <c r="E33" s="5"/>
      <c r="F33" s="5"/>
      <c r="G33" s="5"/>
      <c r="H33" s="35"/>
      <c r="I33" s="47"/>
    </row>
    <row r="34" spans="2:9" x14ac:dyDescent="0.3">
      <c r="B34" s="9"/>
      <c r="C34" s="46"/>
      <c r="D34" s="5"/>
      <c r="E34" s="5"/>
      <c r="F34" s="5"/>
      <c r="G34" s="5"/>
      <c r="H34" s="35"/>
      <c r="I34" s="47"/>
    </row>
    <row r="35" spans="2:9" x14ac:dyDescent="0.3">
      <c r="B35" s="9"/>
      <c r="C35" s="46"/>
      <c r="D35" s="5"/>
      <c r="E35" s="5"/>
      <c r="F35" s="5"/>
      <c r="G35" s="5"/>
      <c r="H35" s="35"/>
      <c r="I35" s="47"/>
    </row>
    <row r="36" spans="2:9" x14ac:dyDescent="0.3">
      <c r="B36" s="9"/>
      <c r="C36" s="46"/>
      <c r="D36" s="5"/>
      <c r="E36" s="5"/>
      <c r="F36" s="5"/>
      <c r="G36" s="5"/>
      <c r="H36" s="35"/>
      <c r="I36" s="47"/>
    </row>
    <row r="37" spans="2:9" x14ac:dyDescent="0.3">
      <c r="B37" s="9"/>
      <c r="C37" s="46"/>
      <c r="D37" s="5"/>
      <c r="E37" s="5"/>
      <c r="F37" s="5"/>
      <c r="G37" s="5"/>
      <c r="H37" s="35"/>
      <c r="I37" s="47"/>
    </row>
    <row r="38" spans="2:9" x14ac:dyDescent="0.3">
      <c r="B38" s="9"/>
      <c r="C38" s="46"/>
      <c r="D38" s="5"/>
      <c r="E38" s="5"/>
      <c r="F38" s="5"/>
      <c r="G38" s="5"/>
      <c r="H38" s="35"/>
      <c r="I38" s="47"/>
    </row>
    <row r="39" spans="2:9" x14ac:dyDescent="0.3">
      <c r="B39" s="9"/>
      <c r="C39" s="46"/>
      <c r="D39" s="5"/>
      <c r="E39" s="5"/>
      <c r="F39" s="5"/>
      <c r="G39" s="5"/>
      <c r="H39" s="35"/>
      <c r="I39" s="47"/>
    </row>
    <row r="40" spans="2:9" x14ac:dyDescent="0.3">
      <c r="B40" s="9"/>
      <c r="C40" s="46"/>
      <c r="D40" s="5"/>
      <c r="E40" s="5"/>
      <c r="F40" s="5"/>
      <c r="G40" s="5"/>
      <c r="H40" s="35"/>
      <c r="I40" s="47"/>
    </row>
    <row r="41" spans="2:9" x14ac:dyDescent="0.3">
      <c r="B41" s="9"/>
      <c r="C41" s="46"/>
      <c r="D41" s="5"/>
      <c r="E41" s="5"/>
      <c r="F41" s="5"/>
      <c r="G41" s="5"/>
      <c r="H41" s="35"/>
      <c r="I41" s="47"/>
    </row>
    <row r="42" spans="2:9" x14ac:dyDescent="0.3">
      <c r="B42" s="9"/>
      <c r="C42" s="46"/>
      <c r="D42" s="5"/>
      <c r="E42" s="5"/>
      <c r="F42" s="5"/>
      <c r="G42" s="5"/>
      <c r="H42" s="35"/>
      <c r="I42" s="47"/>
    </row>
    <row r="43" spans="2:9" x14ac:dyDescent="0.3">
      <c r="B43" s="9"/>
      <c r="C43" s="46"/>
      <c r="D43" s="5"/>
      <c r="E43" s="5"/>
      <c r="F43" s="5"/>
      <c r="G43" s="5"/>
      <c r="H43" s="35"/>
      <c r="I43" s="47"/>
    </row>
    <row r="44" spans="2:9" x14ac:dyDescent="0.3">
      <c r="B44" s="56"/>
      <c r="C44" s="57"/>
      <c r="D44" s="57"/>
      <c r="E44" s="57"/>
      <c r="F44" s="57"/>
      <c r="G44" s="57"/>
      <c r="H44" s="58"/>
      <c r="I44" s="53"/>
    </row>
    <row r="45" spans="2:9" x14ac:dyDescent="0.3">
      <c r="B45" s="59"/>
      <c r="C45" s="60"/>
      <c r="D45" s="60"/>
      <c r="E45" s="60"/>
      <c r="F45" s="60"/>
      <c r="G45" s="60"/>
      <c r="H45" s="61"/>
      <c r="I45" s="62"/>
    </row>
    <row r="46" spans="2:9" x14ac:dyDescent="0.3">
      <c r="B46" s="59"/>
      <c r="C46" s="60"/>
      <c r="D46" s="60"/>
      <c r="E46" s="60"/>
      <c r="F46" s="60"/>
      <c r="G46" s="60"/>
      <c r="H46" s="61"/>
      <c r="I46" s="62"/>
    </row>
    <row r="47" spans="2:9" x14ac:dyDescent="0.3">
      <c r="B47" s="56"/>
      <c r="C47" s="57"/>
      <c r="D47" s="57"/>
      <c r="E47" s="57"/>
      <c r="F47" s="57"/>
      <c r="G47" s="57"/>
      <c r="H47" s="58"/>
      <c r="I47" s="53"/>
    </row>
    <row r="48" spans="2:9" x14ac:dyDescent="0.3">
      <c r="B48" s="7"/>
      <c r="C48" s="9"/>
      <c r="D48" s="4"/>
      <c r="E48" s="4"/>
      <c r="F48" s="4"/>
      <c r="G48" s="4"/>
      <c r="H48" s="34"/>
      <c r="I48" s="31"/>
    </row>
    <row r="49" spans="2:12" x14ac:dyDescent="0.3">
      <c r="B49" s="9"/>
      <c r="C49" s="46"/>
      <c r="D49" s="5"/>
      <c r="E49" s="5"/>
      <c r="F49" s="5"/>
      <c r="G49" s="5"/>
      <c r="H49" s="35"/>
      <c r="I49" s="47"/>
    </row>
    <row r="50" spans="2:12" x14ac:dyDescent="0.3">
      <c r="B50" s="9"/>
      <c r="C50" s="46"/>
      <c r="D50" s="5"/>
      <c r="E50" s="5"/>
      <c r="F50" s="5"/>
      <c r="G50" s="5"/>
      <c r="H50" s="35"/>
      <c r="I50" s="47"/>
    </row>
    <row r="51" spans="2:12" x14ac:dyDescent="0.3">
      <c r="B51" s="56"/>
      <c r="C51" s="57"/>
      <c r="D51" s="57"/>
      <c r="E51" s="57"/>
      <c r="F51" s="57"/>
      <c r="G51" s="57"/>
      <c r="H51" s="58"/>
      <c r="I51" s="53"/>
    </row>
    <row r="52" spans="2:12" x14ac:dyDescent="0.3">
      <c r="B52" s="9"/>
      <c r="C52" s="46"/>
      <c r="D52" s="5"/>
      <c r="E52" s="5"/>
      <c r="F52" s="5"/>
      <c r="G52" s="5"/>
      <c r="H52" s="35"/>
      <c r="I52" s="47"/>
    </row>
    <row r="53" spans="2:12" ht="17.25" thickBot="1" x14ac:dyDescent="0.35"/>
    <row r="54" spans="2:12" ht="18" thickTop="1" thickBot="1" x14ac:dyDescent="0.35">
      <c r="B54" s="1" t="s">
        <v>46</v>
      </c>
      <c r="C54" s="1" t="s">
        <v>60</v>
      </c>
      <c r="D54" s="1" t="s">
        <v>61</v>
      </c>
      <c r="E54" s="1" t="s">
        <v>62</v>
      </c>
      <c r="F54" s="1" t="s">
        <v>59</v>
      </c>
      <c r="G54" s="1" t="s">
        <v>63</v>
      </c>
      <c r="H54" s="1" t="s">
        <v>64</v>
      </c>
      <c r="I54" s="1" t="s">
        <v>65</v>
      </c>
      <c r="J54" s="1" t="s">
        <v>66</v>
      </c>
      <c r="K54" s="1" t="s">
        <v>70</v>
      </c>
      <c r="L54" s="13"/>
    </row>
    <row r="55" spans="2:12" ht="17.25" thickTop="1" x14ac:dyDescent="0.3">
      <c r="B55" s="39" t="s">
        <v>47</v>
      </c>
      <c r="C55" s="40" t="str">
        <f>IF(COUNTIFS($B$13:$B$52,"*W*",$C$13:$C$52,"ER",$D$13:$D$52,"NI",$E$13:$E$52,"SA")=0," ", COUNTIFS($B$13:$B$52,"*W*",$C$13:$C$52,"ER",$D$13:$D$52,"NI",$E$13:$E$52,"SA"))</f>
        <v xml:space="preserve"> </v>
      </c>
      <c r="D55" s="40" t="str">
        <f>IF(COUNTIFS($B$13:$B$52,"*W*",$C$13:$C$52,"ER",$D$13:$D$52,"NI",$E$13:$E$52,"DTA")=0," ",COUNTIFS($B$13:$B$52,"*W*",$C$13:$C$52,"ER",$D$13:$D$52,"NI",$E$13:$E$52,"DTA"))</f>
        <v xml:space="preserve"> </v>
      </c>
      <c r="E55" s="40">
        <f>IF(COUNTIFS($B$13:$B$52,"*W*",$C$13:$C$52,"ER",$D$13:$D$52,"SI",$E$13:$E$52,"SA")=0," ",COUNTIFS($B$13:$B$52,"*W*",$C$13:$C$52,"ER",$D$13:$D$52,"SI",$E$13:$E$52,"SA"))</f>
        <v>3</v>
      </c>
      <c r="F55" s="40">
        <f>IF(COUNTIFS($B$13:$B$52,"*W*",$C$13:$C$52,"ER",$D$13:$D$52,"SI",$E$13:$E$52,"DTA")=0," ", COUNTIFS($B$13:$B$52,"*W*",$C$13:$C$52,"ER",$D$13:$D$52,"SI",$E$13:$E$52,"DTA"))</f>
        <v>2</v>
      </c>
      <c r="G55" s="40" t="str">
        <f>IF(COUNTIFS($B$13:$B$52,"*W*",$C$13:$C$52,"EE",$D$13:$D$52,"NI",$E$13:$E$52,"SA")=0," ",COUNTIFS($B$13:$B$52,"*W*",$C$13:$C$52,"EE",$D$13:$D$52,"NI",$E$13:$E$52,"SA"))</f>
        <v xml:space="preserve"> </v>
      </c>
      <c r="H55" s="40">
        <f>IF(COUNTIFS($B$13:$B$52,"*W*",$C$13:$C$52,"EE",$D$13:$D$52,"NI",$E$13:$E$52,"DTA")=0," ",COUNTIFS($B$13:$B$52,"*W*",$C$13:$C$52,"EE",$D$13:$D$52,"NI",$E$13:$E$52,"DTA"))</f>
        <v>1</v>
      </c>
      <c r="I55" s="40" t="str">
        <f>IF(COUNTIFS($B$13:$B$52,"*W*",$C$13:$C$52,"EE",$D$13:$D$52,"SI",$E$13:$E$52,"SA")=0," ",COUNTIFS($B$13:$B$52,"*W*",$C$13:$C$52,"EE",$D$13:$D$52,"SI",$E$13:$E$52,"SA"))</f>
        <v xml:space="preserve"> </v>
      </c>
      <c r="J55" s="40" t="str">
        <f>IF(COUNTIFS($B$13:$B$52,"*W*",$C$13:$C$52,"EE",$D$13:$D$52,"SI",$E$13:$E$52,"DTA")=0," ", COUNTIFS($B$13:$B$52,"*W*",$C$13:$C$52,"EE",$D$13:$D$52,"SI",$E$13:$E$52,"DTA"))</f>
        <v xml:space="preserve"> </v>
      </c>
      <c r="K55" s="41" t="str">
        <f>IF(COUNTIFS($B$13:$B$52,"*W*",$C$13:$C$52,"EE",$D$13:$D$52,"NI",$E$13:$E$52,"DTA(80)")=0," ",COUNTIFS($B$13:$B$52,"*W*",$C$13:$C$52,"EE",$D$13:$D$52,"NI",$E$13:$E$52,"DTA(80)"))</f>
        <v xml:space="preserve"> </v>
      </c>
      <c r="L55" s="13"/>
    </row>
    <row r="56" spans="2:12" x14ac:dyDescent="0.3">
      <c r="B56" s="7" t="s">
        <v>48</v>
      </c>
      <c r="C56" s="40" t="str">
        <f>IF(COUNTIFS($B$13:$B$52,"*M*",$C$13:$C$52,"ER",$D$13:$D$52,"NI",$E$13:$E$52,"SA")=0," ", COUNTIFS($B$13:$B$52,"*M*",$C$13:$C$52,"ER",$D$13:$D$52,"NI",$E$13:$E$52,"SA"))</f>
        <v xml:space="preserve"> </v>
      </c>
      <c r="D56" s="40" t="str">
        <f>IF(COUNTIFS($B$13:$B$52,"*M*",$C$13:$C$52,"ER",$D$13:$D$52,"NI",$E$13:$E$52,"DTA")=0," ",COUNTIFS($B$13:$B$52,"*M*",$C$13:$C$52,"ER",$D$13:$D$52,"NI",$E$13:$E$52,"DTA"))</f>
        <v xml:space="preserve"> </v>
      </c>
      <c r="E56" s="40">
        <f>IF(COUNTIFS($B$13:$B$52,"*M*",$C$13:$C$52,"ER",$D$13:$D$52,"SI",$E$13:$E$52,"SA")=0," ",COUNTIFS($B$13:$B$52,"*M*",$C$13:$C$52,"ER",$D$13:$D$52,"SI",$E$13:$E$52,"SA"))</f>
        <v>4</v>
      </c>
      <c r="F56" s="40">
        <f>IF(COUNTIFS($B$13:$B$52,"*M*",$C$13:$C$52,"ER",$D$13:$D$52,"SI",$E$13:$E$52,"DTA")=0," ", COUNTIFS($B$13:$B$52,"*M*",$C$13:$C$52,"ER",$D$13:$D$52,"SI",$E$13:$E$52,"DTA"))</f>
        <v>2</v>
      </c>
      <c r="G56" s="40" t="str">
        <f>IF(COUNTIFS($B$13:$B$52,"*M*",$C$13:$C$52,"EE",$D$13:$D$52,"NI",$E$13:$E$52,"SA")=0," ",COUNTIFS($B$13:$B$52,"*M*",$C$13:$C$52,"EE",$D$13:$D$52,"NI",$E$13:$E$52,"SA"))</f>
        <v xml:space="preserve"> </v>
      </c>
      <c r="H56" s="40" t="str">
        <f>IF(COUNTIFS($B$13:$B$52,"*M*",$C$13:$C$52,"EE",$D$13:$D$52,"NI",$E$13:$E$52,"DTA")=0," ",COUNTIFS($B$13:$B$52,"*M*",$C$13:$C$52,"EE",$D$13:$D$52,"NI",$E$13:$E$52,"DTA"))</f>
        <v xml:space="preserve"> </v>
      </c>
      <c r="I56" s="40" t="str">
        <f>IF(COUNTIFS($B$13:$B$52,"*M*",$C$13:$C$52,"EE",$D$13:$D$52,"SI",$E$13:$E$52,"SA")=0," ",COUNTIFS($B$13:$B$52,"*M*",$C$13:$C$52,"EE",$D$13:$D$52,"SI",$E$13:$E$52,"SA"))</f>
        <v xml:space="preserve"> </v>
      </c>
      <c r="J56" s="40" t="str">
        <f>IF(COUNTIFS($B$13:$B$52,"*M*",$C$13:$C$52,"EE",$D$13:$D$52,"SI",$E$13:$E$52,"DTA")=0," ", COUNTIFS($B$13:$B$52,"*M*",$C$13:$C$52,"EE",$D$13:$D$52,"SI",$E$13:$E$52,"DTA"))</f>
        <v xml:space="preserve"> </v>
      </c>
      <c r="K56" s="41" t="str">
        <f>IF(COUNTIFS($B$13:$B$52,"*M*",$C$13:$C$52,"EE",$D$13:$D$52,"NI",$E$13:$E$52,"DTA(80)")=0," ",COUNTIFS($B$13:$B$52,"*M*",$C$13:$C$52,"EE",$D$13:$D$52,"NI",$E$13:$E$52,"DTA(80)"))</f>
        <v xml:space="preserve"> </v>
      </c>
      <c r="L56" s="13"/>
    </row>
    <row r="57" spans="2:12" x14ac:dyDescent="0.3">
      <c r="B57" s="7" t="s">
        <v>49</v>
      </c>
      <c r="C57" s="5" t="str">
        <f>IF(COUNTIFS($B$13:$B$52,"*AA*",$C$13:$C$52,"ER",$D$13:$D$52,"NI",$E$13:$E$52,"SA")+COUNTIFS($B$13:$B$52,"*RA*",$C$13:$C$52,"ER",$D$13:$D$52,"NI",$E$13:$E$52,"SA")=0," ",COUNTIFS($B$13:$B$52,"*AA*",$C$13:$C$52,"ER",$D$13:$D$52,"NI",$E$13:$E$52,"SA")+COUNTIFS($B$13:$B$52,"*RA*",$C$13:$C$52,"ER",$D$13:$D$52,"NI",$E$13:$E$52,"SA"))</f>
        <v xml:space="preserve"> </v>
      </c>
      <c r="D57" s="5" t="str">
        <f>IF(COUNTIFS($B$13:$B$52,"*AA*",$C$13:$C$52,"ER",$D$13:$D$52,"NI",$E$13:$E$52,"DTA")+COUNTIFS($B$13:$B$52,"*RA*",$C$13:$C$52,"ER",$D$13:$D$52,"NI",$E$13:$E$52,"DTA")=0," ",COUNTIFS($B$13:$B$52,"*AA*",$C$13:$C$52,"ER",$D$13:$D$52,"NI",$E$13:$E$52,"DTA")+COUNTIFS($B$13:$B$52,"*RA*",$C$13:$C$52,"ER",$D$13:$D$52,"NI",$E$13:$E$52,"DTA"))</f>
        <v xml:space="preserve"> </v>
      </c>
      <c r="E57" s="5" t="str">
        <f>IF(COUNTIFS($B$13:$B$52,"*AA*",$C$13:$C$52,"ER",$D$13:$D$52,"SI",$E$13:$E$52,"SA")+COUNTIFS($B$13:$B$52,"*RA*",$C$13:$C$52,"ER",$D$13:$D$52,"SI",$E$13:$E$52,"SA")=0," ",COUNTIFS($B$13:$B$52,"*AA*",$C$13:$C$52,"ER",$D$13:$D$52,"SI",$E$13:$E$52,"SA")+COUNTIFS($B$13:$B$52,"*RA*",$C$13:$C$52,"ER",$D$13:$D$52,"SI",$E$13:$E$52,"SA"))</f>
        <v xml:space="preserve"> </v>
      </c>
      <c r="F57" s="5" t="str">
        <f>IF(COUNTIFS($B$13:$B$52,"*AA*",$C$13:$C$52,"ER",$D$13:$D$52,"SI",$E$13:$E$52,"DTA")+COUNTIFS($B$13:$B$52,"*RA*",$C$13:$C$52,"ER",$D$13:$D$52,"SI",$E$13:$E$52,"DTA")=0," ",COUNTIFS($B$13:$B$52,"*AA*",$C$13:$C$52,"ER",$D$13:$D$52,"SI",$E$13:$E$52,"DTA")+COUNTIFS($B$13:$B$52,"*RA*",$C$13:$C$52,"ER",$D$13:$D$52,"SI",$E$13:$E$52,"DTA"))</f>
        <v xml:space="preserve"> </v>
      </c>
      <c r="G57" s="5" t="str">
        <f>IF(COUNTIFS($B$13:$B$52,"*AA*",$C$13:$C$52,"EE",$D$13:$D$52,"NI",$E$13:$E$52,"SA")+COUNTIFS($B$13:$B$52,"*RA*",$C$13:$C$52,"EE",$D$13:$D$52,"NI",$E$13:$E$52,"SA")=0," ",COUNTIFS($B$13:$B$52,"*AA*",$C$13:$C$52,"EE",$D$13:$D$52,"NI",$E$13:$E$52,"SA")+COUNTIFS($B$13:$B$52,"*RA*",$C$13:$C$52,"EE",$D$13:$D$52,"NI",$E$13:$E$52,"SA"))</f>
        <v xml:space="preserve"> </v>
      </c>
      <c r="H57" s="5" t="str">
        <f>IF(COUNTIFS($B$13:$B$52,"*AA*",$C$13:$C$52,"EE",$D$13:$D$52,"NI",$E$13:$E$52,"DTA")+COUNTIFS($B$13:$B$52,"*RA*",$C$13:$C$52,"EE",$D$13:$D$52,"NI",$E$13:$E$52,"DTA")=0," ",COUNTIFS($B$13:$B$52,"*AA*",$C$13:$C$52,"EE",$D$13:$D$52,"NI",$E$13:$E$52,"DTA")+COUNTIFS($B$13:$B$52,"*RA*",$C$13:$C$52,"EE",$D$13:$D$52,"NI",$E$13:$E$52,"DTA"))</f>
        <v xml:space="preserve"> </v>
      </c>
      <c r="I57" s="5">
        <f>IF(COUNTIFS($B$13:$B$52,"*AA*",$C$13:$C$52,"EE",$D$13:$D$52,"SI",$E$13:$E$52,"SA")+COUNTIFS($B$13:$B$52,"*RA*",$C$13:$C$52,"EE",$D$13:$D$52,"SI",$E$13:$E$52,"SA")=0," ",COUNTIFS($B$13:$B$52,"*AA*",$C$13:$C$52,"EE",$D$13:$D$52,"SI",$E$13:$E$52,"SA")+COUNTIFS($B$13:$B$52,"*RA*",$C$13:$C$52,"EE",$D$13:$D$52,"SI",$E$13:$E$52,"SA"))</f>
        <v>1</v>
      </c>
      <c r="J57" s="5" t="str">
        <f>IF(COUNTIFS($B$13:$B$52,"*AA*",$C$13:$C$52,"EE",$D$13:$D$52,"SI",$E$13:$E$52,"DTA")+COUNTIFS($B$13:$B$52,"*RA*",$C$13:$C$52,"EE",$D$13:$D$52,"SI",$E$13:$E$52,"DTA")=0," ",COUNTIFS($B$13:$B$52,"*AA*",$C$13:$C$52,"EE",$D$13:$D$52,"SI",$E$13:$E$52,"DTA")+COUNTIFS($B$13:$B$52,"*RA*",$C$13:$C$52,"EE",$D$13:$D$52,"SI",$E$13:$E$52,"DTA"))</f>
        <v xml:space="preserve"> </v>
      </c>
      <c r="K57" s="26" t="str">
        <f>IF(COUNTIFS($B$13:$B$52,"*AA*",$C$13:$C$52,"EE",$D$13:$D$52,"NI",$E$13:$E$52,"DTA(80)")+COUNTIFS($B$13:$B$52,"*RA*",$C$13:$C$52,"EE",$D$13:$D$52,"NI",$E$13:$E$52,"DTA(80)")=0," ",COUNTIFS($B$13:$B$52,"*AA*",$C$13:$C$52,"EE",$D$13:$D$52,"NI",$E$13:$E$52,"DTA(80)")+COUNTIFS($B$13:$B$52,"*RA*",$C$13:$C$52,"EE",$D$13:$D$52,"NI",$E$13:$E$52,"DTA(80)"))</f>
        <v xml:space="preserve"> </v>
      </c>
      <c r="L57" s="13"/>
    </row>
    <row r="58" spans="2:12" ht="17.25" thickBot="1" x14ac:dyDescent="0.35">
      <c r="B58" s="8" t="s">
        <v>50</v>
      </c>
      <c r="C58" s="6" t="str">
        <f>IF(COUNTIFS($B$13:$B$52,"*AT*",$C$13:$C$52,"ER",$D$13:$D$52,"NI",$E$13:$E$52,"SA")+COUNTIFS($B$13:$B$52,"*RT*",$C$13:$C$52,"ER",$D$13:$D$52,"NI",$E$13:$E$52,"SA")=0," ",COUNTIFS($B$13:$B$52,"*AT*",$C$13:$C$52,"ER",$D$13:$D$52,"NI",$E$13:$E$52,"SA")+COUNTIFS($B$13:$B$52,"*RT*",$C$13:$C$52,"ER",$D$13:$D$52,"NI",$E$13:$E$52,"SA"))</f>
        <v xml:space="preserve"> </v>
      </c>
      <c r="D58" s="6" t="str">
        <f>IF(COUNTIFS($B$13:$B$52,"*AT*",$C$13:$C$52,"ER",$D$13:$D$52,"NI",$E$13:$E$52,"DTA")+COUNTIFS($B$13:$B$52,"*RT*",$C$13:$C$52,"ER",$D$13:$D$52,"NI",$E$13:$E$52,"DTA")=0," ",COUNTIFS($B$13:$B$52,"*AT*",$C$13:$C$52,"ER",$D$13:$D$52,"NI",$E$13:$E$52,"DTA")+COUNTIFS($B$13:$B$52,"*RT*",$C$13:$C$52,"ER",$D$13:$D$52,"NI",$E$13:$E$52,"DTA"))</f>
        <v xml:space="preserve"> </v>
      </c>
      <c r="E58" s="6">
        <f>IF(COUNTIFS($B$13:$B$52,"*AT*",$C$13:$C$52,"ER",$D$13:$D$52,"SI",$E$13:$E$52,"SA")+COUNTIFS($B$13:$B$52,"*RT*",$C$13:$C$52,"ER",$D$13:$D$52,"SI",$E$13:$E$52,"SA")=0," ",COUNTIFS($B$13:$B$52,"*AT*",$C$13:$C$52,"ER",$D$13:$D$52,"SI",$E$13:$E$52,"SA")+COUNTIFS($B$13:$B$52,"*RT*",$C$13:$C$52,"ER",$D$13:$D$52,"SI",$E$13:$E$52,"SA"))</f>
        <v>1</v>
      </c>
      <c r="F58" s="6" t="str">
        <f>IF(COUNTIFS($B$13:$B$52,"*AT*",$C$13:$C$52,"ER",$D$13:$D$52,"SI",$E$13:$E$52,"DTA")+COUNTIFS($B$13:$B$52,"*RT*",$C$13:$C$52,"ER",$D$13:$D$52,"SI",$E$13:$E$52,"DTA")=0," ",COUNTIFS($B$13:$B$52,"*AT*",$C$13:$C$52,"ER",$D$13:$D$52,"SI",$E$13:$E$52,"DTA")+COUNTIFS($B$13:$B$52,"*RT*",$C$13:$C$52,"ER",$D$13:$D$52,"SI",$E$13:$E$52,"DTA"))</f>
        <v xml:space="preserve"> </v>
      </c>
      <c r="G58" s="6" t="str">
        <f>IF(COUNTIFS($B$13:$B$52,"*AT*",$C$13:$C$52,"EE",$D$13:$D$52,"NI",$E$13:$E$52,"SA")+COUNTIFS($B$13:$B$52,"*RT*",$C$13:$C$52,"EE",$D$13:$D$52,"NI",$E$13:$E$52,"SA")=0," ",COUNTIFS($B$13:$B$52,"*AT*",$C$13:$C$52,"EE",$D$13:$D$52,"NI",$E$13:$E$52,"SA")+COUNTIFS($B$13:$B$52,"*RT*",$C$13:$C$52,"EE",$D$13:$D$52,"NI",$E$13:$E$52,"SA"))</f>
        <v xml:space="preserve"> </v>
      </c>
      <c r="H58" s="6" t="str">
        <f>IF(COUNTIFS($B$13:$B$52,"*AT*",$C$13:$C$52,"EE",$D$13:$D$52,"NI",$E$13:$E$52,"DTA")+COUNTIFS($B$13:$B$52,"*RT*",$C$13:$C$52,"EE",$D$13:$D$52,"NI",$E$13:$E$52,"DTA")=0," ",COUNTIFS($B$13:$B$52,"*AT*",$C$13:$C$52,"EE",$D$13:$D$52,"NI",$E$13:$E$52,"DTA")+COUNTIFS($B$13:$B$52,"*RT*",$C$13:$C$52,"EE",$D$13:$D$52,"NI",$E$13:$E$52,"DTA"))</f>
        <v xml:space="preserve"> </v>
      </c>
      <c r="I58" s="6" t="str">
        <f>IF(COUNTIFS($B$13:$B$52,"*AT*",$C$13:$C$52,"EE",$D$13:$D$52,"SI",$E$13:$E$52,"SA")+COUNTIFS($B$13:$B$52,"*RT*",$C$13:$C$52,"EE",$D$13:$D$52,"SI",$E$13:$E$52,"SA")=0," ",COUNTIFS($B$13:$B$52,"*AT*",$C$13:$C$52,"EE",$D$13:$D$52,"SI",$E$13:$E$52,"SA")+COUNTIFS($B$13:$B$52,"*RT*",$C$13:$C$52,"EE",$D$13:$D$52,"SI",$E$13:$E$52,"SA"))</f>
        <v xml:space="preserve"> </v>
      </c>
      <c r="J58" s="6" t="str">
        <f>IF(COUNTIFS($B$13:$B$52,"*AT*",$C$13:$C$52,"EE",$D$13:$D$52,"SI",$E$13:$E$52,"DTA")+COUNTIFS($B$13:$B$52,"*RT*",$C$13:$C$52,"EE",$D$13:$D$52,"SI",$E$13:$E$52,"DTA")=0," ",COUNTIFS($B$13:$B$52,"*AT*",$C$13:$C$52,"EE",$D$13:$D$52,"SI",$E$13:$E$52,"DTA")+COUNTIFS($B$13:$B$52,"*RT*",$C$13:$C$52,"EE",$D$13:$D$52,"SI",$E$13:$E$52,"DTA"))</f>
        <v xml:space="preserve"> </v>
      </c>
      <c r="K58" s="27" t="str">
        <f>IF(COUNTIFS($B$13:$B$52,"*AT*",$C$13:$C$52,"EE",$D$13:$D$52,"NI",$E$13:$E$52,"DTA(80)")+COUNTIFS($B$13:$B$52,"*RT*",$C$13:$C$52,"EE",$D$13:$D$52,"NI",$E$13:$E$52,"DTA(80)")=0," ",COUNTIFS($B$13:$B$52,"*AT*",$C$13:$C$52,"EE",$D$13:$D$52,"NI",$E$13:$E$52,"DTA(80)")+COUNTIFS($B$13:$B$52,"*RT*",$C$13:$C$52,"EE",$D$13:$D$52,"NI",$E$13:$E$52,"DTA(80)"))</f>
        <v xml:space="preserve"> </v>
      </c>
      <c r="L58" s="13"/>
    </row>
    <row r="59" spans="2:12" ht="17.25" thickTop="1" x14ac:dyDescent="0.3"/>
    <row r="60" spans="2:12" ht="17.25" thickBot="1" x14ac:dyDescent="0.35"/>
    <row r="61" spans="2:12" ht="18" thickTop="1" thickBot="1" x14ac:dyDescent="0.35">
      <c r="B61" s="1" t="s">
        <v>68</v>
      </c>
      <c r="C61" s="1" t="s">
        <v>52</v>
      </c>
      <c r="D61" s="1" t="s">
        <v>53</v>
      </c>
      <c r="E61" s="1" t="s">
        <v>54</v>
      </c>
      <c r="F61" s="1" t="s">
        <v>55</v>
      </c>
      <c r="G61" s="1" t="s">
        <v>56</v>
      </c>
      <c r="H61" s="1" t="s">
        <v>57</v>
      </c>
      <c r="I61" s="1" t="s">
        <v>58</v>
      </c>
      <c r="J61" s="1" t="s">
        <v>67</v>
      </c>
    </row>
    <row r="62" spans="2:12" ht="17.25" thickTop="1" x14ac:dyDescent="0.3">
      <c r="B62" s="48" t="s">
        <v>47</v>
      </c>
      <c r="C62" s="49">
        <f>IF(COUNTIFS($B:$B,"RWH")=0," ",COUNTIFS($B:$B,"RWH"))</f>
        <v>1</v>
      </c>
      <c r="D62" s="49">
        <f>IF(COUNTIFS($B:$B,"RWT")=0," ",COUNTIFS($B:$B,"RWT"))</f>
        <v>1</v>
      </c>
      <c r="E62" s="49">
        <f>IF(COUNTIFS($B:$B,"RWP")=0," ",COUNTIFS($B:$B,"RWP"))</f>
        <v>1</v>
      </c>
      <c r="F62" s="49">
        <f>IF(COUNTIFS($B:$B,"AWH")=0," ",COUNTIFS($B:$B,"AWH"))</f>
        <v>1</v>
      </c>
      <c r="G62" s="49">
        <f>IF(COUNTIFS($B:$B,"AWG")=0," ", COUNTIFS($B:$B,"AWG"))</f>
        <v>1</v>
      </c>
      <c r="H62" s="49" t="str">
        <f>IF(COUNTIFS($B:$B,"AWS")=0," ",COUNTIFS($B:$B,"AWS"))</f>
        <v xml:space="preserve"> </v>
      </c>
      <c r="I62" s="49">
        <f>IF(COUNTIFS($B:$B,"AWC")=0," ",COUNTIFS($B:$B,"AWC"))</f>
        <v>1</v>
      </c>
      <c r="J62" s="50">
        <f>SUM(C62:I62)</f>
        <v>6</v>
      </c>
    </row>
    <row r="63" spans="2:12" x14ac:dyDescent="0.3">
      <c r="B63" s="7" t="s">
        <v>48</v>
      </c>
      <c r="C63" s="5">
        <f>IF(COUNTIFS($B:$B,"RMH")=0," ",COUNTIFS($B:$B,"RMH"))</f>
        <v>1</v>
      </c>
      <c r="D63" s="5">
        <f>IF(COUNTIFS($B:$B,"RMT")=0," ",COUNTIFS($B:$B,"RMT"))</f>
        <v>1</v>
      </c>
      <c r="E63" s="5" t="str">
        <f>IF(COUNTIFS($B:$B,"RMP")=0," ",COUNTIFS($B:$B,"RMP"))</f>
        <v xml:space="preserve"> </v>
      </c>
      <c r="F63" s="5">
        <f>IF(COUNTIFS($B:$B,"AMH")=0," ",COUNTIFS($B:$B,"AMH"))</f>
        <v>1</v>
      </c>
      <c r="G63" s="5">
        <f>IF(COUNTIFS($B:$B,"AMG")=0," ", COUNTIFS($B:$B,"AMG"))</f>
        <v>1</v>
      </c>
      <c r="H63" s="5">
        <f>IF(COUNTIFS($B:$B,"AMS")=0," ",COUNTIFS($B:$B,"AMS"))</f>
        <v>1</v>
      </c>
      <c r="I63" s="5">
        <f>IF(COUNTIFS($B:$B,"AMC")=0," ",COUNTIFS($B:$B,"AMC"))</f>
        <v>2</v>
      </c>
      <c r="J63" s="51">
        <f>SUM(C63:I63)</f>
        <v>7</v>
      </c>
    </row>
    <row r="64" spans="2:12" x14ac:dyDescent="0.3">
      <c r="B64" s="7" t="s">
        <v>49</v>
      </c>
      <c r="C64" s="5" t="str">
        <f>IF(COUNTIFS($B:$B,"RAH")=0," ",COUNTIFS($B:$B,"RAH"))</f>
        <v xml:space="preserve"> </v>
      </c>
      <c r="D64" s="5" t="str">
        <f>IF(COUNTIFS($B:$B,"RAT")=0," ",COUNTIFS($B:$B,"RAT"))</f>
        <v xml:space="preserve"> </v>
      </c>
      <c r="E64" s="5" t="str">
        <f>IF(COUNTIFS($B:$B,"RAP")=0," ",COUNTIFS($B:$B,"RAP"))</f>
        <v xml:space="preserve"> </v>
      </c>
      <c r="F64" s="5" t="str">
        <f>IF(COUNTIFS($B:$B,"AAH")=0," ",COUNTIFS($B:$B,"AAH"))</f>
        <v xml:space="preserve"> </v>
      </c>
      <c r="G64" s="5" t="str">
        <f>IF(COUNTIFS($B:$B,"AAG")=0," ", COUNTIFS($B:$B,"AAG"))</f>
        <v xml:space="preserve"> </v>
      </c>
      <c r="H64" s="5">
        <f>IF(COUNTIFS($B:$B,"AAS")=0," ",COUNTIFS($B:$B,"AAS"))</f>
        <v>1</v>
      </c>
      <c r="I64" s="5" t="str">
        <f>IF(COUNTIFS($B:$B,"AAC")=0," ",COUNTIFS($B:$B,"AAC"))</f>
        <v xml:space="preserve"> </v>
      </c>
      <c r="J64" s="51">
        <f>SUM(C64:I64)</f>
        <v>1</v>
      </c>
    </row>
    <row r="65" spans="2:12" ht="17.25" thickBot="1" x14ac:dyDescent="0.35">
      <c r="B65" s="8" t="s">
        <v>51</v>
      </c>
      <c r="C65" s="6">
        <f>IF(COUNTIFS($B:$B,"RTH")=0," ",COUNTIFS($B:$B,"RTH"))</f>
        <v>1</v>
      </c>
      <c r="D65" s="6" t="str">
        <f>IF(COUNTIFS($B:$B,"RTT")=0," ",COUNTIFS($B:$B,"RTT"))</f>
        <v xml:space="preserve"> </v>
      </c>
      <c r="E65" s="6" t="str">
        <f>IF(COUNTIFS($B:$B,"RTP")=0," ",COUNTIFS($B:$B,"RTP"))</f>
        <v xml:space="preserve"> </v>
      </c>
      <c r="F65" s="6" t="str">
        <f>IF(COUNTIFS($B:$B,"ATH")=0," ",COUNTIFS($B:$B,"ATH"))</f>
        <v xml:space="preserve"> </v>
      </c>
      <c r="G65" s="6" t="str">
        <f>IF(COUNTIFS($B:$B,"ATG")=0," ", COUNTIFS($B:$B,"ATG"))</f>
        <v xml:space="preserve"> </v>
      </c>
      <c r="H65" s="6" t="str">
        <f>IF(COUNTIFS($B:$B,"ATS")=0," ",COUNTIFS($B:$B,"ATS"))</f>
        <v xml:space="preserve"> </v>
      </c>
      <c r="I65" s="6" t="str">
        <f>IF(COUNTIFS($B:$B,"ATC")=0," ",COUNTIFS($B:$B,"ATC"))</f>
        <v xml:space="preserve"> </v>
      </c>
      <c r="J65" s="52">
        <f>SUM(C65:I65)</f>
        <v>1</v>
      </c>
    </row>
    <row r="66" spans="2:12" ht="18" thickTop="1" thickBot="1" x14ac:dyDescent="0.35"/>
    <row r="67" spans="2:12" ht="18" thickTop="1" thickBot="1" x14ac:dyDescent="0.35">
      <c r="B67" s="1" t="s">
        <v>73</v>
      </c>
      <c r="C67" s="1" t="s">
        <v>52</v>
      </c>
      <c r="D67" s="1" t="s">
        <v>53</v>
      </c>
      <c r="E67" s="1" t="s">
        <v>54</v>
      </c>
      <c r="F67" s="1" t="s">
        <v>55</v>
      </c>
      <c r="G67" s="1" t="s">
        <v>56</v>
      </c>
      <c r="H67" s="1" t="s">
        <v>57</v>
      </c>
      <c r="I67" s="1" t="s">
        <v>58</v>
      </c>
      <c r="J67" s="28"/>
    </row>
    <row r="68" spans="2:12" ht="17.25" thickTop="1" x14ac:dyDescent="0.3">
      <c r="B68" s="39" t="s">
        <v>47</v>
      </c>
      <c r="C68" s="40">
        <f>IFERROR(AVERAGEIF($B$13:$B$52,"RWH",$I$13:$I$52)," ")</f>
        <v>2</v>
      </c>
      <c r="D68" s="40">
        <f>IFERROR(AVERAGEIF($B$13:$B$52,"RWT",$I$13:$I$52)," ")</f>
        <v>23</v>
      </c>
      <c r="E68" s="40">
        <f>IFERROR(AVERAGEIF($B$13:$B$52,"RWP",$I$13:$I$52)," ")</f>
        <v>1</v>
      </c>
      <c r="F68" s="40">
        <f>IFERROR(AVERAGEIF($B$13:$B$52,"AWH",$I$13:$I$52)," ")</f>
        <v>20</v>
      </c>
      <c r="G68" s="40">
        <f>IFERROR(AVERAGEIF($B$13:$B$52,"AWG",$I$13:$I$52)," ")</f>
        <v>24</v>
      </c>
      <c r="H68" s="40" t="str">
        <f>IFERROR(AVERAGEIF($B$13:$B$52,"AWS",$I$13:$I$52)," ")</f>
        <v xml:space="preserve"> </v>
      </c>
      <c r="I68" s="41">
        <f>IFERROR(AVERAGEIF($B$13:$B$52,"AWC",$I$13:$I$52)," ")</f>
        <v>26</v>
      </c>
    </row>
    <row r="69" spans="2:12" x14ac:dyDescent="0.3">
      <c r="B69" s="7" t="s">
        <v>48</v>
      </c>
      <c r="C69" s="5" t="str">
        <f>IFERROR(AVERAGEIF($B$13:$B$52,"RMH",$I$13:$I$52)," ")</f>
        <v xml:space="preserve"> </v>
      </c>
      <c r="D69" s="5">
        <f>IFERROR(AVERAGEIF($B$13:$B$52,"RMT",$I$13:$I$52)," ")</f>
        <v>2</v>
      </c>
      <c r="E69" s="5" t="str">
        <f>IFERROR(AVERAGEIF($B$13:$B$52,"RMP",$I$13:$I$52)," ")</f>
        <v xml:space="preserve"> </v>
      </c>
      <c r="F69" s="5">
        <f>IFERROR(AVERAGEIF($B$13:$B$52,"AMH",$I$13:$I$52)," ")</f>
        <v>24</v>
      </c>
      <c r="G69" s="5">
        <f>IFERROR(AVERAGEIF($B$13:$B$52,"AMG",$I$13:$I$52)," ")</f>
        <v>20</v>
      </c>
      <c r="H69" s="5">
        <f>IFERROR(AVERAGEIF($B$13:$B$52,"AMS",$I$13:$I$52)," ")</f>
        <v>7</v>
      </c>
      <c r="I69" s="26">
        <f>IFERROR(AVERAGEIF($B$13:$B$52,"AMC",$I$13:$I$52)," ")</f>
        <v>14.5</v>
      </c>
    </row>
    <row r="70" spans="2:12" x14ac:dyDescent="0.3">
      <c r="B70" s="7" t="s">
        <v>49</v>
      </c>
      <c r="C70" s="5" t="str">
        <f>IFERROR(AVERAGEIF($B$13:$B$52,"RAH",$I$13:$I$52)," ")</f>
        <v xml:space="preserve"> </v>
      </c>
      <c r="D70" s="5" t="str">
        <f>IFERROR(AVERAGEIF($B$13:$B$52,"RAT",$I$13:$I$52)," ")</f>
        <v xml:space="preserve"> </v>
      </c>
      <c r="E70" s="5" t="str">
        <f>IFERROR(AVERAGEIF($B$13:$B$52,"RAP",$I$13:$I$52)," ")</f>
        <v xml:space="preserve"> </v>
      </c>
      <c r="F70" s="5" t="str">
        <f>IFERROR(AVERAGEIF($B$13:$B$52,"AAH",$I$13:$I$52)," ")</f>
        <v xml:space="preserve"> </v>
      </c>
      <c r="G70" s="5" t="str">
        <f>IFERROR(AVERAGEIF($B$13:$B$52,"AAG",$I$13:$I$52)," ")</f>
        <v xml:space="preserve"> </v>
      </c>
      <c r="H70" s="5">
        <f>IFERROR(AVERAGEIF($B$13:$B$52,"AAS",$I$13:$I$52)," ")</f>
        <v>28</v>
      </c>
      <c r="I70" s="26" t="str">
        <f>IFERROR(AVERAGEIF($B$13:$B$52,"AAC",$I$13:$I$52)," ")</f>
        <v xml:space="preserve"> </v>
      </c>
    </row>
    <row r="71" spans="2:12" ht="17.25" thickBot="1" x14ac:dyDescent="0.35">
      <c r="B71" s="8" t="s">
        <v>51</v>
      </c>
      <c r="C71" s="6">
        <f>IFERROR(AVERAGEIF($B$13:$B$52,"RTH",$I$13:$I$52)," ")</f>
        <v>21</v>
      </c>
      <c r="D71" s="6" t="str">
        <f>IFERROR(AVERAGEIF($B$13:$B$52,"RTT",$I$13:$I$52)," ")</f>
        <v xml:space="preserve"> </v>
      </c>
      <c r="E71" s="6" t="str">
        <f>IFERROR(AVERAGEIF($B$13:$B$52,"RTP",$I$13:$I$52)," ")</f>
        <v xml:space="preserve"> </v>
      </c>
      <c r="F71" s="6" t="str">
        <f>IFERROR(AVERAGEIF($B$13:$B$52,"ATH",$I$13:$I$52)," ")</f>
        <v xml:space="preserve"> </v>
      </c>
      <c r="G71" s="6" t="str">
        <f>IFERROR(AVERAGEIF($B$13:$B$52,"ATG",$I$13:$I$52)," ")</f>
        <v xml:space="preserve"> </v>
      </c>
      <c r="H71" s="6" t="str">
        <f>IFERROR(AVERAGEIF($B$13:$B$52,"ATS",$I$13:$I$52)," ")</f>
        <v xml:space="preserve"> </v>
      </c>
      <c r="I71" s="27" t="str">
        <f>IFERROR(AVERAGEIF($B$13:$B$52,"ATC",$I$13:$I$52)," ")</f>
        <v xml:space="preserve"> </v>
      </c>
    </row>
    <row r="72" spans="2:12" ht="18" thickTop="1" thickBot="1" x14ac:dyDescent="0.35"/>
    <row r="73" spans="2:12" ht="18" thickTop="1" thickBot="1" x14ac:dyDescent="0.35">
      <c r="B73" s="1" t="s">
        <v>69</v>
      </c>
      <c r="C73" s="1" t="s">
        <v>52</v>
      </c>
      <c r="D73" s="1" t="s">
        <v>53</v>
      </c>
      <c r="E73" s="1" t="s">
        <v>54</v>
      </c>
      <c r="F73" s="1" t="s">
        <v>55</v>
      </c>
      <c r="G73" s="1" t="s">
        <v>56</v>
      </c>
      <c r="H73" s="1" t="s">
        <v>57</v>
      </c>
      <c r="I73" s="1" t="s">
        <v>58</v>
      </c>
      <c r="J73" s="1" t="s">
        <v>71</v>
      </c>
      <c r="L73" s="1" t="s">
        <v>72</v>
      </c>
    </row>
    <row r="74" spans="2:12" ht="18" thickTop="1" thickBot="1" x14ac:dyDescent="0.35">
      <c r="B74" s="39" t="s">
        <v>47</v>
      </c>
      <c r="C74" s="40">
        <f>IF(SUMIF($B$13:$B$52,"RWH",$H$13:$H$52)=0," ",SUMIF($B$13:$B$52,"RWH",$H$13:$H$52))</f>
        <v>15100</v>
      </c>
      <c r="D74" s="40">
        <f>IF(SUMIF($B$13:$B$52,"RWT",$H$13:$H$52)=0," ",SUMIF($B$13:$B$52,"RWT",$H$13:$H$52))</f>
        <v>9186.4</v>
      </c>
      <c r="E74" s="40">
        <f>IF(SUMIF($B$13:$B$52,"RWP",$H$13:$H$52)=0," ",SUMIF($B$13:$B$52,"RWP",$H$13:$H$52))</f>
        <v>3540.4000000000015</v>
      </c>
      <c r="F74" s="40">
        <f>IF(SUMIF($B$13:$B$52,"AWH",$H$13:$H$52)=0," ",SUMIF($B$13:$B$52,"AWH",$H$13:$H$52))</f>
        <v>6001.9499999999971</v>
      </c>
      <c r="G74" s="40">
        <f>IF(SUMIF($B$13:$B$52,"AWG",$H$13:$H$52)=0," ",SUMIF($B$13:$B$52,"AWG",$H$13:$H$52))</f>
        <v>14329</v>
      </c>
      <c r="H74" s="40" t="str">
        <f>IF(SUMIF($B$13:$B$52,"AWS",$H$13:$H$52)=0," ",SUMIF($B$13:$B$52,"AWS",$H$13:$H$52))</f>
        <v xml:space="preserve"> </v>
      </c>
      <c r="I74" s="40">
        <f>IF(SUMIF($B$13:$B$52,"AWC",$H$13:$H$52)=0," ",SUMIF($B$13:$B$52,"AWC",$H$13:$H$52))</f>
        <v>15282.399999999994</v>
      </c>
      <c r="J74" s="41">
        <f>SUM(C74:I74)</f>
        <v>63440.149999999994</v>
      </c>
      <c r="L74" s="42">
        <f>SUM($J$74:$J$77)</f>
        <v>245602.55</v>
      </c>
    </row>
    <row r="75" spans="2:12" ht="17.25" thickTop="1" x14ac:dyDescent="0.3">
      <c r="B75" s="7" t="s">
        <v>48</v>
      </c>
      <c r="C75" s="5">
        <f>IF(SUMIF($B$13:$B$52,"RMH",$H$13:$H$52)=0," ",SUMIF($B$13:$B$52,"RMH",$H$13:$H$52))</f>
        <v>17789.599999999999</v>
      </c>
      <c r="D75" s="5">
        <f>IF(SUMIF($B$13:$B$52,"RMT",$H$13:$H$52)=0," ",SUMIF($B$13:$B$52,"RMT",$H$13:$H$52))</f>
        <v>20914.3</v>
      </c>
      <c r="E75" s="5" t="str">
        <f>IF(SUMIF($B$13:$B$52,"RMP",$H$13:$H$52)=0," ",SUMIF($B$13:$B$52,"RMP",$H$13:$H$52))</f>
        <v xml:space="preserve"> </v>
      </c>
      <c r="F75" s="5">
        <f>IF(SUMIF($B$13:$B$52,"AMH",$H$13:$H$52)=0," ",SUMIF($B$13:$B$52,"AMH",$H$13:$H$52))</f>
        <v>32373.200000000001</v>
      </c>
      <c r="G75" s="5">
        <f>IF(SUMIF($B$13:$B$52,"AMG",$H$13:$H$52)=0," ",SUMIF($B$13:$B$52,"AMG",$H$13:$H$52))</f>
        <v>11257.599999999999</v>
      </c>
      <c r="H75" s="5">
        <f>IF(SUMIF($B$13:$B$52,"AMS",$H$13:$H$52)=0," ",SUMIF($B$13:$B$52,"AMS",$H$13:$H$52))</f>
        <v>43772</v>
      </c>
      <c r="I75" s="5">
        <f>IF(SUMIF($B$13:$B$52,"AMC",$H$13:$H$52)=0," ",SUMIF($B$13:$B$52,"AMC",$H$13:$H$52))</f>
        <v>41248.600000000006</v>
      </c>
      <c r="J75" s="26">
        <f>SUM(C75:I75)</f>
        <v>167355.29999999999</v>
      </c>
    </row>
    <row r="76" spans="2:12" x14ac:dyDescent="0.3">
      <c r="B76" s="7" t="s">
        <v>49</v>
      </c>
      <c r="C76" s="5" t="str">
        <f>IF(SUMIF($B$13:$B$52,"RAH",$H$13:$H$52)=0," ",SUMIF($B$13:$B$52,"RAH",$H$13:$H$52))</f>
        <v xml:space="preserve"> </v>
      </c>
      <c r="D76" s="5" t="str">
        <f>IF(SUMIF($B$13:$B$52,"RAT",$H$13:$H$52)=0," ",SUMIF($B$13:$B$52,"RAT",$H$13:$H$52))</f>
        <v xml:space="preserve"> </v>
      </c>
      <c r="E76" s="5" t="str">
        <f>IF(SUMIF($B$13:$B$52,"RAP",$H$13:$H$52)=0," ",SUMIF($B$13:$B$52,"RAP",$H$13:$H$52))</f>
        <v xml:space="preserve"> </v>
      </c>
      <c r="F76" s="5" t="str">
        <f>IF(SUMIF($B$13:$B$52,"AAH",$H$13:$H$52)=0," ",SUMIF($B$13:$B$52,"AAH",$H$13:$H$52))</f>
        <v xml:space="preserve"> </v>
      </c>
      <c r="G76" s="5" t="str">
        <f>IF(SUMIF($B$13:$B$52,"AAG",$H$13:$H$52)=0," ",SUMIF($B$13:$B$52,"AAG",$H$13:$H$52))</f>
        <v xml:space="preserve"> </v>
      </c>
      <c r="H76" s="5">
        <f>IF(SUMIF($B$13:$B$52,"AAS",$H$13:$H$52)=0," ",SUMIF($B$13:$B$52,"AAS",$H$13:$H$52))</f>
        <v>11660.099999999999</v>
      </c>
      <c r="I76" s="5" t="str">
        <f>IF(SUMIF($B$13:$B$52,"AAC",$H$13:$H$52)=0," ",SUMIF($B$13:$B$52,"AAC",$H$13:$H$52))</f>
        <v xml:space="preserve"> </v>
      </c>
      <c r="J76" s="26">
        <f>SUM(C76:I76)</f>
        <v>11660.099999999999</v>
      </c>
    </row>
    <row r="77" spans="2:12" ht="17.25" thickBot="1" x14ac:dyDescent="0.35">
      <c r="B77" s="8" t="s">
        <v>51</v>
      </c>
      <c r="C77" s="6">
        <f>IF(SUMIF($B$13:$B$52,"RTH",$H$13:$H$52)=0," ",SUMIF($B$13:$B$52,"RTH",$H$13:$H$52))</f>
        <v>3147</v>
      </c>
      <c r="D77" s="6" t="str">
        <f>IF(SUMIF($B$13:$B$52,"RTT",$H$13:$H$52)=0," ",SUMIF($B$13:$B$52,"RTT",$H$13:$H$52))</f>
        <v xml:space="preserve"> </v>
      </c>
      <c r="E77" s="6" t="str">
        <f>IF(SUMIF($B$13:$B$52,"RTP",$H$13:$H$52)=0," ",SUMIF($B$13:$B$52,"RTP",$H$13:$H$52))</f>
        <v xml:space="preserve"> </v>
      </c>
      <c r="F77" s="6" t="str">
        <f>IF(SUMIF($B$13:$B$52,"ATH",$H$13:$H$52)=0," ",SUMIF($B$13:$B$52,"ATH",$H$13:$H$52))</f>
        <v xml:space="preserve"> </v>
      </c>
      <c r="G77" s="6" t="str">
        <f>IF(SUMIF($B$13:$B$52,"ATG",$H$13:$H$52)=0," ",SUMIF($B$13:$B$52,"ATG",$H$13:$H$52))</f>
        <v xml:space="preserve"> </v>
      </c>
      <c r="H77" s="6" t="str">
        <f>IF(SUMIF($B$13:$B$52,"ATS",$H$13:$H$52)=0," ",SUMIF($B$13:$B$52,"ATS",$H$13:$H$52))</f>
        <v xml:space="preserve"> </v>
      </c>
      <c r="I77" s="6" t="str">
        <f>IF(SUMIF($B$13:$B$52,"ATC",$H$13:$H$52)=0," ",SUMIF($B$13:$B$52,"ATC",$H$13:$H$52))</f>
        <v xml:space="preserve"> </v>
      </c>
      <c r="J77" s="27">
        <f>SUM(C77:I77)</f>
        <v>3147</v>
      </c>
    </row>
    <row r="78" spans="2:12" ht="17.25" thickTop="1" x14ac:dyDescent="0.3">
      <c r="C78" s="54"/>
      <c r="D78" s="54"/>
      <c r="E78" s="54"/>
      <c r="F78" s="54"/>
      <c r="G78" s="54"/>
      <c r="H78" s="55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SF(3W_W)</vt:lpstr>
      <vt:lpstr>SF(3W_M)</vt:lpstr>
      <vt:lpstr>SF(3W_A)</vt:lpstr>
      <vt:lpstr>SF(3W_T)</vt:lpstr>
      <vt:lpstr>SF(Compile)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incipe</dc:creator>
  <cp:lastModifiedBy>Windows 사용자</cp:lastModifiedBy>
  <cp:lastPrinted>2020-11-29T08:59:48Z</cp:lastPrinted>
  <dcterms:created xsi:type="dcterms:W3CDTF">2020-06-01T05:40:09Z</dcterms:created>
  <dcterms:modified xsi:type="dcterms:W3CDTF">2021-04-18T22:04:58Z</dcterms:modified>
  <cp:contentStatus/>
</cp:coreProperties>
</file>