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데이터\'21\4M\4W\"/>
    </mc:Choice>
  </mc:AlternateContent>
  <bookViews>
    <workbookView xWindow="0" yWindow="0" windowWidth="19170" windowHeight="12390" activeTab="3"/>
  </bookViews>
  <sheets>
    <sheet name="Statisitcs(W)" sheetId="27" r:id="rId1"/>
    <sheet name="Statisitcs(M)" sheetId="28" r:id="rId2"/>
    <sheet name="Statisitcs(A)" sheetId="29" r:id="rId3"/>
    <sheet name="Statisitcs(T)" sheetId="30" r:id="rId4"/>
  </sheets>
  <definedNames>
    <definedName name="_xlnm._FilterDatabase" localSheetId="2" hidden="1">'Statisitcs(A)'!$B$13:$L$22</definedName>
    <definedName name="_xlnm._FilterDatabase" localSheetId="1" hidden="1">'Statisitcs(M)'!$B$13:$K$13</definedName>
    <definedName name="_xlnm._FilterDatabase" localSheetId="3" hidden="1">'Statisitcs(T)'!$B$13:$K$34</definedName>
    <definedName name="_xlnm._FilterDatabase" localSheetId="0" hidden="1">'Statisitcs(W)'!$B$13:$K$27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30" l="1"/>
  <c r="G59" i="30"/>
  <c r="C59" i="30"/>
  <c r="K58" i="30"/>
  <c r="G58" i="30"/>
  <c r="C58" i="30"/>
  <c r="K56" i="30"/>
  <c r="G56" i="30"/>
  <c r="C56" i="30"/>
  <c r="K52" i="30"/>
  <c r="G52" i="30"/>
  <c r="C52" i="30"/>
  <c r="K50" i="30"/>
  <c r="G50" i="30"/>
  <c r="C50" i="30"/>
  <c r="G44" i="30"/>
  <c r="G42" i="30"/>
  <c r="G41" i="30"/>
  <c r="G39" i="30"/>
  <c r="G37" i="30"/>
  <c r="K59" i="29" l="1"/>
  <c r="G59" i="29"/>
  <c r="C59" i="29"/>
  <c r="K58" i="29"/>
  <c r="G58" i="29"/>
  <c r="C58" i="29"/>
  <c r="K56" i="29"/>
  <c r="G56" i="29"/>
  <c r="C56" i="29"/>
  <c r="K52" i="29"/>
  <c r="G52" i="29"/>
  <c r="C52" i="29"/>
  <c r="K50" i="29"/>
  <c r="G50" i="29"/>
  <c r="C50" i="29"/>
  <c r="G44" i="29"/>
  <c r="G42" i="29"/>
  <c r="G41" i="29"/>
  <c r="G39" i="29"/>
  <c r="G37" i="29"/>
  <c r="K57" i="28" l="1"/>
  <c r="G57" i="28"/>
  <c r="C57" i="28"/>
  <c r="K56" i="28"/>
  <c r="G56" i="28"/>
  <c r="C56" i="28"/>
  <c r="K54" i="28"/>
  <c r="G54" i="28"/>
  <c r="C54" i="28"/>
  <c r="K50" i="28"/>
  <c r="G50" i="28"/>
  <c r="C50" i="28"/>
  <c r="K48" i="28"/>
  <c r="G48" i="28"/>
  <c r="C48" i="28"/>
  <c r="I59" i="27"/>
  <c r="F59" i="27"/>
  <c r="C59" i="27"/>
  <c r="I58" i="27"/>
  <c r="F58" i="27"/>
  <c r="C58" i="27"/>
  <c r="I56" i="27"/>
  <c r="F56" i="27"/>
  <c r="C56" i="27"/>
  <c r="I52" i="27"/>
  <c r="F52" i="27"/>
  <c r="C52" i="27"/>
  <c r="I50" i="27"/>
  <c r="F50" i="27"/>
  <c r="C50" i="27"/>
  <c r="F44" i="27"/>
  <c r="F42" i="27"/>
  <c r="F41" i="27"/>
  <c r="F39" i="27"/>
  <c r="F37" i="27"/>
  <c r="G42" i="28"/>
  <c r="G40" i="28"/>
  <c r="G39" i="28"/>
  <c r="G37" i="28"/>
  <c r="G35" i="28"/>
  <c r="K57" i="30" l="1"/>
  <c r="G57" i="30"/>
  <c r="C57" i="30"/>
  <c r="K55" i="30"/>
  <c r="G55" i="30"/>
  <c r="C55" i="30"/>
  <c r="K51" i="30"/>
  <c r="G51" i="30"/>
  <c r="C51" i="30"/>
  <c r="K49" i="30"/>
  <c r="G49" i="30"/>
  <c r="C49" i="30"/>
  <c r="G43" i="30"/>
  <c r="G40" i="30"/>
  <c r="G38" i="30"/>
  <c r="G36" i="30"/>
  <c r="N40" i="30"/>
  <c r="N39" i="30"/>
  <c r="N38" i="30"/>
  <c r="C38" i="30"/>
  <c r="N37" i="30"/>
  <c r="C37" i="30"/>
  <c r="N36" i="30"/>
  <c r="C36" i="30"/>
  <c r="B9" i="30"/>
  <c r="K44" i="30" l="1"/>
  <c r="K40" i="30"/>
  <c r="K38" i="30"/>
  <c r="K41" i="30"/>
  <c r="K37" i="30"/>
  <c r="K42" i="30"/>
  <c r="K36" i="30"/>
  <c r="K39" i="30"/>
  <c r="K43" i="30"/>
  <c r="M40" i="30" l="1"/>
  <c r="M37" i="30"/>
  <c r="M39" i="30"/>
  <c r="M36" i="30"/>
  <c r="M38" i="30"/>
  <c r="K40" i="27"/>
  <c r="K39" i="27"/>
  <c r="K38" i="27"/>
  <c r="K37" i="27"/>
  <c r="K36" i="27"/>
  <c r="I42" i="27"/>
  <c r="I37" i="27"/>
  <c r="I36" i="27"/>
  <c r="I43" i="27"/>
  <c r="I39" i="27"/>
  <c r="I38" i="27"/>
  <c r="I44" i="27"/>
  <c r="I41" i="27"/>
  <c r="I40" i="27"/>
  <c r="C38" i="29" l="1"/>
  <c r="C37" i="29"/>
  <c r="C36" i="29"/>
  <c r="C36" i="28"/>
  <c r="C34" i="28"/>
  <c r="C38" i="27"/>
  <c r="C37" i="27"/>
  <c r="C36" i="27"/>
  <c r="K57" i="29" l="1"/>
  <c r="G57" i="29"/>
  <c r="C57" i="29"/>
  <c r="K55" i="29"/>
  <c r="G55" i="29"/>
  <c r="C55" i="29"/>
  <c r="K51" i="29"/>
  <c r="G51" i="29"/>
  <c r="C51" i="29"/>
  <c r="K49" i="29"/>
  <c r="G49" i="29"/>
  <c r="C49" i="29"/>
  <c r="G43" i="29"/>
  <c r="G40" i="29"/>
  <c r="G38" i="29"/>
  <c r="G36" i="29"/>
  <c r="N40" i="29"/>
  <c r="N39" i="29"/>
  <c r="N38" i="29"/>
  <c r="N37" i="29"/>
  <c r="N36" i="29"/>
  <c r="B9" i="29"/>
  <c r="K43" i="29" l="1"/>
  <c r="K39" i="29"/>
  <c r="K38" i="29"/>
  <c r="K44" i="29"/>
  <c r="K41" i="29"/>
  <c r="K40" i="29"/>
  <c r="K42" i="29"/>
  <c r="K37" i="29"/>
  <c r="K36" i="29"/>
  <c r="M40" i="29" l="1"/>
  <c r="M37" i="29"/>
  <c r="M36" i="29"/>
  <c r="M39" i="29"/>
  <c r="M38" i="29"/>
  <c r="C35" i="28" l="1"/>
  <c r="N35" i="28"/>
  <c r="N34" i="28"/>
  <c r="N38" i="28"/>
  <c r="M38" i="28"/>
  <c r="N37" i="28"/>
  <c r="M37" i="28"/>
  <c r="N36" i="28"/>
  <c r="M36" i="28"/>
  <c r="M35" i="28"/>
  <c r="M34" i="28"/>
  <c r="K55" i="28" l="1"/>
  <c r="G55" i="28"/>
  <c r="C55" i="28"/>
  <c r="K53" i="28"/>
  <c r="G53" i="28"/>
  <c r="C53" i="28"/>
  <c r="K49" i="28"/>
  <c r="G49" i="28"/>
  <c r="C49" i="28"/>
  <c r="K47" i="28"/>
  <c r="G47" i="28"/>
  <c r="C47" i="28"/>
  <c r="G41" i="28"/>
  <c r="G38" i="28"/>
  <c r="G36" i="28"/>
  <c r="G34" i="28"/>
  <c r="K41" i="28" l="1"/>
  <c r="K37" i="28"/>
  <c r="K42" i="28"/>
  <c r="K39" i="28"/>
  <c r="K38" i="28"/>
  <c r="K40" i="28"/>
  <c r="K35" i="28"/>
  <c r="K36" i="28"/>
  <c r="K34" i="28"/>
  <c r="I57" i="27"/>
  <c r="I55" i="27"/>
  <c r="F57" i="27"/>
  <c r="F55" i="27"/>
  <c r="C57" i="27"/>
  <c r="C55" i="27"/>
  <c r="I51" i="27"/>
  <c r="I49" i="27"/>
  <c r="F51" i="27"/>
  <c r="F49" i="27"/>
  <c r="C51" i="27"/>
  <c r="C49" i="27"/>
  <c r="F43" i="27"/>
  <c r="F40" i="27"/>
  <c r="F38" i="27"/>
  <c r="F36" i="27"/>
  <c r="B9" i="28" l="1"/>
  <c r="B9" i="27" l="1"/>
  <c r="L38" i="27" l="1"/>
  <c r="L37" i="27"/>
  <c r="L36" i="27"/>
  <c r="L39" i="27"/>
  <c r="L40" i="27"/>
</calcChain>
</file>

<file path=xl/sharedStrings.xml><?xml version="1.0" encoding="utf-8"?>
<sst xmlns="http://schemas.openxmlformats.org/spreadsheetml/2006/main" count="435" uniqueCount="135">
  <si>
    <t>Top</t>
    <phoneticPr fontId="1" type="noConversion"/>
  </si>
  <si>
    <t>SI</t>
  </si>
  <si>
    <t>NI</t>
  </si>
  <si>
    <t>Margin</t>
    <phoneticPr fontId="1" type="noConversion"/>
  </si>
  <si>
    <t>Type</t>
    <phoneticPr fontId="1" type="noConversion"/>
  </si>
  <si>
    <t>SA</t>
  </si>
  <si>
    <t>Equipment</t>
    <phoneticPr fontId="1" type="noConversion"/>
  </si>
  <si>
    <t>Potential</t>
    <phoneticPr fontId="1" type="noConversion"/>
  </si>
  <si>
    <t>Additioanl</t>
    <phoneticPr fontId="1" type="noConversion"/>
  </si>
  <si>
    <t>This Week</t>
    <phoneticPr fontId="1" type="noConversion"/>
  </si>
  <si>
    <t>TIME</t>
    <phoneticPr fontId="1" type="noConversion"/>
  </si>
  <si>
    <t>AO</t>
    <phoneticPr fontId="1" type="noConversion"/>
  </si>
  <si>
    <t>Vestige</t>
    <phoneticPr fontId="1" type="noConversion"/>
  </si>
  <si>
    <t>M_E_R</t>
  </si>
  <si>
    <t>M_E_E</t>
  </si>
  <si>
    <t>T_E_R</t>
  </si>
  <si>
    <t>Equipment</t>
    <phoneticPr fontId="1" type="noConversion"/>
  </si>
  <si>
    <t>W_SI_(E)SA</t>
    <phoneticPr fontId="1" type="noConversion"/>
  </si>
  <si>
    <t>AoVe</t>
    <phoneticPr fontId="1" type="noConversion"/>
  </si>
  <si>
    <t>Number</t>
    <phoneticPr fontId="1" type="noConversion"/>
  </si>
  <si>
    <t>Number</t>
    <phoneticPr fontId="1" type="noConversion"/>
  </si>
  <si>
    <t>Top</t>
  </si>
  <si>
    <t>Top</t>
    <phoneticPr fontId="1" type="noConversion"/>
  </si>
  <si>
    <t>Pants</t>
  </si>
  <si>
    <t>Hat</t>
    <phoneticPr fontId="1" type="noConversion"/>
  </si>
  <si>
    <t>H_NI_(R)SA</t>
    <phoneticPr fontId="1" type="noConversion"/>
  </si>
  <si>
    <t>H_SI_(R)SA</t>
    <phoneticPr fontId="1" type="noConversion"/>
  </si>
  <si>
    <t>Type</t>
    <phoneticPr fontId="1" type="noConversion"/>
  </si>
  <si>
    <t>T_NI_(R)SA</t>
  </si>
  <si>
    <t>T_SI_(R)SA</t>
  </si>
  <si>
    <t>T_NI_(R)SA</t>
    <phoneticPr fontId="1" type="noConversion"/>
  </si>
  <si>
    <t>T_SI_(R)SA</t>
    <phoneticPr fontId="1" type="noConversion"/>
  </si>
  <si>
    <t>P_NI_(R)SA</t>
    <phoneticPr fontId="1" type="noConversion"/>
  </si>
  <si>
    <t>P_SI_(R)SA</t>
    <phoneticPr fontId="1" type="noConversion"/>
  </si>
  <si>
    <t>M_SI_(R)SA</t>
  </si>
  <si>
    <t>M_NI_(R)SA</t>
  </si>
  <si>
    <t>M_NI_(E)SA</t>
  </si>
  <si>
    <t>M_SI_(E)SA</t>
  </si>
  <si>
    <t>Type(H-R)</t>
    <phoneticPr fontId="1" type="noConversion"/>
  </si>
  <si>
    <t>Type(T-R)</t>
    <phoneticPr fontId="1" type="noConversion"/>
  </si>
  <si>
    <t>Type(P-R)</t>
    <phoneticPr fontId="1" type="noConversion"/>
  </si>
  <si>
    <t>Type(P-E)</t>
    <phoneticPr fontId="1" type="noConversion"/>
  </si>
  <si>
    <t>Type(T-E)</t>
    <phoneticPr fontId="1" type="noConversion"/>
  </si>
  <si>
    <t>Type(H-E)</t>
    <phoneticPr fontId="1" type="noConversion"/>
  </si>
  <si>
    <t>H_NI_(E)SA</t>
  </si>
  <si>
    <t>T_NI_(E)SA</t>
  </si>
  <si>
    <t>P_NI_(E)SA</t>
  </si>
  <si>
    <t>H_SI_(E)SA</t>
  </si>
  <si>
    <t>T_SI_(E)SA</t>
  </si>
  <si>
    <t>P_SI_(E)SA</t>
  </si>
  <si>
    <t>A_SI_(R)SA</t>
  </si>
  <si>
    <t>A_NI_(R)SA</t>
  </si>
  <si>
    <t>A_NI_(E)SA</t>
  </si>
  <si>
    <t>A_SI_(E)SA</t>
  </si>
  <si>
    <t>W_NI_(R)SA</t>
    <phoneticPr fontId="1" type="noConversion"/>
  </si>
  <si>
    <t>W_SI_(R)SA</t>
    <phoneticPr fontId="1" type="noConversion"/>
  </si>
  <si>
    <t>W_NI_(E)SA</t>
    <phoneticPr fontId="1" type="noConversion"/>
  </si>
  <si>
    <t>Margin Rank</t>
    <phoneticPr fontId="1" type="noConversion"/>
  </si>
  <si>
    <t>Pants</t>
    <phoneticPr fontId="1" type="noConversion"/>
  </si>
  <si>
    <t>Hat</t>
    <phoneticPr fontId="1" type="noConversion"/>
  </si>
  <si>
    <t>Pants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</si>
  <si>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</si>
  <si>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</si>
  <si>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</si>
  <si>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</si>
  <si>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110-70</t>
  </si>
  <si>
    <t>110-30</t>
  </si>
  <si>
    <t>110-PW</t>
  </si>
  <si>
    <t>100-70</t>
  </si>
  <si>
    <t>100-30</t>
  </si>
  <si>
    <t>100-PW</t>
  </si>
  <si>
    <t>90-70</t>
  </si>
  <si>
    <t>90-30</t>
  </si>
  <si>
    <t>90-PW</t>
  </si>
  <si>
    <t>SC</t>
    <phoneticPr fontId="1" type="noConversion"/>
  </si>
  <si>
    <t>W_E_R</t>
    <phoneticPr fontId="1" type="noConversion"/>
  </si>
  <si>
    <t>SI</t>
    <phoneticPr fontId="1" type="noConversion"/>
  </si>
  <si>
    <t>SC</t>
    <phoneticPr fontId="1" type="noConversion"/>
  </si>
  <si>
    <t>NI</t>
    <phoneticPr fontId="1" type="noConversion"/>
  </si>
  <si>
    <t>SC</t>
    <phoneticPr fontId="1" type="noConversion"/>
  </si>
  <si>
    <t>110-AP</t>
  </si>
  <si>
    <t>100-AP</t>
  </si>
  <si>
    <t>90-AP</t>
  </si>
  <si>
    <t>T_E_E</t>
  </si>
  <si>
    <t>Top</t>
    <phoneticPr fontId="1" type="noConversion"/>
  </si>
  <si>
    <t>W_E_E</t>
    <phoneticPr fontId="1" type="noConversion"/>
  </si>
  <si>
    <t>SA</t>
    <phoneticPr fontId="1" type="noConversion"/>
  </si>
  <si>
    <t>W_E_R</t>
    <phoneticPr fontId="1" type="noConversion"/>
  </si>
  <si>
    <t>DA</t>
  </si>
  <si>
    <t>* 모자 : 매물(중) / AO &gt;= 100 / VE : 30% / PO/AD : SI.(R)(SA, DA), NI.(R)DA
   - 90 ~ 100 추옵대 경쟁률이 높음. 100급 추옵에 반드시 30%작 권장
* 상의 :  매물(상) / AO &gt;= 100 or &lt;= 90 / VE : 70%, 30% / PO/AD : SI.(R)(SA, DA)
   - 토드는 SI.(R)(SA, DA)를 사용하되 95 이하에는 70% 그 이상은 30%작 권장
* 하의 :  매물(상) / AO &gt;= 100 / VE : 30% / PO/AD : SI.(R)(DA)
   - 100급 이상(110급 추천)에서 SI.(R)DA 계열로 30%작을 한다면 안정가격 보장</t>
    <phoneticPr fontId="1" type="noConversion"/>
  </si>
  <si>
    <t>Top</t>
    <phoneticPr fontId="1" type="noConversion"/>
  </si>
  <si>
    <t>NI</t>
    <phoneticPr fontId="1" type="noConversion"/>
  </si>
  <si>
    <t>NI</t>
    <phoneticPr fontId="1" type="noConversion"/>
  </si>
  <si>
    <t>DA(80)</t>
  </si>
  <si>
    <t>Pants</t>
    <phoneticPr fontId="1" type="noConversion"/>
  </si>
  <si>
    <t>AP</t>
    <phoneticPr fontId="1" type="noConversion"/>
  </si>
  <si>
    <t>M_NI_(R)DA</t>
  </si>
  <si>
    <t>M_SI_(R)DA</t>
  </si>
  <si>
    <t>M_NI_(E)DA</t>
  </si>
  <si>
    <t>M_NI_(E)DA(80)</t>
  </si>
  <si>
    <t>M_SI_(E)DA</t>
  </si>
  <si>
    <t>W_NI_(R)DA</t>
  </si>
  <si>
    <t>W_SI_(R)DA</t>
  </si>
  <si>
    <t>W_NI_(E)DA</t>
  </si>
  <si>
    <t>W_NI_(E)DA(80)</t>
  </si>
  <si>
    <t>W_SI_(E)DA</t>
  </si>
  <si>
    <t>H_NI_(R)DA</t>
  </si>
  <si>
    <t>T_NI_(R)DA</t>
  </si>
  <si>
    <t>P_NI_(R)DA</t>
  </si>
  <si>
    <t>H_SI_(R)DA</t>
  </si>
  <si>
    <t>T_SI_(R)DA</t>
  </si>
  <si>
    <t>P_SI_(R)DA</t>
  </si>
  <si>
    <t>H_NI_(E)DA</t>
  </si>
  <si>
    <t>T_NI_(E)DA</t>
  </si>
  <si>
    <t>P_NI_(E)DA</t>
  </si>
  <si>
    <t>H_SI_(E)DA</t>
  </si>
  <si>
    <t>T_SI_(E)DA</t>
  </si>
  <si>
    <t>P_SI_(E)DA</t>
  </si>
  <si>
    <t>H_NI_(E)DA(80)</t>
  </si>
  <si>
    <t>T_NI_(E)DA(80)</t>
  </si>
  <si>
    <t>P_NI_(E)DA(80)</t>
  </si>
  <si>
    <t>* 모자 : 매물(하) / AO &gt;= 100 / VE : 30% / PO/AD : SI.(R)(SA, DA)
   - 현재 경매장 매물 자체가 없어 SI.(R) 계열 제작시 상당한 수입 보장 가능.
* 상의 :  매물(하) / AO &gt;= 90 / VE : 30%, AP / PO/AD : SI.(R)(SA, DA), NI.(E)DA(80)
   - 모자와 대체로 상황 비슷하나 유효 공략할곳이 많음. 100급 추옵대 이상에 SI 계열이나
      (E)DA(80) 급이라면 충분히 도전해볼만함
* 하의 : 매물(하) / AO &gt;= 90 / VE : 30%, AP / PO/AD : SI.(R)(SA, DA), NI.(E)DA(80)
   - 상의와 상황 동일</t>
    <phoneticPr fontId="1" type="noConversion"/>
  </si>
  <si>
    <t>A_E_R</t>
  </si>
  <si>
    <t>A_E_E</t>
  </si>
  <si>
    <t>A_NI_(R)DA</t>
  </si>
  <si>
    <t>A_SI_(R)DA</t>
  </si>
  <si>
    <t>A_NI_(E)DA</t>
  </si>
  <si>
    <t>A_NI_(E)DA(80)</t>
  </si>
  <si>
    <t>A_SI_(E)DA</t>
  </si>
  <si>
    <t>* 모자 : 매물(중) / X
   - 100 ~ 110급 추옵대의 매물 밀집이 심해 제작 자체를 권장하지 않음. 수익보장이 어려움
* 상의 :  매물(하) / AO &gt;= 100 / VE : 70%, 30% / PO/AD : SI.(R)(SA, DA)
   - 90 추옵대는 70%, 100이상은 30%작을 권장함. 매물은 적으나 높은 추옵대의 매물이 적어
     일정한 수익이 보장될 가능성이 높음. 다만, LT는 염려스러움
* 하의 :  매물(하) / AO &gt;= 100 / VE : 70%, 30% / PO/AD : SI.(R)(SA, DA)
   - 상의와 지표가 비슷하지만 110급 이상의 추옵에선 하의가 더 좋음. 상, 하의중 제작을 고민
     한다면 하의 제작을 권장함</t>
    <phoneticPr fontId="1" type="noConversion"/>
  </si>
  <si>
    <t>Hat</t>
    <phoneticPr fontId="1" type="noConversion"/>
  </si>
  <si>
    <t>Top</t>
    <phoneticPr fontId="1" type="noConversion"/>
  </si>
  <si>
    <t>Pants</t>
    <phoneticPr fontId="1" type="noConversion"/>
  </si>
  <si>
    <t>PW</t>
    <phoneticPr fontId="1" type="noConversion"/>
  </si>
  <si>
    <t>* 모자 : 매물(중) / AO &gt;= 100 / VE : 30% / PO/AD : SI.(R)(SA, DA)
   - 100이상 추옵에 매밀 밀집이 높지 않아 30% 8작 이상시 어느정도 가격 보장이 가능
* 상의 :  매물(상) / AO &gt;= 100 / VE : 30%, PW / PO/AD : SI.(E, R)(SA, DA)
   - 90급대 추옵은 70% 작으로 빠른 회귀를 추구하되 100이상은 30%나 PW작을 시도
* 하의 :  매물(중) / AO &gt;= 100 / VE : 30% / PO/AD : SI.(E, R)(SA, DA)
   - 상의와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</si>
</sst>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3333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22" fontId="2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0" borderId="18" xfId="0" applyNumberFormat="1" applyFont="1" applyFill="1" applyBorder="1" applyAlignment="1">
      <alignment horizontal="center" vertical="center"/>
    </xf>
    <xf numFmtId="176" fontId="2" fillId="0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176" fontId="2" fillId="0" borderId="22" xfId="0" applyNumberFormat="1" applyFont="1" applyFill="1" applyBorder="1" applyAlignment="1">
      <alignment horizontal="center" vertical="center"/>
    </xf>
    <xf numFmtId="176" fontId="2" fillId="0" borderId="23" xfId="0" applyNumberFormat="1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176" fontId="2" fillId="2" borderId="26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6" fontId="2" fillId="3" borderId="28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33" xfId="0" applyNumberFormat="1" applyFont="1" applyFill="1" applyBorder="1" applyAlignment="1">
      <alignment horizontal="center" vertical="center"/>
    </xf>
    <xf numFmtId="176" fontId="2" fillId="2" borderId="33" xfId="0" applyNumberFormat="1" applyFont="1" applyFill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176" fontId="2" fillId="0" borderId="34" xfId="0" applyNumberFormat="1" applyFont="1" applyFill="1" applyBorder="1" applyAlignment="1">
      <alignment horizontal="center" vertical="center"/>
    </xf>
    <xf numFmtId="176" fontId="3" fillId="0" borderId="35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76" fontId="2" fillId="3" borderId="3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1">
    <cellStyle name="표준" xfId="0" builtinId="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ck">
          <color auto="1"/>
        </lef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colors>
    <mruColors>
      <color rgb="FF9966FF"/>
      <color rgb="FF3333FF"/>
      <color rgb="FF666633"/>
      <color rgb="FF3366FF"/>
      <color rgb="FF30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표4" displayName="표4" ref="B13:K27" totalsRowShown="0" headerRowDxfId="56" dataDxfId="54" headerRowBorderDxfId="55" tableBorderDxfId="53">
  <autoFilter ref="B13:K27"/>
  <tableColumns count="10">
    <tableColumn id="1" name="Equipment" dataDxfId="52"/>
    <tableColumn id="2" name="Type" dataDxfId="51"/>
    <tableColumn id="9" name="Number" dataDxfId="50"/>
    <tableColumn id="3" name="Potential" dataDxfId="49"/>
    <tableColumn id="4" name="Additioanl" dataDxfId="48"/>
    <tableColumn id="5" name="AO" dataDxfId="47"/>
    <tableColumn id="10" name="SC" dataDxfId="46"/>
    <tableColumn id="6" name="Vestige" dataDxfId="45"/>
    <tableColumn id="7" name="This Week" dataDxfId="44"/>
    <tableColumn id="8" name="Margin" dataDxfId="43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B13:K29" totalsRowShown="0" headerRowDxfId="42" dataDxfId="40" headerRowBorderDxfId="41" tableBorderDxfId="39" totalsRowBorderDxfId="38">
  <autoFilter ref="B13:K29"/>
  <tableColumns count="10">
    <tableColumn id="1" name="Equipment" dataDxfId="37"/>
    <tableColumn id="2" name="Type" dataDxfId="36"/>
    <tableColumn id="9" name="Number" dataDxfId="35"/>
    <tableColumn id="3" name="Potential" dataDxfId="34"/>
    <tableColumn id="4" name="Additioanl" dataDxfId="33"/>
    <tableColumn id="5" name="AO" dataDxfId="32"/>
    <tableColumn id="10" name="SC" dataDxfId="31"/>
    <tableColumn id="6" name="Vestige" dataDxfId="30"/>
    <tableColumn id="7" name="This Week" dataDxfId="29"/>
    <tableColumn id="8" name="Margin" dataDxfId="2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6" name="표4_7" displayName="표4_7" ref="B13:K27" totalsRowShown="0" headerRowDxfId="27" dataDxfId="25" headerRowBorderDxfId="26" tableBorderDxfId="24">
  <autoFilter ref="B13:K27"/>
  <tableColumns count="10">
    <tableColumn id="1" name="Equipment" dataDxfId="23"/>
    <tableColumn id="2" name="Type" dataDxfId="22"/>
    <tableColumn id="9" name="Number" dataDxfId="21"/>
    <tableColumn id="3" name="Potential" dataDxfId="20"/>
    <tableColumn id="4" name="Additioanl" dataDxfId="19"/>
    <tableColumn id="5" name="AO" dataDxfId="18"/>
    <tableColumn id="10" name="SC" dataDxfId="17"/>
    <tableColumn id="6" name="Vestige" dataDxfId="16"/>
    <tableColumn id="7" name="This Week" dataDxfId="15"/>
    <tableColumn id="8" name="Margin" dataDxfId="14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2" name="표4_73" displayName="표4_73" ref="B13:K27" totalsRowShown="0" headerRowDxfId="13" dataDxfId="11" headerRowBorderDxfId="12" tableBorderDxfId="10">
  <autoFilter ref="B13:K27"/>
  <tableColumns count="10">
    <tableColumn id="1" name="Equipment" dataDxfId="9"/>
    <tableColumn id="2" name="Type" dataDxfId="8"/>
    <tableColumn id="9" name="Number" dataDxfId="7"/>
    <tableColumn id="3" name="Potential" dataDxfId="6"/>
    <tableColumn id="4" name="Additioanl" dataDxfId="5"/>
    <tableColumn id="5" name="AO" dataDxfId="4"/>
    <tableColumn id="10" name="SC" dataDxfId="3"/>
    <tableColumn id="6" name="Vestige" dataDxfId="2"/>
    <tableColumn id="7" name="This Week" dataDxfId="1"/>
    <tableColumn id="8" name="Margi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topLeftCell="A10" zoomScaleNormal="100" workbookViewId="0">
      <selection activeCell="J50" sqref="J50"/>
    </sheetView>
  </sheetViews>
  <sheetFormatPr defaultRowHeight="16.5" x14ac:dyDescent="0.3"/>
  <cols>
    <col min="1" max="1" width="11.375" customWidth="1"/>
    <col min="2" max="2" width="19.125" customWidth="1"/>
    <col min="3" max="4" width="14" customWidth="1"/>
    <col min="5" max="5" width="16.75" customWidth="1"/>
    <col min="6" max="6" width="18.25" customWidth="1"/>
    <col min="7" max="7" width="14" customWidth="1"/>
    <col min="8" max="8" width="16.875" customWidth="1"/>
    <col min="9" max="9" width="15.75" customWidth="1"/>
    <col min="10" max="10" width="16.25" customWidth="1"/>
    <col min="11" max="11" width="14" customWidth="1"/>
    <col min="12" max="15" width="18.875" customWidth="1"/>
    <col min="16" max="18" width="20.375" customWidth="1"/>
  </cols>
  <sheetData>
    <row r="1" spans="2:16" x14ac:dyDescent="0.3">
      <c r="I1" s="11"/>
      <c r="J1" s="11"/>
      <c r="K1" s="1"/>
    </row>
    <row r="2" spans="2:16" x14ac:dyDescent="0.3">
      <c r="I2" s="11"/>
      <c r="J2" s="11"/>
      <c r="K2" s="1"/>
    </row>
    <row r="3" spans="2:16" x14ac:dyDescent="0.3">
      <c r="I3" s="11"/>
      <c r="J3" s="11"/>
      <c r="K3" s="1"/>
    </row>
    <row r="4" spans="2:16" x14ac:dyDescent="0.3">
      <c r="B4" s="7"/>
      <c r="I4" s="11"/>
      <c r="J4" s="11"/>
      <c r="K4" s="1"/>
    </row>
    <row r="5" spans="2:16" x14ac:dyDescent="0.3">
      <c r="B5" s="8"/>
      <c r="I5" s="11"/>
      <c r="J5" s="11"/>
      <c r="K5" s="1"/>
    </row>
    <row r="6" spans="2:16" x14ac:dyDescent="0.3">
      <c r="I6" s="11"/>
      <c r="J6" s="11"/>
      <c r="K6" s="1"/>
    </row>
    <row r="7" spans="2:16" ht="17.25" thickBot="1" x14ac:dyDescent="0.35">
      <c r="I7" s="11"/>
      <c r="J7" s="11"/>
      <c r="K7" s="1"/>
    </row>
    <row r="8" spans="2:16" ht="18" thickTop="1" thickBot="1" x14ac:dyDescent="0.35">
      <c r="B8" s="10" t="s">
        <v>10</v>
      </c>
      <c r="I8" s="11"/>
      <c r="J8" s="11"/>
      <c r="K8" s="1"/>
    </row>
    <row r="9" spans="2:16" ht="18" thickTop="1" thickBot="1" x14ac:dyDescent="0.35">
      <c r="B9" s="9">
        <f ca="1">NOW()</f>
        <v>44310.081865856482</v>
      </c>
      <c r="I9" s="11"/>
      <c r="J9" s="11"/>
      <c r="K9" s="1"/>
    </row>
    <row r="10" spans="2:16" ht="17.25" thickTop="1" x14ac:dyDescent="0.3">
      <c r="I10" s="11"/>
      <c r="J10" s="11"/>
      <c r="K10" s="1"/>
    </row>
    <row r="11" spans="2:16" x14ac:dyDescent="0.3">
      <c r="I11" s="11"/>
      <c r="J11" s="11"/>
      <c r="K11" s="1"/>
    </row>
    <row r="12" spans="2:16" ht="17.25" thickBot="1" x14ac:dyDescent="0.35">
      <c r="B12" s="8"/>
      <c r="I12" s="11"/>
      <c r="J12" s="11"/>
      <c r="K12" s="1"/>
    </row>
    <row r="13" spans="2:16" ht="18" customHeight="1" thickTop="1" thickBot="1" x14ac:dyDescent="0.35">
      <c r="B13" s="44" t="s">
        <v>6</v>
      </c>
      <c r="C13" s="45" t="s">
        <v>4</v>
      </c>
      <c r="D13" s="45" t="s">
        <v>64</v>
      </c>
      <c r="E13" s="45" t="s">
        <v>7</v>
      </c>
      <c r="F13" s="45" t="s">
        <v>8</v>
      </c>
      <c r="G13" s="45" t="s">
        <v>11</v>
      </c>
      <c r="H13" s="45" t="s">
        <v>74</v>
      </c>
      <c r="I13" s="45" t="s">
        <v>12</v>
      </c>
      <c r="J13" s="45" t="s">
        <v>9</v>
      </c>
      <c r="K13" s="52" t="s">
        <v>3</v>
      </c>
      <c r="M13" s="88" t="s">
        <v>89</v>
      </c>
      <c r="N13" s="89"/>
      <c r="O13" s="89"/>
      <c r="P13" s="90"/>
    </row>
    <row r="14" spans="2:16" ht="17.25" thickTop="1" x14ac:dyDescent="0.3">
      <c r="B14" s="75" t="s">
        <v>22</v>
      </c>
      <c r="C14" s="74" t="s">
        <v>75</v>
      </c>
      <c r="D14" s="74">
        <v>9</v>
      </c>
      <c r="E14" s="74" t="s">
        <v>76</v>
      </c>
      <c r="F14" s="74" t="s">
        <v>88</v>
      </c>
      <c r="G14" s="74">
        <v>90</v>
      </c>
      <c r="H14" s="12">
        <v>10</v>
      </c>
      <c r="I14" s="12">
        <v>70</v>
      </c>
      <c r="J14" s="15">
        <v>30000</v>
      </c>
      <c r="K14" s="76">
        <v>13200</v>
      </c>
      <c r="L14" s="17"/>
      <c r="M14" s="91"/>
      <c r="N14" s="92"/>
      <c r="O14" s="92"/>
      <c r="P14" s="93"/>
    </row>
    <row r="15" spans="2:16" x14ac:dyDescent="0.3">
      <c r="B15" s="75" t="s">
        <v>84</v>
      </c>
      <c r="C15" s="74" t="s">
        <v>75</v>
      </c>
      <c r="D15" s="74">
        <v>9</v>
      </c>
      <c r="E15" s="74" t="s">
        <v>1</v>
      </c>
      <c r="F15" s="74" t="s">
        <v>88</v>
      </c>
      <c r="G15" s="74">
        <v>100</v>
      </c>
      <c r="H15" s="12">
        <v>10</v>
      </c>
      <c r="I15" s="12">
        <v>70</v>
      </c>
      <c r="J15" s="15">
        <v>30600</v>
      </c>
      <c r="K15" s="76">
        <v>11600</v>
      </c>
      <c r="L15" s="17"/>
      <c r="M15" s="91"/>
      <c r="N15" s="92"/>
      <c r="O15" s="92"/>
      <c r="P15" s="93"/>
    </row>
    <row r="16" spans="2:16" x14ac:dyDescent="0.3">
      <c r="B16" s="79" t="s">
        <v>58</v>
      </c>
      <c r="C16" s="80" t="s">
        <v>85</v>
      </c>
      <c r="D16" s="77">
        <v>1</v>
      </c>
      <c r="E16" s="80" t="s">
        <v>78</v>
      </c>
      <c r="F16" s="80" t="s">
        <v>86</v>
      </c>
      <c r="G16" s="80">
        <v>90</v>
      </c>
      <c r="H16" s="80">
        <v>10</v>
      </c>
      <c r="I16" s="80">
        <v>70</v>
      </c>
      <c r="J16" s="81">
        <v>17000</v>
      </c>
      <c r="K16" s="82">
        <v>11100</v>
      </c>
      <c r="L16" s="17"/>
      <c r="M16" s="91"/>
      <c r="N16" s="92"/>
      <c r="O16" s="92"/>
      <c r="P16" s="93"/>
    </row>
    <row r="17" spans="2:16" x14ac:dyDescent="0.3">
      <c r="B17" s="75" t="s">
        <v>24</v>
      </c>
      <c r="C17" s="74" t="s">
        <v>75</v>
      </c>
      <c r="D17" s="74">
        <v>5</v>
      </c>
      <c r="E17" s="74" t="s">
        <v>2</v>
      </c>
      <c r="F17" s="74" t="s">
        <v>88</v>
      </c>
      <c r="G17" s="74">
        <v>100</v>
      </c>
      <c r="H17" s="12">
        <v>10</v>
      </c>
      <c r="I17" s="12">
        <v>30</v>
      </c>
      <c r="J17" s="14">
        <v>22200</v>
      </c>
      <c r="K17" s="76">
        <v>12700</v>
      </c>
      <c r="L17" s="16"/>
      <c r="M17" s="91"/>
      <c r="N17" s="92"/>
      <c r="O17" s="92"/>
      <c r="P17" s="93"/>
    </row>
    <row r="18" spans="2:16" x14ac:dyDescent="0.3">
      <c r="B18" s="75" t="s">
        <v>22</v>
      </c>
      <c r="C18" s="74" t="s">
        <v>87</v>
      </c>
      <c r="D18" s="74">
        <v>9</v>
      </c>
      <c r="E18" s="74" t="s">
        <v>1</v>
      </c>
      <c r="F18" s="74" t="s">
        <v>5</v>
      </c>
      <c r="G18" s="74">
        <v>100</v>
      </c>
      <c r="H18" s="12">
        <v>10</v>
      </c>
      <c r="I18" s="12">
        <v>30</v>
      </c>
      <c r="J18" s="14">
        <v>30000</v>
      </c>
      <c r="K18" s="76">
        <v>12000</v>
      </c>
      <c r="L18" s="16"/>
      <c r="M18" s="91"/>
      <c r="N18" s="92"/>
      <c r="O18" s="92"/>
      <c r="P18" s="93"/>
    </row>
    <row r="19" spans="2:16" x14ac:dyDescent="0.3">
      <c r="B19" s="75" t="s">
        <v>58</v>
      </c>
      <c r="C19" s="74" t="s">
        <v>75</v>
      </c>
      <c r="D19" s="74">
        <v>7</v>
      </c>
      <c r="E19" s="74" t="s">
        <v>1</v>
      </c>
      <c r="F19" s="74" t="s">
        <v>5</v>
      </c>
      <c r="G19" s="74">
        <v>100</v>
      </c>
      <c r="H19" s="12">
        <v>10</v>
      </c>
      <c r="I19" s="12">
        <v>30</v>
      </c>
      <c r="J19" s="14">
        <v>33300</v>
      </c>
      <c r="K19" s="76">
        <v>15600</v>
      </c>
      <c r="L19" s="16"/>
      <c r="M19" s="91"/>
      <c r="N19" s="92"/>
      <c r="O19" s="92"/>
      <c r="P19" s="93"/>
    </row>
    <row r="20" spans="2:16" x14ac:dyDescent="0.3">
      <c r="B20" s="75" t="s">
        <v>58</v>
      </c>
      <c r="C20" s="74" t="s">
        <v>75</v>
      </c>
      <c r="D20" s="74">
        <v>7</v>
      </c>
      <c r="E20" s="74" t="s">
        <v>1</v>
      </c>
      <c r="F20" s="74" t="s">
        <v>88</v>
      </c>
      <c r="G20" s="74">
        <v>100</v>
      </c>
      <c r="H20" s="12">
        <v>10</v>
      </c>
      <c r="I20" s="12">
        <v>30</v>
      </c>
      <c r="J20" s="14">
        <v>44500</v>
      </c>
      <c r="K20" s="76">
        <v>25800</v>
      </c>
      <c r="L20" s="16"/>
      <c r="M20" s="91"/>
      <c r="N20" s="92"/>
      <c r="O20" s="92"/>
      <c r="P20" s="93"/>
    </row>
    <row r="21" spans="2:16" x14ac:dyDescent="0.3">
      <c r="B21" s="75" t="s">
        <v>58</v>
      </c>
      <c r="C21" s="74" t="s">
        <v>75</v>
      </c>
      <c r="D21" s="74">
        <v>7</v>
      </c>
      <c r="E21" s="74" t="s">
        <v>1</v>
      </c>
      <c r="F21" s="74" t="s">
        <v>88</v>
      </c>
      <c r="G21" s="74">
        <v>110</v>
      </c>
      <c r="H21" s="12">
        <v>10</v>
      </c>
      <c r="I21" s="12">
        <v>30</v>
      </c>
      <c r="J21" s="14">
        <v>50000</v>
      </c>
      <c r="K21" s="76">
        <v>26700</v>
      </c>
      <c r="L21" s="16"/>
      <c r="M21" s="91"/>
      <c r="N21" s="92"/>
      <c r="O21" s="92"/>
      <c r="P21" s="93"/>
    </row>
    <row r="22" spans="2:16" x14ac:dyDescent="0.3">
      <c r="B22" s="83"/>
      <c r="C22" s="80"/>
      <c r="D22" s="80"/>
      <c r="E22" s="80"/>
      <c r="F22" s="80"/>
      <c r="G22" s="80"/>
      <c r="H22" s="80"/>
      <c r="I22" s="80"/>
      <c r="J22" s="80"/>
      <c r="K22" s="84"/>
      <c r="L22" s="16"/>
      <c r="M22" s="91"/>
      <c r="N22" s="92"/>
      <c r="O22" s="92"/>
      <c r="P22" s="93"/>
    </row>
    <row r="23" spans="2:16" x14ac:dyDescent="0.3">
      <c r="B23" s="42"/>
      <c r="C23" s="12"/>
      <c r="D23" s="12"/>
      <c r="E23" s="12"/>
      <c r="F23" s="12"/>
      <c r="G23" s="12"/>
      <c r="H23" s="12"/>
      <c r="I23" s="12"/>
      <c r="J23" s="12"/>
      <c r="K23" s="51"/>
      <c r="L23" s="16"/>
      <c r="M23" s="91"/>
      <c r="N23" s="92"/>
      <c r="O23" s="92"/>
      <c r="P23" s="93"/>
    </row>
    <row r="24" spans="2:16" x14ac:dyDescent="0.3">
      <c r="B24" s="42"/>
      <c r="C24" s="12"/>
      <c r="D24" s="12"/>
      <c r="E24" s="12"/>
      <c r="F24" s="12"/>
      <c r="G24" s="12"/>
      <c r="H24" s="12"/>
      <c r="I24" s="12"/>
      <c r="J24" s="12"/>
      <c r="K24" s="51"/>
      <c r="L24" s="16"/>
      <c r="M24" s="91"/>
      <c r="N24" s="92"/>
      <c r="O24" s="92"/>
      <c r="P24" s="93"/>
    </row>
    <row r="25" spans="2:16" x14ac:dyDescent="0.3">
      <c r="B25" s="42"/>
      <c r="C25" s="12"/>
      <c r="D25" s="12"/>
      <c r="E25" s="12"/>
      <c r="F25" s="12"/>
      <c r="G25" s="12"/>
      <c r="H25" s="12"/>
      <c r="I25" s="12"/>
      <c r="J25" s="12"/>
      <c r="K25" s="51"/>
      <c r="L25" s="16"/>
      <c r="M25" s="91"/>
      <c r="N25" s="92"/>
      <c r="O25" s="92"/>
      <c r="P25" s="93"/>
    </row>
    <row r="26" spans="2:16" x14ac:dyDescent="0.3">
      <c r="B26" s="42"/>
      <c r="C26" s="12"/>
      <c r="D26" s="12"/>
      <c r="E26" s="12"/>
      <c r="F26" s="12"/>
      <c r="G26" s="12"/>
      <c r="H26" s="12"/>
      <c r="I26" s="12"/>
      <c r="J26" s="12"/>
      <c r="K26" s="51"/>
      <c r="L26" s="16"/>
      <c r="M26" s="91"/>
      <c r="N26" s="92"/>
      <c r="O26" s="92"/>
      <c r="P26" s="93"/>
    </row>
    <row r="27" spans="2:16" ht="17.25" thickBot="1" x14ac:dyDescent="0.35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16"/>
      <c r="M27" s="91"/>
      <c r="N27" s="92"/>
      <c r="O27" s="92"/>
      <c r="P27" s="93"/>
    </row>
    <row r="28" spans="2:16" ht="17.25" thickTop="1" x14ac:dyDescent="0.3">
      <c r="B28" s="3"/>
      <c r="C28" s="3"/>
      <c r="D28" s="3"/>
      <c r="E28" s="3"/>
      <c r="F28" s="3"/>
      <c r="G28" s="3"/>
      <c r="H28" s="3"/>
      <c r="I28" s="3"/>
      <c r="J28" s="5"/>
      <c r="K28" s="18"/>
      <c r="M28" s="91"/>
      <c r="N28" s="92"/>
      <c r="O28" s="92"/>
      <c r="P28" s="93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6"/>
      <c r="K29" s="19"/>
      <c r="M29" s="91"/>
      <c r="N29" s="92"/>
      <c r="O29" s="92"/>
      <c r="P29" s="93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6"/>
      <c r="K30" s="19"/>
      <c r="M30" s="91"/>
      <c r="N30" s="92"/>
      <c r="O30" s="92"/>
      <c r="P30" s="93"/>
    </row>
    <row r="31" spans="2:16" ht="17.25" thickBot="1" x14ac:dyDescent="0.35">
      <c r="B31" s="2"/>
      <c r="C31" s="2"/>
      <c r="D31" s="2"/>
      <c r="E31" s="2"/>
      <c r="F31" s="2"/>
      <c r="G31" s="2"/>
      <c r="H31" s="2"/>
      <c r="I31" s="2"/>
      <c r="J31" s="6"/>
      <c r="K31" s="19"/>
      <c r="M31" s="94"/>
      <c r="N31" s="95"/>
      <c r="O31" s="95"/>
      <c r="P31" s="96"/>
    </row>
    <row r="32" spans="2:16" ht="17.25" thickTop="1" x14ac:dyDescent="0.3">
      <c r="B32" s="2"/>
      <c r="C32" s="2"/>
      <c r="D32" s="2"/>
      <c r="E32" s="2"/>
      <c r="F32" s="2"/>
      <c r="G32" s="2"/>
      <c r="H32" s="2"/>
      <c r="I32" s="2"/>
      <c r="J32" s="6"/>
      <c r="K32" s="19"/>
    </row>
    <row r="33" spans="2:22" x14ac:dyDescent="0.3">
      <c r="B33" s="2"/>
      <c r="C33" s="2"/>
      <c r="D33" s="2"/>
      <c r="E33" s="2"/>
      <c r="F33" s="2"/>
      <c r="G33" s="2"/>
      <c r="H33" s="2"/>
      <c r="I33" s="2"/>
      <c r="J33" s="2"/>
      <c r="K33" s="19"/>
    </row>
    <row r="34" spans="2:22" ht="17.25" thickBot="1" x14ac:dyDescent="0.35"/>
    <row r="35" spans="2:22" ht="18" thickTop="1" thickBot="1" x14ac:dyDescent="0.35">
      <c r="B35" s="10" t="s">
        <v>16</v>
      </c>
      <c r="C35" s="10" t="s">
        <v>20</v>
      </c>
      <c r="D35" s="28"/>
      <c r="E35" s="10" t="s">
        <v>27</v>
      </c>
      <c r="F35" s="10" t="s">
        <v>20</v>
      </c>
      <c r="H35" s="10" t="s">
        <v>18</v>
      </c>
      <c r="I35" s="10" t="s">
        <v>19</v>
      </c>
      <c r="K35" s="61" t="s">
        <v>6</v>
      </c>
      <c r="L35" s="62" t="s">
        <v>57</v>
      </c>
    </row>
    <row r="36" spans="2:22" ht="17.25" thickTop="1" x14ac:dyDescent="0.3">
      <c r="B36" s="30" t="s">
        <v>59</v>
      </c>
      <c r="C36" s="33">
        <f>COUNTIF($B$14:$B$27,"Hat")</f>
        <v>1</v>
      </c>
      <c r="D36" s="28"/>
      <c r="E36" s="30" t="s">
        <v>54</v>
      </c>
      <c r="F36" s="33" t="str">
        <f>IF(COUNTIFS($C$14:$C$27,"W_E_R",$E$14:$E$27,"NI",$F$14:$F$27,"SA")=0," ",COUNTIFS($C$14:$C$27,"W_E_R",$E$14:$E$27,"NI",$F$14:$F$27,"SA"))</f>
        <v xml:space="preserve"> </v>
      </c>
      <c r="H36" s="40" t="s">
        <v>71</v>
      </c>
      <c r="I36" s="41">
        <f>IF(COUNTIFS($G$14:$G$39,"90",$I$14:$I$39,"70")=0," ",COUNTIFS($G$14:$G$39,"90",$I$14:$I$39,"70"))</f>
        <v>2</v>
      </c>
      <c r="K36" s="63" t="str">
        <f>INDEX($B$14:$B$27,MATCH(LARGE($K$14:$K$27,1),$K$14:$K$27,0))</f>
        <v>Pants</v>
      </c>
      <c r="L36" s="64">
        <f>LARGE($K$14:K27,1)</f>
        <v>26700</v>
      </c>
    </row>
    <row r="37" spans="2:22" x14ac:dyDescent="0.3">
      <c r="B37" s="40" t="s">
        <v>22</v>
      </c>
      <c r="C37" s="41">
        <f>COUNTIF($B$14:$B$27,"Top")</f>
        <v>3</v>
      </c>
      <c r="D37" s="28"/>
      <c r="E37" s="31" t="s">
        <v>101</v>
      </c>
      <c r="F37" s="34">
        <f>IF(COUNTIFS($C$14:$C$27,"W_E_R",$E$14:$E$27,"NI",$F$14:$F$27,"DA")=0," ",COUNTIFS($C$14:$C$27,"W_E_R",$E$14:$E$27,"NI",$F$14:$F$27,"DA"))</f>
        <v>1</v>
      </c>
      <c r="H37" s="31" t="s">
        <v>72</v>
      </c>
      <c r="I37" s="48" t="str">
        <f>IF(COUNTIFS($G$14:$G$39,"90",$I$14:$I$39,"30")=0," ",COUNTIFS($G$14:$G$39,"90",$I$14:$I$39,"30"))</f>
        <v xml:space="preserve"> </v>
      </c>
      <c r="K37" s="63" t="str">
        <f>INDEX($B$14:$B$27,MATCH(LARGE($K$14:$K$27,2),$K$14:$K$27,0))</f>
        <v>Pants</v>
      </c>
      <c r="L37" s="47">
        <f>LARGE($K$14:K28,2)</f>
        <v>25800</v>
      </c>
    </row>
    <row r="38" spans="2:22" ht="17.25" thickBot="1" x14ac:dyDescent="0.35">
      <c r="B38" s="38" t="s">
        <v>58</v>
      </c>
      <c r="C38" s="39">
        <f>COUNTIF($B$14:$B$27,"Pants")</f>
        <v>4</v>
      </c>
      <c r="D38" s="28"/>
      <c r="E38" s="40" t="s">
        <v>55</v>
      </c>
      <c r="F38" s="41">
        <f>IF(COUNTIFS($C$14:$C$27,"W_E_R",$E$14:$E$27,"SI",$F$14:$F$27,"SA")=0," ",COUNTIFS($C$14:$C$27,"W_E_R",$E$14:$E$27,"SI",$F$14:$F$27,"SA"))</f>
        <v>2</v>
      </c>
      <c r="H38" s="31" t="s">
        <v>68</v>
      </c>
      <c r="I38" s="34">
        <f>IF(COUNTIFS($G$14:$G$39,"100",$I$14:$I$39,"70")=0," ",COUNTIFS($G$14:$G$39,"100",$I$14:$I$39,"70"))</f>
        <v>1</v>
      </c>
      <c r="K38" s="63" t="str">
        <f>INDEX($B$14:$B$27,MATCH(LARGE($K$14:$K$27,3),$K$14:$K$27,0))</f>
        <v>Pants</v>
      </c>
      <c r="L38" s="47">
        <f>LARGE($K$14:K33,3)</f>
        <v>15600</v>
      </c>
    </row>
    <row r="39" spans="2:22" ht="17.25" thickTop="1" x14ac:dyDescent="0.3">
      <c r="B39" s="11"/>
      <c r="C39" s="11"/>
      <c r="D39" s="28"/>
      <c r="E39" s="26" t="s">
        <v>102</v>
      </c>
      <c r="F39" s="27">
        <f>IF(COUNTIFS($C$14:$C$27,"W_E_R",$E$14:$E$27,"SI",$F$14:$F$27,"DA")=0," ",COUNTIFS($C$14:$C$27,"W_E_R",$E$14:$E$27,"SI",$F$14:$F$27,"DA"))</f>
        <v>4</v>
      </c>
      <c r="H39" s="26" t="s">
        <v>69</v>
      </c>
      <c r="I39" s="47">
        <f>IF(COUNTIFS($G$14:$G$39,"100",$I$14:$I$39,"30")=0," ",COUNTIFS($G$14:$G$39,"100",$I$14:$I$39,"30"))</f>
        <v>4</v>
      </c>
      <c r="K39" s="85" t="str">
        <f>INDEX($B$14:$B$27,MATCH(LARGE($K$14:$K$27,4),$K$14:$K$27,0))</f>
        <v>Top</v>
      </c>
      <c r="L39" s="69">
        <f>LARGE($K$14:K34,4)</f>
        <v>13200</v>
      </c>
    </row>
    <row r="40" spans="2:22" ht="17.25" thickBot="1" x14ac:dyDescent="0.35">
      <c r="B40" s="11"/>
      <c r="C40" s="11"/>
      <c r="D40" s="28"/>
      <c r="E40" s="31" t="s">
        <v>56</v>
      </c>
      <c r="F40" s="34">
        <f>IF(COUNTIFS($C$14:$C$27,"W_E_E",$E$14:$E$27,"NI",$F$14:$F$27,"SA")=0," ",COUNTIFS($C$14:$C$27,"W_E_E",$E$14:$E$27,"NI",$F$14:$F$27,"SA"))</f>
        <v>1</v>
      </c>
      <c r="H40" s="31" t="s">
        <v>65</v>
      </c>
      <c r="I40" s="34" t="str">
        <f>IF(COUNTIFS($G$14:$G$39,"110",$I$14:$I$39,"70")=0," ",COUNTIFS($G$14:$G$39,"110",$I$14:$I$39,"70"))</f>
        <v xml:space="preserve"> </v>
      </c>
      <c r="J40" s="28"/>
      <c r="K40" s="38" t="str">
        <f>INDEX($B$14:$B$27,MATCH(LARGE($K$14:$K$27,5),$K$14:$K$27,0))</f>
        <v>Hat</v>
      </c>
      <c r="L40" s="56">
        <f>LARGE($K$14:K35,5)</f>
        <v>12700</v>
      </c>
      <c r="O40" s="28"/>
    </row>
    <row r="41" spans="2:22" ht="17.25" thickTop="1" x14ac:dyDescent="0.3">
      <c r="B41" s="11"/>
      <c r="C41" s="11"/>
      <c r="D41" s="28"/>
      <c r="E41" s="22" t="s">
        <v>103</v>
      </c>
      <c r="F41" s="23" t="str">
        <f>IF(COUNTIFS($C$14:$C$27,"W_E_E",$E$14:$E$27,"NI",$F$14:$F$27,"DA")=0," ",COUNTIFS($C$14:$C$27,"W_E_E",$E$14:$E$27,"NI",$F$14:$F$27,"DA"))</f>
        <v xml:space="preserve"> </v>
      </c>
      <c r="H41" s="31" t="s">
        <v>66</v>
      </c>
      <c r="I41" s="48">
        <f>IF(COUNTIFS($G$14:$G$39,"110",$I$14:$I$39,"30")=0," ",COUNTIFS($G$14:$G$39,"110",$I$14:$I$39,"30"))</f>
        <v>1</v>
      </c>
      <c r="J41" s="28"/>
      <c r="K41" s="28"/>
      <c r="L41" s="28"/>
      <c r="O41" s="28"/>
    </row>
    <row r="42" spans="2:22" x14ac:dyDescent="0.3">
      <c r="B42" s="11"/>
      <c r="C42" s="11"/>
      <c r="D42" s="28"/>
      <c r="E42" s="22" t="s">
        <v>104</v>
      </c>
      <c r="F42" s="23" t="str">
        <f>IF(COUNTIFS($C$14:$C$27,"W_E_E",$E$14:$E$27,"NI",$F$14:$F$27,"DA(80)")=0," ",COUNTIFS($C$14:$C$27,"W_E_E",$E$14:$E$27,"NI",$F$14:$F$27,"DA(80)"))</f>
        <v xml:space="preserve"> </v>
      </c>
      <c r="H42" s="31" t="s">
        <v>73</v>
      </c>
      <c r="I42" s="48" t="str">
        <f>IF(COUNTIFS($G$14:$G$39,"90",$I$14:$I$39,"PW")=0," ",COUNTIFS($G$14:$G$39,"90",$I$14:$I$39,"PW"))</f>
        <v xml:space="preserve"> </v>
      </c>
    </row>
    <row r="43" spans="2:22" x14ac:dyDescent="0.3">
      <c r="B43" s="11"/>
      <c r="C43" s="11"/>
      <c r="D43" s="28"/>
      <c r="E43" s="22" t="s">
        <v>17</v>
      </c>
      <c r="F43" s="23" t="str">
        <f>IF(COUNTIFS($C$14:$C$27,"W_E_E",$E$14:$E$27,"SI",$F$14:$F$27,"SA")=0," ",COUNTIFS($C$14:$C$27,"W_E_E",$E$14:$E$27,"SI",$F$14:$F$27,"SA"))</f>
        <v xml:space="preserve"> </v>
      </c>
      <c r="H43" s="31" t="s">
        <v>70</v>
      </c>
      <c r="I43" s="57" t="str">
        <f>IF(COUNTIFS($G$14:$G$39,"100",$I$14:$I$39,"PW")=0," ",COUNTIFS($G$14:$G$39,"100",$I$14:$I$39,"PW"))</f>
        <v xml:space="preserve"> </v>
      </c>
      <c r="J43" s="28"/>
      <c r="K43" s="28"/>
    </row>
    <row r="44" spans="2:22" ht="17.25" thickBot="1" x14ac:dyDescent="0.35">
      <c r="B44" s="11"/>
      <c r="C44" s="11"/>
      <c r="D44" s="28"/>
      <c r="E44" s="24" t="s">
        <v>105</v>
      </c>
      <c r="F44" s="25" t="str">
        <f>IF(COUNTIFS($C$14:$C$27,"W_E_E",$E$14:$E$27,"SI",$F$14:$F$27,"DA")=0," ",COUNTIFS($C$14:$C$27,"W_E_E",$E$14:$E$27,"SI",$F$14:$F$27,"DA"))</f>
        <v xml:space="preserve"> </v>
      </c>
      <c r="H44" s="32" t="s">
        <v>67</v>
      </c>
      <c r="I44" s="58" t="str">
        <f>IF(COUNTIFS($G$14:$G$39,"110",$I$14:$I$39,"PW")=0," ",COUNTIFS($G$14:$G$39,"110",$I$14:$I$39,"PW"))</f>
        <v xml:space="preserve"> </v>
      </c>
      <c r="J44" s="28"/>
      <c r="K44" s="28"/>
    </row>
    <row r="45" spans="2:22" ht="17.25" thickTop="1" x14ac:dyDescent="0.3">
      <c r="D45" s="66"/>
      <c r="J45" s="28"/>
      <c r="K45" s="28"/>
      <c r="L45" s="6"/>
      <c r="O45" s="6"/>
      <c r="S45" s="6"/>
      <c r="T45" s="6"/>
      <c r="U45" s="16"/>
      <c r="V45" s="17"/>
    </row>
    <row r="46" spans="2:22" x14ac:dyDescent="0.3">
      <c r="D46" s="66"/>
      <c r="J46" s="28"/>
      <c r="K46" s="28"/>
      <c r="L46" s="6"/>
      <c r="O46" s="6"/>
      <c r="S46" s="6"/>
      <c r="T46" s="6"/>
      <c r="U46" s="16"/>
      <c r="V46" s="17"/>
    </row>
    <row r="47" spans="2:22" ht="17.25" thickBot="1" x14ac:dyDescent="0.35">
      <c r="D47" s="66"/>
      <c r="J47" s="28"/>
      <c r="K47" s="28"/>
      <c r="L47" s="6"/>
      <c r="O47" s="6"/>
      <c r="S47" s="6"/>
      <c r="T47" s="6"/>
      <c r="U47" s="16"/>
      <c r="V47" s="17"/>
    </row>
    <row r="48" spans="2:22" ht="18" thickTop="1" thickBot="1" x14ac:dyDescent="0.35">
      <c r="B48" s="10" t="s">
        <v>38</v>
      </c>
      <c r="C48" s="10" t="s">
        <v>20</v>
      </c>
      <c r="D48" s="67"/>
      <c r="E48" s="10" t="s">
        <v>39</v>
      </c>
      <c r="F48" s="10" t="s">
        <v>20</v>
      </c>
      <c r="G48" s="29"/>
      <c r="H48" s="10" t="s">
        <v>40</v>
      </c>
      <c r="I48" s="10" t="s">
        <v>20</v>
      </c>
      <c r="J48" s="28"/>
      <c r="K48" s="28"/>
      <c r="L48" s="6"/>
      <c r="O48" s="6"/>
      <c r="S48" s="6"/>
      <c r="T48" s="6"/>
      <c r="U48" s="16"/>
      <c r="V48" s="17"/>
    </row>
    <row r="49" spans="2:13" ht="17.25" thickTop="1" x14ac:dyDescent="0.3">
      <c r="B49" s="30" t="s">
        <v>25</v>
      </c>
      <c r="C49" s="21" t="str">
        <f>IF(COUNTIFS($B$14:$B$27,"Hat",$C$14:$C$27,"W_E_R",$E$14:$E$27,"NI",$F$14:$F$27,"SA")=0," ",COUNTIFS($B$14:$B$27,"Hat",$C$14:$C$27,"W_E_R",$E$14:$E$27,"NI",$F$14:$F$27,"SA"))</f>
        <v xml:space="preserve"> </v>
      </c>
      <c r="D49" s="28"/>
      <c r="E49" s="30" t="s">
        <v>30</v>
      </c>
      <c r="F49" s="21" t="str">
        <f>IF(COUNTIFS($B$14:$B$27,"Top",$C$14:$C$27,"W_E_R",$E$14:$E$27,"NI",$F$14:$F$27,"SA")=0," ",COUNTIFS($B$14:$B$27,"Top",$C$14:$C$27,"W_E_R",$E$14:$E$27,"NI",$F$14:$F$27,"SA"))</f>
        <v xml:space="preserve"> </v>
      </c>
      <c r="G49" s="28"/>
      <c r="H49" s="30" t="s">
        <v>32</v>
      </c>
      <c r="I49" s="21" t="str">
        <f>IF(COUNTIFS($B$14:$B$27,"Pants",$C$14:$C$27,"W_E_R",$E$14:$E$27,"NI",$F$14:$F$27,"SA")=0," ",COUNTIFS($B$14:$B$27,"Pants",$C$14:$C$27,"W_E_R",$E$14:$E$27,"NI",$F$14:$F$27,"SA"))</f>
        <v xml:space="preserve"> </v>
      </c>
    </row>
    <row r="50" spans="2:13" x14ac:dyDescent="0.3">
      <c r="B50" s="31" t="s">
        <v>106</v>
      </c>
      <c r="C50" s="34">
        <f>IF(COUNTIFS($B$14:$B$27,"Hat",$C$14:$C$27,"W_E_R",$E$14:$E$27,"NI",$F$14:$F$27,"DA")=0," ",COUNTIFS($B$14:$B$27,"Hat",$C$14:$C$27,"W_E_R",$E$14:$E$27,"NI",$F$14:$F$27,"DA"))</f>
        <v>1</v>
      </c>
      <c r="D50" s="28"/>
      <c r="E50" s="31" t="s">
        <v>107</v>
      </c>
      <c r="F50" s="34" t="str">
        <f>IF(COUNTIFS($B$14:$B$27,"Top",$C$14:$C$27,"W_E_R",$E$14:$E$27,"NI",$F$14:$F$27,"DA")=0," ",COUNTIFS($B$14:$B$27,"Top",$C$14:$C$27,"W_E_R",$E$14:$E$27,"NI",$F$14:$F$27,"DA"))</f>
        <v xml:space="preserve"> </v>
      </c>
      <c r="G50" s="28"/>
      <c r="H50" s="31" t="s">
        <v>108</v>
      </c>
      <c r="I50" s="23" t="str">
        <f>IF(COUNTIFS($B$14:$B$27,"Pants",$C$14:$C$27,"W_E_R",$E$14:$E$27,"NI",$F$14:$F$27,"DA")=0," ",COUNTIFS($B$14:$B$27,"Pants",$C$14:$C$27,"W_E_R",$E$14:$E$27,"NI",$F$14:$F$27,"DA"))</f>
        <v xml:space="preserve"> </v>
      </c>
      <c r="J50" s="28"/>
      <c r="K50" s="28"/>
    </row>
    <row r="51" spans="2:13" x14ac:dyDescent="0.3">
      <c r="B51" s="31" t="s">
        <v>26</v>
      </c>
      <c r="C51" s="23" t="str">
        <f>IF(COUNTIFS($B$14:$B$27,"Hat",$C$14:$C$27,"W_E_R",$E$14:$E$27,"SI",$F$14:$F$27,"SA")=0," ",COUNTIFS($B$14:$B$27,"Hat",$C$14:$C$27,"W_E_R",$E$14:$E$27,"SI",$F$14:$F$27,"SA"))</f>
        <v xml:space="preserve"> </v>
      </c>
      <c r="D51" s="28"/>
      <c r="E51" s="31" t="s">
        <v>31</v>
      </c>
      <c r="F51" s="34">
        <f>IF(COUNTIFS($B$14:$B$27,"Top",$C$14:$C$27,"W_E_R",$E$14:$E$27,"SI",$F$14:$F$27,"SA")=0," ",COUNTIFS($B$14:$B$27,"Top",$C$14:$C$27,"W_E_R",$E$14:$E$27,"SI",$F$14:$F$27,"SA"))</f>
        <v>1</v>
      </c>
      <c r="G51" s="28"/>
      <c r="H51" s="31" t="s">
        <v>33</v>
      </c>
      <c r="I51" s="23">
        <f>IF(COUNTIFS($B$14:$B$27,"Pants",$C$14:$C$27,"W_E_R",$E$14:$E$27,"SI",$F$14:$F$27,"SA")=0," ",COUNTIFS($B$14:$B$27,"Pants",$C$14:$C$27,"W_E_R",$E$14:$E$27,"SI",$F$14:$F$27,"SA"))</f>
        <v>1</v>
      </c>
      <c r="J51" s="28"/>
      <c r="K51" s="28"/>
    </row>
    <row r="52" spans="2:13" ht="17.25" thickBot="1" x14ac:dyDescent="0.35">
      <c r="B52" s="32" t="s">
        <v>109</v>
      </c>
      <c r="C52" s="25" t="str">
        <f>IF(COUNTIFS($B$14:$B$27,"Hat",$C$14:$C$27,"W_E_R",$E$14:$E$27,"SI",$F$14:$F$27,"DA")=0," ",COUNTIFS($B$14:$B$27,"Hat",$C$14:$C$27,"W_E_R",$E$14:$E$27,"SI",$F$14:$F$27,"DA"))</f>
        <v xml:space="preserve"> </v>
      </c>
      <c r="D52" s="28"/>
      <c r="E52" s="38" t="s">
        <v>110</v>
      </c>
      <c r="F52" s="39">
        <f>IF(COUNTIFS($B$14:$B$27,"Top",$C$14:$C$27,"W_E_R",$E$14:$E$27,"SI",$F$14:$F$27,"DA")=0," ",COUNTIFS($B$14:$B$27,"Top",$C$14:$C$27,"W_E_R",$E$14:$E$27,"SI",$F$14:$F$27,"DA"))</f>
        <v>2</v>
      </c>
      <c r="G52" s="28"/>
      <c r="H52" s="38" t="s">
        <v>111</v>
      </c>
      <c r="I52" s="39">
        <f>IF(COUNTIFS($B$14:$B$27,"Pants",$C$14:$C$27,"W_E_R",$E$14:$E$27,"SI",$F$14:$F$27,"DA")=0," ",COUNTIFS($B$14:$B$27,"Pants",$C$14:$C$27,"W_E_R",$E$14:$E$27,"SI",$F$14:$F$27,"DA"))</f>
        <v>2</v>
      </c>
      <c r="J52" s="28"/>
      <c r="K52" s="28"/>
    </row>
    <row r="53" spans="2:13" ht="18" thickTop="1" thickBot="1" x14ac:dyDescent="0.35">
      <c r="D53" s="66"/>
      <c r="J53" s="28"/>
      <c r="K53" s="28"/>
    </row>
    <row r="54" spans="2:13" ht="18" thickTop="1" thickBot="1" x14ac:dyDescent="0.35">
      <c r="B54" s="10" t="s">
        <v>43</v>
      </c>
      <c r="C54" s="10" t="s">
        <v>20</v>
      </c>
      <c r="D54" s="67"/>
      <c r="E54" s="10" t="s">
        <v>42</v>
      </c>
      <c r="F54" s="10" t="s">
        <v>20</v>
      </c>
      <c r="G54" s="29"/>
      <c r="H54" s="10" t="s">
        <v>41</v>
      </c>
      <c r="I54" s="10" t="s">
        <v>20</v>
      </c>
      <c r="J54" s="28"/>
      <c r="K54" s="28"/>
    </row>
    <row r="55" spans="2:13" ht="17.25" thickTop="1" x14ac:dyDescent="0.3">
      <c r="B55" s="30" t="s">
        <v>44</v>
      </c>
      <c r="C55" s="21" t="str">
        <f>IF(COUNTIFS($B$14:$B$27,"Hat",$C$14:$C$27,"W_E_E",$E$14:$E$27,"NI",$F$14:$F$27,"SA")=0," ",COUNTIFS($B$14:$B$27,"Hat",$C$14:$C$27,"W_E_E",$E$14:$E$27,"NI",$F$14:$F$27,"SA"))</f>
        <v xml:space="preserve"> </v>
      </c>
      <c r="D55" s="28"/>
      <c r="E55" s="30" t="s">
        <v>45</v>
      </c>
      <c r="F55" s="21" t="str">
        <f>IF(COUNTIFS($B$14:$B$27,"Top",$C$14:$C$27,"W_E_E",$E$14:$E$27,"NI",$F$14:$F$27,"SA")=0," ",COUNTIFS($B$14:$B$27,"Top",$C$14:$C$27,"W_E_E",$E$14:$E$27,"NI",$F$14:$F$27,"SA"))</f>
        <v xml:space="preserve"> </v>
      </c>
      <c r="G55" s="28"/>
      <c r="H55" s="30" t="s">
        <v>46</v>
      </c>
      <c r="I55" s="21">
        <f>IF(COUNTIFS($B$14:$B$27,"Pants",$C$14:$C$27,"W_E_E",$E$14:$E$27,"NI",$F$14:$F$27,"SA")=0," ",COUNTIFS($B$14:$B$27,"Pants",$C$14:$C$27,"W_E_E",$E$14:$E$27,"NI",$F$14:$F$27,"SA"))</f>
        <v>1</v>
      </c>
      <c r="J55" s="28"/>
      <c r="K55" s="28"/>
    </row>
    <row r="56" spans="2:13" x14ac:dyDescent="0.3">
      <c r="B56" s="31" t="s">
        <v>112</v>
      </c>
      <c r="C56" s="23" t="str">
        <f>IF(COUNTIFS($B$14:$B$27,"Hat",$C$14:$C$27,"W_E_E",$E$14:$E$27,"NI",$F$14:$F$27,"DA")=0," ",COUNTIFS($B$14:$B$27,"Hat",$C$14:$C$27,"W_E_E",$E$14:$E$27,"NI",$F$14:$F$27,"DA"))</f>
        <v xml:space="preserve"> </v>
      </c>
      <c r="D56" s="28"/>
      <c r="E56" s="31" t="s">
        <v>113</v>
      </c>
      <c r="F56" s="23" t="str">
        <f>IF(COUNTIFS($B$14:$B$27,"Top",$C$14:$C$27,"W_E_E",$E$14:$E$27,"NI",$F$14:$F$27,"DA")=0," ",COUNTIFS($B$14:$B$27,"Top",$C$14:$C$27,"W_E_E",$E$14:$E$27,"NI",$F$14:$F$27,"DA"))</f>
        <v xml:space="preserve"> </v>
      </c>
      <c r="G56" s="28"/>
      <c r="H56" s="31" t="s">
        <v>114</v>
      </c>
      <c r="I56" s="23" t="str">
        <f>IF(COUNTIFS($B$14:$B$27,"Pants",$C$14:$C$27,"W_E_E",$E$14:$E$27,"NI",$F$14:$F$27,"DA")=0," ",COUNTIFS($B$14:$B$27,"Pants",$C$14:$C$27,"W_E_E",$E$14:$E$27,"NI",$F$14:$F$27,"DA"))</f>
        <v xml:space="preserve"> </v>
      </c>
    </row>
    <row r="57" spans="2:13" x14ac:dyDescent="0.3">
      <c r="B57" s="31" t="s">
        <v>47</v>
      </c>
      <c r="C57" s="23" t="str">
        <f>IF(COUNTIFS($B$14:$B$27,"Hat",$C$14:$C$27,"W_E_E",$E$14:$E$27,"SI",$F$14:$F$27,"SA")=0," ",COUNTIFS($B$14:$B$27,"Hat",$C$14:$C$27,"W_E_E",$E$14:$E$27,"SI",$F$14:$F$27,"SA"))</f>
        <v xml:space="preserve"> </v>
      </c>
      <c r="D57" s="28"/>
      <c r="E57" s="31" t="s">
        <v>48</v>
      </c>
      <c r="F57" s="23" t="str">
        <f>IF(COUNTIFS($B$14:$B$27,"Top",$C$14:$C$27,"W_E_E",$E$14:$E$27,"SI",$F$14:$F$27,"SA")=0," ",COUNTIFS($B$14:$B$27,"Top",$C$14:$C$27,"W_E_E",$E$14:$E$27,"SI",$F$14:$F$27,"SA"))</f>
        <v xml:space="preserve"> </v>
      </c>
      <c r="G57" s="28"/>
      <c r="H57" s="31" t="s">
        <v>49</v>
      </c>
      <c r="I57" s="23" t="str">
        <f>IF(COUNTIFS($B$14:$B$27,"Pants",$C$14:$C$27,"W_E_E",$E$14:$E$27,"SI",$F$14:$F$27,"SA")=0," ",COUNTIFS($B$14:$B$27,"Pants",$C$14:$C$27,"W_E_E",$E$14:$E$27,"SI",$F$14:$F$27,"SA"))</f>
        <v xml:space="preserve"> </v>
      </c>
      <c r="J57" s="28"/>
      <c r="K57" s="28"/>
    </row>
    <row r="58" spans="2:13" x14ac:dyDescent="0.3">
      <c r="B58" s="37" t="s">
        <v>115</v>
      </c>
      <c r="C58" s="23" t="str">
        <f>IF(COUNTIFS($B$14:$B$27,"Hat",$C$14:$C$27,"W_E_E",$E$14:$E$27,"SI",$F$14:$F$27,"DA")=0," ",COUNTIFS($B$14:$B$27,"Hat",$C$14:$C$27,"W_E_E",$E$14:$E$27,"SI",$F$14:$F$27,"DA"))</f>
        <v xml:space="preserve"> </v>
      </c>
      <c r="D58" s="28"/>
      <c r="E58" s="31" t="s">
        <v>116</v>
      </c>
      <c r="F58" s="23" t="str">
        <f>IF(COUNTIFS($B$14:$B$27,"Top",$C$14:$C$27,"W_E_E",$E$14:$E$27,"SI",$F$14:$F$27,"DA")=0," ",COUNTIFS($B$14:$B$27,"Top",$C$14:$C$27,"W_E_E",$E$14:$E$27,"SI",$F$14:$F$27,"DA"))</f>
        <v xml:space="preserve"> </v>
      </c>
      <c r="G58" s="28"/>
      <c r="H58" s="37" t="s">
        <v>117</v>
      </c>
      <c r="I58" s="23" t="str">
        <f>IF(COUNTIFS($B$14:$B$27,"Pants",$C$14:$C$27,"W_E_E",$E$14:$E$27,"SI",$F$14:$F$27,"DA")=0," ",COUNTIFS($B$14:$B$27,"Pants",$C$14:$C$27,"W_E_E",$E$14:$E$27,"SI",$F$14:$F$27,"DA"))</f>
        <v xml:space="preserve"> </v>
      </c>
      <c r="J58" s="28"/>
      <c r="K58" s="28"/>
    </row>
    <row r="59" spans="2:13" ht="17.25" thickBot="1" x14ac:dyDescent="0.35">
      <c r="B59" s="32" t="s">
        <v>118</v>
      </c>
      <c r="C59" s="36" t="str">
        <f>IF(COUNTIFS($B$14:$B$27,"Hat",$C$14:$C$27,"W_E_E",$E$14:$E$27,"NI",$F$14:$F$27,"DA(80)")=0," ",COUNTIFS($B$14:$B$27,"Hat",$C$14:$C$27,"W_E_E",$E$14:$E$27,"NI",$F$14:$F$27,"DA(80)"))</f>
        <v xml:space="preserve"> </v>
      </c>
      <c r="D59" s="28"/>
      <c r="E59" s="35" t="s">
        <v>119</v>
      </c>
      <c r="F59" s="36" t="str">
        <f>IF(COUNTIFS($B$14:$B$27,"Top",$C$14:$C$27,"W_E_E",$E$14:$E$27,"NI",$F$14:$F$27,"DA(80)")=0," ",COUNTIFS($B$14:$B$27,"Top",$C$14:$C$27,"W_E_E",$E$14:$E$27,"NI",$F$14:$F$27,"DA(80)"))</f>
        <v xml:space="preserve"> </v>
      </c>
      <c r="H59" s="32" t="s">
        <v>120</v>
      </c>
      <c r="I59" s="36" t="str">
        <f>IF(COUNTIFS($B$14:$B$27,"Pants",$C$14:$C$27,"W_E_E",$E$14:$E$27,"NI",$F$14:$F$27,"DA(80)")=0," ",COUNTIFS($B$14:$B$27,"Pants",$C$14:$C$27,"W_E_E",$E$14:$E$27,"NI",$F$14:$F$27,"DA(80)"))</f>
        <v xml:space="preserve"> </v>
      </c>
      <c r="J59" s="28"/>
      <c r="K59" s="28"/>
    </row>
    <row r="60" spans="2:13" ht="17.25" thickTop="1" x14ac:dyDescent="0.3">
      <c r="L60" s="28"/>
      <c r="M60" s="28"/>
    </row>
    <row r="61" spans="2:13" x14ac:dyDescent="0.3">
      <c r="L61" s="28"/>
      <c r="M61" s="28"/>
    </row>
    <row r="62" spans="2:13" x14ac:dyDescent="0.3">
      <c r="L62" s="28"/>
      <c r="M62" s="28"/>
    </row>
  </sheetData>
  <sortState ref="B27:C29">
    <sortCondition descending="1" ref="C27:C29"/>
  </sortState>
  <mergeCells count="1">
    <mergeCell ref="M13:P3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"/>
  <sheetViews>
    <sheetView topLeftCell="A10" workbookViewId="0">
      <selection activeCell="I36" sqref="I36"/>
    </sheetView>
  </sheetViews>
  <sheetFormatPr defaultRowHeight="16.5" x14ac:dyDescent="0.3"/>
  <cols>
    <col min="1" max="1" width="11.375" customWidth="1"/>
    <col min="2" max="2" width="19.125" customWidth="1"/>
    <col min="3" max="5" width="14" customWidth="1"/>
    <col min="6" max="6" width="16.75" customWidth="1"/>
    <col min="7" max="9" width="14" customWidth="1"/>
    <col min="10" max="10" width="15.875" customWidth="1"/>
    <col min="11" max="11" width="14" customWidth="1"/>
    <col min="13" max="16" width="20.375" customWidth="1"/>
  </cols>
  <sheetData>
    <row r="1" spans="2:16" x14ac:dyDescent="0.3">
      <c r="I1" s="11"/>
      <c r="J1" s="11"/>
      <c r="K1" s="1"/>
    </row>
    <row r="2" spans="2:16" x14ac:dyDescent="0.3">
      <c r="I2" s="11"/>
      <c r="J2" s="11"/>
      <c r="K2" s="1"/>
    </row>
    <row r="3" spans="2:16" x14ac:dyDescent="0.3">
      <c r="I3" s="11"/>
      <c r="J3" s="11"/>
      <c r="K3" s="1"/>
    </row>
    <row r="4" spans="2:16" x14ac:dyDescent="0.3">
      <c r="B4" s="7"/>
      <c r="I4" s="11"/>
      <c r="J4" s="11"/>
      <c r="K4" s="1"/>
    </row>
    <row r="5" spans="2:16" x14ac:dyDescent="0.3">
      <c r="B5" s="8"/>
      <c r="I5" s="11"/>
      <c r="J5" s="11"/>
      <c r="K5" s="1"/>
    </row>
    <row r="6" spans="2:16" x14ac:dyDescent="0.3">
      <c r="I6" s="11"/>
      <c r="J6" s="11"/>
      <c r="K6" s="1"/>
    </row>
    <row r="7" spans="2:16" ht="17.25" thickBot="1" x14ac:dyDescent="0.35">
      <c r="I7" s="11"/>
      <c r="J7" s="11"/>
      <c r="K7" s="1"/>
    </row>
    <row r="8" spans="2:16" ht="18" thickTop="1" thickBot="1" x14ac:dyDescent="0.35">
      <c r="B8" s="10" t="s">
        <v>10</v>
      </c>
      <c r="I8" s="11"/>
      <c r="J8" s="11"/>
      <c r="K8" s="1"/>
    </row>
    <row r="9" spans="2:16" ht="18" thickTop="1" thickBot="1" x14ac:dyDescent="0.35">
      <c r="B9" s="9">
        <f ca="1">NOW()</f>
        <v>44310.081865856482</v>
      </c>
      <c r="I9" s="11"/>
      <c r="J9" s="11"/>
      <c r="K9" s="1"/>
    </row>
    <row r="10" spans="2:16" ht="17.25" thickTop="1" x14ac:dyDescent="0.3">
      <c r="I10" s="11"/>
      <c r="J10" s="11"/>
      <c r="K10" s="1"/>
    </row>
    <row r="11" spans="2:16" x14ac:dyDescent="0.3">
      <c r="I11" s="11"/>
      <c r="J11" s="11"/>
      <c r="K11" s="1"/>
    </row>
    <row r="12" spans="2:16" ht="17.25" thickBot="1" x14ac:dyDescent="0.35">
      <c r="B12" s="8"/>
      <c r="I12" s="11"/>
      <c r="J12" s="11"/>
      <c r="K12" s="1"/>
    </row>
    <row r="13" spans="2:16" ht="18" thickTop="1" thickBot="1" x14ac:dyDescent="0.35">
      <c r="B13" s="44" t="s">
        <v>6</v>
      </c>
      <c r="C13" s="45" t="s">
        <v>4</v>
      </c>
      <c r="D13" s="45" t="s">
        <v>62</v>
      </c>
      <c r="E13" s="45" t="s">
        <v>7</v>
      </c>
      <c r="F13" s="45" t="s">
        <v>8</v>
      </c>
      <c r="G13" s="45" t="s">
        <v>11</v>
      </c>
      <c r="H13" s="45" t="s">
        <v>77</v>
      </c>
      <c r="I13" s="45" t="s">
        <v>12</v>
      </c>
      <c r="J13" s="45" t="s">
        <v>9</v>
      </c>
      <c r="K13" s="46" t="s">
        <v>3</v>
      </c>
      <c r="M13" s="88" t="s">
        <v>121</v>
      </c>
      <c r="N13" s="89"/>
      <c r="O13" s="89"/>
      <c r="P13" s="90"/>
    </row>
    <row r="14" spans="2:16" ht="17.25" thickTop="1" x14ac:dyDescent="0.3">
      <c r="B14" s="75" t="s">
        <v>90</v>
      </c>
      <c r="C14" s="74" t="s">
        <v>13</v>
      </c>
      <c r="D14" s="74">
        <v>2</v>
      </c>
      <c r="E14" s="74" t="s">
        <v>78</v>
      </c>
      <c r="F14" s="74" t="s">
        <v>88</v>
      </c>
      <c r="G14" s="74">
        <v>90</v>
      </c>
      <c r="H14" s="12">
        <v>10</v>
      </c>
      <c r="I14" s="12">
        <v>70</v>
      </c>
      <c r="J14" s="15">
        <v>17000</v>
      </c>
      <c r="K14" s="76">
        <v>11600</v>
      </c>
      <c r="L14" s="20"/>
      <c r="M14" s="91"/>
      <c r="N14" s="92"/>
      <c r="O14" s="92"/>
      <c r="P14" s="93"/>
    </row>
    <row r="15" spans="2:16" x14ac:dyDescent="0.3">
      <c r="B15" s="75" t="s">
        <v>84</v>
      </c>
      <c r="C15" s="74" t="s">
        <v>13</v>
      </c>
      <c r="D15" s="74">
        <v>2</v>
      </c>
      <c r="E15" s="74" t="s">
        <v>76</v>
      </c>
      <c r="F15" s="74" t="s">
        <v>88</v>
      </c>
      <c r="G15" s="74">
        <v>90</v>
      </c>
      <c r="H15" s="12">
        <v>10</v>
      </c>
      <c r="I15" s="12">
        <v>70</v>
      </c>
      <c r="J15" s="15">
        <v>32900</v>
      </c>
      <c r="K15" s="76">
        <v>15000</v>
      </c>
      <c r="L15" s="20"/>
      <c r="M15" s="91"/>
      <c r="N15" s="92"/>
      <c r="O15" s="92"/>
      <c r="P15" s="93"/>
    </row>
    <row r="16" spans="2:16" x14ac:dyDescent="0.3">
      <c r="B16" s="75" t="s">
        <v>84</v>
      </c>
      <c r="C16" s="74" t="s">
        <v>13</v>
      </c>
      <c r="D16" s="74">
        <v>2</v>
      </c>
      <c r="E16" s="74" t="s">
        <v>2</v>
      </c>
      <c r="F16" s="74" t="s">
        <v>88</v>
      </c>
      <c r="G16" s="74">
        <v>100</v>
      </c>
      <c r="H16" s="12">
        <v>10</v>
      </c>
      <c r="I16" s="12">
        <v>70</v>
      </c>
      <c r="J16" s="15">
        <v>26000</v>
      </c>
      <c r="K16" s="76">
        <v>18000</v>
      </c>
      <c r="L16" s="20"/>
      <c r="M16" s="91"/>
      <c r="N16" s="92"/>
      <c r="O16" s="92"/>
      <c r="P16" s="93"/>
    </row>
    <row r="17" spans="2:16" x14ac:dyDescent="0.3">
      <c r="B17" s="79" t="s">
        <v>84</v>
      </c>
      <c r="C17" s="77" t="s">
        <v>13</v>
      </c>
      <c r="D17" s="77">
        <v>2</v>
      </c>
      <c r="E17" s="77" t="s">
        <v>1</v>
      </c>
      <c r="F17" s="77" t="s">
        <v>5</v>
      </c>
      <c r="G17" s="77">
        <v>110</v>
      </c>
      <c r="H17" s="80">
        <v>10</v>
      </c>
      <c r="I17" s="80">
        <v>30</v>
      </c>
      <c r="J17" s="86">
        <v>59700</v>
      </c>
      <c r="K17" s="82">
        <v>36400</v>
      </c>
      <c r="L17" s="20"/>
      <c r="M17" s="91"/>
      <c r="N17" s="92"/>
      <c r="O17" s="92"/>
      <c r="P17" s="93"/>
    </row>
    <row r="18" spans="2:16" x14ac:dyDescent="0.3">
      <c r="B18" s="75" t="s">
        <v>84</v>
      </c>
      <c r="C18" s="12" t="s">
        <v>14</v>
      </c>
      <c r="D18" s="77">
        <v>2</v>
      </c>
      <c r="E18" s="12" t="s">
        <v>92</v>
      </c>
      <c r="F18" s="12" t="s">
        <v>93</v>
      </c>
      <c r="G18" s="12">
        <v>100</v>
      </c>
      <c r="H18" s="12">
        <v>10</v>
      </c>
      <c r="I18" s="12">
        <v>30</v>
      </c>
      <c r="J18" s="14">
        <v>41900</v>
      </c>
      <c r="K18" s="76">
        <v>24100</v>
      </c>
      <c r="L18" s="6"/>
      <c r="M18" s="91"/>
      <c r="N18" s="92"/>
      <c r="O18" s="92"/>
      <c r="P18" s="93"/>
    </row>
    <row r="19" spans="2:16" x14ac:dyDescent="0.3">
      <c r="B19" s="75" t="s">
        <v>94</v>
      </c>
      <c r="C19" s="74" t="s">
        <v>13</v>
      </c>
      <c r="D19" s="74">
        <v>2</v>
      </c>
      <c r="E19" s="74" t="s">
        <v>1</v>
      </c>
      <c r="F19" s="74" t="s">
        <v>5</v>
      </c>
      <c r="G19" s="74">
        <v>100</v>
      </c>
      <c r="H19" s="12">
        <v>10</v>
      </c>
      <c r="I19" s="12" t="s">
        <v>95</v>
      </c>
      <c r="J19" s="14">
        <v>75500</v>
      </c>
      <c r="K19" s="76">
        <v>58200</v>
      </c>
      <c r="L19" s="6"/>
      <c r="M19" s="91"/>
      <c r="N19" s="92"/>
      <c r="O19" s="92"/>
      <c r="P19" s="93"/>
    </row>
    <row r="20" spans="2:16" x14ac:dyDescent="0.3">
      <c r="B20" s="75" t="s">
        <v>94</v>
      </c>
      <c r="C20" s="12" t="s">
        <v>14</v>
      </c>
      <c r="D20" s="77">
        <v>1</v>
      </c>
      <c r="E20" s="12" t="s">
        <v>91</v>
      </c>
      <c r="F20" s="12" t="s">
        <v>93</v>
      </c>
      <c r="G20" s="12">
        <v>100</v>
      </c>
      <c r="H20" s="12">
        <v>10</v>
      </c>
      <c r="I20" s="12" t="s">
        <v>95</v>
      </c>
      <c r="J20" s="14">
        <v>46800</v>
      </c>
      <c r="K20" s="76">
        <v>29500</v>
      </c>
      <c r="L20" s="6"/>
      <c r="M20" s="91"/>
      <c r="N20" s="92"/>
      <c r="O20" s="92"/>
      <c r="P20" s="93"/>
    </row>
    <row r="21" spans="2:16" x14ac:dyDescent="0.3">
      <c r="B21" s="42"/>
      <c r="C21" s="12"/>
      <c r="D21" s="12"/>
      <c r="E21" s="12"/>
      <c r="F21" s="12"/>
      <c r="G21" s="12"/>
      <c r="H21" s="12"/>
      <c r="I21" s="12"/>
      <c r="J21" s="12"/>
      <c r="K21" s="59"/>
      <c r="L21" s="6"/>
      <c r="M21" s="91"/>
      <c r="N21" s="92"/>
      <c r="O21" s="92"/>
      <c r="P21" s="93"/>
    </row>
    <row r="22" spans="2:16" x14ac:dyDescent="0.3">
      <c r="B22" s="70"/>
      <c r="C22" s="12"/>
      <c r="D22" s="12"/>
      <c r="E22" s="12"/>
      <c r="F22" s="12"/>
      <c r="G22" s="12"/>
      <c r="H22" s="12"/>
      <c r="I22" s="12"/>
      <c r="J22" s="12"/>
      <c r="K22" s="71"/>
      <c r="L22" s="6"/>
      <c r="M22" s="91"/>
      <c r="N22" s="92"/>
      <c r="O22" s="92"/>
      <c r="P22" s="93"/>
    </row>
    <row r="23" spans="2:16" x14ac:dyDescent="0.3">
      <c r="B23" s="70"/>
      <c r="C23" s="12"/>
      <c r="D23" s="12"/>
      <c r="E23" s="12"/>
      <c r="F23" s="12"/>
      <c r="G23" s="12"/>
      <c r="H23" s="12"/>
      <c r="I23" s="12"/>
      <c r="J23" s="12"/>
      <c r="K23" s="71"/>
      <c r="L23" s="6"/>
      <c r="M23" s="91"/>
      <c r="N23" s="92"/>
      <c r="O23" s="92"/>
      <c r="P23" s="93"/>
    </row>
    <row r="24" spans="2:16" x14ac:dyDescent="0.3">
      <c r="B24" s="70"/>
      <c r="C24" s="12"/>
      <c r="D24" s="12"/>
      <c r="E24" s="12"/>
      <c r="F24" s="12"/>
      <c r="G24" s="12"/>
      <c r="H24" s="12"/>
      <c r="I24" s="12"/>
      <c r="J24" s="12"/>
      <c r="K24" s="71"/>
      <c r="L24" s="6"/>
      <c r="M24" s="91"/>
      <c r="N24" s="92"/>
      <c r="O24" s="92"/>
      <c r="P24" s="93"/>
    </row>
    <row r="25" spans="2:16" x14ac:dyDescent="0.3">
      <c r="B25" s="70"/>
      <c r="C25" s="12"/>
      <c r="D25" s="12"/>
      <c r="E25" s="12"/>
      <c r="F25" s="12"/>
      <c r="G25" s="12"/>
      <c r="H25" s="12"/>
      <c r="I25" s="12"/>
      <c r="J25" s="12"/>
      <c r="K25" s="71"/>
      <c r="L25" s="6"/>
      <c r="M25" s="91"/>
      <c r="N25" s="92"/>
      <c r="O25" s="92"/>
      <c r="P25" s="93"/>
    </row>
    <row r="26" spans="2:16" x14ac:dyDescent="0.3">
      <c r="B26" s="42"/>
      <c r="C26" s="12"/>
      <c r="D26" s="12"/>
      <c r="E26" s="12"/>
      <c r="F26" s="12"/>
      <c r="G26" s="12"/>
      <c r="H26" s="12"/>
      <c r="I26" s="12"/>
      <c r="J26" s="12"/>
      <c r="K26" s="59"/>
      <c r="L26" s="6"/>
      <c r="M26" s="91"/>
      <c r="N26" s="92"/>
      <c r="O26" s="92"/>
      <c r="P26" s="93"/>
    </row>
    <row r="27" spans="2:16" x14ac:dyDescent="0.3">
      <c r="B27" s="42"/>
      <c r="C27" s="12"/>
      <c r="D27" s="12"/>
      <c r="E27" s="12"/>
      <c r="F27" s="12"/>
      <c r="G27" s="12"/>
      <c r="H27" s="12"/>
      <c r="I27" s="12"/>
      <c r="J27" s="12"/>
      <c r="K27" s="59"/>
      <c r="L27" s="6"/>
      <c r="M27" s="91"/>
      <c r="N27" s="92"/>
      <c r="O27" s="92"/>
      <c r="P27" s="93"/>
    </row>
    <row r="28" spans="2:16" x14ac:dyDescent="0.3">
      <c r="B28" s="42"/>
      <c r="C28" s="12"/>
      <c r="D28" s="12"/>
      <c r="E28" s="12"/>
      <c r="F28" s="12"/>
      <c r="G28" s="12"/>
      <c r="H28" s="12"/>
      <c r="I28" s="12"/>
      <c r="J28" s="12"/>
      <c r="K28" s="59"/>
      <c r="L28" s="6"/>
      <c r="M28" s="91"/>
      <c r="N28" s="92"/>
      <c r="O28" s="92"/>
      <c r="P28" s="93"/>
    </row>
    <row r="29" spans="2:16" ht="17.25" thickBot="1" x14ac:dyDescent="0.35">
      <c r="B29" s="43"/>
      <c r="C29" s="13"/>
      <c r="D29" s="13"/>
      <c r="E29" s="13"/>
      <c r="F29" s="13"/>
      <c r="G29" s="13"/>
      <c r="H29" s="13"/>
      <c r="I29" s="13"/>
      <c r="J29" s="13"/>
      <c r="K29" s="60"/>
      <c r="L29" s="16"/>
      <c r="M29" s="91"/>
      <c r="N29" s="92"/>
      <c r="O29" s="92"/>
      <c r="P29" s="93"/>
    </row>
    <row r="30" spans="2:16" ht="17.25" thickTop="1" x14ac:dyDescent="0.3">
      <c r="B30" s="2"/>
      <c r="C30" s="2"/>
      <c r="D30" s="2"/>
      <c r="E30" s="2"/>
      <c r="F30" s="2"/>
      <c r="G30" s="2"/>
      <c r="H30" s="2"/>
      <c r="I30" s="2"/>
      <c r="J30" s="6"/>
      <c r="K30" s="19"/>
      <c r="M30" s="91"/>
      <c r="N30" s="92"/>
      <c r="O30" s="92"/>
      <c r="P30" s="93"/>
    </row>
    <row r="31" spans="2:16" ht="17.25" thickBot="1" x14ac:dyDescent="0.35">
      <c r="B31" s="2"/>
      <c r="C31" s="2"/>
      <c r="D31" s="2"/>
      <c r="E31" s="2"/>
      <c r="F31" s="2"/>
      <c r="G31" s="2"/>
      <c r="H31" s="2"/>
      <c r="I31" s="2"/>
      <c r="J31" s="2"/>
      <c r="K31" s="19"/>
      <c r="M31" s="94"/>
      <c r="N31" s="95"/>
      <c r="O31" s="95"/>
      <c r="P31" s="96"/>
    </row>
    <row r="32" spans="2:16" ht="18" thickTop="1" thickBot="1" x14ac:dyDescent="0.35"/>
    <row r="33" spans="2:22" ht="18" thickTop="1" thickBot="1" x14ac:dyDescent="0.35">
      <c r="B33" s="10" t="s">
        <v>6</v>
      </c>
      <c r="C33" s="10" t="s">
        <v>19</v>
      </c>
      <c r="D33" s="67"/>
      <c r="E33" s="11"/>
      <c r="F33" s="10" t="s">
        <v>27</v>
      </c>
      <c r="G33" s="10" t="s">
        <v>19</v>
      </c>
      <c r="H33" s="28"/>
      <c r="J33" s="10" t="s">
        <v>18</v>
      </c>
      <c r="K33" s="10" t="s">
        <v>19</v>
      </c>
      <c r="M33" s="61" t="s">
        <v>6</v>
      </c>
      <c r="N33" s="62" t="s">
        <v>57</v>
      </c>
    </row>
    <row r="34" spans="2:22" ht="17.25" thickTop="1" x14ac:dyDescent="0.3">
      <c r="B34" s="30" t="s">
        <v>59</v>
      </c>
      <c r="C34" s="33" t="str">
        <f>IF(COUNTIF($B$14:$B$27,"Hat")=0," ",COUNTIF($B$14:$B$27,"Hat"))</f>
        <v xml:space="preserve"> </v>
      </c>
      <c r="D34" s="28"/>
      <c r="E34" s="11"/>
      <c r="F34" s="30" t="s">
        <v>35</v>
      </c>
      <c r="G34" s="33" t="str">
        <f>IF(COUNTIFS($C$14:$C$27,"M_E_R",$E$14:$E$27,"NI",$F$14:$F$27,"SA")=0," ",COUNTIFS($C$14:$C$27,"M_E_R",$E$14:$E$27,"NI",$F$14:$F$27,"SA"))</f>
        <v xml:space="preserve"> </v>
      </c>
      <c r="H34" s="28"/>
      <c r="J34" s="26" t="s">
        <v>71</v>
      </c>
      <c r="K34" s="27">
        <f>IF(COUNTIFS($G$14:$G$35,"90",$I$14:$I$35,"70")=0," ",COUNTIFS($G$14:$G$35,"90",$I$14:$I$35,"70"))</f>
        <v>2</v>
      </c>
      <c r="M34" s="63" t="str">
        <f>INDEX($B$14:$B$32,MATCH(LARGE($K$14:$K$32,1),$K$14:$K$32,0))</f>
        <v>Pants</v>
      </c>
      <c r="N34" s="64">
        <f>LARGE($K$14:K29,1)</f>
        <v>58200</v>
      </c>
    </row>
    <row r="35" spans="2:22" x14ac:dyDescent="0.3">
      <c r="B35" s="26" t="s">
        <v>0</v>
      </c>
      <c r="C35" s="27">
        <f>IF(COUNTIF($B$14:$B$27,"Top")=0," ",COUNTIF($B$14:$B$27,"Top"))</f>
        <v>5</v>
      </c>
      <c r="D35" s="28"/>
      <c r="E35" s="11"/>
      <c r="F35" s="26" t="s">
        <v>96</v>
      </c>
      <c r="G35" s="27">
        <f>IF(COUNTIFS($C$14:$C$27,"M_E_R",$E$14:$E$27,"NI",$F$14:$F$27,"DA")=0," ",COUNTIFS($C$14:$C$27,"M_E_R",$E$14:$E$27,"NI",$F$14:$F$27,"DA"))</f>
        <v>2</v>
      </c>
      <c r="H35" s="28"/>
      <c r="J35" s="31" t="s">
        <v>72</v>
      </c>
      <c r="K35" s="48" t="str">
        <f>IF(COUNTIFS($G$14:$G$35,"90",$I$14:$I$35,"30")=0," ",COUNTIFS($G$14:$G$35,"90",$I$14:$I$35,"30"))</f>
        <v xml:space="preserve"> </v>
      </c>
      <c r="M35" s="26" t="str">
        <f>INDEX($B$14:$B$32,MATCH(LARGE($K$14:$K$32,2),$K$14:$K$32,0))</f>
        <v>Top</v>
      </c>
      <c r="N35" s="47">
        <f>LARGE($K$14:K30,2)</f>
        <v>36400</v>
      </c>
    </row>
    <row r="36" spans="2:22" ht="17.25" thickBot="1" x14ac:dyDescent="0.35">
      <c r="B36" s="49" t="s">
        <v>58</v>
      </c>
      <c r="C36" s="87">
        <f>IF(COUNTIF($B$14:$B$27,"Pants")=0," ",COUNTIF($B$14:$B$27,"Pants"))</f>
        <v>2</v>
      </c>
      <c r="D36" s="67"/>
      <c r="E36" s="11"/>
      <c r="F36" s="26" t="s">
        <v>34</v>
      </c>
      <c r="G36" s="27">
        <f>IF(COUNTIFS($C$14:$C$27,"M_E_R",$E$14:$E$27,"SI",$F$14:$F$27,"SA")=0," ",COUNTIFS($C$14:$C$27,"M_E_R",$E$14:$E$27,"SI",$F$14:$F$27,"SA"))</f>
        <v>2</v>
      </c>
      <c r="H36" s="28"/>
      <c r="J36" s="31" t="s">
        <v>68</v>
      </c>
      <c r="K36" s="34">
        <f>IF(COUNTIFS($G$14:$G$35,"100",$I$14:$I$35,"70")=0," ",COUNTIFS($G$14:$G$35,"100",$I$14:$I$35,"70"))</f>
        <v>1</v>
      </c>
      <c r="M36" s="26" t="str">
        <f>INDEX($B$14:$B$32,MATCH(LARGE($K$14:$K$32,3),$K$14:$K$32,0))</f>
        <v>Pants</v>
      </c>
      <c r="N36" s="47">
        <f>LARGE($K$14:K31,3)</f>
        <v>29500</v>
      </c>
    </row>
    <row r="37" spans="2:22" ht="17.25" thickTop="1" x14ac:dyDescent="0.3">
      <c r="B37" s="11"/>
      <c r="C37" s="11"/>
      <c r="D37" s="11"/>
      <c r="E37" s="11"/>
      <c r="F37" s="31" t="s">
        <v>97</v>
      </c>
      <c r="G37" s="34">
        <f>IF(COUNTIFS($C$14:$C$27,"M_E_R",$E$14:$E$27,"SI",$F$14:$F$27,"DA")=0," ",COUNTIFS($C$14:$C$27,"M_E_R",$E$14:$E$27,"SI",$F$14:$F$27,"DA"))</f>
        <v>1</v>
      </c>
      <c r="H37" s="28"/>
      <c r="J37" s="31" t="s">
        <v>69</v>
      </c>
      <c r="K37" s="48">
        <f>IF(COUNTIFS($G$14:$G$35,"100",$I$14:$I$35,"30")=0," ",COUNTIFS($G$14:$G$35,"100",$I$14:$I$35,"30"))</f>
        <v>1</v>
      </c>
      <c r="M37" s="26" t="str">
        <f>INDEX($B$14:$B$32,MATCH(LARGE($K$14:$K$32,4),$K$14:$K$32,0))</f>
        <v>Top</v>
      </c>
      <c r="N37" s="47">
        <f>LARGE($K$14:K32,4)</f>
        <v>24100</v>
      </c>
    </row>
    <row r="38" spans="2:22" ht="17.25" thickBot="1" x14ac:dyDescent="0.35">
      <c r="B38" s="11"/>
      <c r="C38" s="11"/>
      <c r="D38" s="11"/>
      <c r="E38" s="11"/>
      <c r="F38" s="31" t="s">
        <v>36</v>
      </c>
      <c r="G38" s="34" t="str">
        <f>IF(COUNTIFS($C$14:$C$27,"M_E_E",$E$14:$E$27,"NI",$F$14:$F$27,"SA")=0," ",COUNTIFS($C$14:$C$27,"M_E_E",$E$14:$E$27,"NI",$F$14:$F$27,"SA"))</f>
        <v xml:space="preserve"> </v>
      </c>
      <c r="H38" s="28"/>
      <c r="J38" s="31" t="s">
        <v>65</v>
      </c>
      <c r="K38" s="34" t="str">
        <f>IF(COUNTIFS($G$14:$G$35,"110",$I$14:$I$35,"70")=0," ",COUNTIFS($G$14:$G$35,"110",$I$14:$I$35,"70"))</f>
        <v xml:space="preserve"> </v>
      </c>
      <c r="M38" s="49" t="str">
        <f>INDEX($B$14:$B$32,MATCH(LARGE($K$14:$K$32,5),$K$14:$K$32,0))</f>
        <v>Top</v>
      </c>
      <c r="N38" s="50">
        <f>LARGE($K$14:K33,5)</f>
        <v>18000</v>
      </c>
    </row>
    <row r="39" spans="2:22" ht="17.25" thickTop="1" x14ac:dyDescent="0.3">
      <c r="B39" s="11"/>
      <c r="C39" s="11"/>
      <c r="D39" s="11"/>
      <c r="E39" s="11"/>
      <c r="F39" s="22" t="s">
        <v>98</v>
      </c>
      <c r="G39" s="23" t="str">
        <f>IF(COUNTIFS($C$14:$C$27,"M_E_E",$E$14:$E$27,"NI",$F$14:$F$27,"DA")=0," ",COUNTIFS($C$14:$C$27,"M_E_E",$E$14:$E$27,"NI",$F$14:$F$27,"DA"))</f>
        <v xml:space="preserve"> </v>
      </c>
      <c r="H39" s="28"/>
      <c r="J39" s="31" t="s">
        <v>66</v>
      </c>
      <c r="K39" s="48">
        <f>IF(COUNTIFS($G$14:$G$35,"110",$I$14:$I$35,"30")=0," ",COUNTIFS($G$14:$G$35,"110",$I$14:$I$35,"30"))</f>
        <v>1</v>
      </c>
    </row>
    <row r="40" spans="2:22" x14ac:dyDescent="0.3">
      <c r="B40" s="11"/>
      <c r="C40" s="11"/>
      <c r="D40" s="11"/>
      <c r="E40" s="11"/>
      <c r="F40" s="26" t="s">
        <v>99</v>
      </c>
      <c r="G40" s="27">
        <f>IF(COUNTIFS($C$14:$C$27,"M_E_E",$E$14:$E$27,"NI",$F$14:$F$27,"DA(80)")=0," ",COUNTIFS($C$14:$C$27,"M_E_E",$E$14:$E$27,"NI",$F$14:$F$27,"DA(80)"))</f>
        <v>2</v>
      </c>
      <c r="H40" s="28"/>
      <c r="J40" s="31" t="s">
        <v>82</v>
      </c>
      <c r="K40" s="48" t="str">
        <f>IF(COUNTIFS($G$14:$G$35,"90",$I$14:$I$35,"AP")=0," ",COUNTIFS($G$14:$G$35,"90",$I$14:$I$35,"AP"))</f>
        <v xml:space="preserve"> </v>
      </c>
    </row>
    <row r="41" spans="2:22" x14ac:dyDescent="0.3">
      <c r="B41" s="11"/>
      <c r="C41" s="11"/>
      <c r="D41" s="11"/>
      <c r="E41" s="11"/>
      <c r="F41" s="22" t="s">
        <v>37</v>
      </c>
      <c r="G41" s="23" t="str">
        <f>IF(COUNTIFS($C$14:$C$27,"M_E_E",$E$14:$E$27,"SI",$F$14:$F$27,"SA")=0," ",COUNTIFS($C$14:$C$27,"M_E_E",$E$14:$E$27,"SI",$F$14:$F$27,"SA"))</f>
        <v xml:space="preserve"> </v>
      </c>
      <c r="H41" s="28"/>
      <c r="J41" s="26" t="s">
        <v>81</v>
      </c>
      <c r="K41" s="47">
        <f>IF(COUNTIFS($G$14:$G$35,"100",$I$14:$I$35,"AP")=0," ",COUNTIFS($G$14:$G$35,"100",$I$14:$I$35,"AP"))</f>
        <v>2</v>
      </c>
    </row>
    <row r="42" spans="2:22" ht="17.25" thickBot="1" x14ac:dyDescent="0.35">
      <c r="B42" s="11"/>
      <c r="C42" s="11"/>
      <c r="D42" s="11"/>
      <c r="E42" s="11"/>
      <c r="F42" s="24" t="s">
        <v>100</v>
      </c>
      <c r="G42" s="25" t="str">
        <f>IF(COUNTIFS($C$14:$C$27,"M_E_E",$E$14:$E$27,"SI",$F$14:$F$27,"DA")=0," ",COUNTIFS($C$14:$C$27,"M_E_E",$E$14:$E$27,"SI",$F$14:$F$27,"DA"))</f>
        <v xml:space="preserve"> </v>
      </c>
      <c r="H42" s="28"/>
      <c r="J42" s="32" t="s">
        <v>80</v>
      </c>
      <c r="K42" s="73" t="str">
        <f>IF(COUNTIFS($G$14:$G$35,"110",$I$14:$I$35,"AP")=0," ",COUNTIFS($G$14:$G$35,"110",$I$14:$I$35,"AP"))</f>
        <v xml:space="preserve"> </v>
      </c>
    </row>
    <row r="43" spans="2:22" ht="17.25" thickTop="1" x14ac:dyDescent="0.3">
      <c r="H43" s="66"/>
      <c r="L43" s="6"/>
      <c r="M43" s="4"/>
      <c r="N43" s="6"/>
      <c r="O43" s="6"/>
      <c r="P43" s="6"/>
      <c r="Q43" s="6"/>
      <c r="R43" s="6"/>
      <c r="S43" s="6"/>
      <c r="T43" s="6"/>
      <c r="U43" s="16"/>
      <c r="V43" s="17"/>
    </row>
    <row r="44" spans="2:22" x14ac:dyDescent="0.3">
      <c r="H44" s="66"/>
      <c r="L44" s="6"/>
      <c r="M44" s="4"/>
      <c r="N44" s="6"/>
      <c r="O44" s="6"/>
      <c r="P44" s="6"/>
      <c r="Q44" s="6"/>
      <c r="R44" s="6"/>
      <c r="S44" s="6"/>
      <c r="T44" s="6"/>
      <c r="U44" s="16"/>
      <c r="V44" s="17"/>
    </row>
    <row r="45" spans="2:22" ht="17.25" thickBot="1" x14ac:dyDescent="0.35">
      <c r="H45" s="66"/>
      <c r="L45" s="6"/>
      <c r="M45" s="4"/>
      <c r="N45" s="6"/>
      <c r="O45" s="6"/>
      <c r="P45" s="6"/>
      <c r="Q45" s="6"/>
      <c r="R45" s="6"/>
      <c r="S45" s="6"/>
      <c r="T45" s="6"/>
      <c r="U45" s="16"/>
      <c r="V45" s="17"/>
    </row>
    <row r="46" spans="2:22" ht="18" thickTop="1" thickBot="1" x14ac:dyDescent="0.35">
      <c r="B46" s="10" t="s">
        <v>38</v>
      </c>
      <c r="C46" s="10" t="s">
        <v>19</v>
      </c>
      <c r="D46" s="67"/>
      <c r="E46" s="68"/>
      <c r="F46" s="10" t="s">
        <v>39</v>
      </c>
      <c r="G46" s="10" t="s">
        <v>19</v>
      </c>
      <c r="H46" s="67"/>
      <c r="I46" s="68"/>
      <c r="J46" s="10" t="s">
        <v>40</v>
      </c>
      <c r="K46" s="10" t="s">
        <v>19</v>
      </c>
      <c r="L46" s="6"/>
      <c r="M46" s="4"/>
      <c r="N46" s="6"/>
      <c r="O46" s="6"/>
      <c r="P46" s="6"/>
      <c r="Q46" s="6"/>
      <c r="R46" s="6"/>
      <c r="S46" s="6"/>
      <c r="T46" s="6"/>
      <c r="U46" s="16"/>
      <c r="V46" s="17"/>
    </row>
    <row r="47" spans="2:22" ht="17.25" thickTop="1" x14ac:dyDescent="0.3">
      <c r="B47" s="30" t="s">
        <v>25</v>
      </c>
      <c r="C47" s="21" t="str">
        <f>IF(COUNTIFS($B$14:$B$27,"Hat",$C$14:$C$27,"M_E_R",$E$14:$E$27,"NI",$F$14:$F$27,"SA")=0," ",COUNTIFS($B$14:$B$27,"Hat",$C$14:$C$27,"M_E_R",$E$14:$E$27,"NI",$F$14:$F$27,"SA"))</f>
        <v xml:space="preserve"> </v>
      </c>
      <c r="D47" s="65"/>
      <c r="F47" s="30" t="s">
        <v>30</v>
      </c>
      <c r="G47" s="21" t="str">
        <f>IF(COUNTIFS($B$14:$B$27,"Top",$C$14:$C$27,"M_E_R",$E$14:$E$27,"NI",$F$14:$F$27,"SA")=0," ",COUNTIFS($B$14:$B$27,"Top",$C$14:$C$27,"M_E_R",$E$14:$E$27,"NI",$F$14:$F$27,"SA"))</f>
        <v xml:space="preserve"> </v>
      </c>
      <c r="H47" s="28"/>
      <c r="I47" s="28"/>
      <c r="J47" s="30" t="s">
        <v>32</v>
      </c>
      <c r="K47" s="21" t="str">
        <f>IF(COUNTIFS($B$14:$B$27,"Pants",$C$14:$C$27,"M_E_R",$E$14:$E$27,"NI",$F$14:$F$27,"SA")=0," ",COUNTIFS($B$14:$B$27,"Pants",$C$14:$C$27,"M_E_R",$E$14:$E$27,"NI",$F$14:$F$27,"SA"))</f>
        <v xml:space="preserve"> </v>
      </c>
    </row>
    <row r="48" spans="2:22" x14ac:dyDescent="0.3">
      <c r="B48" s="31" t="s">
        <v>106</v>
      </c>
      <c r="C48" s="23" t="str">
        <f>IF(COUNTIFS($B$14:$B$27,"Hat",$C$14:$C$27,"M_E_R",$E$14:$E$27,"NI",$F$14:$F$27,"DA")=0," ",COUNTIFS($B$14:$B$27,"Hat",$C$14:$C$27,"M_E_R",$E$14:$E$27,"NI",$F$14:$F$27,"DA"))</f>
        <v xml:space="preserve"> </v>
      </c>
      <c r="D48" s="65"/>
      <c r="F48" s="26" t="s">
        <v>107</v>
      </c>
      <c r="G48" s="27">
        <f>IF(COUNTIFS($B$14:$B$27,"Top",$C$14:$C$27,"M_E_R",$E$14:$E$27,"NI",$F$14:$F$27,"DA")=0," ",COUNTIFS($B$14:$B$27,"Top",$C$14:$C$27,"M_E_R",$E$14:$E$27,"NI",$F$14:$F$27,"DA"))</f>
        <v>2</v>
      </c>
      <c r="H48" s="28"/>
      <c r="I48" s="28"/>
      <c r="J48" s="31" t="s">
        <v>108</v>
      </c>
      <c r="K48" s="23" t="str">
        <f>IF(COUNTIFS($B$14:$B$27,"Pants",$C$14:$C$27,"M_E_R",$E$14:$E$27,"NI",$F$14:$F$27,"DA")=0," ",COUNTIFS($B$14:$B$27,"Pants",$C$14:$C$27,"M_E_R",$E$14:$E$27,"NI",$F$14:$F$27,"DA"))</f>
        <v xml:space="preserve"> </v>
      </c>
    </row>
    <row r="49" spans="2:11" x14ac:dyDescent="0.3">
      <c r="B49" s="31" t="s">
        <v>26</v>
      </c>
      <c r="C49" s="23" t="str">
        <f>IF(COUNTIFS($B$14:$B$27,"Hat",$C$14:$C$27,"M_E_R",$E$14:$E$27,"SI",$F$14:$F$27,"SA")=0," ",COUNTIFS($B$14:$B$27,"Hat",$C$14:$C$27,"M_E_R",$E$14:$E$27,"SI",$F$14:$F$27,"SA"))</f>
        <v xml:space="preserve"> </v>
      </c>
      <c r="D49" s="65"/>
      <c r="F49" s="31" t="s">
        <v>31</v>
      </c>
      <c r="G49" s="23">
        <f>IF(COUNTIFS($B$14:$B$27,"Top",$C$14:$C$27,"M_E_R",$E$14:$E$27,"SI",$F$14:$F$27,"SA")=0," ",COUNTIFS($B$14:$B$27,"Top",$C$14:$C$27,"M_E_R",$E$14:$E$27,"SI",$F$14:$F$27,"SA"))</f>
        <v>1</v>
      </c>
      <c r="H49" s="65"/>
      <c r="I49" s="28"/>
      <c r="J49" s="31" t="s">
        <v>33</v>
      </c>
      <c r="K49" s="34">
        <f>IF(COUNTIFS($B$14:$B$27,"Pants",$C$14:$C$27,"M_E_R",$E$14:$E$27,"SI",$F$14:$F$27,"SA")=0," ",COUNTIFS($B$14:$B$27,"Pants",$C$14:$C$27,"M_E_R",$E$14:$E$27,"SI",$F$14:$F$27,"SA"))</f>
        <v>1</v>
      </c>
    </row>
    <row r="50" spans="2:11" ht="17.25" thickBot="1" x14ac:dyDescent="0.35">
      <c r="B50" s="32" t="s">
        <v>109</v>
      </c>
      <c r="C50" s="25" t="str">
        <f>IF(COUNTIFS($B$14:$B$27,"Hat",$C$14:$C$27,"M_E_R",$E$14:$E$27,"SI",$F$14:$F$27,"DA")=0," ",COUNTIFS($B$14:$B$27,"Hat",$C$14:$C$27,"M_E_R",$E$14:$E$27,"SI",$F$14:$F$27,"DA"))</f>
        <v xml:space="preserve"> </v>
      </c>
      <c r="D50" s="65"/>
      <c r="F50" s="32" t="s">
        <v>110</v>
      </c>
      <c r="G50" s="72">
        <f>IF(COUNTIFS($B$14:$B$27,"Top",$C$14:$C$27,"M_E_R",$E$14:$E$27,"SI",$F$14:$F$27,"DA")=0," ",COUNTIFS($B$14:$B$27,"Top",$C$14:$C$27,"M_E_R",$E$14:$E$27,"SI",$F$14:$F$27,"DA"))</f>
        <v>1</v>
      </c>
      <c r="H50" s="28"/>
      <c r="I50" s="28"/>
      <c r="J50" s="32" t="s">
        <v>111</v>
      </c>
      <c r="K50" s="25" t="str">
        <f>IF(COUNTIFS($B$14:$B$27,"Pants",$C$14:$C$27,"M_E_R",$E$14:$E$27,"SI",$F$14:$F$27,"DA")=0," ",COUNTIFS($B$14:$B$27,"Pants",$C$14:$C$27,"M_E_R",$E$14:$E$27,"SI",$F$14:$F$27,"DA"))</f>
        <v xml:space="preserve"> </v>
      </c>
    </row>
    <row r="51" spans="2:11" ht="18" thickTop="1" thickBot="1" x14ac:dyDescent="0.35"/>
    <row r="52" spans="2:11" ht="18" thickTop="1" thickBot="1" x14ac:dyDescent="0.35">
      <c r="B52" s="10" t="s">
        <v>43</v>
      </c>
      <c r="C52" s="10" t="s">
        <v>19</v>
      </c>
      <c r="D52" s="67"/>
      <c r="E52" s="68"/>
      <c r="F52" s="10" t="s">
        <v>42</v>
      </c>
      <c r="G52" s="10" t="s">
        <v>19</v>
      </c>
      <c r="H52" s="67"/>
      <c r="I52" s="68"/>
      <c r="J52" s="10" t="s">
        <v>41</v>
      </c>
      <c r="K52" s="10" t="s">
        <v>19</v>
      </c>
    </row>
    <row r="53" spans="2:11" ht="17.25" thickTop="1" x14ac:dyDescent="0.3">
      <c r="B53" s="30" t="s">
        <v>44</v>
      </c>
      <c r="C53" s="21" t="str">
        <f>IF(COUNTIFS($B$14:$B$27,"Hat",$C$14:$C$27,"M_E_E",$E$14:$E$27,"NI",$F$14:$F$27,"SA")=0," ",COUNTIFS($B$14:$B$27,"Hat",$C$14:$C$27,"M_E_E",$E$14:$E$27,"NI",$F$14:$F$27,"SA"))</f>
        <v xml:space="preserve"> </v>
      </c>
      <c r="D53" s="67"/>
      <c r="F53" s="30" t="s">
        <v>45</v>
      </c>
      <c r="G53" s="21" t="str">
        <f>IF(COUNTIFS($B$14:$B$27,"Top",$C$14:$C$27,"M_E_E",$E$14:$E$27,"NI",$F$14:$F$27,"SA")=0," ",COUNTIFS($B$14:$B$27,"Top",$C$14:$C$27,"M_E_E",$E$14:$E$27,"NI",$F$14:$F$27,"SA"))</f>
        <v xml:space="preserve"> </v>
      </c>
      <c r="H53" s="65"/>
      <c r="I53" s="28"/>
      <c r="J53" s="30" t="s">
        <v>46</v>
      </c>
      <c r="K53" s="21" t="str">
        <f>IF(COUNTIFS($B$14:$B$27,"Pants",$C$14:$C$27,"M_E_E",$E$14:$E$27,"NI",$F$14:$F$27,"SA")=0," ",COUNTIFS($B$14:$B$27,"Pants",$C$14:$C$27,"M_E_E",$E$14:$E$27,"NI",$F$14:$F$27,"SA"))</f>
        <v xml:space="preserve"> </v>
      </c>
    </row>
    <row r="54" spans="2:11" x14ac:dyDescent="0.3">
      <c r="B54" s="31" t="s">
        <v>112</v>
      </c>
      <c r="C54" s="23" t="str">
        <f>IF(COUNTIFS($B$14:$B$27,"Hat",$C$14:$C$27,"M_E_E",$E$14:$E$27,"NI",$F$14:$F$27,"DA")=0," ",COUNTIFS($B$14:$B$27,"Hat",$C$14:$C$27,"M_E_E",$E$14:$E$27,"NI",$F$14:$F$27,"DA"))</f>
        <v xml:space="preserve"> </v>
      </c>
      <c r="D54" s="65"/>
      <c r="F54" s="31" t="s">
        <v>113</v>
      </c>
      <c r="G54" s="23" t="str">
        <f>IF(COUNTIFS($B$14:$B$27,"Top",$C$14:$C$27,"M_E_E",$E$14:$E$27,"NI",$F$14:$F$27,"DA")=0," ",COUNTIFS($B$14:$B$27,"Top",$C$14:$C$27,"M_E_E",$E$14:$E$27,"NI",$F$14:$F$27,"DA"))</f>
        <v xml:space="preserve"> </v>
      </c>
      <c r="H54" s="65"/>
      <c r="I54" s="28"/>
      <c r="J54" s="31" t="s">
        <v>114</v>
      </c>
      <c r="K54" s="23" t="str">
        <f>IF(COUNTIFS($B$14:$B$27,"Pants",$C$14:$C$27,"M_E_E",$E$14:$E$27,"NI",$F$14:$F$27,"DA")=0," ",COUNTIFS($B$14:$B$27,"Pants",$C$14:$C$27,"M_E_E",$E$14:$E$27,"NI",$F$14:$F$27,"DA"))</f>
        <v xml:space="preserve"> </v>
      </c>
    </row>
    <row r="55" spans="2:11" x14ac:dyDescent="0.3">
      <c r="B55" s="31" t="s">
        <v>47</v>
      </c>
      <c r="C55" s="23" t="str">
        <f>IF(COUNTIFS($B$14:$B$27,"Hat",$C$14:$C$27,"M_E_E",$E$14:$E$27,"SI",$F$14:$F$27,"SA")=0," ",COUNTIFS($B$14:$B$27,"Hat",$C$14:$C$27,"M_E_E",$E$14:$E$27,"SI",$F$14:$F$27,"SA"))</f>
        <v xml:space="preserve"> </v>
      </c>
      <c r="D55" s="65"/>
      <c r="F55" s="31" t="s">
        <v>48</v>
      </c>
      <c r="G55" s="23" t="str">
        <f>IF(COUNTIFS($B$14:$B$27,"Top",$C$14:$C$27,"M_E_E",$E$14:$E$27,"SI",$F$14:$F$27,"SA")=0," ",COUNTIFS($B$14:$B$27,"Top",$C$14:$C$27,"M_E_E",$E$14:$E$27,"SI",$F$14:$F$27,"SA"))</f>
        <v xml:space="preserve"> </v>
      </c>
      <c r="H55" s="65"/>
      <c r="I55" s="28"/>
      <c r="J55" s="31" t="s">
        <v>49</v>
      </c>
      <c r="K55" s="23" t="str">
        <f>IF(COUNTIFS($B$14:$B$27,"Pants",$C$14:$C$27,"M_E_E",$E$14:$E$27,"SI",$F$14:$F$27,"SA")=0," ",COUNTIFS($B$14:$B$27,"Pants",$C$14:$C$27,"M_E_E",$E$14:$E$27,"SI",$F$14:$F$27,"SA"))</f>
        <v xml:space="preserve"> </v>
      </c>
    </row>
    <row r="56" spans="2:11" x14ac:dyDescent="0.3">
      <c r="B56" s="37" t="s">
        <v>115</v>
      </c>
      <c r="C56" s="23" t="str">
        <f>IF(COUNTIFS($B$14:$B$27,"Hat",$C$14:$C$27,"M_E_E",$E$14:$E$27,"SI",$F$14:$F$27,"DA")=0," ",COUNTIFS($B$14:$B$27,"Hat",$C$14:$C$27,"M_E_E",$E$14:$E$27,"SI",$F$14:$F$27,"DA"))</f>
        <v xml:space="preserve"> </v>
      </c>
      <c r="D56" s="65"/>
      <c r="F56" s="31" t="s">
        <v>116</v>
      </c>
      <c r="G56" s="23" t="str">
        <f>IF(COUNTIFS($B$14:$B$27,"Top",$C$14:$C$27,"M_E_E",$E$14:$E$27,"SI",$F$14:$F$27,"DA")=0," ",COUNTIFS($B$14:$B$27,"Top",$C$14:$C$27,"M_E_E",$E$14:$E$27,"SI",$F$14:$F$27,"DA"))</f>
        <v xml:space="preserve"> </v>
      </c>
      <c r="H56" s="65"/>
      <c r="I56" s="28"/>
      <c r="J56" s="37" t="s">
        <v>117</v>
      </c>
      <c r="K56" s="23" t="str">
        <f>IF(COUNTIFS($B$14:$B$27,"Pants",$C$14:$C$27,"M_E_E",$E$14:$E$27,"SI",$F$14:$F$27,"DA")=0," ",COUNTIFS($B$14:$B$27,"Pants",$C$14:$C$27,"M_E_E",$E$14:$E$27,"SI",$F$14:$F$27,"DA"))</f>
        <v xml:space="preserve"> </v>
      </c>
    </row>
    <row r="57" spans="2:11" ht="17.25" thickBot="1" x14ac:dyDescent="0.35">
      <c r="B57" s="32" t="s">
        <v>118</v>
      </c>
      <c r="C57" s="36" t="str">
        <f>IF(COUNTIFS($B$14:$B$27,"Hat",$C$14:$C$27,"M_E_E",$E$14:$E$27,"NI",$F$14:$F$27,"DA(80)")=0," ",COUNTIFS($B$14:$B$27,"Hat",$C$14:$C$27,"M_E_E",$E$14:$E$27,"NI",$F$14:$F$27,"DA(80)"))</f>
        <v xml:space="preserve"> </v>
      </c>
      <c r="D57" s="28"/>
      <c r="F57" s="35" t="s">
        <v>119</v>
      </c>
      <c r="G57" s="36">
        <f>IF(COUNTIFS($B$14:$B$27,"Top",$C$14:$C$27,"M_E_E",$E$14:$E$27,"NI",$F$14:$F$27,"DA(80)")=0," ",COUNTIFS($B$14:$B$27,"Top",$C$14:$C$27,"M_E_E",$E$14:$E$27,"NI",$F$14:$F$27,"DA(80)"))</f>
        <v>1</v>
      </c>
      <c r="H57" s="28"/>
      <c r="J57" s="32" t="s">
        <v>120</v>
      </c>
      <c r="K57" s="78">
        <f>IF(COUNTIFS($B$14:$B$27,"Pants",$C$14:$C$27,"M_E_E",$E$14:$E$27,"NI",$F$14:$F$27,"DA(80)")=0," ",COUNTIFS($B$14:$B$27,"Pants",$C$14:$C$27,"M_E_E",$E$14:$E$27,"NI",$F$14:$F$27,"DA(80)"))</f>
        <v>1</v>
      </c>
    </row>
    <row r="58" spans="2:11" ht="17.25" thickTop="1" x14ac:dyDescent="0.3"/>
  </sheetData>
  <mergeCells count="1">
    <mergeCell ref="M13:P3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topLeftCell="A10" workbookViewId="0">
      <selection activeCell="O35" sqref="O35"/>
    </sheetView>
  </sheetViews>
  <sheetFormatPr defaultRowHeight="16.5" x14ac:dyDescent="0.3"/>
  <cols>
    <col min="1" max="1" width="11.375" customWidth="1"/>
    <col min="2" max="2" width="19.125" customWidth="1"/>
    <col min="3" max="5" width="14" customWidth="1"/>
    <col min="6" max="6" width="18.25" customWidth="1"/>
    <col min="7" max="9" width="14" customWidth="1"/>
    <col min="10" max="10" width="16.25" customWidth="1"/>
    <col min="11" max="11" width="14" customWidth="1"/>
    <col min="12" max="15" width="18.875" customWidth="1"/>
    <col min="16" max="16" width="28.375" customWidth="1"/>
    <col min="17" max="18" width="20.375" customWidth="1"/>
  </cols>
  <sheetData>
    <row r="1" spans="2:16" x14ac:dyDescent="0.3">
      <c r="I1" s="11"/>
      <c r="J1" s="11"/>
      <c r="K1" s="1"/>
    </row>
    <row r="2" spans="2:16" x14ac:dyDescent="0.3">
      <c r="I2" s="11"/>
      <c r="J2" s="11"/>
      <c r="K2" s="1"/>
    </row>
    <row r="3" spans="2:16" x14ac:dyDescent="0.3">
      <c r="I3" s="11"/>
      <c r="J3" s="11"/>
      <c r="K3" s="1"/>
    </row>
    <row r="4" spans="2:16" x14ac:dyDescent="0.3">
      <c r="B4" s="7"/>
      <c r="I4" s="11"/>
      <c r="J4" s="11"/>
      <c r="K4" s="1"/>
    </row>
    <row r="5" spans="2:16" x14ac:dyDescent="0.3">
      <c r="B5" s="8"/>
      <c r="I5" s="11"/>
      <c r="J5" s="11"/>
      <c r="K5" s="1"/>
    </row>
    <row r="6" spans="2:16" x14ac:dyDescent="0.3">
      <c r="I6" s="11"/>
      <c r="J6" s="11"/>
      <c r="K6" s="1"/>
    </row>
    <row r="7" spans="2:16" ht="17.25" thickBot="1" x14ac:dyDescent="0.35">
      <c r="I7" s="11"/>
      <c r="J7" s="11"/>
      <c r="K7" s="1"/>
    </row>
    <row r="8" spans="2:16" ht="18" thickTop="1" thickBot="1" x14ac:dyDescent="0.35">
      <c r="B8" s="10" t="s">
        <v>10</v>
      </c>
      <c r="I8" s="11"/>
      <c r="J8" s="11"/>
      <c r="K8" s="1"/>
    </row>
    <row r="9" spans="2:16" ht="18" thickTop="1" thickBot="1" x14ac:dyDescent="0.35">
      <c r="B9" s="9">
        <f ca="1">NOW()</f>
        <v>44310.081865856482</v>
      </c>
      <c r="I9" s="11"/>
      <c r="J9" s="11"/>
      <c r="K9" s="1"/>
    </row>
    <row r="10" spans="2:16" ht="17.25" thickTop="1" x14ac:dyDescent="0.3">
      <c r="I10" s="11"/>
      <c r="J10" s="11"/>
      <c r="K10" s="1"/>
    </row>
    <row r="11" spans="2:16" x14ac:dyDescent="0.3">
      <c r="I11" s="11"/>
      <c r="J11" s="11"/>
      <c r="K11" s="1"/>
    </row>
    <row r="12" spans="2:16" ht="17.25" thickBot="1" x14ac:dyDescent="0.35">
      <c r="B12" s="8"/>
      <c r="I12" s="11"/>
      <c r="J12" s="11"/>
      <c r="K12" s="1"/>
    </row>
    <row r="13" spans="2:16" ht="18" customHeight="1" thickTop="1" thickBot="1" x14ac:dyDescent="0.35">
      <c r="B13" s="44" t="s">
        <v>6</v>
      </c>
      <c r="C13" s="45" t="s">
        <v>4</v>
      </c>
      <c r="D13" s="45" t="s">
        <v>63</v>
      </c>
      <c r="E13" s="45" t="s">
        <v>7</v>
      </c>
      <c r="F13" s="45" t="s">
        <v>8</v>
      </c>
      <c r="G13" s="45" t="s">
        <v>11</v>
      </c>
      <c r="H13" s="45" t="s">
        <v>79</v>
      </c>
      <c r="I13" s="45" t="s">
        <v>12</v>
      </c>
      <c r="J13" s="45" t="s">
        <v>9</v>
      </c>
      <c r="K13" s="52" t="s">
        <v>3</v>
      </c>
      <c r="M13" s="88" t="s">
        <v>129</v>
      </c>
      <c r="N13" s="89"/>
      <c r="O13" s="89"/>
      <c r="P13" s="90"/>
    </row>
    <row r="14" spans="2:16" ht="17.25" thickTop="1" x14ac:dyDescent="0.3">
      <c r="B14" s="75" t="s">
        <v>0</v>
      </c>
      <c r="C14" s="74" t="s">
        <v>122</v>
      </c>
      <c r="D14" s="74">
        <v>3</v>
      </c>
      <c r="E14" s="74" t="s">
        <v>1</v>
      </c>
      <c r="F14" s="74" t="s">
        <v>5</v>
      </c>
      <c r="G14" s="74">
        <v>100</v>
      </c>
      <c r="H14" s="12">
        <v>10</v>
      </c>
      <c r="I14" s="12">
        <v>70</v>
      </c>
      <c r="J14" s="15">
        <v>27900</v>
      </c>
      <c r="K14" s="76">
        <v>16600</v>
      </c>
      <c r="L14" s="17"/>
      <c r="M14" s="91"/>
      <c r="N14" s="92"/>
      <c r="O14" s="92"/>
      <c r="P14" s="93"/>
    </row>
    <row r="15" spans="2:16" x14ac:dyDescent="0.3">
      <c r="B15" s="75" t="s">
        <v>0</v>
      </c>
      <c r="C15" s="12" t="s">
        <v>123</v>
      </c>
      <c r="D15" s="77">
        <v>1</v>
      </c>
      <c r="E15" s="12" t="s">
        <v>76</v>
      </c>
      <c r="F15" s="12" t="s">
        <v>88</v>
      </c>
      <c r="G15" s="12">
        <v>110</v>
      </c>
      <c r="H15" s="12">
        <v>10</v>
      </c>
      <c r="I15" s="12">
        <v>70</v>
      </c>
      <c r="J15" s="15">
        <v>60000</v>
      </c>
      <c r="K15" s="76">
        <v>25400</v>
      </c>
      <c r="L15" s="17"/>
      <c r="M15" s="91"/>
      <c r="N15" s="92"/>
      <c r="O15" s="92"/>
      <c r="P15" s="93"/>
    </row>
    <row r="16" spans="2:16" x14ac:dyDescent="0.3">
      <c r="B16" s="75" t="s">
        <v>60</v>
      </c>
      <c r="C16" s="74" t="s">
        <v>122</v>
      </c>
      <c r="D16" s="74">
        <v>3</v>
      </c>
      <c r="E16" s="74" t="s">
        <v>1</v>
      </c>
      <c r="F16" s="74" t="s">
        <v>5</v>
      </c>
      <c r="G16" s="74">
        <v>100</v>
      </c>
      <c r="H16" s="12">
        <v>10</v>
      </c>
      <c r="I16" s="12">
        <v>70</v>
      </c>
      <c r="J16" s="15">
        <v>34000</v>
      </c>
      <c r="K16" s="76">
        <v>22700</v>
      </c>
      <c r="L16" s="17"/>
      <c r="M16" s="91"/>
      <c r="N16" s="92"/>
      <c r="O16" s="92"/>
      <c r="P16" s="93"/>
    </row>
    <row r="17" spans="2:16" x14ac:dyDescent="0.3">
      <c r="B17" s="42" t="s">
        <v>21</v>
      </c>
      <c r="C17" s="12" t="s">
        <v>122</v>
      </c>
      <c r="D17" s="12">
        <v>3</v>
      </c>
      <c r="E17" s="12" t="s">
        <v>1</v>
      </c>
      <c r="F17" s="12" t="s">
        <v>88</v>
      </c>
      <c r="G17" s="12">
        <v>90</v>
      </c>
      <c r="H17" s="12">
        <v>10</v>
      </c>
      <c r="I17" s="12">
        <v>30</v>
      </c>
      <c r="J17" s="14">
        <v>64900</v>
      </c>
      <c r="K17" s="51">
        <v>54200</v>
      </c>
      <c r="L17" s="16"/>
      <c r="M17" s="91"/>
      <c r="N17" s="92"/>
      <c r="O17" s="92"/>
      <c r="P17" s="93"/>
    </row>
    <row r="18" spans="2:16" x14ac:dyDescent="0.3">
      <c r="B18" s="42" t="s">
        <v>21</v>
      </c>
      <c r="C18" s="12" t="s">
        <v>122</v>
      </c>
      <c r="D18" s="12">
        <v>3</v>
      </c>
      <c r="E18" s="12" t="s">
        <v>1</v>
      </c>
      <c r="F18" s="12" t="s">
        <v>88</v>
      </c>
      <c r="G18" s="12">
        <v>100</v>
      </c>
      <c r="H18" s="12">
        <v>10</v>
      </c>
      <c r="I18" s="12">
        <v>30</v>
      </c>
      <c r="J18" s="14">
        <v>34900</v>
      </c>
      <c r="K18" s="51">
        <v>23400</v>
      </c>
      <c r="L18" s="16"/>
      <c r="M18" s="91"/>
      <c r="N18" s="92"/>
      <c r="O18" s="92"/>
      <c r="P18" s="93"/>
    </row>
    <row r="19" spans="2:16" x14ac:dyDescent="0.3">
      <c r="B19" s="42" t="s">
        <v>23</v>
      </c>
      <c r="C19" s="12" t="s">
        <v>122</v>
      </c>
      <c r="D19" s="12">
        <v>3</v>
      </c>
      <c r="E19" s="12" t="s">
        <v>1</v>
      </c>
      <c r="F19" s="12" t="s">
        <v>88</v>
      </c>
      <c r="G19" s="12">
        <v>100</v>
      </c>
      <c r="H19" s="12">
        <v>10</v>
      </c>
      <c r="I19" s="12">
        <v>30</v>
      </c>
      <c r="J19" s="14">
        <v>45000</v>
      </c>
      <c r="K19" s="51">
        <v>33500</v>
      </c>
      <c r="L19" s="16"/>
      <c r="M19" s="91"/>
      <c r="N19" s="92"/>
      <c r="O19" s="92"/>
      <c r="P19" s="93"/>
    </row>
    <row r="20" spans="2:16" x14ac:dyDescent="0.3">
      <c r="B20" s="42" t="s">
        <v>23</v>
      </c>
      <c r="C20" s="12" t="s">
        <v>122</v>
      </c>
      <c r="D20" s="12">
        <v>3</v>
      </c>
      <c r="E20" s="12" t="s">
        <v>1</v>
      </c>
      <c r="F20" s="12" t="s">
        <v>88</v>
      </c>
      <c r="G20" s="12">
        <v>110</v>
      </c>
      <c r="H20" s="12">
        <v>10</v>
      </c>
      <c r="I20" s="12">
        <v>30</v>
      </c>
      <c r="J20" s="14">
        <v>34500</v>
      </c>
      <c r="K20" s="51">
        <v>22500</v>
      </c>
      <c r="L20" s="16"/>
      <c r="M20" s="91"/>
      <c r="N20" s="92"/>
      <c r="O20" s="92"/>
      <c r="P20" s="93"/>
    </row>
    <row r="21" spans="2:16" x14ac:dyDescent="0.3">
      <c r="B21" s="42"/>
      <c r="C21" s="12"/>
      <c r="D21" s="12"/>
      <c r="E21" s="12"/>
      <c r="F21" s="12"/>
      <c r="G21" s="12"/>
      <c r="H21" s="12"/>
      <c r="I21" s="12"/>
      <c r="J21" s="12"/>
      <c r="K21" s="51"/>
      <c r="L21" s="16"/>
      <c r="M21" s="91"/>
      <c r="N21" s="92"/>
      <c r="O21" s="92"/>
      <c r="P21" s="93"/>
    </row>
    <row r="22" spans="2:16" x14ac:dyDescent="0.3">
      <c r="B22" s="42"/>
      <c r="C22" s="12"/>
      <c r="D22" s="12"/>
      <c r="E22" s="12"/>
      <c r="F22" s="12"/>
      <c r="G22" s="12"/>
      <c r="H22" s="12"/>
      <c r="I22" s="12"/>
      <c r="J22" s="12"/>
      <c r="K22" s="51"/>
      <c r="L22" s="16"/>
      <c r="M22" s="91"/>
      <c r="N22" s="92"/>
      <c r="O22" s="92"/>
      <c r="P22" s="93"/>
    </row>
    <row r="23" spans="2:16" x14ac:dyDescent="0.3">
      <c r="B23" s="42"/>
      <c r="C23" s="12"/>
      <c r="D23" s="12"/>
      <c r="E23" s="12"/>
      <c r="F23" s="12"/>
      <c r="G23" s="12"/>
      <c r="H23" s="12"/>
      <c r="I23" s="12"/>
      <c r="J23" s="12"/>
      <c r="K23" s="51"/>
      <c r="L23" s="16"/>
      <c r="M23" s="91"/>
      <c r="N23" s="92"/>
      <c r="O23" s="92"/>
      <c r="P23" s="93"/>
    </row>
    <row r="24" spans="2:16" x14ac:dyDescent="0.3">
      <c r="B24" s="42"/>
      <c r="C24" s="12"/>
      <c r="D24" s="12"/>
      <c r="E24" s="12"/>
      <c r="F24" s="12"/>
      <c r="G24" s="12"/>
      <c r="H24" s="12"/>
      <c r="I24" s="12"/>
      <c r="J24" s="12"/>
      <c r="K24" s="51"/>
      <c r="L24" s="16"/>
      <c r="M24" s="91"/>
      <c r="N24" s="92"/>
      <c r="O24" s="92"/>
      <c r="P24" s="93"/>
    </row>
    <row r="25" spans="2:16" x14ac:dyDescent="0.3">
      <c r="B25" s="42"/>
      <c r="C25" s="12"/>
      <c r="D25" s="12"/>
      <c r="E25" s="12"/>
      <c r="F25" s="12"/>
      <c r="G25" s="12"/>
      <c r="H25" s="12"/>
      <c r="I25" s="12"/>
      <c r="J25" s="12"/>
      <c r="K25" s="51"/>
      <c r="L25" s="16"/>
      <c r="M25" s="91"/>
      <c r="N25" s="92"/>
      <c r="O25" s="92"/>
      <c r="P25" s="93"/>
    </row>
    <row r="26" spans="2:16" x14ac:dyDescent="0.3">
      <c r="B26" s="42"/>
      <c r="C26" s="12"/>
      <c r="D26" s="12"/>
      <c r="E26" s="12"/>
      <c r="F26" s="12"/>
      <c r="G26" s="12"/>
      <c r="H26" s="12"/>
      <c r="I26" s="12"/>
      <c r="J26" s="12"/>
      <c r="K26" s="51"/>
      <c r="L26" s="16"/>
      <c r="M26" s="91"/>
      <c r="N26" s="92"/>
      <c r="O26" s="92"/>
      <c r="P26" s="93"/>
    </row>
    <row r="27" spans="2:16" ht="17.25" thickBot="1" x14ac:dyDescent="0.35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16"/>
      <c r="M27" s="91"/>
      <c r="N27" s="92"/>
      <c r="O27" s="92"/>
      <c r="P27" s="93"/>
    </row>
    <row r="28" spans="2:16" ht="17.25" thickTop="1" x14ac:dyDescent="0.3">
      <c r="B28" s="3"/>
      <c r="C28" s="3"/>
      <c r="D28" s="3"/>
      <c r="E28" s="3"/>
      <c r="F28" s="3"/>
      <c r="G28" s="3"/>
      <c r="H28" s="3"/>
      <c r="I28" s="3"/>
      <c r="J28" s="5"/>
      <c r="K28" s="18"/>
      <c r="M28" s="91"/>
      <c r="N28" s="92"/>
      <c r="O28" s="92"/>
      <c r="P28" s="93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6"/>
      <c r="K29" s="19"/>
      <c r="M29" s="91"/>
      <c r="N29" s="92"/>
      <c r="O29" s="92"/>
      <c r="P29" s="93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6"/>
      <c r="K30" s="19"/>
      <c r="M30" s="91"/>
      <c r="N30" s="92"/>
      <c r="O30" s="92"/>
      <c r="P30" s="93"/>
    </row>
    <row r="31" spans="2:16" ht="17.25" thickBot="1" x14ac:dyDescent="0.35">
      <c r="B31" s="2"/>
      <c r="C31" s="2"/>
      <c r="D31" s="2"/>
      <c r="E31" s="2"/>
      <c r="F31" s="2"/>
      <c r="G31" s="2"/>
      <c r="H31" s="2"/>
      <c r="I31" s="2"/>
      <c r="J31" s="6"/>
      <c r="K31" s="19"/>
      <c r="M31" s="94"/>
      <c r="N31" s="95"/>
      <c r="O31" s="95"/>
      <c r="P31" s="96"/>
    </row>
    <row r="32" spans="2:16" ht="17.25" thickTop="1" x14ac:dyDescent="0.3">
      <c r="B32" s="2"/>
      <c r="C32" s="2"/>
      <c r="D32" s="2"/>
      <c r="E32" s="2"/>
      <c r="F32" s="2"/>
      <c r="G32" s="2"/>
      <c r="H32" s="2"/>
      <c r="I32" s="2"/>
      <c r="J32" s="6"/>
      <c r="K32" s="19"/>
    </row>
    <row r="33" spans="2:22" x14ac:dyDescent="0.3">
      <c r="B33" s="2"/>
      <c r="C33" s="2"/>
      <c r="D33" s="2"/>
      <c r="E33" s="2"/>
      <c r="F33" s="2"/>
      <c r="G33" s="2"/>
      <c r="H33" s="2"/>
      <c r="I33" s="2"/>
      <c r="J33" s="2"/>
      <c r="K33" s="19"/>
    </row>
    <row r="34" spans="2:22" ht="17.25" thickBot="1" x14ac:dyDescent="0.35"/>
    <row r="35" spans="2:22" ht="18" thickTop="1" thickBot="1" x14ac:dyDescent="0.35">
      <c r="B35" s="10" t="s">
        <v>16</v>
      </c>
      <c r="C35" s="10" t="s">
        <v>20</v>
      </c>
      <c r="D35" s="28"/>
      <c r="E35" s="11"/>
      <c r="F35" s="10" t="s">
        <v>27</v>
      </c>
      <c r="G35" s="10" t="s">
        <v>20</v>
      </c>
      <c r="H35" s="28"/>
      <c r="J35" s="10" t="s">
        <v>18</v>
      </c>
      <c r="K35" s="10" t="s">
        <v>19</v>
      </c>
      <c r="M35" s="61" t="s">
        <v>6</v>
      </c>
      <c r="N35" s="62" t="s">
        <v>57</v>
      </c>
    </row>
    <row r="36" spans="2:22" ht="17.25" thickTop="1" x14ac:dyDescent="0.3">
      <c r="B36" s="30" t="s">
        <v>59</v>
      </c>
      <c r="C36" s="33" t="str">
        <f>IF(COUNTIF($B$14:$B$27,"Hat")=0," ",COUNTIF($B$14:$B$27,"Hat"))</f>
        <v xml:space="preserve"> </v>
      </c>
      <c r="D36" s="28"/>
      <c r="E36" s="11"/>
      <c r="F36" s="30" t="s">
        <v>51</v>
      </c>
      <c r="G36" s="33" t="str">
        <f>IF(COUNTIFS($C$14:$C$27,"A_E_R",$E$14:$E$27,"NI",$F$14:$F$27,"SA")=0," ",COUNTIFS($C$14:$C$27,"A_E_R",$E$14:$E$27,"NI",$F$14:$F$27,"SA"))</f>
        <v xml:space="preserve"> </v>
      </c>
      <c r="H36" s="28"/>
      <c r="J36" s="31" t="s">
        <v>71</v>
      </c>
      <c r="K36" s="34" t="str">
        <f>IF(COUNTIFS($G$14:$G$39,"90",$I$14:$I$39,"70")=0," ",COUNTIFS($G$14:$G$39,"90",$I$14:$I$39,"70"))</f>
        <v xml:space="preserve"> </v>
      </c>
      <c r="M36" s="63" t="str">
        <f>INDEX($B$14:$B$36,MATCH(LARGE($K$14:$K$36,1),$K$14:$K$36,0))</f>
        <v>Top</v>
      </c>
      <c r="N36" s="64">
        <f>LARGE($K$14:K27,1)</f>
        <v>54200</v>
      </c>
    </row>
    <row r="37" spans="2:22" x14ac:dyDescent="0.3">
      <c r="B37" s="26" t="s">
        <v>22</v>
      </c>
      <c r="C37" s="27">
        <f>IF(COUNTIF($B$14:$B$27,"Top")=0," ",COUNTIF($B$14:$B$27,"Top"))</f>
        <v>4</v>
      </c>
      <c r="D37" s="28"/>
      <c r="E37" s="11"/>
      <c r="F37" s="31" t="s">
        <v>124</v>
      </c>
      <c r="G37" s="34" t="str">
        <f>IF(COUNTIFS($C$14:$C$27,"A_E_R",$E$14:$E$27,"NI",$F$14:$F$27,"DA")=0," ",COUNTIFS($C$14:$C$27,"A_E_R",$E$14:$E$27,"NI",$F$14:$F$27,"DA"))</f>
        <v xml:space="preserve"> </v>
      </c>
      <c r="H37" s="28"/>
      <c r="J37" s="31" t="s">
        <v>72</v>
      </c>
      <c r="K37" s="48">
        <f>IF(COUNTIFS($G$14:$G$39,"90",$I$14:$I$39,"30")=0," ",COUNTIFS($G$14:$G$39,"90",$I$14:$I$39,"30"))</f>
        <v>1</v>
      </c>
      <c r="M37" s="26" t="str">
        <f>INDEX($B$14:$B$36,MATCH(LARGE($K$14:$K$36,2),$K$14:$K$36,0))</f>
        <v>Pants</v>
      </c>
      <c r="N37" s="47">
        <f>LARGE($K$14:K28,2)</f>
        <v>33500</v>
      </c>
    </row>
    <row r="38" spans="2:22" ht="17.25" thickBot="1" x14ac:dyDescent="0.35">
      <c r="B38" s="49" t="s">
        <v>60</v>
      </c>
      <c r="C38" s="87">
        <f>IF(COUNTIF($B$14:$B$27,"Pants")=0," ",COUNTIF($B$14:$B$27,"Pants"))</f>
        <v>3</v>
      </c>
      <c r="D38" s="28"/>
      <c r="E38" s="11"/>
      <c r="F38" s="40" t="s">
        <v>50</v>
      </c>
      <c r="G38" s="41">
        <f>IF(COUNTIFS($C$14:$C$27,"A_E_R",$E$14:$E$27,"SI",$F$14:$F$27,"SA")=0," ",COUNTIFS($C$14:$C$27,"A_E_R",$E$14:$E$27,"SI",$F$14:$F$27,"SA"))</f>
        <v>2</v>
      </c>
      <c r="H38" s="28"/>
      <c r="J38" s="26" t="s">
        <v>68</v>
      </c>
      <c r="K38" s="27">
        <f>IF(COUNTIFS($G$14:$G$39,"100",$I$14:$I$39,"70")=0," ",COUNTIFS($G$14:$G$39,"100",$I$14:$I$39,"70"))</f>
        <v>2</v>
      </c>
      <c r="M38" s="40" t="str">
        <f>INDEX($B$14:$B$36,MATCH(LARGE($K$14:$K$36,3),$K$14:$K$36,0))</f>
        <v>Top</v>
      </c>
      <c r="N38" s="69">
        <f>LARGE($K$14:K33,3)</f>
        <v>25400</v>
      </c>
    </row>
    <row r="39" spans="2:22" ht="17.25" thickTop="1" x14ac:dyDescent="0.3">
      <c r="B39" s="11"/>
      <c r="C39" s="11"/>
      <c r="D39" s="28"/>
      <c r="E39" s="11"/>
      <c r="F39" s="26" t="s">
        <v>125</v>
      </c>
      <c r="G39" s="27">
        <f>IF(COUNTIFS($C$14:$C$27,"A_E_R",$E$14:$E$27,"SI",$F$14:$F$27,"DA")=0," ",COUNTIFS($C$14:$C$27,"A_E_R",$E$14:$E$27,"SI",$F$14:$F$27,"DA"))</f>
        <v>4</v>
      </c>
      <c r="H39" s="28"/>
      <c r="J39" s="26" t="s">
        <v>69</v>
      </c>
      <c r="K39" s="47">
        <f>IF(COUNTIFS($G$14:$G$39,"100",$I$14:$I$39,"30")=0," ",COUNTIFS($G$14:$G$39,"100",$I$14:$I$39,"30"))</f>
        <v>2</v>
      </c>
      <c r="M39" s="26" t="str">
        <f>INDEX($B$14:$B$36,MATCH(LARGE($K$14:$K$36,4),$K$14:$K$36,0))</f>
        <v>Top</v>
      </c>
      <c r="N39" s="47">
        <f>LARGE($K$14:K34,4)</f>
        <v>23400</v>
      </c>
    </row>
    <row r="40" spans="2:22" ht="17.25" thickBot="1" x14ac:dyDescent="0.35">
      <c r="B40" s="11"/>
      <c r="C40" s="11"/>
      <c r="D40" s="28"/>
      <c r="E40" s="11"/>
      <c r="F40" s="31" t="s">
        <v>52</v>
      </c>
      <c r="G40" s="34" t="str">
        <f>IF(COUNTIFS($C$14:$C$27,"A_E_E",$E$14:$E$27,"NI",$F$14:$F$27,"SA")=0," ",COUNTIFS($C$14:$C$27,"A_E_E",$E$14:$E$27,"NI",$F$14:$F$27,"SA"))</f>
        <v xml:space="preserve"> </v>
      </c>
      <c r="H40" s="28"/>
      <c r="J40" s="31" t="s">
        <v>65</v>
      </c>
      <c r="K40" s="34">
        <f>IF(COUNTIFS($G$14:$G$39,"110",$I$14:$I$39,"70")=0," ",COUNTIFS($G$14:$G$39,"110",$I$14:$I$39,"70"))</f>
        <v>1</v>
      </c>
      <c r="L40" s="28"/>
      <c r="M40" s="49" t="str">
        <f>INDEX($B$14:$B$36,MATCH(LARGE($K$14:$K$36,5),$K$14:$K$36,0))</f>
        <v>Pants</v>
      </c>
      <c r="N40" s="50">
        <f>LARGE($K$14:K35,5)</f>
        <v>22700</v>
      </c>
      <c r="O40" s="28"/>
    </row>
    <row r="41" spans="2:22" ht="17.25" thickTop="1" x14ac:dyDescent="0.3">
      <c r="B41" s="11"/>
      <c r="C41" s="11"/>
      <c r="D41" s="28"/>
      <c r="E41" s="11"/>
      <c r="F41" s="22" t="s">
        <v>126</v>
      </c>
      <c r="G41" s="23" t="str">
        <f>IF(COUNTIFS($C$14:$C$27,"A_E_E",$E$14:$E$27,"NI",$F$14:$F$27,"DA")=0," ",COUNTIFS($C$14:$C$27,"A_E_E",$E$14:$E$27,"NI",$F$14:$F$27,"DA"))</f>
        <v xml:space="preserve"> </v>
      </c>
      <c r="H41" s="28"/>
      <c r="J41" s="31" t="s">
        <v>66</v>
      </c>
      <c r="K41" s="48">
        <f>IF(COUNTIFS($G$14:$G$39,"110",$I$14:$I$39,"30")=0," ",COUNTIFS($G$14:$G$39,"110",$I$14:$I$39,"30"))</f>
        <v>1</v>
      </c>
      <c r="L41" s="28"/>
      <c r="M41" s="28"/>
      <c r="N41" s="28"/>
      <c r="O41" s="28"/>
    </row>
    <row r="42" spans="2:22" x14ac:dyDescent="0.3">
      <c r="B42" s="11"/>
      <c r="C42" s="11"/>
      <c r="D42" s="28"/>
      <c r="E42" s="11"/>
      <c r="F42" s="22" t="s">
        <v>127</v>
      </c>
      <c r="G42" s="23" t="str">
        <f>IF(COUNTIFS($C$14:$C$27,"A_E_E",$E$14:$E$27,"NI",$F$14:$F$27,"DA(80)")=0," ",COUNTIFS($C$14:$C$27,"A_E_E",$E$14:$E$27,"NI",$F$14:$F$27,"DA(80)"))</f>
        <v xml:space="preserve"> </v>
      </c>
      <c r="H42" s="28"/>
      <c r="J42" s="31" t="s">
        <v>73</v>
      </c>
      <c r="K42" s="48" t="str">
        <f>IF(COUNTIFS($G$14:$G$39,"90",$I$14:$I$39,"PW")=0," ",COUNTIFS($G$14:$G$39,"90",$I$14:$I$39,"PW"))</f>
        <v xml:space="preserve"> </v>
      </c>
    </row>
    <row r="43" spans="2:22" x14ac:dyDescent="0.3">
      <c r="B43" s="11"/>
      <c r="C43" s="11"/>
      <c r="D43" s="28"/>
      <c r="E43" s="11"/>
      <c r="F43" s="22" t="s">
        <v>53</v>
      </c>
      <c r="G43" s="23" t="str">
        <f>IF(COUNTIFS($C$14:$C$27,"A_E_E",$E$14:$E$27,"SI",$F$14:$F$27,"SA")=0," ",COUNTIFS($C$14:$C$27,"A_E_E",$E$14:$E$27,"SI",$F$14:$F$27,"SA"))</f>
        <v xml:space="preserve"> </v>
      </c>
      <c r="H43" s="28"/>
      <c r="J43" s="31" t="s">
        <v>70</v>
      </c>
      <c r="K43" s="57" t="str">
        <f>IF(COUNTIFS($G$14:$G$39,"100",$I$14:$I$39,"PW")=0," ",COUNTIFS($G$14:$G$39,"100",$I$14:$I$39,"PW"))</f>
        <v xml:space="preserve"> </v>
      </c>
      <c r="L43" s="28"/>
      <c r="M43" s="28"/>
    </row>
    <row r="44" spans="2:22" ht="17.25" thickBot="1" x14ac:dyDescent="0.35">
      <c r="B44" s="11"/>
      <c r="C44" s="11"/>
      <c r="D44" s="28"/>
      <c r="E44" s="11"/>
      <c r="F44" s="24" t="s">
        <v>128</v>
      </c>
      <c r="G44" s="25">
        <f>IF(COUNTIFS($C$14:$C$27,"A_E_E",$E$14:$E$27,"SI",$F$14:$F$27,"DA")=0," ",COUNTIFS($C$14:$C$27,"A_E_E",$E$14:$E$27,"SI",$F$14:$F$27,"DA"))</f>
        <v>1</v>
      </c>
      <c r="H44" s="28"/>
      <c r="J44" s="32" t="s">
        <v>67</v>
      </c>
      <c r="K44" s="58" t="str">
        <f>IF(COUNTIFS($G$14:$G$39,"110",$I$14:$I$39,"PW")=0," ",COUNTIFS($G$14:$G$39,"110",$I$14:$I$39,"PW"))</f>
        <v xml:space="preserve"> </v>
      </c>
      <c r="L44" s="28"/>
      <c r="M44" s="28"/>
    </row>
    <row r="45" spans="2:22" ht="17.25" thickTop="1" x14ac:dyDescent="0.3">
      <c r="D45" s="66"/>
      <c r="H45" s="66"/>
      <c r="L45" s="28"/>
      <c r="M45" s="28"/>
      <c r="N45" s="6"/>
      <c r="O45" s="6"/>
      <c r="S45" s="6"/>
      <c r="T45" s="6"/>
      <c r="U45" s="16"/>
      <c r="V45" s="17"/>
    </row>
    <row r="46" spans="2:22" x14ac:dyDescent="0.3">
      <c r="D46" s="66"/>
      <c r="H46" s="66"/>
      <c r="L46" s="28"/>
      <c r="M46" s="28"/>
      <c r="N46" s="6"/>
      <c r="O46" s="6"/>
      <c r="S46" s="6"/>
      <c r="T46" s="6"/>
      <c r="U46" s="16"/>
      <c r="V46" s="17"/>
    </row>
    <row r="47" spans="2:22" ht="17.25" thickBot="1" x14ac:dyDescent="0.35">
      <c r="D47" s="66"/>
      <c r="H47" s="66"/>
      <c r="L47" s="28"/>
      <c r="M47" s="28"/>
      <c r="N47" s="6"/>
      <c r="O47" s="6"/>
      <c r="S47" s="6"/>
      <c r="T47" s="6"/>
      <c r="U47" s="16"/>
      <c r="V47" s="17"/>
    </row>
    <row r="48" spans="2:22" ht="18" thickTop="1" thickBot="1" x14ac:dyDescent="0.35">
      <c r="B48" s="10" t="s">
        <v>38</v>
      </c>
      <c r="C48" s="10" t="s">
        <v>20</v>
      </c>
      <c r="D48" s="67"/>
      <c r="E48" s="68"/>
      <c r="F48" s="10" t="s">
        <v>39</v>
      </c>
      <c r="G48" s="10" t="s">
        <v>20</v>
      </c>
      <c r="H48" s="67"/>
      <c r="I48" s="68"/>
      <c r="J48" s="10" t="s">
        <v>40</v>
      </c>
      <c r="K48" s="10" t="s">
        <v>20</v>
      </c>
      <c r="L48" s="28"/>
      <c r="M48" s="28"/>
      <c r="N48" s="6"/>
      <c r="O48" s="6"/>
      <c r="S48" s="6"/>
      <c r="T48" s="6"/>
      <c r="U48" s="16"/>
      <c r="V48" s="17"/>
    </row>
    <row r="49" spans="2:13" ht="17.25" thickTop="1" x14ac:dyDescent="0.3">
      <c r="B49" s="30" t="s">
        <v>25</v>
      </c>
      <c r="C49" s="21" t="str">
        <f>IF(COUNTIFS($B$14:$B$27,"Hat",$C$14:$C$27,"A_E_R",$E$14:$E$27,"NI",$F$14:$F$27,"SA")=0," ",COUNTIFS($B$14:$B$27,"Hat",$C$14:$C$27,"A_E_R",$E$14:$E$27,"NI",$F$14:$F$27,"SA"))</f>
        <v xml:space="preserve"> </v>
      </c>
      <c r="D49" s="28"/>
      <c r="F49" s="30" t="s">
        <v>30</v>
      </c>
      <c r="G49" s="21" t="str">
        <f>IF(COUNTIFS($B$14:$B$27,"Top",$C$14:$C$27,"A_E_R",$E$14:$E$27,"NI",$F$14:$F$27,"SA")=0," ",COUNTIFS($B$14:$B$27,"Top",$C$14:$C$27,"A_E_R",$E$14:$E$27,"NI",$F$14:$F$27,"SA"))</f>
        <v xml:space="preserve"> </v>
      </c>
      <c r="H49" s="28"/>
      <c r="I49" s="28"/>
      <c r="J49" s="30" t="s">
        <v>32</v>
      </c>
      <c r="K49" s="21" t="str">
        <f>IF(COUNTIFS($B$14:$B$27,"Pants",$C$14:$C$27,"A_E_R",$E$14:$E$27,"NI",$F$14:$F$27,"SA")=0," ",COUNTIFS($B$14:$B$27,"Pants",$C$14:$C$27,"A_E_R",$E$14:$E$27,"NI",$F$14:$F$27,"SA"))</f>
        <v xml:space="preserve"> </v>
      </c>
    </row>
    <row r="50" spans="2:13" x14ac:dyDescent="0.3">
      <c r="B50" s="31" t="s">
        <v>106</v>
      </c>
      <c r="C50" s="23" t="str">
        <f>IF(COUNTIFS($B$14:$B$27,"Hat",$C$14:$C$27,"A_E_R",$E$14:$E$27,"NI",$F$14:$F$27,"DA")=0," ",COUNTIFS($B$14:$B$27,"Hat",$C$14:$C$27,"A_E_R",$E$14:$E$27,"NI",$F$14:$F$27,"DA"))</f>
        <v xml:space="preserve"> </v>
      </c>
      <c r="D50" s="28"/>
      <c r="F50" s="31" t="s">
        <v>107</v>
      </c>
      <c r="G50" s="23" t="str">
        <f>IF(COUNTIFS($B$14:$B$27,"Top",$C$14:$C$27,"A_E_R",$E$14:$E$27,"NI",$F$14:$F$27,"DA")=0," ",COUNTIFS($B$14:$B$27,"Top",$C$14:$C$27,"A_E_R",$E$14:$E$27,"NI",$F$14:$F$27,"DA"))</f>
        <v xml:space="preserve"> </v>
      </c>
      <c r="H50" s="28"/>
      <c r="I50" s="28"/>
      <c r="J50" s="31" t="s">
        <v>108</v>
      </c>
      <c r="K50" s="23" t="str">
        <f>IF(COUNTIFS($B$14:$B$27,"Pants",$C$14:$C$27,"A_E_R",$E$14:$E$27,"NI",$F$14:$F$27,"DA")=0," ",COUNTIFS($B$14:$B$27,"Pants",$C$14:$C$27,"A_E_R",$E$14:$E$27,"NI",$F$14:$F$27,"DA"))</f>
        <v xml:space="preserve"> </v>
      </c>
      <c r="L50" s="28"/>
      <c r="M50" s="28"/>
    </row>
    <row r="51" spans="2:13" x14ac:dyDescent="0.3">
      <c r="B51" s="31" t="s">
        <v>26</v>
      </c>
      <c r="C51" s="23" t="str">
        <f>IF(COUNTIFS($B$14:$B$27,"Hat",$C$14:$C$27,"A_E_R",$E$14:$E$27,"SI",$F$14:$F$27,"SA")=0," ",COUNTIFS($B$14:$B$27,"Hat",$C$14:$C$27,"A_E_R",$E$14:$E$27,"SI",$F$14:$F$27,"SA"))</f>
        <v xml:space="preserve"> </v>
      </c>
      <c r="D51" s="28"/>
      <c r="F51" s="31" t="s">
        <v>31</v>
      </c>
      <c r="G51" s="34">
        <f>IF(COUNTIFS($B$14:$B$27,"Top",$C$14:$C$27,"A_E_R",$E$14:$E$27,"SI",$F$14:$F$27,"SA")=0," ",COUNTIFS($B$14:$B$27,"Top",$C$14:$C$27,"A_E_R",$E$14:$E$27,"SI",$F$14:$F$27,"SA"))</f>
        <v>1</v>
      </c>
      <c r="H51" s="28"/>
      <c r="I51" s="28"/>
      <c r="J51" s="31" t="s">
        <v>33</v>
      </c>
      <c r="K51" s="34">
        <f>IF(COUNTIFS($B$14:$B$27,"Pants",$C$14:$C$27,"A_E_R",$E$14:$E$27,"SI",$F$14:$F$27,"SA")=0," ",COUNTIFS($B$14:$B$27,"Pants",$C$14:$C$27,"A_E_R",$E$14:$E$27,"SI",$F$14:$F$27,"SA"))</f>
        <v>1</v>
      </c>
      <c r="L51" s="28"/>
      <c r="M51" s="28"/>
    </row>
    <row r="52" spans="2:13" ht="17.25" thickBot="1" x14ac:dyDescent="0.35">
      <c r="B52" s="32" t="s">
        <v>109</v>
      </c>
      <c r="C52" s="72" t="str">
        <f>IF(COUNTIFS($B$14:$B$27,"Hat",$C$14:$C$27,"A_E_R",$E$14:$E$27,"SI",$F$14:$F$27,"DA")=0," ",COUNTIFS($B$14:$B$27,"Hat",$C$14:$C$27,"A_E_R",$E$14:$E$27,"SI",$F$14:$F$27,"DA"))</f>
        <v xml:space="preserve"> </v>
      </c>
      <c r="D52" s="28"/>
      <c r="F52" s="38" t="s">
        <v>110</v>
      </c>
      <c r="G52" s="39">
        <f>IF(COUNTIFS($B$14:$B$27,"Top",$C$14:$C$27,"A_E_R",$E$14:$E$27,"SI",$F$14:$F$27,"DA")=0," ",COUNTIFS($B$14:$B$27,"Top",$C$14:$C$27,"A_E_R",$E$14:$E$27,"SI",$F$14:$F$27,"DA"))</f>
        <v>2</v>
      </c>
      <c r="H52" s="28"/>
      <c r="I52" s="28"/>
      <c r="J52" s="38" t="s">
        <v>111</v>
      </c>
      <c r="K52" s="39">
        <f>IF(COUNTIFS($B$14:$B$27,"Pants",$C$14:$C$27,"A_E_R",$E$14:$E$27,"SI",$F$14:$F$27,"DA")=0," ",COUNTIFS($B$14:$B$27,"Pants",$C$14:$C$27,"A_E_R",$E$14:$E$27,"SI",$F$14:$F$27,"DA"))</f>
        <v>2</v>
      </c>
      <c r="L52" s="28"/>
      <c r="M52" s="28"/>
    </row>
    <row r="53" spans="2:13" ht="18" thickTop="1" thickBot="1" x14ac:dyDescent="0.35">
      <c r="D53" s="66"/>
      <c r="H53" s="66"/>
      <c r="L53" s="28"/>
      <c r="M53" s="28"/>
    </row>
    <row r="54" spans="2:13" ht="18" thickTop="1" thickBot="1" x14ac:dyDescent="0.35">
      <c r="B54" s="10" t="s">
        <v>43</v>
      </c>
      <c r="C54" s="10" t="s">
        <v>20</v>
      </c>
      <c r="D54" s="67"/>
      <c r="E54" s="68"/>
      <c r="F54" s="10" t="s">
        <v>42</v>
      </c>
      <c r="G54" s="10" t="s">
        <v>20</v>
      </c>
      <c r="H54" s="67"/>
      <c r="I54" s="68"/>
      <c r="J54" s="10" t="s">
        <v>41</v>
      </c>
      <c r="K54" s="10" t="s">
        <v>20</v>
      </c>
      <c r="L54" s="28"/>
      <c r="M54" s="28"/>
    </row>
    <row r="55" spans="2:13" ht="17.25" thickTop="1" x14ac:dyDescent="0.3">
      <c r="B55" s="30" t="s">
        <v>44</v>
      </c>
      <c r="C55" s="21" t="str">
        <f>IF(COUNTIFS($B$14:$B$27,"Hat",$C$14:$C$27,"A_E_E",$E$14:$E$27,"NI",$F$14:$F$27,"SA")=0," ",COUNTIFS($B$14:$B$27,"Hat",$C$14:$C$27,"A_E_E",$E$14:$E$27,"NI",$F$14:$F$27,"SA"))</f>
        <v xml:space="preserve"> </v>
      </c>
      <c r="D55" s="65"/>
      <c r="F55" s="30" t="s">
        <v>45</v>
      </c>
      <c r="G55" s="21" t="str">
        <f>IF(COUNTIFS($B$14:$B$27,"Top",$C$14:$C$27,"A_E_E",$E$14:$E$27,"NI",$F$14:$F$27,"SA")=0," ",COUNTIFS($B$14:$B$27,"Top",$C$14:$C$27,"A_E_E",$E$14:$E$27,"NI",$F$14:$F$27,"SA"))</f>
        <v xml:space="preserve"> </v>
      </c>
      <c r="H55" s="65"/>
      <c r="I55" s="28"/>
      <c r="J55" s="30" t="s">
        <v>46</v>
      </c>
      <c r="K55" s="21" t="str">
        <f>IF(COUNTIFS($B$14:$B$27,"Pants",$C$14:$C$27,"A_E_E",$E$14:$E$27,"NI",$F$14:$F$27,"SA")=0," ",COUNTIFS($B$14:$B$27,"Pants",$C$14:$C$27,"A_E_E",$E$14:$E$27,"NI",$F$14:$F$27,"SA"))</f>
        <v xml:space="preserve"> </v>
      </c>
      <c r="L55" s="28"/>
      <c r="M55" s="28"/>
    </row>
    <row r="56" spans="2:13" x14ac:dyDescent="0.3">
      <c r="B56" s="31" t="s">
        <v>112</v>
      </c>
      <c r="C56" s="23" t="str">
        <f>IF(COUNTIFS($B$14:$B$27,"Hat",$C$14:$C$27,"A_E_E",$E$14:$E$27,"NI",$F$14:$F$27,"DA")=0," ",COUNTIFS($B$14:$B$27,"Hat",$C$14:$C$27,"A_E_E",$E$14:$E$27,"NI",$F$14:$F$27,"DA"))</f>
        <v xml:space="preserve"> </v>
      </c>
      <c r="D56" s="65"/>
      <c r="F56" s="31" t="s">
        <v>113</v>
      </c>
      <c r="G56" s="23" t="str">
        <f>IF(COUNTIFS($B$14:$B$27,"Top",$C$14:$C$27,"A_E_E",$E$14:$E$27,"NI",$F$14:$F$27,"DA")=0," ",COUNTIFS($B$14:$B$27,"Top",$C$14:$C$27,"A_E_E",$E$14:$E$27,"NI",$F$14:$F$27,"DA"))</f>
        <v xml:space="preserve"> </v>
      </c>
      <c r="H56" s="65"/>
      <c r="I56" s="28"/>
      <c r="J56" s="31" t="s">
        <v>114</v>
      </c>
      <c r="K56" s="23" t="str">
        <f>IF(COUNTIFS($B$14:$B$27,"Pants",$C$14:$C$27,"A_E_E",$E$14:$E$27,"NI",$F$14:$F$27,"DA")=0," ",COUNTIFS($B$14:$B$27,"Pants",$C$14:$C$27,"A_E_E",$E$14:$E$27,"NI",$F$14:$F$27,"DA"))</f>
        <v xml:space="preserve"> </v>
      </c>
    </row>
    <row r="57" spans="2:13" x14ac:dyDescent="0.3">
      <c r="B57" s="31" t="s">
        <v>47</v>
      </c>
      <c r="C57" s="23" t="str">
        <f>IF(COUNTIFS($B$14:$B$27,"Hat",$C$14:$C$27,"A_E_E",$E$14:$E$27,"SI",$F$14:$F$27,"SA")=0," ",COUNTIFS($B$14:$B$27,"Hat",$C$14:$C$27,"A_E_E",$E$14:$E$27,"SI",$F$14:$F$27,"SA"))</f>
        <v xml:space="preserve"> </v>
      </c>
      <c r="D57" s="65"/>
      <c r="F57" s="31" t="s">
        <v>48</v>
      </c>
      <c r="G57" s="23" t="str">
        <f>IF(COUNTIFS($B$14:$B$27,"Top",$C$14:$C$27,"A_E_E",$E$14:$E$27,"SI",$F$14:$F$27,"SA")=0," ",COUNTIFS($B$14:$B$27,"Top",$C$14:$C$27,"A_E_E",$E$14:$E$27,"SI",$F$14:$F$27,"SA"))</f>
        <v xml:space="preserve"> </v>
      </c>
      <c r="H57" s="65"/>
      <c r="I57" s="28"/>
      <c r="J57" s="31" t="s">
        <v>49</v>
      </c>
      <c r="K57" s="23" t="str">
        <f>IF(COUNTIFS($B$14:$B$27,"Pants",$C$14:$C$27,"A_E_E",$E$14:$E$27,"SI",$F$14:$F$27,"SA")=0," ",COUNTIFS($B$14:$B$27,"Pants",$C$14:$C$27,"A_E_E",$E$14:$E$27,"SI",$F$14:$F$27,"SA"))</f>
        <v xml:space="preserve"> </v>
      </c>
      <c r="L57" s="28"/>
      <c r="M57" s="28"/>
    </row>
    <row r="58" spans="2:13" x14ac:dyDescent="0.3">
      <c r="B58" s="37" t="s">
        <v>115</v>
      </c>
      <c r="C58" s="23" t="str">
        <f>IF(COUNTIFS($B$14:$B$27,"Hat",$C$14:$C$27,"A_E_E",$E$14:$E$27,"SI",$F$14:$F$27,"DA")=0," ",COUNTIFS($B$14:$B$27,"Hat",$C$14:$C$27,"A_E_E",$E$14:$E$27,"SI",$F$14:$F$27,"DA"))</f>
        <v xml:space="preserve"> </v>
      </c>
      <c r="D58" s="65"/>
      <c r="F58" s="31" t="s">
        <v>116</v>
      </c>
      <c r="G58" s="23">
        <f>IF(COUNTIFS($B$14:$B$27,"Top",$C$14:$C$27,"A_E_E",$E$14:$E$27,"SI",$F$14:$F$27,"DA")=0," ",COUNTIFS($B$14:$B$27,"Top",$C$14:$C$27,"A_E_E",$E$14:$E$27,"SI",$F$14:$F$27,"DA"))</f>
        <v>1</v>
      </c>
      <c r="H58" s="65"/>
      <c r="I58" s="28"/>
      <c r="J58" s="37" t="s">
        <v>117</v>
      </c>
      <c r="K58" s="23" t="str">
        <f>IF(COUNTIFS($B$14:$B$27,"Pants",$C$14:$C$27,"A_E_E",$E$14:$E$27,"SI",$F$14:$F$27,"DA")=0," ",COUNTIFS($B$14:$B$27,"Pants",$C$14:$C$27,"A_E_E",$E$14:$E$27,"SI",$F$14:$F$27,"DA"))</f>
        <v xml:space="preserve"> </v>
      </c>
      <c r="L58" s="28"/>
      <c r="M58" s="28"/>
    </row>
    <row r="59" spans="2:13" ht="17.25" thickBot="1" x14ac:dyDescent="0.35">
      <c r="B59" s="32" t="s">
        <v>118</v>
      </c>
      <c r="C59" s="36" t="str">
        <f>IF(COUNTIFS($B$14:$B$27,"Hat",$C$14:$C$27,"A_E_E",$E$14:$E$27,"NI",$F$14:$F$27,"DA(80)")=0," ",COUNTIFS($B$14:$B$27,"Hat",$C$14:$C$27,"A_E_E",$E$14:$E$27,"NI",$F$14:$F$27,"DA(80)"))</f>
        <v xml:space="preserve"> </v>
      </c>
      <c r="D59" s="28"/>
      <c r="F59" s="35" t="s">
        <v>119</v>
      </c>
      <c r="G59" s="36" t="str">
        <f>IF(COUNTIFS($B$14:$B$27,"Top",$C$14:$C$27,"A_E_E",$E$14:$E$27,"NI",$F$14:$F$27,"DA(80)")=0," ",COUNTIFS($B$14:$B$27,"Top",$C$14:$C$27,"A_E_E",$E$14:$E$27,"NI",$F$14:$F$27,"DA(80)"))</f>
        <v xml:space="preserve"> </v>
      </c>
      <c r="H59" s="28"/>
      <c r="J59" s="32" t="s">
        <v>120</v>
      </c>
      <c r="K59" s="36" t="str">
        <f>IF(COUNTIFS($B$14:$B$27,"Pants",$C$14:$C$27,"A_E_E",$E$14:$E$27,"NI",$F$14:$F$27,"DA(80)")=0," ",COUNTIFS($B$14:$B$27,"Pants",$C$14:$C$27,"A_E_E",$E$14:$E$27,"NI",$F$14:$F$27,"DA(80)"))</f>
        <v xml:space="preserve"> </v>
      </c>
      <c r="L59" s="28"/>
      <c r="M59" s="28"/>
    </row>
    <row r="60" spans="2:13" ht="17.25" thickTop="1" x14ac:dyDescent="0.3">
      <c r="L60" s="28"/>
      <c r="M60" s="28"/>
    </row>
    <row r="61" spans="2:13" x14ac:dyDescent="0.3">
      <c r="L61" s="28"/>
      <c r="M61" s="28"/>
    </row>
    <row r="62" spans="2:13" x14ac:dyDescent="0.3">
      <c r="L62" s="28"/>
      <c r="M62" s="28"/>
    </row>
  </sheetData>
  <mergeCells count="1">
    <mergeCell ref="M13:P3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tabSelected="1" topLeftCell="A4" workbookViewId="0">
      <selection activeCell="M13" sqref="M13:P31"/>
    </sheetView>
  </sheetViews>
  <sheetFormatPr defaultRowHeight="16.5" x14ac:dyDescent="0.3"/>
  <cols>
    <col min="1" max="1" width="11.375" customWidth="1"/>
    <col min="2" max="2" width="19.125" customWidth="1"/>
    <col min="3" max="5" width="14" customWidth="1"/>
    <col min="6" max="6" width="18.25" customWidth="1"/>
    <col min="7" max="9" width="14" customWidth="1"/>
    <col min="10" max="10" width="16.25" customWidth="1"/>
    <col min="11" max="11" width="14" customWidth="1"/>
    <col min="12" max="15" width="18.875" customWidth="1"/>
    <col min="16" max="16" width="28.375" customWidth="1"/>
    <col min="17" max="18" width="20.375" customWidth="1"/>
  </cols>
  <sheetData>
    <row r="1" spans="2:16" x14ac:dyDescent="0.3">
      <c r="I1" s="11"/>
      <c r="J1" s="11"/>
      <c r="K1" s="1"/>
    </row>
    <row r="2" spans="2:16" x14ac:dyDescent="0.3">
      <c r="I2" s="11"/>
      <c r="J2" s="11"/>
      <c r="K2" s="1"/>
    </row>
    <row r="3" spans="2:16" x14ac:dyDescent="0.3">
      <c r="I3" s="11"/>
      <c r="J3" s="11"/>
      <c r="K3" s="1"/>
    </row>
    <row r="4" spans="2:16" x14ac:dyDescent="0.3">
      <c r="B4" s="7"/>
      <c r="I4" s="11"/>
      <c r="J4" s="11"/>
      <c r="K4" s="1"/>
    </row>
    <row r="5" spans="2:16" x14ac:dyDescent="0.3">
      <c r="B5" s="8"/>
      <c r="I5" s="11"/>
      <c r="J5" s="11"/>
      <c r="K5" s="1"/>
    </row>
    <row r="6" spans="2:16" x14ac:dyDescent="0.3">
      <c r="I6" s="11"/>
      <c r="J6" s="11"/>
      <c r="K6" s="1"/>
    </row>
    <row r="7" spans="2:16" ht="17.25" thickBot="1" x14ac:dyDescent="0.35">
      <c r="I7" s="11"/>
      <c r="J7" s="11"/>
      <c r="K7" s="1"/>
    </row>
    <row r="8" spans="2:16" ht="18" thickTop="1" thickBot="1" x14ac:dyDescent="0.35">
      <c r="B8" s="10" t="s">
        <v>10</v>
      </c>
      <c r="I8" s="11"/>
      <c r="J8" s="11"/>
      <c r="K8" s="1"/>
    </row>
    <row r="9" spans="2:16" ht="18" thickTop="1" thickBot="1" x14ac:dyDescent="0.35">
      <c r="B9" s="9">
        <f ca="1">NOW()</f>
        <v>44310.081865856482</v>
      </c>
      <c r="I9" s="11"/>
      <c r="J9" s="11"/>
      <c r="K9" s="1"/>
    </row>
    <row r="10" spans="2:16" ht="17.25" thickTop="1" x14ac:dyDescent="0.3">
      <c r="I10" s="11"/>
      <c r="J10" s="11"/>
      <c r="K10" s="1"/>
    </row>
    <row r="11" spans="2:16" x14ac:dyDescent="0.3">
      <c r="I11" s="11"/>
      <c r="J11" s="11"/>
      <c r="K11" s="1"/>
    </row>
    <row r="12" spans="2:16" ht="17.25" thickBot="1" x14ac:dyDescent="0.35">
      <c r="B12" s="8"/>
      <c r="I12" s="11"/>
      <c r="J12" s="11"/>
      <c r="K12" s="1"/>
    </row>
    <row r="13" spans="2:16" ht="18" customHeight="1" thickTop="1" thickBot="1" x14ac:dyDescent="0.35">
      <c r="B13" s="44" t="s">
        <v>6</v>
      </c>
      <c r="C13" s="45" t="s">
        <v>4</v>
      </c>
      <c r="D13" s="45" t="s">
        <v>61</v>
      </c>
      <c r="E13" s="45" t="s">
        <v>7</v>
      </c>
      <c r="F13" s="45" t="s">
        <v>8</v>
      </c>
      <c r="G13" s="45" t="s">
        <v>11</v>
      </c>
      <c r="H13" s="45" t="s">
        <v>74</v>
      </c>
      <c r="I13" s="45" t="s">
        <v>12</v>
      </c>
      <c r="J13" s="45" t="s">
        <v>9</v>
      </c>
      <c r="K13" s="52" t="s">
        <v>3</v>
      </c>
      <c r="M13" s="88" t="s">
        <v>134</v>
      </c>
      <c r="N13" s="89"/>
      <c r="O13" s="89"/>
      <c r="P13" s="90"/>
    </row>
    <row r="14" spans="2:16" ht="17.25" thickTop="1" x14ac:dyDescent="0.3">
      <c r="B14" s="75" t="s">
        <v>130</v>
      </c>
      <c r="C14" s="74" t="s">
        <v>15</v>
      </c>
      <c r="D14" s="74">
        <v>4</v>
      </c>
      <c r="E14" s="74" t="s">
        <v>1</v>
      </c>
      <c r="F14" s="74" t="s">
        <v>5</v>
      </c>
      <c r="G14" s="74">
        <v>110</v>
      </c>
      <c r="H14" s="12">
        <v>10</v>
      </c>
      <c r="I14" s="12">
        <v>70</v>
      </c>
      <c r="J14" s="15">
        <v>31000</v>
      </c>
      <c r="K14" s="76">
        <v>15000</v>
      </c>
      <c r="L14" s="17"/>
      <c r="M14" s="91"/>
      <c r="N14" s="92"/>
      <c r="O14" s="92"/>
      <c r="P14" s="93"/>
    </row>
    <row r="15" spans="2:16" x14ac:dyDescent="0.3">
      <c r="B15" s="75" t="s">
        <v>0</v>
      </c>
      <c r="C15" s="74" t="s">
        <v>15</v>
      </c>
      <c r="D15" s="74">
        <v>7</v>
      </c>
      <c r="E15" s="74" t="s">
        <v>1</v>
      </c>
      <c r="F15" s="74" t="s">
        <v>5</v>
      </c>
      <c r="G15" s="74">
        <v>100</v>
      </c>
      <c r="H15" s="12">
        <v>10</v>
      </c>
      <c r="I15" s="12">
        <v>30</v>
      </c>
      <c r="J15" s="14">
        <v>22900</v>
      </c>
      <c r="K15" s="76">
        <v>9200</v>
      </c>
      <c r="L15" s="17"/>
      <c r="M15" s="91"/>
      <c r="N15" s="92"/>
      <c r="O15" s="92"/>
      <c r="P15" s="93"/>
    </row>
    <row r="16" spans="2:16" x14ac:dyDescent="0.3">
      <c r="B16" s="75" t="s">
        <v>0</v>
      </c>
      <c r="C16" s="74" t="s">
        <v>15</v>
      </c>
      <c r="D16" s="74">
        <v>7</v>
      </c>
      <c r="E16" s="74" t="s">
        <v>1</v>
      </c>
      <c r="F16" s="74" t="s">
        <v>88</v>
      </c>
      <c r="G16" s="74">
        <v>100</v>
      </c>
      <c r="H16" s="12">
        <v>10</v>
      </c>
      <c r="I16" s="12">
        <v>30</v>
      </c>
      <c r="J16" s="14">
        <v>57000</v>
      </c>
      <c r="K16" s="76">
        <v>43100</v>
      </c>
      <c r="L16" s="17"/>
      <c r="M16" s="91"/>
      <c r="N16" s="92"/>
      <c r="O16" s="92"/>
      <c r="P16" s="93"/>
    </row>
    <row r="17" spans="2:16" x14ac:dyDescent="0.3">
      <c r="B17" s="75" t="s">
        <v>131</v>
      </c>
      <c r="C17" s="12" t="s">
        <v>83</v>
      </c>
      <c r="D17" s="77">
        <v>2</v>
      </c>
      <c r="E17" s="12" t="s">
        <v>78</v>
      </c>
      <c r="F17" s="12" t="s">
        <v>88</v>
      </c>
      <c r="G17" s="12">
        <v>100</v>
      </c>
      <c r="H17" s="12">
        <v>8</v>
      </c>
      <c r="I17" s="12">
        <v>30</v>
      </c>
      <c r="J17" s="14">
        <v>49000</v>
      </c>
      <c r="K17" s="76">
        <v>34300</v>
      </c>
      <c r="L17" s="16"/>
      <c r="M17" s="91"/>
      <c r="N17" s="92"/>
      <c r="O17" s="92"/>
      <c r="P17" s="93"/>
    </row>
    <row r="18" spans="2:16" x14ac:dyDescent="0.3">
      <c r="B18" s="75" t="s">
        <v>132</v>
      </c>
      <c r="C18" s="74" t="s">
        <v>15</v>
      </c>
      <c r="D18" s="74">
        <v>6</v>
      </c>
      <c r="E18" s="74" t="s">
        <v>1</v>
      </c>
      <c r="F18" s="74" t="s">
        <v>88</v>
      </c>
      <c r="G18" s="74">
        <v>100</v>
      </c>
      <c r="H18" s="12">
        <v>10</v>
      </c>
      <c r="I18" s="12" t="s">
        <v>133</v>
      </c>
      <c r="J18" s="14">
        <v>47700</v>
      </c>
      <c r="K18" s="76">
        <v>37200</v>
      </c>
      <c r="L18" s="16"/>
      <c r="M18" s="91"/>
      <c r="N18" s="92"/>
      <c r="O18" s="92"/>
      <c r="P18" s="93"/>
    </row>
    <row r="19" spans="2:16" x14ac:dyDescent="0.3">
      <c r="B19" s="75" t="s">
        <v>58</v>
      </c>
      <c r="C19" s="74" t="s">
        <v>15</v>
      </c>
      <c r="D19" s="74">
        <v>6</v>
      </c>
      <c r="E19" s="74" t="s">
        <v>1</v>
      </c>
      <c r="F19" s="74" t="s">
        <v>88</v>
      </c>
      <c r="G19" s="74">
        <v>110</v>
      </c>
      <c r="H19" s="12">
        <v>10</v>
      </c>
      <c r="I19" s="12">
        <v>30</v>
      </c>
      <c r="J19" s="14">
        <v>58000</v>
      </c>
      <c r="K19" s="76">
        <v>44500</v>
      </c>
      <c r="L19" s="16"/>
      <c r="M19" s="91"/>
      <c r="N19" s="92"/>
      <c r="O19" s="92"/>
      <c r="P19" s="93"/>
    </row>
    <row r="20" spans="2:16" x14ac:dyDescent="0.3">
      <c r="B20" s="83"/>
      <c r="C20" s="80"/>
      <c r="D20" s="80"/>
      <c r="E20" s="80"/>
      <c r="F20" s="80"/>
      <c r="G20" s="80"/>
      <c r="H20" s="80"/>
      <c r="I20" s="80"/>
      <c r="J20" s="80"/>
      <c r="K20" s="84"/>
      <c r="L20" s="16"/>
      <c r="M20" s="91"/>
      <c r="N20" s="92"/>
      <c r="O20" s="92"/>
      <c r="P20" s="93"/>
    </row>
    <row r="21" spans="2:16" x14ac:dyDescent="0.3">
      <c r="B21" s="42"/>
      <c r="C21" s="12"/>
      <c r="D21" s="12"/>
      <c r="E21" s="12"/>
      <c r="F21" s="12"/>
      <c r="G21" s="12"/>
      <c r="H21" s="12"/>
      <c r="I21" s="12"/>
      <c r="J21" s="12"/>
      <c r="K21" s="51"/>
      <c r="L21" s="16"/>
      <c r="M21" s="91"/>
      <c r="N21" s="92"/>
      <c r="O21" s="92"/>
      <c r="P21" s="93"/>
    </row>
    <row r="22" spans="2:16" x14ac:dyDescent="0.3">
      <c r="B22" s="42"/>
      <c r="C22" s="12"/>
      <c r="D22" s="12"/>
      <c r="E22" s="12"/>
      <c r="F22" s="12"/>
      <c r="G22" s="12"/>
      <c r="H22" s="12"/>
      <c r="I22" s="12"/>
      <c r="J22" s="12"/>
      <c r="K22" s="51"/>
      <c r="L22" s="16"/>
      <c r="M22" s="91"/>
      <c r="N22" s="92"/>
      <c r="O22" s="92"/>
      <c r="P22" s="93"/>
    </row>
    <row r="23" spans="2:16" x14ac:dyDescent="0.3">
      <c r="B23" s="42"/>
      <c r="C23" s="12"/>
      <c r="D23" s="12"/>
      <c r="E23" s="12"/>
      <c r="F23" s="12"/>
      <c r="G23" s="12"/>
      <c r="H23" s="12"/>
      <c r="I23" s="12"/>
      <c r="J23" s="12"/>
      <c r="K23" s="51"/>
      <c r="L23" s="16"/>
      <c r="M23" s="91"/>
      <c r="N23" s="92"/>
      <c r="O23" s="92"/>
      <c r="P23" s="93"/>
    </row>
    <row r="24" spans="2:16" x14ac:dyDescent="0.3">
      <c r="B24" s="42"/>
      <c r="C24" s="12"/>
      <c r="D24" s="12"/>
      <c r="E24" s="12"/>
      <c r="F24" s="12"/>
      <c r="G24" s="12"/>
      <c r="H24" s="12"/>
      <c r="I24" s="12"/>
      <c r="J24" s="12"/>
      <c r="K24" s="51"/>
      <c r="L24" s="16"/>
      <c r="M24" s="91"/>
      <c r="N24" s="92"/>
      <c r="O24" s="92"/>
      <c r="P24" s="93"/>
    </row>
    <row r="25" spans="2:16" x14ac:dyDescent="0.3">
      <c r="B25" s="42"/>
      <c r="C25" s="12"/>
      <c r="D25" s="12"/>
      <c r="E25" s="12"/>
      <c r="F25" s="12"/>
      <c r="G25" s="12"/>
      <c r="H25" s="12"/>
      <c r="I25" s="12"/>
      <c r="J25" s="12"/>
      <c r="K25" s="51"/>
      <c r="L25" s="16"/>
      <c r="M25" s="91"/>
      <c r="N25" s="92"/>
      <c r="O25" s="92"/>
      <c r="P25" s="93"/>
    </row>
    <row r="26" spans="2:16" x14ac:dyDescent="0.3">
      <c r="B26" s="42"/>
      <c r="C26" s="12"/>
      <c r="D26" s="12"/>
      <c r="E26" s="12"/>
      <c r="F26" s="12"/>
      <c r="G26" s="12"/>
      <c r="H26" s="12"/>
      <c r="I26" s="12"/>
      <c r="J26" s="12"/>
      <c r="K26" s="51"/>
      <c r="L26" s="16"/>
      <c r="M26" s="91"/>
      <c r="N26" s="92"/>
      <c r="O26" s="92"/>
      <c r="P26" s="93"/>
    </row>
    <row r="27" spans="2:16" ht="17.25" thickBot="1" x14ac:dyDescent="0.35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16"/>
      <c r="M27" s="91"/>
      <c r="N27" s="92"/>
      <c r="O27" s="92"/>
      <c r="P27" s="93"/>
    </row>
    <row r="28" spans="2:16" ht="17.25" thickTop="1" x14ac:dyDescent="0.3">
      <c r="B28" s="3"/>
      <c r="C28" s="3"/>
      <c r="D28" s="3"/>
      <c r="E28" s="3"/>
      <c r="F28" s="3"/>
      <c r="G28" s="3"/>
      <c r="H28" s="3"/>
      <c r="I28" s="3"/>
      <c r="J28" s="5"/>
      <c r="K28" s="18"/>
      <c r="M28" s="91"/>
      <c r="N28" s="92"/>
      <c r="O28" s="92"/>
      <c r="P28" s="93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6"/>
      <c r="K29" s="19"/>
      <c r="M29" s="91"/>
      <c r="N29" s="92"/>
      <c r="O29" s="92"/>
      <c r="P29" s="93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6"/>
      <c r="K30" s="19"/>
      <c r="M30" s="91"/>
      <c r="N30" s="92"/>
      <c r="O30" s="92"/>
      <c r="P30" s="93"/>
    </row>
    <row r="31" spans="2:16" ht="17.25" thickBot="1" x14ac:dyDescent="0.35">
      <c r="B31" s="2"/>
      <c r="C31" s="2"/>
      <c r="D31" s="2"/>
      <c r="E31" s="2"/>
      <c r="F31" s="2"/>
      <c r="G31" s="2"/>
      <c r="H31" s="2"/>
      <c r="I31" s="2"/>
      <c r="J31" s="6"/>
      <c r="K31" s="19"/>
      <c r="M31" s="94"/>
      <c r="N31" s="95"/>
      <c r="O31" s="95"/>
      <c r="P31" s="96"/>
    </row>
    <row r="32" spans="2:16" ht="17.25" thickTop="1" x14ac:dyDescent="0.3">
      <c r="B32" s="2"/>
      <c r="C32" s="2"/>
      <c r="D32" s="2"/>
      <c r="E32" s="2"/>
      <c r="F32" s="2"/>
      <c r="G32" s="2"/>
      <c r="H32" s="2"/>
      <c r="I32" s="2"/>
      <c r="J32" s="6"/>
      <c r="K32" s="19"/>
    </row>
    <row r="33" spans="2:22" x14ac:dyDescent="0.3">
      <c r="B33" s="2"/>
      <c r="C33" s="2"/>
      <c r="D33" s="2"/>
      <c r="E33" s="2"/>
      <c r="F33" s="2"/>
      <c r="G33" s="2"/>
      <c r="H33" s="2"/>
      <c r="I33" s="2"/>
      <c r="J33" s="2"/>
      <c r="K33" s="19"/>
    </row>
    <row r="34" spans="2:22" ht="17.25" thickBot="1" x14ac:dyDescent="0.35"/>
    <row r="35" spans="2:22" ht="18" thickTop="1" thickBot="1" x14ac:dyDescent="0.35">
      <c r="B35" s="10" t="s">
        <v>6</v>
      </c>
      <c r="C35" s="10" t="s">
        <v>19</v>
      </c>
      <c r="D35" s="28"/>
      <c r="E35" s="11"/>
      <c r="F35" s="10" t="s">
        <v>27</v>
      </c>
      <c r="G35" s="10" t="s">
        <v>19</v>
      </c>
      <c r="H35" s="28"/>
      <c r="J35" s="10" t="s">
        <v>18</v>
      </c>
      <c r="K35" s="10" t="s">
        <v>19</v>
      </c>
      <c r="M35" s="61" t="s">
        <v>6</v>
      </c>
      <c r="N35" s="62" t="s">
        <v>57</v>
      </c>
    </row>
    <row r="36" spans="2:22" ht="17.25" thickTop="1" x14ac:dyDescent="0.3">
      <c r="B36" s="30" t="s">
        <v>59</v>
      </c>
      <c r="C36" s="33">
        <f>IF(COUNTIF($B$14:$B$27,"Hat")=0," ",COUNTIF($B$14:$B$27,"Hat"))</f>
        <v>1</v>
      </c>
      <c r="D36" s="28"/>
      <c r="E36" s="11"/>
      <c r="F36" s="30" t="s">
        <v>28</v>
      </c>
      <c r="G36" s="33" t="str">
        <f>IF(COUNTIFS($C$14:$C$27,"T_E_R",$E$14:$E$27,"NI",$F$14:$F$27,"SA")=0," ",COUNTIFS($C$14:$C$27,"T_E_R",$E$14:$E$27,"NI",$F$14:$F$27,"SA"))</f>
        <v xml:space="preserve"> </v>
      </c>
      <c r="H36" s="28"/>
      <c r="J36" s="31" t="s">
        <v>71</v>
      </c>
      <c r="K36" s="34" t="str">
        <f>IF(COUNTIFS($G$14:$G$39,"90",$I$14:$I$39,"70")=0," ",COUNTIFS($G$14:$G$39,"90",$I$14:$I$39,"70"))</f>
        <v xml:space="preserve"> </v>
      </c>
      <c r="M36" s="63" t="str">
        <f>INDEX($B$14:$B$36,MATCH(LARGE($K$14:$K$36,1),$K$14:$K$36,0))</f>
        <v>Pants</v>
      </c>
      <c r="N36" s="64">
        <f>LARGE($K$14:K27,1)</f>
        <v>44500</v>
      </c>
    </row>
    <row r="37" spans="2:22" x14ac:dyDescent="0.3">
      <c r="B37" s="26" t="s">
        <v>22</v>
      </c>
      <c r="C37" s="27">
        <f>IF(COUNTIF($B$14:$B$27,"Top")=0," ",COUNTIF($B$14:$B$27,"Top"))</f>
        <v>3</v>
      </c>
      <c r="D37" s="28"/>
      <c r="E37" s="11"/>
      <c r="F37" s="31" t="s">
        <v>107</v>
      </c>
      <c r="G37" s="34" t="str">
        <f>IF(COUNTIFS($C$14:$C$27,"T_E_R",$E$14:$E$27,"NI",$F$14:$F$27,"DA")=0," ",COUNTIFS($C$14:$C$27,"T_E_R",$E$14:$E$27,"NI",$F$14:$F$27,"DA"))</f>
        <v xml:space="preserve"> </v>
      </c>
      <c r="H37" s="28"/>
      <c r="J37" s="31" t="s">
        <v>72</v>
      </c>
      <c r="K37" s="48" t="str">
        <f>IF(COUNTIFS($G$14:$G$39,"90",$I$14:$I$39,"30")=0," ",COUNTIFS($G$14:$G$39,"90",$I$14:$I$39,"30"))</f>
        <v xml:space="preserve"> </v>
      </c>
      <c r="M37" s="26" t="str">
        <f>INDEX($B$14:$B$36,MATCH(LARGE($K$14:$K$36,2),$K$14:$K$36,0))</f>
        <v>Top</v>
      </c>
      <c r="N37" s="47">
        <f>LARGE($K$14:K28,2)</f>
        <v>43100</v>
      </c>
    </row>
    <row r="38" spans="2:22" ht="17.25" thickBot="1" x14ac:dyDescent="0.35">
      <c r="B38" s="49" t="s">
        <v>58</v>
      </c>
      <c r="C38" s="87">
        <f>IF(COUNTIF($B$14:$B$27,"Pants")=0," ",COUNTIF($B$14:$B$27,"Pants"))</f>
        <v>2</v>
      </c>
      <c r="D38" s="28"/>
      <c r="E38" s="11"/>
      <c r="F38" s="40" t="s">
        <v>29</v>
      </c>
      <c r="G38" s="41">
        <f>IF(COUNTIFS($C$14:$C$27,"T_E_R",$E$14:$E$27,"SI",$F$14:$F$27,"SA")=0," ",COUNTIFS($C$14:$C$27,"T_E_R",$E$14:$E$27,"SI",$F$14:$F$27,"SA"))</f>
        <v>2</v>
      </c>
      <c r="H38" s="28"/>
      <c r="J38" s="31" t="s">
        <v>68</v>
      </c>
      <c r="K38" s="34" t="str">
        <f>IF(COUNTIFS($G$14:$G$39,"100",$I$14:$I$39,"70")=0," ",COUNTIFS($G$14:$G$39,"100",$I$14:$I$39,"70"))</f>
        <v xml:space="preserve"> </v>
      </c>
      <c r="M38" s="26" t="str">
        <f>INDEX($B$14:$B$36,MATCH(LARGE($K$14:$K$36,3),$K$14:$K$36,0))</f>
        <v>Pants</v>
      </c>
      <c r="N38" s="47">
        <f>LARGE($K$14:K33,3)</f>
        <v>37200</v>
      </c>
    </row>
    <row r="39" spans="2:22" ht="17.25" thickTop="1" x14ac:dyDescent="0.3">
      <c r="B39" s="11"/>
      <c r="C39" s="11"/>
      <c r="D39" s="28"/>
      <c r="E39" s="11"/>
      <c r="F39" s="26" t="s">
        <v>110</v>
      </c>
      <c r="G39" s="27">
        <f>IF(COUNTIFS($C$14:$C$27,"T_E_R",$E$14:$E$27,"SI",$F$14:$F$27,"DA")=0," ",COUNTIFS($C$14:$C$27,"T_E_R",$E$14:$E$27,"SI",$F$14:$F$27,"DA"))</f>
        <v>3</v>
      </c>
      <c r="H39" s="28"/>
      <c r="J39" s="26" t="s">
        <v>69</v>
      </c>
      <c r="K39" s="47">
        <f>IF(COUNTIFS($G$14:$G$39,"100",$I$14:$I$39,"30")=0," ",COUNTIFS($G$14:$G$39,"100",$I$14:$I$39,"30"))</f>
        <v>3</v>
      </c>
      <c r="M39" s="26" t="str">
        <f>INDEX($B$14:$B$36,MATCH(LARGE($K$14:$K$36,4),$K$14:$K$36,0))</f>
        <v>Top</v>
      </c>
      <c r="N39" s="47">
        <f>LARGE($K$14:K34,4)</f>
        <v>34300</v>
      </c>
    </row>
    <row r="40" spans="2:22" ht="17.25" thickBot="1" x14ac:dyDescent="0.35">
      <c r="B40" s="11"/>
      <c r="C40" s="11"/>
      <c r="D40" s="28"/>
      <c r="E40" s="11"/>
      <c r="F40" s="31" t="s">
        <v>45</v>
      </c>
      <c r="G40" s="34" t="str">
        <f>IF(COUNTIFS($C$14:$C$27,"T_E_E",$E$14:$E$27,"NI",$F$14:$F$27,"SA")=0," ",COUNTIFS($C$14:$C$27,"T_E_E",$E$14:$E$27,"NI",$F$14:$F$27,"SA"))</f>
        <v xml:space="preserve"> </v>
      </c>
      <c r="H40" s="28"/>
      <c r="J40" s="31" t="s">
        <v>65</v>
      </c>
      <c r="K40" s="34">
        <f>IF(COUNTIFS($G$14:$G$39,"110",$I$14:$I$39,"70")=0," ",COUNTIFS($G$14:$G$39,"110",$I$14:$I$39,"70"))</f>
        <v>1</v>
      </c>
      <c r="L40" s="28"/>
      <c r="M40" s="49" t="str">
        <f>INDEX($B$14:$B$36,MATCH(LARGE($K$14:$K$36,5),$K$14:$K$36,0))</f>
        <v>Hat</v>
      </c>
      <c r="N40" s="50">
        <f>LARGE($K$14:K35,5)</f>
        <v>15000</v>
      </c>
      <c r="O40" s="28"/>
    </row>
    <row r="41" spans="2:22" ht="17.25" thickTop="1" x14ac:dyDescent="0.3">
      <c r="B41" s="11"/>
      <c r="C41" s="11"/>
      <c r="D41" s="28"/>
      <c r="E41" s="11"/>
      <c r="F41" s="22" t="s">
        <v>113</v>
      </c>
      <c r="G41" s="23">
        <f>IF(COUNTIFS($C$14:$C$27,"T_E_E",$E$14:$E$27,"NI",$F$14:$F$27,"DA")=0," ",COUNTIFS($C$14:$C$27,"T_E_E",$E$14:$E$27,"NI",$F$14:$F$27,"DA"))</f>
        <v>1</v>
      </c>
      <c r="H41" s="28"/>
      <c r="J41" s="40" t="s">
        <v>66</v>
      </c>
      <c r="K41" s="69">
        <f>IF(COUNTIFS($G$14:$G$39,"110",$I$14:$I$39,"30")=0," ",COUNTIFS($G$14:$G$39,"110",$I$14:$I$39,"30"))</f>
        <v>1</v>
      </c>
      <c r="L41" s="28"/>
      <c r="M41" s="28"/>
      <c r="N41" s="28"/>
      <c r="O41" s="28"/>
    </row>
    <row r="42" spans="2:22" x14ac:dyDescent="0.3">
      <c r="B42" s="11"/>
      <c r="C42" s="11"/>
      <c r="D42" s="28"/>
      <c r="E42" s="11"/>
      <c r="F42" s="22" t="s">
        <v>119</v>
      </c>
      <c r="G42" s="23" t="str">
        <f>IF(COUNTIFS($C$14:$C$27,"T_E_E",$E$14:$E$27,"NI",$F$14:$F$27,"DA(80)")=0," ",COUNTIFS($C$14:$C$27,"T_E_E",$E$14:$E$27,"NI",$F$14:$F$27,"DA(80)"))</f>
        <v xml:space="preserve"> </v>
      </c>
      <c r="H42" s="28"/>
      <c r="J42" s="31" t="s">
        <v>73</v>
      </c>
      <c r="K42" s="48" t="str">
        <f>IF(COUNTIFS($G$14:$G$39,"90",$I$14:$I$39,"PW")=0," ",COUNTIFS($G$14:$G$39,"90",$I$14:$I$39,"PW"))</f>
        <v xml:space="preserve"> </v>
      </c>
    </row>
    <row r="43" spans="2:22" x14ac:dyDescent="0.3">
      <c r="B43" s="11"/>
      <c r="C43" s="11"/>
      <c r="D43" s="28"/>
      <c r="E43" s="11"/>
      <c r="F43" s="22" t="s">
        <v>48</v>
      </c>
      <c r="G43" s="23" t="str">
        <f>IF(COUNTIFS($C$14:$C$27,"T_E_E",$E$14:$E$27,"SI",$F$14:$F$27,"SA")=0," ",COUNTIFS($C$14:$C$27,"T_E_E",$E$14:$E$27,"SI",$F$14:$F$27,"SA"))</f>
        <v xml:space="preserve"> </v>
      </c>
      <c r="H43" s="28"/>
      <c r="J43" s="31" t="s">
        <v>70</v>
      </c>
      <c r="K43" s="57">
        <f>IF(COUNTIFS($G$14:$G$39,"100",$I$14:$I$39,"PW")=0," ",COUNTIFS($G$14:$G$39,"100",$I$14:$I$39,"PW"))</f>
        <v>1</v>
      </c>
      <c r="L43" s="28"/>
      <c r="M43" s="28"/>
    </row>
    <row r="44" spans="2:22" ht="17.25" thickBot="1" x14ac:dyDescent="0.35">
      <c r="B44" s="11"/>
      <c r="C44" s="11"/>
      <c r="D44" s="28"/>
      <c r="E44" s="11"/>
      <c r="F44" s="24" t="s">
        <v>116</v>
      </c>
      <c r="G44" s="25" t="str">
        <f>IF(COUNTIFS($C$14:$C$27,"T_E_E",$E$14:$E$27,"SI",$F$14:$F$27,"DA")=0," ",COUNTIFS($C$14:$C$27,"T_E_E",$E$14:$E$27,"SI",$F$14:$F$27,"DA"))</f>
        <v xml:space="preserve"> </v>
      </c>
      <c r="H44" s="28"/>
      <c r="J44" s="32" t="s">
        <v>67</v>
      </c>
      <c r="K44" s="58" t="str">
        <f>IF(COUNTIFS($G$14:$G$39,"110",$I$14:$I$39,"PW")=0," ",COUNTIFS($G$14:$G$39,"110",$I$14:$I$39,"PW"))</f>
        <v xml:space="preserve"> </v>
      </c>
      <c r="L44" s="28"/>
      <c r="M44" s="28"/>
    </row>
    <row r="45" spans="2:22" ht="17.25" thickTop="1" x14ac:dyDescent="0.3">
      <c r="D45" s="66"/>
      <c r="H45" s="66"/>
      <c r="L45" s="28"/>
      <c r="M45" s="28"/>
      <c r="N45" s="6"/>
      <c r="O45" s="6"/>
      <c r="S45" s="6"/>
      <c r="T45" s="6"/>
      <c r="U45" s="16"/>
      <c r="V45" s="17"/>
    </row>
    <row r="46" spans="2:22" x14ac:dyDescent="0.3">
      <c r="D46" s="66"/>
      <c r="H46" s="66"/>
      <c r="L46" s="28"/>
      <c r="M46" s="28"/>
      <c r="N46" s="6"/>
      <c r="O46" s="6"/>
      <c r="S46" s="6"/>
      <c r="T46" s="6"/>
      <c r="U46" s="16"/>
      <c r="V46" s="17"/>
    </row>
    <row r="47" spans="2:22" ht="17.25" thickBot="1" x14ac:dyDescent="0.35">
      <c r="D47" s="66"/>
      <c r="H47" s="66"/>
      <c r="L47" s="28"/>
      <c r="M47" s="28"/>
      <c r="N47" s="6"/>
      <c r="O47" s="6"/>
      <c r="S47" s="6"/>
      <c r="T47" s="6"/>
      <c r="U47" s="16"/>
      <c r="V47" s="17"/>
    </row>
    <row r="48" spans="2:22" ht="18" thickTop="1" thickBot="1" x14ac:dyDescent="0.35">
      <c r="B48" s="10" t="s">
        <v>38</v>
      </c>
      <c r="C48" s="10" t="s">
        <v>19</v>
      </c>
      <c r="D48" s="67"/>
      <c r="E48" s="68"/>
      <c r="F48" s="10" t="s">
        <v>39</v>
      </c>
      <c r="G48" s="10" t="s">
        <v>19</v>
      </c>
      <c r="H48" s="67"/>
      <c r="I48" s="68"/>
      <c r="J48" s="10" t="s">
        <v>40</v>
      </c>
      <c r="K48" s="10" t="s">
        <v>19</v>
      </c>
      <c r="L48" s="28"/>
      <c r="M48" s="28"/>
      <c r="N48" s="6"/>
      <c r="O48" s="6"/>
      <c r="S48" s="6"/>
      <c r="T48" s="6"/>
      <c r="U48" s="16"/>
      <c r="V48" s="17"/>
    </row>
    <row r="49" spans="2:13" ht="17.25" thickTop="1" x14ac:dyDescent="0.3">
      <c r="B49" s="30" t="s">
        <v>25</v>
      </c>
      <c r="C49" s="21" t="str">
        <f>IF(COUNTIFS($B$14:$B$27,"Hat",$C$14:$C$27,"T_E_R",$E$14:$E$27,"NI",$F$14:$F$27,"SA")=0," ",COUNTIFS($B$14:$B$27,"Hat",$C$14:$C$27,"T_E_R",$E$14:$E$27,"NI",$F$14:$F$27,"SA"))</f>
        <v xml:space="preserve"> </v>
      </c>
      <c r="D49" s="28"/>
      <c r="F49" s="30" t="s">
        <v>30</v>
      </c>
      <c r="G49" s="21" t="str">
        <f>IF(COUNTIFS($B$14:$B$27,"Top",$C$14:$C$27,"T_E_R",$E$14:$E$27,"NI",$F$14:$F$27,"SA")=0," ",COUNTIFS($B$14:$B$27,"Top",$C$14:$C$27,"T_E_R",$E$14:$E$27,"NI",$F$14:$F$27,"SA"))</f>
        <v xml:space="preserve"> </v>
      </c>
      <c r="H49" s="28"/>
      <c r="I49" s="28"/>
      <c r="J49" s="30" t="s">
        <v>32</v>
      </c>
      <c r="K49" s="21" t="str">
        <f>IF(COUNTIFS($B$14:$B$27,"Pants",$C$14:$C$27,"T_E_R",$E$14:$E$27,"NI",$F$14:$F$27,"SA")=0," ",COUNTIFS($B$14:$B$27,"Pants",$C$14:$C$27,"T_E_R",$E$14:$E$27,"NI",$F$14:$F$27,"SA"))</f>
        <v xml:space="preserve"> </v>
      </c>
    </row>
    <row r="50" spans="2:13" x14ac:dyDescent="0.3">
      <c r="B50" s="31" t="s">
        <v>106</v>
      </c>
      <c r="C50" s="23" t="str">
        <f>IF(COUNTIFS($B$14:$B$27,"Hat",$C$14:$C$27,"T_E_R",$E$14:$E$27,"NI",$F$14:$F$27,"DA")=0," ",COUNTIFS($B$14:$B$27,"Hat",$C$14:$C$27,"T_E_R",$E$14:$E$27,"NI",$F$14:$F$27,"DA"))</f>
        <v xml:space="preserve"> </v>
      </c>
      <c r="D50" s="28"/>
      <c r="F50" s="31" t="s">
        <v>107</v>
      </c>
      <c r="G50" s="23" t="str">
        <f>IF(COUNTIFS($B$14:$B$27,"Top",$C$14:$C$27,"T_E_R",$E$14:$E$27,"NI",$F$14:$F$27,"DA")=0," ",COUNTIFS($B$14:$B$27,"Top",$C$14:$C$27,"T_E_R",$E$14:$E$27,"NI",$F$14:$F$27,"DA"))</f>
        <v xml:space="preserve"> </v>
      </c>
      <c r="H50" s="28"/>
      <c r="I50" s="28"/>
      <c r="J50" s="31" t="s">
        <v>108</v>
      </c>
      <c r="K50" s="23" t="str">
        <f>IF(COUNTIFS($B$14:$B$27,"Pants",$C$14:$C$27,"T_E_R",$E$14:$E$27,"NI",$F$14:$F$27,"DA")=0," ",COUNTIFS($B$14:$B$27,"Pants",$C$14:$C$27,"T_E_R",$E$14:$E$27,"NI",$F$14:$F$27,"DA"))</f>
        <v xml:space="preserve"> </v>
      </c>
      <c r="L50" s="28"/>
      <c r="M50" s="28"/>
    </row>
    <row r="51" spans="2:13" x14ac:dyDescent="0.3">
      <c r="B51" s="31" t="s">
        <v>26</v>
      </c>
      <c r="C51" s="23">
        <f>IF(COUNTIFS($B$14:$B$27,"Hat",$C$14:$C$27,"T_E_R",$E$14:$E$27,"SI",$F$14:$F$27,"SA")=0," ",COUNTIFS($B$14:$B$27,"Hat",$C$14:$C$27,"T_E_R",$E$14:$E$27,"SI",$F$14:$F$27,"SA"))</f>
        <v>1</v>
      </c>
      <c r="D51" s="28"/>
      <c r="F51" s="31" t="s">
        <v>31</v>
      </c>
      <c r="G51" s="34">
        <f>IF(COUNTIFS($B$14:$B$27,"Top",$C$14:$C$27,"T_E_R",$E$14:$E$27,"SI",$F$14:$F$27,"SA")=0," ",COUNTIFS($B$14:$B$27,"Top",$C$14:$C$27,"T_E_R",$E$14:$E$27,"SI",$F$14:$F$27,"SA"))</f>
        <v>1</v>
      </c>
      <c r="H51" s="28"/>
      <c r="I51" s="28"/>
      <c r="J51" s="31" t="s">
        <v>33</v>
      </c>
      <c r="K51" s="34" t="str">
        <f>IF(COUNTIFS($B$14:$B$27,"Pants",$C$14:$C$27,"T_E_R",$E$14:$E$27,"SI",$F$14:$F$27,"SA")=0," ",COUNTIFS($B$14:$B$27,"Pants",$C$14:$C$27,"T_E_R",$E$14:$E$27,"SI",$F$14:$F$27,"SA"))</f>
        <v xml:space="preserve"> </v>
      </c>
      <c r="L51" s="28"/>
      <c r="M51" s="28"/>
    </row>
    <row r="52" spans="2:13" ht="17.25" thickBot="1" x14ac:dyDescent="0.35">
      <c r="B52" s="32" t="s">
        <v>109</v>
      </c>
      <c r="C52" s="72" t="str">
        <f>IF(COUNTIFS($B$14:$B$27,"Hat",$C$14:$C$27,"T_E_R",$E$14:$E$27,"SI",$F$14:$F$27,"DA")=0," ",COUNTIFS($B$14:$B$27,"Hat",$C$14:$C$27,"T_E_R",$E$14:$E$27,"SI",$F$14:$F$27,"DA"))</f>
        <v xml:space="preserve"> </v>
      </c>
      <c r="D52" s="28"/>
      <c r="F52" s="32" t="s">
        <v>110</v>
      </c>
      <c r="G52" s="25">
        <f>IF(COUNTIFS($B$14:$B$27,"Top",$C$14:$C$27,"T_E_R",$E$14:$E$27,"SI",$F$14:$F$27,"DA")=0," ",COUNTIFS($B$14:$B$27,"Top",$C$14:$C$27,"T_E_R",$E$14:$E$27,"SI",$F$14:$F$27,"DA"))</f>
        <v>1</v>
      </c>
      <c r="H52" s="28"/>
      <c r="I52" s="28"/>
      <c r="J52" s="38" t="s">
        <v>111</v>
      </c>
      <c r="K52" s="39">
        <f>IF(COUNTIFS($B$14:$B$27,"Pants",$C$14:$C$27,"T_E_R",$E$14:$E$27,"SI",$F$14:$F$27,"DA")=0," ",COUNTIFS($B$14:$B$27,"Pants",$C$14:$C$27,"T_E_R",$E$14:$E$27,"SI",$F$14:$F$27,"DA"))</f>
        <v>2</v>
      </c>
      <c r="L52" s="28"/>
      <c r="M52" s="28"/>
    </row>
    <row r="53" spans="2:13" ht="18" thickTop="1" thickBot="1" x14ac:dyDescent="0.35">
      <c r="D53" s="66"/>
      <c r="H53" s="66"/>
      <c r="L53" s="28"/>
      <c r="M53" s="28"/>
    </row>
    <row r="54" spans="2:13" ht="18" thickTop="1" thickBot="1" x14ac:dyDescent="0.35">
      <c r="B54" s="10" t="s">
        <v>43</v>
      </c>
      <c r="C54" s="10" t="s">
        <v>19</v>
      </c>
      <c r="D54" s="67"/>
      <c r="E54" s="68"/>
      <c r="F54" s="10" t="s">
        <v>42</v>
      </c>
      <c r="G54" s="10" t="s">
        <v>19</v>
      </c>
      <c r="H54" s="67"/>
      <c r="I54" s="68"/>
      <c r="J54" s="10" t="s">
        <v>41</v>
      </c>
      <c r="K54" s="10" t="s">
        <v>19</v>
      </c>
      <c r="L54" s="28"/>
      <c r="M54" s="28"/>
    </row>
    <row r="55" spans="2:13" ht="17.25" thickTop="1" x14ac:dyDescent="0.3">
      <c r="B55" s="30" t="s">
        <v>44</v>
      </c>
      <c r="C55" s="21" t="str">
        <f>IF(COUNTIFS($B$14:$B$27,"Hat",$C$14:$C$27,"T_E_E",$E$14:$E$27,"NI",$F$14:$F$27,"SA")=0," ",COUNTIFS($B$14:$B$27,"Hat",$C$14:$C$27,"T_E_E",$E$14:$E$27,"NI",$F$14:$F$27,"SA"))</f>
        <v xml:space="preserve"> </v>
      </c>
      <c r="D55" s="65"/>
      <c r="F55" s="30" t="s">
        <v>45</v>
      </c>
      <c r="G55" s="21" t="str">
        <f>IF(COUNTIFS($B$14:$B$27,"Top",$C$14:$C$27,"T_E_E",$E$14:$E$27,"NI",$F$14:$F$27,"SA")=0," ",COUNTIFS($B$14:$B$27,"Top",$C$14:$C$27,"T_E_E",$E$14:$E$27,"NI",$F$14:$F$27,"SA"))</f>
        <v xml:space="preserve"> </v>
      </c>
      <c r="H55" s="65"/>
      <c r="I55" s="28"/>
      <c r="J55" s="30" t="s">
        <v>46</v>
      </c>
      <c r="K55" s="21" t="str">
        <f>IF(COUNTIFS($B$14:$B$27,"Pants",$C$14:$C$27,"T_E_E",$E$14:$E$27,"NI",$F$14:$F$27,"SA")=0," ",COUNTIFS($B$14:$B$27,"Pants",$C$14:$C$27,"T_E_E",$E$14:$E$27,"NI",$F$14:$F$27,"SA"))</f>
        <v xml:space="preserve"> </v>
      </c>
      <c r="L55" s="28"/>
      <c r="M55" s="28"/>
    </row>
    <row r="56" spans="2:13" x14ac:dyDescent="0.3">
      <c r="B56" s="31" t="s">
        <v>112</v>
      </c>
      <c r="C56" s="23" t="str">
        <f>IF(COUNTIFS($B$14:$B$27,"Hat",$C$14:$C$27,"T_E_E",$E$14:$E$27,"NI",$F$14:$F$27,"DA")=0," ",COUNTIFS($B$14:$B$27,"Hat",$C$14:$C$27,"T_E_E",$E$14:$E$27,"NI",$F$14:$F$27,"DA"))</f>
        <v xml:space="preserve"> </v>
      </c>
      <c r="D56" s="65"/>
      <c r="F56" s="31" t="s">
        <v>113</v>
      </c>
      <c r="G56" s="23">
        <f>IF(COUNTIFS($B$14:$B$27,"Top",$C$14:$C$27,"T_E_E",$E$14:$E$27,"NI",$F$14:$F$27,"DA")=0," ",COUNTIFS($B$14:$B$27,"Top",$C$14:$C$27,"T_E_E",$E$14:$E$27,"NI",$F$14:$F$27,"DA"))</f>
        <v>1</v>
      </c>
      <c r="H56" s="65"/>
      <c r="I56" s="28"/>
      <c r="J56" s="31" t="s">
        <v>114</v>
      </c>
      <c r="K56" s="23" t="str">
        <f>IF(COUNTIFS($B$14:$B$27,"Pants",$C$14:$C$27,"T_E_E",$E$14:$E$27,"NI",$F$14:$F$27,"DA")=0," ",COUNTIFS($B$14:$B$27,"Pants",$C$14:$C$27,"T_E_E",$E$14:$E$27,"NI",$F$14:$F$27,"DA"))</f>
        <v xml:space="preserve"> </v>
      </c>
    </row>
    <row r="57" spans="2:13" x14ac:dyDescent="0.3">
      <c r="B57" s="31" t="s">
        <v>47</v>
      </c>
      <c r="C57" s="23" t="str">
        <f>IF(COUNTIFS($B$14:$B$27,"Hat",$C$14:$C$27,"T_E_E",$E$14:$E$27,"SI",$F$14:$F$27,"SA")=0," ",COUNTIFS($B$14:$B$27,"Hat",$C$14:$C$27,"T_E_E",$E$14:$E$27,"SI",$F$14:$F$27,"SA"))</f>
        <v xml:space="preserve"> </v>
      </c>
      <c r="D57" s="65"/>
      <c r="F57" s="31" t="s">
        <v>48</v>
      </c>
      <c r="G57" s="23" t="str">
        <f>IF(COUNTIFS($B$14:$B$27,"Top",$C$14:$C$27,"T_E_E",$E$14:$E$27,"SI",$F$14:$F$27,"SA")=0," ",COUNTIFS($B$14:$B$27,"Top",$C$14:$C$27,"T_E_E",$E$14:$E$27,"SI",$F$14:$F$27,"SA"))</f>
        <v xml:space="preserve"> </v>
      </c>
      <c r="H57" s="65"/>
      <c r="I57" s="28"/>
      <c r="J57" s="31" t="s">
        <v>49</v>
      </c>
      <c r="K57" s="23" t="str">
        <f>IF(COUNTIFS($B$14:$B$27,"Pants",$C$14:$C$27,"T_E_E",$E$14:$E$27,"SI",$F$14:$F$27,"SA")=0," ",COUNTIFS($B$14:$B$27,"Pants",$C$14:$C$27,"T_E_E",$E$14:$E$27,"SI",$F$14:$F$27,"SA"))</f>
        <v xml:space="preserve"> </v>
      </c>
      <c r="L57" s="28"/>
      <c r="M57" s="28"/>
    </row>
    <row r="58" spans="2:13" x14ac:dyDescent="0.3">
      <c r="B58" s="37" t="s">
        <v>115</v>
      </c>
      <c r="C58" s="23" t="str">
        <f>IF(COUNTIFS($B$14:$B$27,"Hat",$C$14:$C$27,"T_E_E",$E$14:$E$27,"SI",$F$14:$F$27,"DA")=0," ",COUNTIFS($B$14:$B$27,"Hat",$C$14:$C$27,"T_E_E",$E$14:$E$27,"SI",$F$14:$F$27,"DA"))</f>
        <v xml:space="preserve"> </v>
      </c>
      <c r="D58" s="65"/>
      <c r="F58" s="31" t="s">
        <v>116</v>
      </c>
      <c r="G58" s="23" t="str">
        <f>IF(COUNTIFS($B$14:$B$27,"Top",$C$14:$C$27,"T_E_E",$E$14:$E$27,"SI",$F$14:$F$27,"DA")=0," ",COUNTIFS($B$14:$B$27,"Top",$C$14:$C$27,"T_E_E",$E$14:$E$27,"SI",$F$14:$F$27,"DA"))</f>
        <v xml:space="preserve"> </v>
      </c>
      <c r="H58" s="65"/>
      <c r="I58" s="28"/>
      <c r="J58" s="37" t="s">
        <v>117</v>
      </c>
      <c r="K58" s="23" t="str">
        <f>IF(COUNTIFS($B$14:$B$27,"Pants",$C$14:$C$27,"T_E_E",$E$14:$E$27,"SI",$F$14:$F$27,"DA")=0," ",COUNTIFS($B$14:$B$27,"Pants",$C$14:$C$27,"T_E_E",$E$14:$E$27,"SI",$F$14:$F$27,"DA"))</f>
        <v xml:space="preserve"> </v>
      </c>
      <c r="L58" s="28"/>
      <c r="M58" s="28"/>
    </row>
    <row r="59" spans="2:13" ht="17.25" thickBot="1" x14ac:dyDescent="0.35">
      <c r="B59" s="32" t="s">
        <v>118</v>
      </c>
      <c r="C59" s="36" t="str">
        <f>IF(COUNTIFS($B$14:$B$27,"Hat",$C$14:$C$27,"T_E_E",$E$14:$E$27,"NI",$F$14:$F$27,"DA(80)")=0," ",COUNTIFS($B$14:$B$27,"Hat",$C$14:$C$27,"T_E_E",$E$14:$E$27,"NI",$F$14:$F$27,"DA(80)"))</f>
        <v xml:space="preserve"> </v>
      </c>
      <c r="D59" s="28"/>
      <c r="F59" s="35" t="s">
        <v>119</v>
      </c>
      <c r="G59" s="36" t="str">
        <f>IF(COUNTIFS($B$14:$B$27,"Top",$C$14:$C$27,"T_E_E",$E$14:$E$27,"NI",$F$14:$F$27,"DA(80)")=0," ",COUNTIFS($B$14:$B$27,"Top",$C$14:$C$27,"T_E_E",$E$14:$E$27,"NI",$F$14:$F$27,"DA(80)"))</f>
        <v xml:space="preserve"> </v>
      </c>
      <c r="H59" s="28"/>
      <c r="J59" s="32" t="s">
        <v>120</v>
      </c>
      <c r="K59" s="36" t="str">
        <f>IF(COUNTIFS($B$14:$B$27,"Pants",$C$14:$C$27,"T_E_E",$E$14:$E$27,"NI",$F$14:$F$27,"DA(80)")=0," ",COUNTIFS($B$14:$B$27,"Pants",$C$14:$C$27,"T_E_E",$E$14:$E$27,"NI",$F$14:$F$27,"DA(80)"))</f>
        <v xml:space="preserve"> </v>
      </c>
      <c r="L59" s="28"/>
      <c r="M59" s="28"/>
    </row>
    <row r="60" spans="2:13" ht="17.25" thickTop="1" x14ac:dyDescent="0.3">
      <c r="L60" s="28"/>
      <c r="M60" s="28"/>
    </row>
    <row r="61" spans="2:13" x14ac:dyDescent="0.3">
      <c r="L61" s="28"/>
      <c r="M61" s="28"/>
    </row>
    <row r="62" spans="2:13" x14ac:dyDescent="0.3">
      <c r="L62" s="28"/>
      <c r="M62" s="28"/>
    </row>
  </sheetData>
  <mergeCells count="1">
    <mergeCell ref="M13:P3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Statisitcs(W)</vt:lpstr>
      <vt:lpstr>Statisitcs(M)</vt:lpstr>
      <vt:lpstr>Statisitcs(A)</vt:lpstr>
      <vt:lpstr>Statisitcs(T)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incipe</dc:creator>
  <cp:lastModifiedBy>Windows 사용자</cp:lastModifiedBy>
  <cp:lastPrinted>2020-11-29T08:59:48Z</cp:lastPrinted>
  <dcterms:created xsi:type="dcterms:W3CDTF">2020-06-01T05:40:09Z</dcterms:created>
  <dcterms:modified xsi:type="dcterms:W3CDTF">2021-04-23T16:57:53Z</dcterms:modified>
  <cp:contentStatus/>
</cp:coreProperties>
</file>