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U14" i="1" a="1"/>
  <c r="U14" i="1" s="1"/>
  <c r="P21" i="1"/>
  <c r="B76" i="2"/>
  <c r="E77" i="2"/>
  <c r="F77" i="2"/>
  <c r="G77" i="2" s="1"/>
  <c r="J77" i="2"/>
  <c r="M77" i="2" s="1"/>
  <c r="S77" i="2" s="1"/>
  <c r="K77" i="2"/>
  <c r="Q77" i="2" s="1"/>
  <c r="L77" i="2"/>
  <c r="R77" i="2" s="1"/>
  <c r="N77" i="2"/>
  <c r="T77" i="2" s="1"/>
  <c r="B77" i="2"/>
  <c r="D77" i="2"/>
  <c r="Z77" i="2" l="1"/>
  <c r="AN77" i="2"/>
  <c r="AF77" i="2"/>
  <c r="AK77" i="2"/>
  <c r="AC77" i="2"/>
  <c r="W77" i="2"/>
  <c r="AM77" i="2"/>
  <c r="AE77" i="2"/>
  <c r="Y77" i="2"/>
  <c r="AL77" i="2"/>
  <c r="AD77" i="2"/>
  <c r="X77" i="2"/>
  <c r="P77" i="2"/>
  <c r="AI77" i="2"/>
  <c r="H77" i="2"/>
  <c r="E76" i="2"/>
  <c r="F76" i="2" s="1"/>
  <c r="J76" i="2"/>
  <c r="K76" i="2"/>
  <c r="L76" i="2"/>
  <c r="N76" i="2"/>
  <c r="D76" i="2"/>
  <c r="B82" i="3" a="1"/>
  <c r="B86" i="3" a="1"/>
  <c r="C79" i="3" a="1"/>
  <c r="E80" i="3" a="1"/>
  <c r="C81" i="3" a="1"/>
  <c r="E82" i="3" a="1"/>
  <c r="C83" i="3" a="1"/>
  <c r="E84" i="3" a="1"/>
  <c r="C85" i="3" a="1"/>
  <c r="E86" i="3" a="1"/>
  <c r="C87" i="3" a="1"/>
  <c r="D81" i="3" a="1"/>
  <c r="D83" i="3" a="1"/>
  <c r="D79" i="3" a="1"/>
  <c r="D85" i="3" a="1"/>
  <c r="C80" i="3" a="1"/>
  <c r="C82" i="3" a="1"/>
  <c r="C84" i="3" a="1"/>
  <c r="C86" i="3" a="1"/>
  <c r="D80" i="3" a="1"/>
  <c r="D82" i="3" a="1"/>
  <c r="D84" i="3" a="1"/>
  <c r="D86" i="3" a="1"/>
  <c r="B84" i="3" a="1"/>
  <c r="D87" i="3" a="1"/>
  <c r="E79" i="3" a="1"/>
  <c r="E81" i="3" a="1"/>
  <c r="E83" i="3" a="1"/>
  <c r="E85" i="3" a="1"/>
  <c r="E87" i="3" a="1"/>
  <c r="B79" i="3" a="1"/>
  <c r="B81" i="3" a="1"/>
  <c r="B83" i="3" a="1"/>
  <c r="B85" i="3" a="1"/>
  <c r="B87" i="3" a="1"/>
  <c r="B80" i="3" a="1"/>
  <c r="AB77" i="2" l="1"/>
  <c r="V77" i="2"/>
  <c r="AJ77" i="2"/>
  <c r="B80" i="3"/>
  <c r="G80" i="3" s="1"/>
  <c r="B87" i="3"/>
  <c r="B85" i="3"/>
  <c r="G85" i="3" s="1"/>
  <c r="B83" i="3"/>
  <c r="B81" i="3"/>
  <c r="B79" i="3"/>
  <c r="E87" i="3"/>
  <c r="E85" i="3"/>
  <c r="J85" i="3" s="1"/>
  <c r="E83" i="3"/>
  <c r="J83" i="3" s="1"/>
  <c r="E81" i="3"/>
  <c r="E79" i="3"/>
  <c r="D87" i="3"/>
  <c r="B84" i="3"/>
  <c r="D86" i="3"/>
  <c r="D84" i="3"/>
  <c r="D82" i="3"/>
  <c r="D80" i="3"/>
  <c r="I80" i="3" s="1"/>
  <c r="C86" i="3"/>
  <c r="C84" i="3"/>
  <c r="C82" i="3"/>
  <c r="H82" i="3" s="1"/>
  <c r="C80" i="3"/>
  <c r="D85" i="3"/>
  <c r="I85" i="3" s="1"/>
  <c r="D79" i="3"/>
  <c r="D83" i="3"/>
  <c r="I83" i="3" s="1"/>
  <c r="D81" i="3"/>
  <c r="I81" i="3" s="1"/>
  <c r="C87" i="3"/>
  <c r="H87" i="3" s="1"/>
  <c r="E86" i="3"/>
  <c r="J86" i="3" s="1"/>
  <c r="C85" i="3"/>
  <c r="H85" i="3" s="1"/>
  <c r="E84" i="3"/>
  <c r="C83" i="3"/>
  <c r="H83" i="3" s="1"/>
  <c r="E82" i="3"/>
  <c r="J82" i="3" s="1"/>
  <c r="C81" i="3"/>
  <c r="H81" i="3" s="1"/>
  <c r="E80" i="3"/>
  <c r="J80" i="3" s="1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I87" i="3" l="1"/>
  <c r="G83" i="3"/>
  <c r="I82" i="3"/>
  <c r="I84" i="3"/>
  <c r="J87" i="3"/>
  <c r="I86" i="3"/>
  <c r="J84" i="3"/>
  <c r="H80" i="3"/>
  <c r="G84" i="3"/>
  <c r="G81" i="3"/>
  <c r="M75" i="2"/>
  <c r="H84" i="3"/>
  <c r="H86" i="3"/>
  <c r="J81" i="3"/>
  <c r="G87" i="3"/>
  <c r="AI75" i="2"/>
  <c r="H75" i="2"/>
  <c r="E74" i="2"/>
  <c r="F74" i="2" s="1"/>
  <c r="J74" i="2"/>
  <c r="K74" i="2"/>
  <c r="L74" i="2"/>
  <c r="N74" i="2"/>
  <c r="B74" i="2"/>
  <c r="D74" i="2"/>
  <c r="M74" i="2" l="1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7" i="4"/>
  <c r="C9" i="4"/>
  <c r="C8" i="4"/>
  <c r="C10" i="4"/>
  <c r="C38" i="4"/>
  <c r="C37" i="4"/>
  <c r="C21" i="4"/>
  <c r="C5" i="4"/>
  <c r="C6" i="4"/>
  <c r="C39" i="4"/>
  <c r="C40" i="4"/>
  <c r="C20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B12" i="1"/>
  <c r="U4" i="1"/>
  <c r="U11" i="1"/>
  <c r="M12" i="1"/>
  <c r="U8" i="1"/>
  <c r="U7" i="1"/>
  <c r="U3" i="1"/>
  <c r="U5" i="1"/>
  <c r="U6" i="1"/>
  <c r="U12" i="1"/>
  <c r="U10" i="1"/>
  <c r="U2" i="1"/>
  <c r="U9" i="1"/>
  <c r="F33" i="4" l="1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8" i="1"/>
  <c r="J12" i="1"/>
  <c r="J10" i="1"/>
  <c r="J9" i="1"/>
  <c r="J5" i="1"/>
  <c r="J7" i="1"/>
  <c r="J11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1" i="1"/>
  <c r="M6" i="1"/>
  <c r="M5" i="1"/>
  <c r="M7" i="1"/>
  <c r="M3" i="1"/>
  <c r="M10" i="1"/>
  <c r="M9" i="1"/>
  <c r="M2" i="1"/>
  <c r="M4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0" i="1" a="1"/>
  <c r="L4" i="1" a="1"/>
  <c r="L11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5" i="1"/>
  <c r="L11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8" i="1"/>
  <c r="L9" i="1"/>
  <c r="L2" i="1"/>
  <c r="K26" i="1"/>
  <c r="L7" i="1"/>
  <c r="L3" i="1"/>
  <c r="O38" i="1" l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2" i="1"/>
  <c r="K23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6" i="1"/>
  <c r="B10" i="1"/>
  <c r="B3" i="1"/>
  <c r="B7" i="1"/>
  <c r="J2" i="1"/>
  <c r="J6" i="1"/>
  <c r="B4" i="1"/>
  <c r="B8" i="1"/>
  <c r="B2" i="1"/>
  <c r="B9" i="1"/>
  <c r="B5" i="1"/>
  <c r="B11" i="1"/>
  <c r="J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R33" i="2"/>
  <c r="R34" i="2" s="1"/>
  <c r="AD32" i="2"/>
  <c r="AB32" i="2"/>
  <c r="AC32" i="2"/>
  <c r="W32" i="2"/>
  <c r="X32" i="2"/>
  <c r="V32" i="2"/>
  <c r="Q34" i="2"/>
  <c r="AK34" i="2" s="1"/>
  <c r="AK33" i="2"/>
  <c r="AC33" i="2"/>
  <c r="W33" i="2"/>
  <c r="T25" i="2"/>
  <c r="Z24" i="2"/>
  <c r="AF24" i="2"/>
  <c r="S14" i="2"/>
  <c r="Y13" i="2"/>
  <c r="AE13" i="2"/>
  <c r="F14" i="2"/>
  <c r="G13" i="2"/>
  <c r="H13" i="2"/>
  <c r="V33" i="2" l="1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76" i="2" l="1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76" i="2" l="1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S57" i="2"/>
  <c r="AM56" i="2"/>
  <c r="Y56" i="2"/>
  <c r="AE56" i="2"/>
  <c r="AN66" i="2"/>
  <c r="Z66" i="2"/>
  <c r="AF66" i="2"/>
  <c r="F54" i="2"/>
  <c r="G53" i="2"/>
  <c r="H53" i="2"/>
  <c r="Z76" i="2" l="1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AM66" i="2"/>
  <c r="AE66" i="2"/>
  <c r="Y66" i="2"/>
  <c r="H63" i="2"/>
  <c r="L31" i="1" s="1"/>
  <c r="G63" i="2"/>
  <c r="K31" i="1" s="1"/>
  <c r="AM76" i="2" l="1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<sst xmlns="http://schemas.openxmlformats.org/spreadsheetml/2006/main" count="159" uniqueCount="112">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</sst>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2833b3c48004c488c9731ae0bf5c0ec">
      <tp>
        <v>0</v>
        <stp/>
        <stp>ACWI</stp>
        <stp>change in percent</stp>
        <tr r="K22" s="1"/>
      </tp>
    </main>
    <main first="rtdsrv.e2833b3c48004c488c9731ae0bf5c0ec">
      <tp>
        <v>-5.2173913000000001</v>
        <stp/>
        <stp>IEV</stp>
        <stp>mtd percent change</stp>
        <tr r="U9" s="1"/>
      </tp>
      <tp>
        <v>1.13479376</v>
        <stp/>
        <stp>IEF</stp>
        <stp>mtd percent change</stp>
        <tr r="U11" s="1"/>
      </tp>
      <tp>
        <v>0.27220022999999999</v>
        <stp/>
        <stp>IVV</stp>
        <stp>mtd percent change</stp>
        <tr r="U3" s="1"/>
      </tp>
      <tp>
        <v>0.29440628000000002</v>
        <stp/>
        <stp>IYR</stp>
        <stp>mtd percent change</stp>
        <tr r="U4" s="1"/>
      </tp>
      <tp>
        <v>-3.43060622</v>
        <stp/>
        <stp>GLD</stp>
        <stp>mtd percent change</stp>
        <tr r="U8" s="1"/>
      </tp>
      <tp>
        <v>-2.29411765</v>
        <stp/>
        <stp>DBC</stp>
        <stp>mtd percent change</stp>
        <tr r="U2" s="1"/>
      </tp>
      <tp>
        <v>-6.6351776899999999</v>
        <stp/>
        <stp>EEM</stp>
        <stp>mtd percent change</stp>
        <tr r="U10" s="1"/>
      </tp>
      <tp>
        <v>-3.7684603600000002</v>
        <stp/>
        <stp>EWJ</stp>
        <stp>mtd percent change</stp>
        <tr r="U7" s="1"/>
      </tp>
      <tp>
        <v>-3.0886075900000001</v>
        <stp/>
        <stp>RWX</stp>
        <stp>mtd percent change</stp>
        <tr r="U6" s="1"/>
      </tp>
      <tp>
        <v>0.25282927999999999</v>
        <stp/>
        <stp>SHY</stp>
        <stp>mtd percent change</stp>
        <tr r="U12" s="1"/>
      </tp>
      <tp>
        <v>2.0091169999999998</v>
        <stp/>
        <stp>TLT</stp>
        <stp>mtd percent change</stp>
        <tr r="U5" s="1"/>
      </tp>
    </main>
    <main first="rtdsrv.e2833b3c48004c488c9731ae0bf5c0ec">
      <tp>
        <v>0</v>
        <stp/>
        <stp>GYLD</stp>
        <stp>change in percent</stp>
        <tr r="K26" s="1"/>
      </tp>
    </main>
    <main first="rtdsrv.e2833b3c48004c488c9731ae0bf5c0ec">
      <tp>
        <v>56.69</v>
        <stp/>
        <stp>EWJ</stp>
        <stp>last</stp>
        <tr r="J7" s="1"/>
      </tp>
      <tp>
        <v>38.28</v>
        <stp/>
        <stp>RWX</stp>
        <stp>last</stp>
        <tr r="J6" s="1"/>
      </tp>
      <tp>
        <v>283.64999999999998</v>
        <stp/>
        <stp>IVV</stp>
        <stp>last</stp>
        <tr r="J3" s="1"/>
        <tr r="C21" s="4"/>
        <tr r="C38" s="4"/>
      </tp>
      <tp>
        <v>52.89</v>
        <stp/>
        <stp>STX</stp>
        <stp>last</stp>
        <tr r="C10" s="4"/>
      </tp>
      <tp>
        <v>179.23</v>
        <stp/>
        <stp>QQQ</stp>
        <stp>last</stp>
        <tr r="C39" s="4"/>
      </tp>
      <tp>
        <v>81.760000000000005</v>
        <stp/>
        <stp>IYR</stp>
        <stp>last</stp>
        <tr r="J4" s="1"/>
        <tr r="C22" s="4"/>
      </tp>
      <tp t="s">
        <v>ARROW ETF TR-ARROW DJ GLB YLD</v>
        <stp/>
        <stp>GYLD</stp>
        <stp>description</stp>
        <tr r="L26" s="1"/>
      </tp>
      <tp>
        <v>41.51</v>
        <stp/>
        <stp>EEM</stp>
        <stp>last</stp>
        <tr r="J10" s="1"/>
      </tp>
      <tp>
        <v>102.49</v>
        <stp/>
        <stp>IEF</stp>
        <stp>last</stp>
        <tr r="J11" s="1"/>
      </tp>
      <tp>
        <v>43.6</v>
        <stp/>
        <stp>IEV</stp>
        <stp>last</stp>
        <tr r="J9" s="1"/>
      </tp>
      <tp>
        <v>16.61</v>
        <stp/>
        <stp>DBC</stp>
        <stp>last</stp>
        <tr r="J2" s="1"/>
        <tr r="C20" s="4"/>
      </tp>
      <tp>
        <v>37.71</v>
        <stp/>
        <stp>GAL</stp>
        <stp>last</stp>
        <tr r="C37" s="4"/>
      </tp>
      <tp>
        <v>111.19</v>
        <stp/>
        <stp>GLD</stp>
        <stp>last</stp>
        <tr r="J8" s="1"/>
      </tp>
      <tp>
        <v>120.84</v>
        <stp/>
        <stp>TLT</stp>
        <stp>last</stp>
        <tr r="J5" s="1"/>
      </tp>
      <tp>
        <v>83.27</v>
        <stp/>
        <stp>SHY</stp>
        <stp>last</stp>
        <tr r="J12" s="1"/>
        <tr r="C23" s="4"/>
      </tp>
    </main>
    <main first="rtdsrv.e2833b3c48004c488c9731ae0bf5c0ec">
      <tp>
        <v>0</v>
        <stp/>
        <stp>EEM</stp>
        <stp>change in percent</stp>
        <tr r="L10" s="1"/>
      </tp>
      <tp>
        <v>0</v>
        <stp/>
        <stp>EWJ</stp>
        <stp>change in percent</stp>
        <tr r="L7" s="1"/>
      </tp>
    </main>
    <main first="rtdsrv.e2833b3c48004c488c9731ae0bf5c0ec">
      <tp>
        <v>0</v>
        <stp/>
        <stp>IEF</stp>
        <stp>change in percent</stp>
        <tr r="L11" s="1"/>
      </tp>
      <tp>
        <v>0</v>
        <stp/>
        <stp>AGG</stp>
        <stp>change in percent</stp>
        <tr r="K23" s="1"/>
      </tp>
    </main>
    <main first="rtdsrv.e2833b3c48004c488c9731ae0bf5c0ec">
      <tp>
        <v>0</v>
        <stp/>
        <stp>GLD</stp>
        <stp>change in percent</stp>
        <tr r="L8" s="1"/>
      </tp>
      <tp>
        <v>0</v>
        <stp/>
        <stp>DBC</stp>
        <stp>change in percent</stp>
        <tr r="L2" s="1"/>
      </tp>
    </main>
    <main first="rtdsrv.e2833b3c48004c488c9731ae0bf5c0ec">
      <tp>
        <v>0</v>
        <stp/>
        <stp>RWX</stp>
        <stp>change in percent</stp>
        <tr r="L6" s="1"/>
      </tp>
      <tp>
        <v>0</v>
        <stp/>
        <stp>SHY</stp>
        <stp>change in percent</stp>
        <tr r="L12" s="1"/>
      </tp>
    </main>
    <main first="rtdsrv.e2833b3c48004c488c9731ae0bf5c0ec">
      <tp>
        <v>0</v>
        <stp/>
        <stp>IVV</stp>
        <stp>change in percent</stp>
        <tr r="K24" s="1"/>
        <tr r="L3" s="1"/>
      </tp>
      <tp>
        <v>0</v>
        <stp/>
        <stp>IEV</stp>
        <stp>change in percent</stp>
        <tr r="L9" s="1"/>
      </tp>
      <tp>
        <v>0</v>
        <stp/>
        <stp>TLT</stp>
        <stp>change in percent</stp>
        <tr r="L5" s="1"/>
      </tp>
    </main>
    <main first="rtdsrv.e2833b3c48004c488c9731ae0bf5c0ec">
      <tp>
        <v>0</v>
        <stp/>
        <stp>IYR</stp>
        <stp>change in percent</stp>
        <tr r="L4" s="1"/>
      </tp>
    </main>
    <main first="rtdsrv.e2833b3c48004c488c9731ae0bf5c0ec"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e2833b3c48004c488c9731ae0bf5c0ec">
      <tp>
        <v>1882.62</v>
        <stp/>
        <stp>AMZN</stp>
        <stp>last</stp>
        <tr r="C6" s="4"/>
      </tp>
    </main>
    <main first="rtdsrv.e2833b3c48004c488c9731ae0bf5c0ec">
      <tp>
        <v>120.84</v>
        <stp/>
        <stp>TLT</stp>
        <stp>close</stp>
        <tr r="G5" s="1"/>
      </tp>
    </main>
    <main first="rtdsrv.e2833b3c48004c488c9731ae0bf5c0ec">
      <tp>
        <v>283.64999999999998</v>
        <stp/>
        <stp>IVV</stp>
        <stp>close</stp>
        <tr r="G3" s="1"/>
      </tp>
    </main>
    <main first="rtdsrv.e2833b3c48004c488c9731ae0bf5c0ec">
      <tp>
        <v>81.760000000000005</v>
        <stp/>
        <stp>IYR</stp>
        <stp>close</stp>
        <tr r="G4" s="1"/>
      </tp>
    </main>
    <main first="rtdsrv.e2833b3c48004c488c9731ae0bf5c0ec">
      <tp>
        <v>522.77</v>
        <stp/>
        <stp>ISRG</stp>
        <stp>last</stp>
        <tr r="C8" s="4"/>
      </tp>
    </main>
    <main first="rtdsrv.e2833b3c48004c488c9731ae0bf5c0ec">
      <tp>
        <v>46.02</v>
        <stp/>
        <stp>QQQE</stp>
        <stp>last</stp>
        <tr r="C40" s="4"/>
      </tp>
    </main>
    <main first="rtdsrv.e2833b3c48004c488c9731ae0bf5c0ec">
      <tp t="s">
        <v>ISHARES INC-MSCI JPN ETF NEW</v>
        <stp/>
        <stp>EWJ</stp>
        <stp>description</stp>
        <tr r="B7" s="1"/>
      </tp>
      <tp t="s">
        <v>ISHARES TR-MSCI EMG MKT ETF</v>
        <stp/>
        <stp>EEM</stp>
        <stp>description</stp>
        <tr r="B10" s="1"/>
      </tp>
    </main>
    <main first="rtdsrv.e2833b3c48004c488c9731ae0bf5c0ec">
      <tp t="s">
        <v>INVESCO DB COMMDY INDX TRCK-UNIT</v>
        <stp/>
        <stp>DBC</stp>
        <stp>description</stp>
        <tr r="B2" s="1"/>
      </tp>
    </main>
    <main first="rtdsrv.e2833b3c48004c488c9731ae0bf5c0ec">
      <tp t="s">
        <v>SPDR GOLD TRUST-GOLD SHS</v>
        <stp/>
        <stp>GLD</stp>
        <stp>description</stp>
        <tr r="B8" s="1"/>
      </tp>
    </main>
    <main first="rtdsrv.e2833b3c48004c488c9731ae0bf5c0ec">
      <tp>
        <v>3.75</v>
        <stp/>
        <stp>RWX</stp>
        <stp>dividend yield</stp>
        <tr r="M6" s="1"/>
      </tp>
    </main>
    <main first="rtdsrv.e2833b3c48004c488c9731ae0bf5c0ec">
      <tp>
        <v>1.87</v>
        <stp/>
        <stp>SHY</stp>
        <stp>dividend yield</stp>
        <tr r="M12" s="1"/>
      </tp>
      <tp>
        <v>2.73</v>
        <stp/>
        <stp>TLT</stp>
        <stp>dividend yield</stp>
        <tr r="M5" s="1"/>
      </tp>
      <tp>
        <v>2.2200000000000002</v>
        <stp/>
        <stp>IEF</stp>
        <stp>dividend yield</stp>
        <tr r="M11" s="1"/>
      </tp>
      <tp>
        <v>4.8499999999999996</v>
        <stp/>
        <stp>IEV</stp>
        <stp>dividend yield</stp>
        <tr r="M9" s="1"/>
      </tp>
      <tp>
        <v>1.81</v>
        <stp/>
        <stp>IVV</stp>
        <stp>dividend yield</stp>
        <tr r="M3" s="1"/>
      </tp>
      <tp>
        <v>0.49</v>
        <stp/>
        <stp>IYR</stp>
        <stp>dividend yield</stp>
        <tr r="M4" s="1"/>
      </tp>
      <tp t="s">
        <v>--</v>
        <stp/>
        <stp>DBC</stp>
        <stp>dividend yield</stp>
        <tr r="M2" s="1"/>
      </tp>
    </main>
    <main first="rtdsrv.e2833b3c48004c488c9731ae0bf5c0ec">
      <tp>
        <v>1.4</v>
        <stp/>
        <stp>EEM</stp>
        <stp>dividend yield</stp>
        <tr r="M10" s="1"/>
      </tp>
      <tp>
        <v>1.62</v>
        <stp/>
        <stp>EWJ</stp>
        <stp>dividend yield</stp>
        <tr r="M7" s="1"/>
      </tp>
    </main>
    <main first="rtdsrv.e2833b3c48004c488c9731ae0bf5c0ec">
      <tp>
        <v>16.61</v>
        <stp/>
        <stp>DBC</stp>
        <stp>close</stp>
        <tr r="G2" s="1"/>
      </tp>
    </main>
    <main first="rtdsrv.e2833b3c48004c488c9731ae0bf5c0ec">
      <tp>
        <v>43.86</v>
        <stp/>
        <stp>CSCO</stp>
        <stp>last</stp>
        <tr r="C7" s="4"/>
      </tp>
    </main>
    <main first="rtdsrv.e2833b3c48004c488c9731ae0bf5c0ec">
      <tp>
        <v>47.49</v>
        <stp/>
        <stp>MU</stp>
        <stp>last</stp>
        <tr r="C9" s="4"/>
      </tp>
    </main>
    <main first="rtdsrv.e2833b3c48004c488c9731ae0bf5c0ec">
      <tp t="s">
        <v>ISHARES TR-1 3 YR TREAS BD</v>
        <stp/>
        <stp>SHY</stp>
        <stp>description</stp>
        <tr r="B12" s="1"/>
      </tp>
    </main>
    <main first="rtdsrv.e2833b3c48004c488c9731ae0bf5c0ec">
      <tp t="s">
        <v>SPDR INDEX SHS FDS-DJ INTL RL ETF</v>
        <stp/>
        <stp>RWX</stp>
        <stp>description</stp>
        <tr r="B6" s="1"/>
      </tp>
    </main>
    <main first="rtdsrv.e2833b3c48004c488c9731ae0bf5c0ec">
      <tp>
        <v>350.45</v>
        <stp/>
        <stp>ALGN</stp>
        <stp>last</stp>
        <tr r="C5" s="4"/>
      </tp>
    </main>
    <main first="rtdsrv.e2833b3c48004c488c9731ae0bf5c0ec">
      <tp t="s">
        <v>ISHARES TR-20 YR TR BD ETF</v>
        <stp/>
        <stp>TLT</stp>
        <stp>description</stp>
        <tr r="B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topLeftCell="B1" zoomScale="90" zoomScaleNormal="90" workbookViewId="0">
      <selection activeCell="R28" sqref="R28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-6.8257879517609976E-2</v>
      </c>
      <c r="F2" s="5">
        <f>I2/$I$21</f>
        <v>0.14691454626685499</v>
      </c>
      <c r="G2" s="4">
        <f>_xll.RealtimeData(A2,"Close")</f>
        <v>16.61</v>
      </c>
      <c r="H2" s="4">
        <v>176</v>
      </c>
      <c r="I2" s="4">
        <f>H2*G2</f>
        <v>2923.3599999999997</v>
      </c>
      <c r="J2" s="4">
        <f>_xll.RealtimeData(A2,"Last")</f>
        <v>16.61</v>
      </c>
      <c r="K2" s="5">
        <f>J2/D2-1</f>
        <v>-6.8257879517609976E-2</v>
      </c>
      <c r="L2" s="8">
        <f>_xll.RealtimeData(A2,"Change in Percent")</f>
        <v>0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-4.9145462668550022E-3</v>
      </c>
      <c r="Q2" s="31">
        <f>O2*Daily!$D$68</f>
        <v>2823.9823999999999</v>
      </c>
      <c r="R2">
        <f t="shared" ref="R2:R11" si="2">ROUND(Q2/J2,0)</f>
        <v>170</v>
      </c>
      <c r="S2">
        <f t="shared" ref="S2:S11" si="3">R2-H2</f>
        <v>-6</v>
      </c>
      <c r="T2" t="str">
        <f t="shared" ref="T2:T12" si="4">A2</f>
        <v>DBC</v>
      </c>
      <c r="U2">
        <f>_xll.RealtimeData(T2,"MTD Percent Change")</f>
        <v>-2.29411765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6.4914147984209025E-2</v>
      </c>
      <c r="F3" s="5">
        <f>I3/$I$21</f>
        <v>0.41339315732896703</v>
      </c>
      <c r="G3" s="4">
        <f>_xll.RealtimeData(A3,"Close")</f>
        <v>283.64999999999998</v>
      </c>
      <c r="H3" s="4">
        <v>29</v>
      </c>
      <c r="I3" s="4">
        <f>H3*G3</f>
        <v>8225.8499999999985</v>
      </c>
      <c r="J3" s="4">
        <f>_xll.RealtimeData(A3,"Last")</f>
        <v>283.64999999999998</v>
      </c>
      <c r="K3" s="5">
        <f>J3/D3-1</f>
        <v>6.4914147984209025E-2</v>
      </c>
      <c r="L3" s="8">
        <f>_xll.RealtimeData(A3,"Change in Percent")</f>
        <v>0</v>
      </c>
      <c r="M3" s="29">
        <f>_xll.RealtimeData(A3,"Dividend Yield")</f>
        <v>1.81</v>
      </c>
      <c r="N3" s="4" t="str">
        <f t="shared" si="0"/>
        <v>IVV</v>
      </c>
      <c r="O3" s="5">
        <v>0.36599999999999999</v>
      </c>
      <c r="P3" s="60">
        <f t="shared" si="1"/>
        <v>-4.7393157328967039E-2</v>
      </c>
      <c r="Q3" s="31">
        <f>O3*Daily!$D$68</f>
        <v>7278.7152000000006</v>
      </c>
      <c r="R3">
        <f t="shared" si="2"/>
        <v>26</v>
      </c>
      <c r="S3">
        <f t="shared" si="3"/>
        <v>-3</v>
      </c>
      <c r="T3" t="str">
        <f t="shared" si="4"/>
        <v>IVV</v>
      </c>
      <c r="U3">
        <f>_xll.RealtimeData(T3,"MTD Percent Change")</f>
        <v>0.27220022999999999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4.2458243019252828E-2</v>
      </c>
      <c r="F4" s="5">
        <f>I4/$I$21</f>
        <v>0.22187948058057014</v>
      </c>
      <c r="G4" s="4">
        <f>_xll.RealtimeData(A4,"Close")</f>
        <v>81.760000000000005</v>
      </c>
      <c r="H4" s="4">
        <v>54</v>
      </c>
      <c r="I4" s="4">
        <f>H4*G4</f>
        <v>4415.04</v>
      </c>
      <c r="J4" s="4">
        <f>_xll.RealtimeData(A4,"Last")</f>
        <v>81.760000000000005</v>
      </c>
      <c r="K4" s="5">
        <f>J4/D4-1</f>
        <v>4.2458243019252828E-2</v>
      </c>
      <c r="L4" s="8">
        <f t="array" ref="L4">_xll.RealtimeData(A4,"Change in Percent")</f>
        <v>0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0.17112051941942988</v>
      </c>
      <c r="Q4" s="31">
        <f>O4*Daily!$D$68</f>
        <v>7815.6696000000002</v>
      </c>
      <c r="R4">
        <f t="shared" si="2"/>
        <v>96</v>
      </c>
      <c r="S4">
        <f t="shared" si="3"/>
        <v>42</v>
      </c>
      <c r="T4" t="str">
        <f t="shared" si="4"/>
        <v>IYR</v>
      </c>
      <c r="U4">
        <f>_xll.RealtimeData(T4,"MTD Percent Change")</f>
        <v>0.29440628000000002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-1.1887765365047098E-2</v>
      </c>
      <c r="F5" s="5">
        <f>I5/$I$21</f>
        <v>0.2125500731969503</v>
      </c>
      <c r="G5" s="4">
        <f>_xll.RealtimeData(A5,"Close")</f>
        <v>120.84</v>
      </c>
      <c r="H5" s="4">
        <v>35</v>
      </c>
      <c r="I5" s="4">
        <f>H5*G5</f>
        <v>4229.4000000000005</v>
      </c>
      <c r="J5" s="31">
        <f>_xll.RealtimeData(A5,"Last")</f>
        <v>120.84</v>
      </c>
      <c r="K5" s="5">
        <f>J5/D5-1</f>
        <v>-1.1887765365047098E-2</v>
      </c>
      <c r="L5" s="8">
        <f t="array" ref="L5">_xll.RealtimeData(A5,"Change in Percent")</f>
        <v>0</v>
      </c>
      <c r="M5" s="29">
        <f>_xll.RealtimeData(A5,"Dividend Yield")</f>
        <v>2.73</v>
      </c>
      <c r="N5" s="4" t="str">
        <f t="shared" si="0"/>
        <v>TLT</v>
      </c>
      <c r="O5" s="5">
        <v>0</v>
      </c>
      <c r="P5" s="60">
        <f t="shared" si="1"/>
        <v>-0.2125500731969503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2.0091169999999998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38.28</v>
      </c>
      <c r="K6" s="5"/>
      <c r="L6" s="8">
        <f>_xll.RealtimeData(A6,"Change in Percent")</f>
        <v>0</v>
      </c>
      <c r="M6" s="29">
        <f>_xll.RealtimeData(A6,"Dividend Yield")</f>
        <v>3.75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-3.0886075900000001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56.69</v>
      </c>
      <c r="K7" s="5"/>
      <c r="L7" s="8">
        <f>_xll.RealtimeData(A7,"Change in Percent")</f>
        <v>0</v>
      </c>
      <c r="M7" s="29">
        <f>_xll.RealtimeData(A7,"Dividend Yield")</f>
        <v>1.62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-3.7684603600000002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111.19</v>
      </c>
      <c r="K8" s="5"/>
      <c r="L8" s="8">
        <f>_xll.RealtimeData(A8,"Change in Percent")</f>
        <v>0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-3.43060622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43.6</v>
      </c>
      <c r="K9" s="5"/>
      <c r="L9" s="8">
        <f>_xll.RealtimeData(A9,"Change in Percent")</f>
        <v>0</v>
      </c>
      <c r="M9" s="29">
        <f>_xll.RealtimeData(A9,"Dividend Yield")</f>
        <v>4.8499999999999996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-5.2173913000000001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41.51</v>
      </c>
      <c r="K10" s="5"/>
      <c r="L10" s="8">
        <f t="array" ref="L10">_xll.RealtimeData(A10,"Change in Percent")</f>
        <v>0</v>
      </c>
      <c r="M10" s="29">
        <f>_xll.RealtimeData(A10,"Dividend Yield")</f>
        <v>1.4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-6.6351776899999999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102.49</v>
      </c>
      <c r="K11" s="5"/>
      <c r="L11" s="8">
        <f t="array" ref="L11">_xll.RealtimeData(A11,"Change in Percent")</f>
        <v>0</v>
      </c>
      <c r="M11" s="29">
        <f>_xll.RealtimeData(A11,"Dividend Yield")</f>
        <v>2.2200000000000002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1.13479376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83.27</v>
      </c>
      <c r="L12" s="8">
        <f t="array" ref="L12">_xll.RealtimeData(A12,"Change in Percent")</f>
        <v>0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0.25282927999999999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-8.5407655359999973E-2</v>
      </c>
      <c r="V14" s="8">
        <f>U14*0.01</f>
        <v>-8.5407655359999977E-4</v>
      </c>
    </row>
    <row r="19" spans="5:16" s="1" customFormat="1" x14ac:dyDescent="0.25"/>
    <row r="20" spans="5:16" x14ac:dyDescent="0.25">
      <c r="E20" t="s">
        <v>70</v>
      </c>
      <c r="F20" s="11">
        <f>SUM(F2:F5)</f>
        <v>0.99473725737334251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5.2627426266574906E-3</v>
      </c>
      <c r="H21" s="2" t="s">
        <v>16</v>
      </c>
      <c r="I21" s="6">
        <f>SUM(I2:I20)</f>
        <v>19898.370000000003</v>
      </c>
      <c r="J21" t="s">
        <v>33</v>
      </c>
      <c r="K21" s="8">
        <f>SUMPRODUCT(K2:K7,F2:F7)</f>
        <v>2.3700856701031149E-2</v>
      </c>
      <c r="M21" t="s">
        <v>34</v>
      </c>
      <c r="N21" s="8">
        <f t="array" ref="N21">MMULT(TRANSPOSE(F2:F5),L2:L5)</f>
        <v>0</v>
      </c>
      <c r="P21" s="8">
        <f>SUMPRODUCT(L2:L12,O2:O12)</f>
        <v>0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0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0</v>
      </c>
    </row>
    <row r="25" spans="5:16" x14ac:dyDescent="0.25">
      <c r="J25" t="s">
        <v>57</v>
      </c>
      <c r="K25" s="8">
        <f t="array" ref="K25">SUMPRODUCT(K22:K23,L22:L23)</f>
        <v>0</v>
      </c>
    </row>
    <row r="26" spans="5:16" x14ac:dyDescent="0.25">
      <c r="H26" t="s">
        <v>25</v>
      </c>
      <c r="I26" s="6">
        <f>SUM(I2:I18)</f>
        <v>19793.650000000001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0</v>
      </c>
    </row>
    <row r="28" spans="5:16" x14ac:dyDescent="0.25">
      <c r="J28" t="s">
        <v>64</v>
      </c>
      <c r="K28" s="8">
        <f>SUMPRODUCT(F2:F7,M2:M7)*0.01</f>
        <v>1.4372242600775839E-2</v>
      </c>
      <c r="L28" t="s">
        <v>65</v>
      </c>
      <c r="M28" s="8">
        <f>AVERAGE(M2:M11)*0.01</f>
        <v>2.0966666666666661E-2</v>
      </c>
    </row>
    <row r="29" spans="5:16" ht="15.75" thickBot="1" x14ac:dyDescent="0.3"/>
    <row r="30" spans="5:16" ht="15.75" thickBot="1" x14ac:dyDescent="0.3">
      <c r="H30" s="30">
        <v>43327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0</v>
      </c>
      <c r="J31" s="21">
        <f>LOOKUP(2,1/(Daily!E:E&lt;&gt;""),Daily!E:E)</f>
        <v>-3.6951399396559781E-3</v>
      </c>
      <c r="K31" s="22">
        <f>VLOOKUP($H$30,Daily!$A:$AF,7,0)</f>
        <v>2.5201074547225311E-3</v>
      </c>
      <c r="L31" s="23">
        <f>VLOOKUP($H$30,Daily!$A:$AF,8,0)</f>
        <v>-5.0809999999995581E-3</v>
      </c>
    </row>
    <row r="32" spans="5:16" x14ac:dyDescent="0.25">
      <c r="H32" s="19" t="s">
        <v>59</v>
      </c>
      <c r="I32" s="24">
        <f>$K$25</f>
        <v>0</v>
      </c>
      <c r="J32" s="24">
        <f>LOOKUP(2,1/(Daily!M:M&lt;&gt;""),Daily!M:M)</f>
        <v>-6.5473113645105659E-3</v>
      </c>
      <c r="K32" s="14">
        <f>VLOOKUP($H$30,Daily!$A:$AF,25,0)</f>
        <v>5.887099627658321E-3</v>
      </c>
      <c r="L32" s="25">
        <f>VLOOKUP($H$30,Daily!$A:$AF,31,0)</f>
        <v>1.1216734099228631E-4</v>
      </c>
    </row>
    <row r="33" spans="8:18" x14ac:dyDescent="0.25">
      <c r="H33" s="19" t="s">
        <v>60</v>
      </c>
      <c r="I33" s="24">
        <f>$K$24</f>
        <v>0</v>
      </c>
      <c r="J33" s="24">
        <f>LOOKUP(2,1/(Daily!L:L&lt;&gt;""),Daily!L:L)</f>
        <v>-7.9739796453678347E-3</v>
      </c>
      <c r="K33" s="14">
        <f>VLOOKUP($H$30,Daily!$A:$AF,24,0)</f>
        <v>3.8820728804248139E-2</v>
      </c>
      <c r="L33" s="25">
        <f>VLOOKUP($H$30,Daily!$A:$AF,30,0)</f>
        <v>6.5208294126315458E-2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-8.1443298969073874E-3</v>
      </c>
      <c r="K34" s="27">
        <f>VLOOKUP($H$30,Daily!$A:$AF,26,0)</f>
        <v>-4.7241379310343223E-3</v>
      </c>
      <c r="L34" s="28">
        <f>VLOOKUP($H$30,Daily!$A:$AF,32,0)</f>
        <v>4.3518258032693158E-3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-5.599135438422387E-5</v>
      </c>
      <c r="J37" s="44"/>
      <c r="K37" s="22"/>
      <c r="L37" s="39"/>
      <c r="M37" s="50"/>
      <c r="N37" s="38">
        <f>AVERAGE(Daily!J$3:J380)</f>
        <v>-3.6270737190929418E-5</v>
      </c>
      <c r="O37" s="22">
        <f>AVERAGE(Daily!K$3:K380)</f>
        <v>7.4455204947280803E-5</v>
      </c>
      <c r="P37" s="22">
        <f>AVERAGE(Daily!L$3:L380)</f>
        <v>8.5955215249380748E-4</v>
      </c>
      <c r="Q37" s="22">
        <f>AVERAGE(Daily!M$3:M380)</f>
        <v>8.0196396643546444E-6</v>
      </c>
      <c r="R37" s="23">
        <f>AVERAGE(Daily!N$3:N380)</f>
        <v>8.9311384683198787E-5</v>
      </c>
    </row>
    <row r="38" spans="8:18" x14ac:dyDescent="0.25">
      <c r="H38" s="56" t="s">
        <v>73</v>
      </c>
      <c r="I38" s="47">
        <f>STDEV(Daily!E$3:E380)</f>
        <v>4.9150443309497289E-3</v>
      </c>
      <c r="J38" s="45"/>
      <c r="K38" s="14"/>
      <c r="L38" s="32"/>
      <c r="M38" s="51"/>
      <c r="N38" s="40">
        <f>STDEV(Daily!J$3:J380)</f>
        <v>6.2600791696187071E-3</v>
      </c>
      <c r="O38" s="14">
        <f>STDEV(Daily!K$3:K380)</f>
        <v>1.7543188921805997E-3</v>
      </c>
      <c r="P38" s="14">
        <f>STDEV(Daily!L$3:L380)</f>
        <v>5.8562012159872135E-3</v>
      </c>
      <c r="Q38" s="14">
        <f>STDEV(Daily!M$3:M380)</f>
        <v>3.6351133722685169E-3</v>
      </c>
      <c r="R38" s="25">
        <f>STDEV(Daily!N$3:N380)</f>
        <v>7.9802204291008014E-3</v>
      </c>
    </row>
    <row r="39" spans="8:18" x14ac:dyDescent="0.25">
      <c r="H39" s="56" t="s">
        <v>74</v>
      </c>
      <c r="I39" s="48">
        <f>COUNTIF(Daily!E$3:E380,"&gt;0")</f>
        <v>42</v>
      </c>
      <c r="J39" s="45"/>
      <c r="K39" s="14"/>
      <c r="L39" s="32"/>
      <c r="M39" s="51"/>
      <c r="N39" s="41">
        <f>COUNTIF(Daily!J$3:J380,"&gt;0")</f>
        <v>37</v>
      </c>
      <c r="O39" s="33">
        <f>COUNTIF(Daily!K$3:K380,"&gt;0")</f>
        <v>39</v>
      </c>
      <c r="P39" s="33">
        <f>COUNTIF(Daily!L$3:L380,"&gt;0")</f>
        <v>42</v>
      </c>
      <c r="Q39" s="33">
        <f>COUNTIF(Daily!M$3:M380,"&gt;0")</f>
        <v>39</v>
      </c>
      <c r="R39" s="35">
        <f>COUNTIF(Daily!N$3:N380,"&gt;0")</f>
        <v>42</v>
      </c>
    </row>
    <row r="40" spans="8:18" x14ac:dyDescent="0.25">
      <c r="H40" s="56" t="s">
        <v>80</v>
      </c>
      <c r="I40" s="47">
        <f>SUMIF(Daily!E$3:E380,"&gt;0")</f>
        <v>0.13443649426554072</v>
      </c>
      <c r="J40" s="45"/>
      <c r="K40" s="14"/>
      <c r="L40" s="32"/>
      <c r="M40" s="51"/>
      <c r="N40" s="40">
        <f>SUMIF(Daily!J$3:J380,"&gt;0")</f>
        <v>0.18013497727666805</v>
      </c>
      <c r="O40" s="14">
        <f>SUMIF(Daily!K$3:K380,"&gt;0")</f>
        <v>5.3471783650962834E-2</v>
      </c>
      <c r="P40" s="14">
        <f>SUMIF(Daily!L$3:L380,"&gt;0")</f>
        <v>0.20806775743310729</v>
      </c>
      <c r="Q40" s="14">
        <f>SUMIF(Daily!M$3:M380,"&gt;0")</f>
        <v>0.10559279488944957</v>
      </c>
      <c r="R40" s="25">
        <f>SUMIF(Daily!N$3:N380,"&gt;0")</f>
        <v>0.23739702873543292</v>
      </c>
    </row>
    <row r="41" spans="8:18" x14ac:dyDescent="0.25">
      <c r="H41" s="56" t="s">
        <v>81</v>
      </c>
      <c r="I41" s="47">
        <f>SUMIF(Daily!E$3:E380,"&lt;0")</f>
        <v>-0.13863584584435751</v>
      </c>
      <c r="J41" s="45"/>
      <c r="K41" s="14"/>
      <c r="L41" s="32"/>
      <c r="M41" s="51"/>
      <c r="N41" s="40">
        <f>SUMIF(Daily!J$3:J380,"&lt;0")</f>
        <v>-0.18285528256598776</v>
      </c>
      <c r="O41" s="14">
        <f>SUMIF(Daily!K$3:K380,"&lt;0")</f>
        <v>-4.7887643279916778E-2</v>
      </c>
      <c r="P41" s="14">
        <f>SUMIF(Daily!L$3:L380,"&lt;0")</f>
        <v>-0.14360134599607172</v>
      </c>
      <c r="Q41" s="14">
        <f>SUMIF(Daily!M$3:M380,"&lt;0")</f>
        <v>-0.104991321914623</v>
      </c>
      <c r="R41" s="25">
        <f>SUMIF(Daily!N$3:N380,"&lt;0")</f>
        <v>-0.23069867488419299</v>
      </c>
    </row>
    <row r="42" spans="8:18" x14ac:dyDescent="0.25">
      <c r="H42" s="56" t="s">
        <v>75</v>
      </c>
      <c r="I42" s="48">
        <f>COUNT(Daily!E$3:E380)</f>
        <v>75</v>
      </c>
      <c r="J42" s="45"/>
      <c r="K42" s="14"/>
      <c r="L42" s="32"/>
      <c r="M42" s="51"/>
      <c r="N42" s="41">
        <f>COUNT(Daily!J$3:J380)</f>
        <v>75</v>
      </c>
      <c r="O42" s="33">
        <f>COUNT(Daily!K$3:K380)</f>
        <v>75</v>
      </c>
      <c r="P42" s="33">
        <f>COUNT(Daily!L$3:L380)</f>
        <v>75</v>
      </c>
      <c r="Q42" s="33">
        <f>COUNT(Daily!M$3:M380)</f>
        <v>75</v>
      </c>
      <c r="R42" s="35">
        <f>COUNT(Daily!N$3:N380)</f>
        <v>75</v>
      </c>
    </row>
    <row r="43" spans="8:18" x14ac:dyDescent="0.25">
      <c r="H43" s="56" t="s">
        <v>76</v>
      </c>
      <c r="I43" s="48">
        <f>I42-I39</f>
        <v>33</v>
      </c>
      <c r="J43" s="45"/>
      <c r="K43" s="14"/>
      <c r="L43" s="32"/>
      <c r="M43" s="51"/>
      <c r="N43" s="41">
        <f>N42-N39</f>
        <v>38</v>
      </c>
      <c r="O43" s="33">
        <f>O42-O39</f>
        <v>36</v>
      </c>
      <c r="P43" s="33">
        <f>P42-P39</f>
        <v>33</v>
      </c>
      <c r="Q43" s="33">
        <f>Q42-Q39</f>
        <v>36</v>
      </c>
      <c r="R43" s="35">
        <f>R42-R39</f>
        <v>33</v>
      </c>
    </row>
    <row r="44" spans="8:18" x14ac:dyDescent="0.25">
      <c r="H44" s="56" t="s">
        <v>78</v>
      </c>
      <c r="I44" s="49">
        <f>(I40/I41)*(I39/I43)*-1</f>
        <v>1.2341757044111625</v>
      </c>
      <c r="J44" s="45"/>
      <c r="K44" s="14"/>
      <c r="L44" s="32"/>
      <c r="M44" s="51"/>
      <c r="N44" s="42">
        <f>(N40/N41)*(N39/N43)*-1</f>
        <v>0.95919888491333571</v>
      </c>
      <c r="O44" s="34">
        <f>(O40/O41)*(O39/O43)*-1</f>
        <v>1.2096599802014116</v>
      </c>
      <c r="P44" s="34">
        <f>(P40/P41)*(P39/P43)*-1</f>
        <v>1.8440879340195213</v>
      </c>
      <c r="Q44" s="34">
        <f>(Q40/Q41)*(Q39/Q43)*-1</f>
        <v>1.0895395198147135</v>
      </c>
      <c r="R44" s="36">
        <f>(R40/R41)*(R39/R43)*-1</f>
        <v>1.3096810074339427</v>
      </c>
    </row>
    <row r="45" spans="8:18" x14ac:dyDescent="0.25">
      <c r="H45" s="61" t="s">
        <v>77</v>
      </c>
      <c r="I45" s="62">
        <f>I39/I42</f>
        <v>0.56000000000000005</v>
      </c>
      <c r="J45" s="63"/>
      <c r="K45" s="64"/>
      <c r="L45" s="65"/>
      <c r="M45" s="66"/>
      <c r="N45" s="67">
        <f>N39/N42</f>
        <v>0.49333333333333335</v>
      </c>
      <c r="O45" s="64">
        <f>O39/O42</f>
        <v>0.52</v>
      </c>
      <c r="P45" s="64">
        <f>P39/P42</f>
        <v>0.56000000000000005</v>
      </c>
      <c r="Q45" s="64">
        <f>Q39/Q42</f>
        <v>0.52</v>
      </c>
      <c r="R45" s="68">
        <f>R39/R42</f>
        <v>0.56000000000000005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-3.1984348798211416E-2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7"/>
  <sheetViews>
    <sheetView zoomScale="80" zoomScaleNormal="8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I84" sqref="I84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7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8">D77/D76-1</f>
        <v>-3.6951399396559781E-3</v>
      </c>
      <c r="F77" s="10">
        <f t="shared" ref="F77" si="1389">F76*(1+E77)</f>
        <v>99.491900000000044</v>
      </c>
      <c r="G77" s="5">
        <f t="shared" ref="G77" si="1390">F77/F$45-1</f>
        <v>2.5201074547225311E-3</v>
      </c>
      <c r="H77" s="8">
        <f t="shared" ref="H77" si="1391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2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3">P76*(1+J77)</f>
        <v>99.583589766098441</v>
      </c>
      <c r="Q77" s="10">
        <f t="shared" ref="Q77" si="1394">Q76*(1+K77)</f>
        <v>100.54851045708327</v>
      </c>
      <c r="R77" s="10">
        <f t="shared" ref="R77" si="1395">R76*(1+L77)</f>
        <v>106.52082941263154</v>
      </c>
      <c r="S77" s="10">
        <f t="shared" ref="S77" si="1396">S76*(1+M77)</f>
        <v>100.01121673409924</v>
      </c>
      <c r="T77" s="10">
        <f t="shared" ref="T77" si="1397">T76*(1+N77)</f>
        <v>100.43518258032694</v>
      </c>
      <c r="V77" s="5">
        <f t="shared" ref="V77" si="1398">P77/P$45-1</f>
        <v>8.0146231721038852E-3</v>
      </c>
      <c r="W77" s="5">
        <f t="shared" ref="W77" si="1399">Q77/Q$45-1</f>
        <v>2.3489312928164363E-3</v>
      </c>
      <c r="X77" s="5">
        <f t="shared" ref="X77" si="1400">R77/R$45-1</f>
        <v>3.8820728804248139E-2</v>
      </c>
      <c r="Y77" s="5">
        <f t="shared" ref="Y77" si="1401">S77/S$45-1</f>
        <v>5.887099627658321E-3</v>
      </c>
      <c r="Z77" s="5">
        <f t="shared" ref="Z77" si="1402">T77/T$45-1</f>
        <v>-4.7241379310343223E-3</v>
      </c>
      <c r="AB77" s="8">
        <f t="shared" ref="AB77" si="1403">P77/$P$2-1</f>
        <v>-4.1641023390155407E-3</v>
      </c>
      <c r="AC77" s="8">
        <f t="shared" ref="AC77" si="1404">Q77/$P$2-1</f>
        <v>5.4851045708326218E-3</v>
      </c>
      <c r="AD77" s="8">
        <f t="shared" ref="AD77" si="1405">R77/$P$2-1</f>
        <v>6.5208294126315458E-2</v>
      </c>
      <c r="AE77" s="8">
        <f t="shared" ref="AE77" si="1406">S77/$P$2-1</f>
        <v>1.1216734099228631E-4</v>
      </c>
      <c r="AF77" s="8">
        <f t="shared" ref="AF77" si="1407">T77/$T$2-1</f>
        <v>4.3518258032693158E-3</v>
      </c>
      <c r="AI77" s="8">
        <f t="shared" ref="AI77" si="1408">MIN(0,(F77-MAX(F48:F77))/MAX(F48:F77))</f>
        <v>-7.3373222664878321E-3</v>
      </c>
      <c r="AJ77" s="8">
        <f t="shared" ref="AJ77" si="1409">MIN(0,(P77-MAX(P48:P77))/MAX(P48:P77))</f>
        <v>-2.9642663779100839E-2</v>
      </c>
      <c r="AK77" s="8">
        <f t="shared" ref="AK77" si="1410">MIN(0,(Q77-MAX(Q48:Q77))/MAX(Q48:Q77))</f>
        <v>-1.5960942634496483E-3</v>
      </c>
      <c r="AL77" s="8">
        <f t="shared" ref="AL77" si="1411">MIN(0,(R77-MAX(R48:R77))/MAX(R48:R77))</f>
        <v>-1.3288343131457294E-2</v>
      </c>
      <c r="AM77" s="8">
        <f t="shared" ref="AM77" si="1412">MIN(0,(S77-MAX(S48:S77))/MAX(S48:S77))</f>
        <v>-1.6791755011940763E-2</v>
      </c>
      <c r="AN77" s="8">
        <f t="shared" ref="AN77" si="1413">MIN(0,(T77-MAX(T48:T77))/MAX(T48:T77))</f>
        <v>-3.1984348798211416E-2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7"/>
  <sheetViews>
    <sheetView topLeftCell="A51" zoomScale="90" zoomScaleNormal="90" workbookViewId="0">
      <selection activeCell="G89" sqref="G89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B79" t="str">
        <f t="array" ref="B79">_xll.HistoricalData(B$1,"Adj. Close",$A79,$A79,"Daily","RemoveHeaders = True","ReverseOrder =True","RemoveDates =""True")</f>
        <v>--</v>
      </c>
      <c r="C79" t="str">
        <f t="array" ref="C79">_xll.HistoricalData(C$1,"Adj. Close",$A79,$A79,"Daily","RemoveHeaders = True","ReverseOrder =True","RemoveDates =""True")</f>
        <v>--</v>
      </c>
      <c r="D79" t="str">
        <f t="array" ref="D79">_xll.HistoricalData(D$1,"Adj. Close",$A79,$A79,"Daily","RemoveHeaders = True","ReverseOrder =True","RemoveDates =""True")</f>
        <v>--</v>
      </c>
      <c r="E79" t="str">
        <f t="array" ref="E79">_xll.HistoricalData(E$1,"Adj. Close",$A79,$A79,"Daily","RemoveHeaders = True","ReverseOrder =True","RemoveDates =""True")</f>
        <v>--</v>
      </c>
      <c r="G79" s="5" t="e">
        <f t="shared" ref="G79:G87" si="224">B79/B78-1</f>
        <v>#VALUE!</v>
      </c>
      <c r="H79" s="5" t="e">
        <f t="shared" ref="H79:H87" si="225">C79/C78-1</f>
        <v>#VALUE!</v>
      </c>
      <c r="I79" s="5" t="e">
        <f t="shared" ref="I79:I87" si="226">D79/D78-1</f>
        <v>#VALUE!</v>
      </c>
      <c r="J79" s="5" t="e">
        <f t="shared" ref="J79:J87" si="227">E79/E78-1</f>
        <v>#VALUE!</v>
      </c>
    </row>
    <row r="80" spans="1:10" x14ac:dyDescent="0.25">
      <c r="B80" t="str">
        <f t="array" ref="B80">_xll.HistoricalData(B$1,"Adj. Close",$A80,$A80,"Daily","RemoveHeaders = True","ReverseOrder =True","RemoveDates =""True")</f>
        <v>--</v>
      </c>
      <c r="C80" t="str">
        <f t="array" ref="C80">_xll.HistoricalData(C$1,"Adj. Close",$A80,$A80,"Daily","RemoveHeaders = True","ReverseOrder =True","RemoveDates =""True")</f>
        <v>--</v>
      </c>
      <c r="D80" t="str">
        <f t="array" ref="D80">_xll.HistoricalData(D$1,"Adj. Close",$A80,$A80,"Daily","RemoveHeaders = True","ReverseOrder =True","RemoveDates =""True")</f>
        <v>--</v>
      </c>
      <c r="E80" t="str">
        <f t="array" ref="E80">_xll.HistoricalData(E$1,"Adj. Close",$A80,$A80,"Daily","RemoveHeaders = True","ReverseOrder =True","RemoveDates =""True")</f>
        <v>--</v>
      </c>
      <c r="G80" s="5" t="e">
        <f t="shared" si="224"/>
        <v>#VALUE!</v>
      </c>
      <c r="H80" s="5" t="e">
        <f t="shared" si="225"/>
        <v>#VALUE!</v>
      </c>
      <c r="I80" s="5" t="e">
        <f t="shared" si="226"/>
        <v>#VALUE!</v>
      </c>
      <c r="J80" s="5" t="e">
        <f t="shared" si="227"/>
        <v>#VALUE!</v>
      </c>
    </row>
    <row r="81" spans="2:10" x14ac:dyDescent="0.25">
      <c r="B81" t="str">
        <f t="array" ref="B81">_xll.HistoricalData(B$1,"Adj. Close",$A81,$A81,"Daily","RemoveHeaders = True","ReverseOrder =True","RemoveDates =""True")</f>
        <v>--</v>
      </c>
      <c r="C81" t="str">
        <f t="array" ref="C81">_xll.HistoricalData(C$1,"Adj. Close",$A81,$A81,"Daily","RemoveHeaders = True","ReverseOrder =True","RemoveDates =""True")</f>
        <v>--</v>
      </c>
      <c r="D81" t="str">
        <f t="array" ref="D81">_xll.HistoricalData(D$1,"Adj. Close",$A81,$A81,"Daily","RemoveHeaders = True","ReverseOrder =True","RemoveDates =""True")</f>
        <v>--</v>
      </c>
      <c r="E81" t="str">
        <f t="array" ref="E81">_xll.HistoricalData(E$1,"Adj. Close",$A81,$A81,"Daily","RemoveHeaders = True","ReverseOrder =True","RemoveDates =""True")</f>
        <v>--</v>
      </c>
      <c r="G81" s="5" t="e">
        <f t="shared" si="224"/>
        <v>#VALUE!</v>
      </c>
      <c r="H81" s="5" t="e">
        <f t="shared" si="225"/>
        <v>#VALUE!</v>
      </c>
      <c r="I81" s="5" t="e">
        <f t="shared" si="226"/>
        <v>#VALUE!</v>
      </c>
      <c r="J81" s="5" t="e">
        <f t="shared" si="227"/>
        <v>#VALUE!</v>
      </c>
    </row>
    <row r="82" spans="2:10" x14ac:dyDescent="0.25">
      <c r="B82" t="str">
        <f t="array" ref="B82">_xll.HistoricalData(B$1,"Adj. Close",$A82,$A82,"Daily","RemoveHeaders = True","ReverseOrder =True","RemoveDates =""True")</f>
        <v>--</v>
      </c>
      <c r="C82" t="str">
        <f t="array" ref="C82">_xll.HistoricalData(C$1,"Adj. Close",$A82,$A82,"Daily","RemoveHeaders = True","ReverseOrder =True","RemoveDates =""True")</f>
        <v>--</v>
      </c>
      <c r="D82" t="str">
        <f t="array" ref="D82">_xll.HistoricalData(D$1,"Adj. Close",$A82,$A82,"Daily","RemoveHeaders = True","ReverseOrder =True","RemoveDates =""True")</f>
        <v>--</v>
      </c>
      <c r="E82" t="str">
        <f t="array" ref="E82">_xll.HistoricalData(E$1,"Adj. Close",$A82,$A82,"Daily","RemoveHeaders = True","ReverseOrder =True","RemoveDates =""True")</f>
        <v>--</v>
      </c>
      <c r="G82" s="5" t="e">
        <f t="shared" si="224"/>
        <v>#VALUE!</v>
      </c>
      <c r="H82" s="5" t="e">
        <f t="shared" si="225"/>
        <v>#VALUE!</v>
      </c>
      <c r="I82" s="5" t="e">
        <f t="shared" si="226"/>
        <v>#VALUE!</v>
      </c>
      <c r="J82" s="5" t="e">
        <f t="shared" si="227"/>
        <v>#VALUE!</v>
      </c>
    </row>
    <row r="83" spans="2:10" x14ac:dyDescent="0.25">
      <c r="B83" t="str">
        <f t="array" ref="B83">_xll.HistoricalData(B$1,"Adj. Close",$A83,$A83,"Daily","RemoveHeaders = True","ReverseOrder =True","RemoveDates =""True")</f>
        <v>--</v>
      </c>
      <c r="C83" t="str">
        <f t="array" ref="C83">_xll.HistoricalData(C$1,"Adj. Close",$A83,$A83,"Daily","RemoveHeaders = True","ReverseOrder =True","RemoveDates =""True")</f>
        <v>--</v>
      </c>
      <c r="D83" t="str">
        <f t="array" ref="D83">_xll.HistoricalData(D$1,"Adj. Close",$A83,$A83,"Daily","RemoveHeaders = True","ReverseOrder =True","RemoveDates =""True")</f>
        <v>--</v>
      </c>
      <c r="E83" t="str">
        <f t="array" ref="E83">_xll.HistoricalData(E$1,"Adj. Close",$A83,$A83,"Daily","RemoveHeaders = True","ReverseOrder =True","RemoveDates =""True")</f>
        <v>--</v>
      </c>
      <c r="G83" s="5" t="e">
        <f t="shared" si="224"/>
        <v>#VALUE!</v>
      </c>
      <c r="H83" s="5" t="e">
        <f t="shared" si="225"/>
        <v>#VALUE!</v>
      </c>
      <c r="I83" s="5" t="e">
        <f t="shared" si="226"/>
        <v>#VALUE!</v>
      </c>
      <c r="J83" s="5" t="e">
        <f t="shared" si="227"/>
        <v>#VALUE!</v>
      </c>
    </row>
    <row r="84" spans="2:10" x14ac:dyDescent="0.25">
      <c r="B84" t="str">
        <f t="array" ref="B84">_xll.HistoricalData(B$1,"Adj. Close",$A84,$A84,"Daily","RemoveHeaders = True","ReverseOrder =True","RemoveDates =""True")</f>
        <v>--</v>
      </c>
      <c r="C84" t="str">
        <f t="array" ref="C84">_xll.HistoricalData(C$1,"Adj. Close",$A84,$A84,"Daily","RemoveHeaders = True","ReverseOrder =True","RemoveDates =""True")</f>
        <v>--</v>
      </c>
      <c r="D84" t="str">
        <f t="array" ref="D84">_xll.HistoricalData(D$1,"Adj. Close",$A84,$A84,"Daily","RemoveHeaders = True","ReverseOrder =True","RemoveDates =""True")</f>
        <v>--</v>
      </c>
      <c r="E84" t="str">
        <f t="array" ref="E84">_xll.HistoricalData(E$1,"Adj. Close",$A84,$A84,"Daily","RemoveHeaders = True","ReverseOrder =True","RemoveDates =""True")</f>
        <v>--</v>
      </c>
      <c r="G84" s="5" t="e">
        <f t="shared" si="224"/>
        <v>#VALUE!</v>
      </c>
      <c r="H84" s="5" t="e">
        <f t="shared" si="225"/>
        <v>#VALUE!</v>
      </c>
      <c r="I84" s="5" t="e">
        <f t="shared" si="226"/>
        <v>#VALUE!</v>
      </c>
      <c r="J84" s="5" t="e">
        <f t="shared" si="227"/>
        <v>#VALUE!</v>
      </c>
    </row>
    <row r="85" spans="2:10" x14ac:dyDescent="0.25">
      <c r="B85" t="str">
        <f t="array" ref="B85">_xll.HistoricalData(B$1,"Adj. Close",$A85,$A85,"Daily","RemoveHeaders = True","ReverseOrder =True","RemoveDates =""True")</f>
        <v>--</v>
      </c>
      <c r="C85" t="str">
        <f t="array" ref="C85">_xll.HistoricalData(C$1,"Adj. Close",$A85,$A85,"Daily","RemoveHeaders = True","ReverseOrder =True","RemoveDates =""True")</f>
        <v>--</v>
      </c>
      <c r="D85" t="str">
        <f t="array" ref="D85">_xll.HistoricalData(D$1,"Adj. Close",$A85,$A85,"Daily","RemoveHeaders = True","ReverseOrder =True","RemoveDates =""True")</f>
        <v>--</v>
      </c>
      <c r="E85" t="str">
        <f t="array" ref="E85">_xll.HistoricalData(E$1,"Adj. Close",$A85,$A85,"Daily","RemoveHeaders = True","ReverseOrder =True","RemoveDates =""True")</f>
        <v>--</v>
      </c>
      <c r="G85" s="5" t="e">
        <f t="shared" si="224"/>
        <v>#VALUE!</v>
      </c>
      <c r="H85" s="5" t="e">
        <f t="shared" si="225"/>
        <v>#VALUE!</v>
      </c>
      <c r="I85" s="5" t="e">
        <f t="shared" si="226"/>
        <v>#VALUE!</v>
      </c>
      <c r="J85" s="5" t="e">
        <f t="shared" si="227"/>
        <v>#VALUE!</v>
      </c>
    </row>
    <row r="86" spans="2:10" x14ac:dyDescent="0.25">
      <c r="B86" t="str">
        <f t="array" ref="B86">_xll.HistoricalData(B$1,"Adj. Close",$A86,$A86,"Daily","RemoveHeaders = True","ReverseOrder =True","RemoveDates =""True")</f>
        <v>--</v>
      </c>
      <c r="C86" t="str">
        <f t="array" ref="C86">_xll.HistoricalData(C$1,"Adj. Close",$A86,$A86,"Daily","RemoveHeaders = True","ReverseOrder =True","RemoveDates =""True")</f>
        <v>--</v>
      </c>
      <c r="D86" t="str">
        <f t="array" ref="D86">_xll.HistoricalData(D$1,"Adj. Close",$A86,$A86,"Daily","RemoveHeaders = True","ReverseOrder =True","RemoveDates =""True")</f>
        <v>--</v>
      </c>
      <c r="E86" t="str">
        <f t="array" ref="E86">_xll.HistoricalData(E$1,"Adj. Close",$A86,$A86,"Daily","RemoveHeaders = True","ReverseOrder =True","RemoveDates =""True")</f>
        <v>--</v>
      </c>
      <c r="G86" s="5" t="e">
        <f t="shared" si="224"/>
        <v>#VALUE!</v>
      </c>
      <c r="H86" s="5" t="e">
        <f t="shared" si="225"/>
        <v>#VALUE!</v>
      </c>
      <c r="I86" s="5" t="e">
        <f t="shared" si="226"/>
        <v>#VALUE!</v>
      </c>
      <c r="J86" s="5" t="e">
        <f t="shared" si="227"/>
        <v>#VALUE!</v>
      </c>
    </row>
    <row r="87" spans="2:10" x14ac:dyDescent="0.25">
      <c r="B87" t="str">
        <f t="array" ref="B87">_xll.HistoricalData(B$1,"Adj. Close",$A87,$A87,"Daily","RemoveHeaders = True","ReverseOrder =True","RemoveDates =""True")</f>
        <v>--</v>
      </c>
      <c r="C87" t="str">
        <f t="array" ref="C87">_xll.HistoricalData(C$1,"Adj. Close",$A87,$A87,"Daily","RemoveHeaders = True","ReverseOrder =True","RemoveDates =""True")</f>
        <v>--</v>
      </c>
      <c r="D87" t="str">
        <f t="array" ref="D87">_xll.HistoricalData(D$1,"Adj. Close",$A87,$A87,"Daily","RemoveHeaders = True","ReverseOrder =True","RemoveDates =""True")</f>
        <v>--</v>
      </c>
      <c r="E87" t="str">
        <f t="array" ref="E87">_xll.HistoricalData(E$1,"Adj. Close",$A87,$A87,"Daily","RemoveHeaders = True","ReverseOrder =True","RemoveDates =""True")</f>
        <v>--</v>
      </c>
      <c r="G87" s="5" t="e">
        <f t="shared" si="224"/>
        <v>#VALUE!</v>
      </c>
      <c r="H87" s="5" t="e">
        <f t="shared" si="225"/>
        <v>#VALUE!</v>
      </c>
      <c r="I87" s="5" t="e">
        <f t="shared" si="226"/>
        <v>#VALUE!</v>
      </c>
      <c r="J87" s="5" t="e">
        <f t="shared" si="227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O17" sqref="O17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0.99259518039800376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350.45</v>
      </c>
      <c r="D5">
        <f>ROUNDDOWN(($C$2/6)/B5,0)</f>
        <v>35</v>
      </c>
      <c r="E5" s="8">
        <f>C5/B5-1</f>
        <v>5.573128483205303E-2</v>
      </c>
      <c r="F5">
        <f>C5*D5</f>
        <v>12265.75</v>
      </c>
      <c r="G5" s="73">
        <f>F5/$F$13</f>
        <v>0.17119798321148061</v>
      </c>
      <c r="H5" s="8">
        <f>F5/$F$31</f>
        <v>0.12070182862175602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1882.62</v>
      </c>
      <c r="D6">
        <f t="shared" ref="D6:D10" si="0">ROUNDDOWN(($C$2/6)/B6,0)</f>
        <v>7</v>
      </c>
      <c r="E6" s="8">
        <f t="shared" ref="E6:E10" si="1">C6/B6-1</f>
        <v>0.15525091739178465</v>
      </c>
      <c r="F6">
        <f t="shared" ref="F6:F9" si="2">C6*D6</f>
        <v>13178.34</v>
      </c>
      <c r="G6" s="73">
        <f t="shared" ref="G6:G10" si="3">F6/$F$13</f>
        <v>0.18393536718710093</v>
      </c>
      <c r="H6" s="8">
        <f t="shared" ref="H6:H10" si="4">F6/$F$31</f>
        <v>0.12968222376937669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43.86</v>
      </c>
      <c r="D7">
        <f t="shared" si="0"/>
        <v>275</v>
      </c>
      <c r="E7" s="8">
        <f t="shared" si="1"/>
        <v>3.492213308164227E-2</v>
      </c>
      <c r="F7">
        <f t="shared" si="2"/>
        <v>12061.5</v>
      </c>
      <c r="G7" s="73">
        <f t="shared" si="3"/>
        <v>0.16834718419218339</v>
      </c>
      <c r="H7" s="8">
        <f t="shared" si="4"/>
        <v>0.11869189457809838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522.77</v>
      </c>
      <c r="D8">
        <f t="shared" si="0"/>
        <v>25</v>
      </c>
      <c r="E8" s="8">
        <f t="shared" si="1"/>
        <v>0.13727239106315392</v>
      </c>
      <c r="F8">
        <f t="shared" si="2"/>
        <v>13069.25</v>
      </c>
      <c r="G8" s="73">
        <f t="shared" si="3"/>
        <v>0.18241275438408927</v>
      </c>
      <c r="H8" s="8">
        <f t="shared" si="4"/>
        <v>0.12860871725861728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47.49</v>
      </c>
      <c r="D9">
        <f t="shared" si="0"/>
        <v>202</v>
      </c>
      <c r="E9" s="8">
        <f t="shared" si="1"/>
        <v>-0.17537766973432889</v>
      </c>
      <c r="F9">
        <f t="shared" si="2"/>
        <v>9592.98</v>
      </c>
      <c r="G9" s="73">
        <f t="shared" si="3"/>
        <v>0.13389306230667258</v>
      </c>
      <c r="H9" s="8">
        <f t="shared" si="4"/>
        <v>9.4400279471857237E-2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52.89</v>
      </c>
      <c r="D10">
        <f t="shared" si="0"/>
        <v>207</v>
      </c>
      <c r="E10" s="8">
        <f t="shared" si="1"/>
        <v>-6.1401952085181954E-2</v>
      </c>
      <c r="F10">
        <f>C10*D10</f>
        <v>10948.23</v>
      </c>
      <c r="G10" s="73">
        <f t="shared" si="3"/>
        <v>0.15280882911647703</v>
      </c>
      <c r="H10" s="8">
        <f t="shared" si="4"/>
        <v>0.10773669618014127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71646.579999999987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2.3522571428571171E-2</v>
      </c>
    </row>
    <row r="15" spans="1:23" x14ac:dyDescent="0.25">
      <c r="E15" t="s">
        <v>108</v>
      </c>
    </row>
    <row r="17" spans="1:10" x14ac:dyDescent="0.25">
      <c r="H17" s="11">
        <f>SUM(H20:H23)</f>
        <v>0.98817028411936192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16.61</v>
      </c>
      <c r="D20">
        <f>ROUNDDOWN(($C$3*E20)/B20,0)</f>
        <v>250</v>
      </c>
      <c r="E20" s="11">
        <v>0.14199999999999999</v>
      </c>
      <c r="F20" s="8">
        <f>C20/B20-1</f>
        <v>-2.2941176470588243E-2</v>
      </c>
      <c r="G20">
        <f>D20*C20</f>
        <v>4152.5</v>
      </c>
      <c r="H20" s="8">
        <f>G20/$G$27</f>
        <v>0.13853825707696121</v>
      </c>
      <c r="I20" s="8">
        <f>G20/$F$31</f>
        <v>4.0862918561999216E-2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283.64999999999998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2.722002262443457E-3</v>
      </c>
      <c r="G21">
        <f t="shared" ref="G21:G22" si="8">D21*C21</f>
        <v>10778.699999999999</v>
      </c>
      <c r="H21" s="8">
        <f t="shared" ref="H21:H23" si="9">G21/$G$27</f>
        <v>0.35960561386043144</v>
      </c>
      <c r="I21" s="8">
        <f t="shared" ref="I21:I23" si="10">G21/$F$31</f>
        <v>0.10606842632250954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81.760000000000005</v>
      </c>
      <c r="D22">
        <f t="shared" si="6"/>
        <v>144</v>
      </c>
      <c r="E22" s="11">
        <v>0.39300000000000002</v>
      </c>
      <c r="F22" s="8">
        <f t="shared" si="7"/>
        <v>2.9440628066732533E-3</v>
      </c>
      <c r="G22">
        <f t="shared" si="8"/>
        <v>11773.44</v>
      </c>
      <c r="H22" s="8">
        <f t="shared" si="9"/>
        <v>0.39279274109576839</v>
      </c>
      <c r="I22" s="8">
        <f t="shared" si="10"/>
        <v>0.11585722333885227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83.27</v>
      </c>
      <c r="D23">
        <f>ROUNDDOWN(($C$3*E23)/B23,0)</f>
        <v>35</v>
      </c>
      <c r="E23" s="11">
        <v>9.9000000000000005E-2</v>
      </c>
      <c r="F23" s="8">
        <f t="shared" si="7"/>
        <v>2.5282928003851346E-3</v>
      </c>
      <c r="G23">
        <f>D23*C23</f>
        <v>2914.45</v>
      </c>
      <c r="H23" s="8">
        <f t="shared" si="9"/>
        <v>9.723367208620097E-2</v>
      </c>
      <c r="I23" s="8">
        <f t="shared" si="10"/>
        <v>2.867981529271971E-2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29973.670000000002</v>
      </c>
      <c r="J27">
        <f>SUM(J20:J23)</f>
        <v>29645.42</v>
      </c>
    </row>
    <row r="28" spans="1:10" x14ac:dyDescent="0.25">
      <c r="F28" t="s">
        <v>106</v>
      </c>
      <c r="G28" s="8">
        <f>G27/J27-1</f>
        <v>1.1072536668396138E-2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101620.24999999999</v>
      </c>
    </row>
    <row r="33" spans="1:9" x14ac:dyDescent="0.25">
      <c r="E33" t="s">
        <v>105</v>
      </c>
      <c r="F33" s="8">
        <f>F31/B1-1</f>
        <v>1.6202499999999898E-2</v>
      </c>
      <c r="H33" s="11">
        <f>F33-F37</f>
        <v>-1.5604292600616965E-4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37.71</v>
      </c>
      <c r="D37" s="8">
        <f>C37/B37-1</f>
        <v>-1.4375326711970615E-2</v>
      </c>
      <c r="E37" s="11"/>
      <c r="F37" s="8">
        <f>D37*$B$3+D40*$B$2</f>
        <v>1.6358542926006067E-2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283.64999999999998</v>
      </c>
      <c r="D38" s="8">
        <f t="shared" ref="D38:D39" si="12">C38/B38-1</f>
        <v>4.0039599604003717E-2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179.23</v>
      </c>
      <c r="D39" s="8">
        <f t="shared" si="12"/>
        <v>5.3860175221967399E-2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46.02</v>
      </c>
      <c r="D40" s="8">
        <f>C40/B40-1</f>
        <v>2.9530201342281792E-2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2018-08-16T12:04:48Z</dcterms:modified>
</cp:coreProperties>
</file>