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0" i="2" l="1"/>
  <c r="F80" i="2"/>
  <c r="G80" i="2" s="1"/>
  <c r="AI80" i="2"/>
  <c r="B80" i="2"/>
  <c r="D80" i="2"/>
  <c r="H80" i="2" l="1"/>
  <c r="E79" i="2"/>
  <c r="F79" i="2"/>
  <c r="G79" i="2" s="1"/>
  <c r="B79" i="2"/>
  <c r="D79" i="2"/>
  <c r="AI79" i="2" l="1"/>
  <c r="H79" i="2"/>
  <c r="E78" i="2"/>
  <c r="F78" i="2"/>
  <c r="G78" i="2" s="1"/>
  <c r="J78" i="2"/>
  <c r="K78" i="2"/>
  <c r="L78" i="2"/>
  <c r="N78" i="2"/>
  <c r="AI78" i="2"/>
  <c r="B78" i="2"/>
  <c r="D78" i="2"/>
  <c r="M78" i="2" l="1"/>
  <c r="H78" i="2"/>
  <c r="B76" i="2"/>
  <c r="E77" i="2"/>
  <c r="F77" i="2"/>
  <c r="G77" i="2" s="1"/>
  <c r="J77" i="2"/>
  <c r="K77" i="2"/>
  <c r="L77" i="2"/>
  <c r="N77" i="2"/>
  <c r="B77" i="2"/>
  <c r="D77" i="2"/>
  <c r="M77" i="2" l="1"/>
  <c r="AI77" i="2"/>
  <c r="H77" i="2"/>
  <c r="E76" i="2"/>
  <c r="F76" i="2" s="1"/>
  <c r="J76" i="2"/>
  <c r="K76" i="2"/>
  <c r="L76" i="2"/>
  <c r="N76" i="2"/>
  <c r="D76" i="2"/>
  <c r="B82" i="3" a="1"/>
  <c r="B86" i="3" a="1"/>
  <c r="E82" i="3" a="1"/>
  <c r="C83" i="3" a="1"/>
  <c r="E84" i="3" a="1"/>
  <c r="C85" i="3" a="1"/>
  <c r="E86" i="3" a="1"/>
  <c r="C87" i="3" a="1"/>
  <c r="D83" i="3" a="1"/>
  <c r="D85" i="3" a="1"/>
  <c r="C82" i="3" a="1"/>
  <c r="C84" i="3" a="1"/>
  <c r="C86" i="3" a="1"/>
  <c r="D82" i="3" a="1"/>
  <c r="D84" i="3" a="1"/>
  <c r="D86" i="3" a="1"/>
  <c r="B84" i="3" a="1"/>
  <c r="D87" i="3" a="1"/>
  <c r="E83" i="3" a="1"/>
  <c r="E85" i="3" a="1"/>
  <c r="E87" i="3" a="1"/>
  <c r="B83" i="3" a="1"/>
  <c r="B85" i="3" a="1"/>
  <c r="B87" i="3" a="1"/>
  <c r="C79" i="3" a="1"/>
  <c r="B79" i="3" a="1"/>
  <c r="E79" i="3" a="1"/>
  <c r="D79" i="3" a="1"/>
  <c r="C80" i="3" a="1"/>
  <c r="D80" i="3" a="1"/>
  <c r="E80" i="3" a="1"/>
  <c r="B80" i="3" a="1"/>
  <c r="B81" i="3" a="1"/>
  <c r="D81" i="3" a="1"/>
  <c r="E81" i="3" a="1"/>
  <c r="C81" i="3" a="1"/>
  <c r="B80" i="3" l="1"/>
  <c r="B87" i="3"/>
  <c r="B85" i="3"/>
  <c r="G85" i="3" s="1"/>
  <c r="B83" i="3"/>
  <c r="B81" i="3"/>
  <c r="B79" i="3"/>
  <c r="E87" i="3"/>
  <c r="E85" i="3"/>
  <c r="J85" i="3" s="1"/>
  <c r="E83" i="3"/>
  <c r="J83" i="3" s="1"/>
  <c r="E81" i="3"/>
  <c r="E79" i="3"/>
  <c r="D87" i="3"/>
  <c r="B84" i="3"/>
  <c r="D86" i="3"/>
  <c r="D84" i="3"/>
  <c r="D82" i="3"/>
  <c r="D80" i="3"/>
  <c r="I80" i="3" s="1"/>
  <c r="L79" i="2" s="1"/>
  <c r="C86" i="3"/>
  <c r="C84" i="3"/>
  <c r="C82" i="3"/>
  <c r="C80" i="3"/>
  <c r="D85" i="3"/>
  <c r="I85" i="3" s="1"/>
  <c r="D79" i="3"/>
  <c r="D83" i="3"/>
  <c r="I83" i="3" s="1"/>
  <c r="D81" i="3"/>
  <c r="I81" i="3" s="1"/>
  <c r="L80" i="2" s="1"/>
  <c r="C87" i="3"/>
  <c r="H87" i="3" s="1"/>
  <c r="E86" i="3"/>
  <c r="J86" i="3" s="1"/>
  <c r="C85" i="3"/>
  <c r="H85" i="3" s="1"/>
  <c r="E84" i="3"/>
  <c r="C83" i="3"/>
  <c r="H83" i="3" s="1"/>
  <c r="E82" i="3"/>
  <c r="J82" i="3" s="1"/>
  <c r="C81" i="3"/>
  <c r="H81" i="3" s="1"/>
  <c r="K80" i="2" s="1"/>
  <c r="E80" i="3"/>
  <c r="C79" i="3"/>
  <c r="B86" i="3"/>
  <c r="G86" i="3" s="1"/>
  <c r="B82" i="3"/>
  <c r="G82" i="3" s="1"/>
  <c r="G76" i="2"/>
  <c r="AI76" i="2"/>
  <c r="H76" i="2"/>
  <c r="M76" i="2"/>
  <c r="E75" i="2"/>
  <c r="F75" i="2"/>
  <c r="G75" i="2" s="1"/>
  <c r="J75" i="2"/>
  <c r="K75" i="2"/>
  <c r="L75" i="2"/>
  <c r="N75" i="2"/>
  <c r="B75" i="2"/>
  <c r="D75" i="2"/>
  <c r="H82" i="3" l="1"/>
  <c r="J80" i="3"/>
  <c r="N79" i="2" s="1"/>
  <c r="G80" i="3"/>
  <c r="J79" i="2" s="1"/>
  <c r="I87" i="3"/>
  <c r="G83" i="3"/>
  <c r="I82" i="3"/>
  <c r="I84" i="3"/>
  <c r="J87" i="3"/>
  <c r="I86" i="3"/>
  <c r="J84" i="3"/>
  <c r="H80" i="3"/>
  <c r="K79" i="2" s="1"/>
  <c r="G84" i="3"/>
  <c r="G81" i="3"/>
  <c r="J80" i="2" s="1"/>
  <c r="M75" i="2"/>
  <c r="H84" i="3"/>
  <c r="H86" i="3"/>
  <c r="J81" i="3"/>
  <c r="N80" i="2" s="1"/>
  <c r="G87" i="3"/>
  <c r="AI75" i="2"/>
  <c r="H75" i="2"/>
  <c r="E74" i="2"/>
  <c r="F74" i="2" s="1"/>
  <c r="J74" i="2"/>
  <c r="K74" i="2"/>
  <c r="L74" i="2"/>
  <c r="N74" i="2"/>
  <c r="B74" i="2"/>
  <c r="D74" i="2"/>
  <c r="M80" i="2" l="1"/>
  <c r="M79" i="2"/>
  <c r="M74" i="2"/>
  <c r="G74" i="2"/>
  <c r="H74" i="2"/>
  <c r="AI74" i="2"/>
  <c r="E73" i="2"/>
  <c r="F73" i="2" s="1"/>
  <c r="J73" i="2"/>
  <c r="K73" i="2"/>
  <c r="L73" i="2"/>
  <c r="N73" i="2"/>
  <c r="B73" i="2"/>
  <c r="D73" i="2"/>
  <c r="G73" i="2" l="1"/>
  <c r="H73" i="2"/>
  <c r="AI73" i="2"/>
  <c r="M73" i="2"/>
  <c r="E72" i="2"/>
  <c r="F72" i="2" s="1"/>
  <c r="J72" i="2"/>
  <c r="K72" i="2"/>
  <c r="L72" i="2"/>
  <c r="N72" i="2"/>
  <c r="B72" i="2"/>
  <c r="D72" i="2"/>
  <c r="G72" i="2" l="1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C73" i="3" a="1"/>
  <c r="E73" i="3" a="1"/>
  <c r="D73" i="3" a="1"/>
  <c r="B73" i="3" a="1"/>
  <c r="C74" i="3" a="1"/>
  <c r="E74" i="3" a="1"/>
  <c r="B74" i="3" a="1"/>
  <c r="D74" i="3" a="1"/>
  <c r="C75" i="3" a="1"/>
  <c r="E75" i="3" a="1"/>
  <c r="B75" i="3" a="1"/>
  <c r="D75" i="3" a="1"/>
  <c r="C76" i="3" a="1"/>
  <c r="D76" i="3" a="1"/>
  <c r="B76" i="3" a="1"/>
  <c r="E76" i="3" a="1"/>
  <c r="E77" i="3" a="1"/>
  <c r="B77" i="3" a="1"/>
  <c r="C77" i="3" a="1"/>
  <c r="D77" i="3" a="1"/>
  <c r="B78" i="3" a="1"/>
  <c r="D78" i="3" a="1"/>
  <c r="E78" i="3" a="1"/>
  <c r="C78" i="3" a="1"/>
  <c r="E75" i="3" l="1"/>
  <c r="C74" i="3"/>
  <c r="E73" i="3"/>
  <c r="C78" i="3"/>
  <c r="H79" i="3" s="1"/>
  <c r="D77" i="3"/>
  <c r="B76" i="3"/>
  <c r="D75" i="3"/>
  <c r="B74" i="3"/>
  <c r="D73" i="3"/>
  <c r="E77" i="3"/>
  <c r="B78" i="3"/>
  <c r="G79" i="3" s="1"/>
  <c r="E78" i="3"/>
  <c r="J79" i="3" s="1"/>
  <c r="C77" i="3"/>
  <c r="C75" i="3"/>
  <c r="H75" i="3" s="1"/>
  <c r="C73" i="3"/>
  <c r="C76" i="3"/>
  <c r="H76" i="3" s="1"/>
  <c r="E76" i="3"/>
  <c r="J76" i="3" s="1"/>
  <c r="E74" i="3"/>
  <c r="D78" i="3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7" i="4"/>
  <c r="C6" i="4"/>
  <c r="C37" i="4"/>
  <c r="C39" i="4"/>
  <c r="C8" i="4"/>
  <c r="C40" i="4"/>
  <c r="C20" i="4"/>
  <c r="C5" i="4"/>
  <c r="C9" i="4"/>
  <c r="C21" i="4"/>
  <c r="C38" i="4"/>
  <c r="C10" i="4"/>
  <c r="I78" i="3" l="1"/>
  <c r="I79" i="3"/>
  <c r="J78" i="3"/>
  <c r="J75" i="3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3" i="4"/>
  <c r="C22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U10" i="1"/>
  <c r="U4" i="1"/>
  <c r="U11" i="1"/>
  <c r="U3" i="1"/>
  <c r="U12" i="1"/>
  <c r="U6" i="1"/>
  <c r="L12" i="1" a="1"/>
  <c r="M12" i="1"/>
  <c r="U2" i="1"/>
  <c r="U8" i="1"/>
  <c r="U9" i="1"/>
  <c r="U7" i="1"/>
  <c r="U5" i="1"/>
  <c r="B12" i="1"/>
  <c r="U14" i="1" l="1" a="1"/>
  <c r="U14" i="1" s="1"/>
  <c r="V14" i="1" s="1"/>
  <c r="F33" i="4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11" i="1"/>
  <c r="J8" i="1"/>
  <c r="J10" i="1"/>
  <c r="J12" i="1"/>
  <c r="J7" i="1"/>
  <c r="J9" i="1"/>
  <c r="J5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10" i="1"/>
  <c r="M9" i="1"/>
  <c r="M7" i="1"/>
  <c r="M5" i="1"/>
  <c r="M2" i="1"/>
  <c r="M4" i="1"/>
  <c r="M11" i="1"/>
  <c r="M3" i="1"/>
  <c r="M6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11" i="1" a="1"/>
  <c r="L4" i="1" a="1"/>
  <c r="L10" i="1" a="1"/>
  <c r="L5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1" i="1"/>
  <c r="L5" i="1"/>
  <c r="L4" i="1"/>
  <c r="L10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K26" i="1"/>
  <c r="L9" i="1"/>
  <c r="L7" i="1"/>
  <c r="L8" i="1"/>
  <c r="L3" i="1"/>
  <c r="L2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2" i="1"/>
  <c r="K23" i="1"/>
  <c r="K24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2" i="1"/>
  <c r="J6" i="1"/>
  <c r="J2" i="1"/>
  <c r="B9" i="1"/>
  <c r="B10" i="1"/>
  <c r="B8" i="1"/>
  <c r="B6" i="1"/>
  <c r="B11" i="1"/>
  <c r="B4" i="1"/>
  <c r="B7" i="1"/>
  <c r="B3" i="1"/>
  <c r="J3" i="1"/>
  <c r="B5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P33" i="2" l="1"/>
  <c r="AJ33" i="2" s="1"/>
  <c r="Q33" i="2"/>
  <c r="R33" i="2"/>
  <c r="R34" i="2" s="1"/>
  <c r="AD32" i="2"/>
  <c r="AB32" i="2"/>
  <c r="AC32" i="2"/>
  <c r="W32" i="2"/>
  <c r="X32" i="2"/>
  <c r="V32" i="2"/>
  <c r="Q34" i="2"/>
  <c r="AK34" i="2" s="1"/>
  <c r="AK33" i="2"/>
  <c r="AC33" i="2"/>
  <c r="W33" i="2"/>
  <c r="T25" i="2"/>
  <c r="Z24" i="2"/>
  <c r="AF24" i="2"/>
  <c r="S14" i="2"/>
  <c r="Y13" i="2"/>
  <c r="AE13" i="2"/>
  <c r="F14" i="2"/>
  <c r="G13" i="2"/>
  <c r="H13" i="2"/>
  <c r="V33" i="2" l="1"/>
  <c r="P34" i="2"/>
  <c r="AJ34" i="2" s="1"/>
  <c r="AB33" i="2"/>
  <c r="X33" i="2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W35" i="2" l="1"/>
  <c r="P36" i="2"/>
  <c r="AB36" i="2" s="1"/>
  <c r="AB35" i="2"/>
  <c r="AL35" i="2"/>
  <c r="R36" i="2"/>
  <c r="X36" i="2" s="1"/>
  <c r="AD35" i="2"/>
  <c r="V35" i="2"/>
  <c r="Q36" i="2"/>
  <c r="AK35" i="2"/>
  <c r="P37" i="2"/>
  <c r="AJ36" i="2"/>
  <c r="V36" i="2"/>
  <c r="Z26" i="2"/>
  <c r="T27" i="2"/>
  <c r="AF26" i="2"/>
  <c r="S16" i="2"/>
  <c r="AE15" i="2"/>
  <c r="Y15" i="2"/>
  <c r="F16" i="2"/>
  <c r="G15" i="2"/>
  <c r="H15" i="2"/>
  <c r="AD36" i="2" l="1"/>
  <c r="R37" i="2"/>
  <c r="AL36" i="2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 s="1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F32" i="2"/>
  <c r="H31" i="2"/>
  <c r="G31" i="2"/>
  <c r="AE35" i="2" l="1"/>
  <c r="S36" i="2"/>
  <c r="Y36" i="2" s="1"/>
  <c r="AM35" i="2"/>
  <c r="Y35" i="2"/>
  <c r="AE34" i="2"/>
  <c r="AM34" i="2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AL67" i="2"/>
  <c r="AD67" i="2"/>
  <c r="X67" i="2"/>
  <c r="R68" i="2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D80" i="2" l="1"/>
  <c r="X80" i="2"/>
  <c r="AL80" i="2"/>
  <c r="AD79" i="2"/>
  <c r="AL79" i="2"/>
  <c r="X79" i="2"/>
  <c r="X78" i="2"/>
  <c r="AL78" i="2"/>
  <c r="AD78" i="2"/>
  <c r="P79" i="2"/>
  <c r="P80" i="2" s="1"/>
  <c r="AJ78" i="2"/>
  <c r="V78" i="2"/>
  <c r="AB78" i="2"/>
  <c r="X77" i="2"/>
  <c r="AL77" i="2"/>
  <c r="AD77" i="2"/>
  <c r="AB77" i="2"/>
  <c r="V77" i="2"/>
  <c r="AJ77" i="2"/>
  <c r="AD76" i="2"/>
  <c r="X76" i="2"/>
  <c r="AL76" i="2"/>
  <c r="AJ76" i="2"/>
  <c r="V76" i="2"/>
  <c r="AB76" i="2"/>
  <c r="X75" i="2"/>
  <c r="AD75" i="2"/>
  <c r="AL75" i="2"/>
  <c r="AB75" i="2"/>
  <c r="AJ75" i="2"/>
  <c r="V75" i="2"/>
  <c r="AD74" i="2"/>
  <c r="X74" i="2"/>
  <c r="AL74" i="2"/>
  <c r="AB74" i="2"/>
  <c r="V74" i="2"/>
  <c r="AJ74" i="2"/>
  <c r="AL73" i="2"/>
  <c r="X73" i="2"/>
  <c r="AD73" i="2"/>
  <c r="V73" i="2"/>
  <c r="AJ73" i="2"/>
  <c r="AB73" i="2"/>
  <c r="AD72" i="2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AK67" i="2"/>
  <c r="AC67" i="2"/>
  <c r="W67" i="2"/>
  <c r="Q68" i="2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K80" i="2" l="1"/>
  <c r="AC80" i="2"/>
  <c r="W80" i="2"/>
  <c r="AJ80" i="2"/>
  <c r="V80" i="2"/>
  <c r="AB80" i="2"/>
  <c r="AK79" i="2"/>
  <c r="AC79" i="2"/>
  <c r="W79" i="2"/>
  <c r="AK78" i="2"/>
  <c r="AC78" i="2"/>
  <c r="W78" i="2"/>
  <c r="AJ79" i="2"/>
  <c r="N46" i="1" s="1"/>
  <c r="AB79" i="2"/>
  <c r="V79" i="2"/>
  <c r="AC77" i="2"/>
  <c r="AK77" i="2"/>
  <c r="W77" i="2"/>
  <c r="AK76" i="2"/>
  <c r="AC76" i="2"/>
  <c r="W76" i="2"/>
  <c r="AK75" i="2"/>
  <c r="W75" i="2"/>
  <c r="AC75" i="2"/>
  <c r="AK74" i="2"/>
  <c r="W74" i="2"/>
  <c r="AC74" i="2"/>
  <c r="AK73" i="2"/>
  <c r="AC73" i="2"/>
  <c r="W73" i="2"/>
  <c r="AC72" i="2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O46" i="1" l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S57" i="2"/>
  <c r="AM56" i="2"/>
  <c r="Y56" i="2"/>
  <c r="AE56" i="2"/>
  <c r="AN66" i="2"/>
  <c r="Z66" i="2"/>
  <c r="AF66" i="2"/>
  <c r="F54" i="2"/>
  <c r="G53" i="2"/>
  <c r="H53" i="2"/>
  <c r="Z80" i="2" l="1"/>
  <c r="AF80" i="2"/>
  <c r="AN80" i="2"/>
  <c r="Z79" i="2"/>
  <c r="AN79" i="2"/>
  <c r="AF79" i="2"/>
  <c r="AN78" i="2"/>
  <c r="AF78" i="2"/>
  <c r="Z78" i="2"/>
  <c r="Z77" i="2"/>
  <c r="AN77" i="2"/>
  <c r="AF77" i="2"/>
  <c r="Z76" i="2"/>
  <c r="AN76" i="2"/>
  <c r="AF76" i="2"/>
  <c r="Z75" i="2"/>
  <c r="AN75" i="2"/>
  <c r="AF75" i="2"/>
  <c r="Z74" i="2"/>
  <c r="AN74" i="2"/>
  <c r="AF74" i="2"/>
  <c r="AN73" i="2"/>
  <c r="Z73" i="2"/>
  <c r="AF73" i="2"/>
  <c r="Z72" i="2"/>
  <c r="AN72" i="2"/>
  <c r="AF72" i="2"/>
  <c r="Z71" i="2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AM66" i="2"/>
  <c r="AE66" i="2"/>
  <c r="Y66" i="2"/>
  <c r="H63" i="2"/>
  <c r="L31" i="1" s="1"/>
  <c r="G63" i="2"/>
  <c r="K31" i="1" s="1"/>
  <c r="Y80" i="2" l="1"/>
  <c r="AE80" i="2"/>
  <c r="AM80" i="2"/>
  <c r="AM79" i="2"/>
  <c r="AE79" i="2"/>
  <c r="Y79" i="2"/>
  <c r="Y78" i="2"/>
  <c r="AE78" i="2"/>
  <c r="AM78" i="2"/>
  <c r="Y77" i="2"/>
  <c r="AE77" i="2"/>
  <c r="AM77" i="2"/>
  <c r="AM76" i="2"/>
  <c r="AE76" i="2"/>
  <c r="Y76" i="2"/>
  <c r="Y75" i="2"/>
  <c r="AM75" i="2"/>
  <c r="AE75" i="2"/>
  <c r="AM74" i="2"/>
  <c r="AE74" i="2"/>
  <c r="Y74" i="2"/>
  <c r="Y73" i="2"/>
  <c r="AM73" i="2"/>
  <c r="AE73" i="2"/>
  <c r="AM72" i="2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<sst xmlns="http://schemas.openxmlformats.org/spreadsheetml/2006/main" count="159" uniqueCount="112">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</sst>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0" fontId="0" fillId="3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4b86c05bef1847308d30bfc58374b548">
      <tp>
        <v>0</v>
        <stp/>
        <stp>GYLD</stp>
        <stp>change in percent</stp>
        <tr r="K26" s="1"/>
      </tp>
    </main>
    <main first="rtdsrv.4b86c05bef1847308d30bfc58374b548">
      <tp>
        <v>-2.0670488100000002</v>
        <stp/>
        <stp>GLD</stp>
        <stp>mtd percent change</stp>
        <tr r="U8" s="1"/>
      </tp>
      <tp>
        <v>-0.41176470999999998</v>
        <stp/>
        <stp>DBC</stp>
        <stp>mtd percent change</stp>
        <tr r="U2" s="1"/>
      </tp>
      <tp>
        <v>-3.5200179899999999</v>
        <stp/>
        <stp>EEM</stp>
        <stp>mtd percent change</stp>
        <tr r="U10" s="1"/>
      </tp>
      <tp>
        <v>-2.5632320499999999</v>
        <stp/>
        <stp>EWJ</stp>
        <stp>mtd percent change</stp>
        <tr r="U7" s="1"/>
      </tp>
      <tp>
        <v>-2.32608696</v>
        <stp/>
        <stp>IEV</stp>
        <stp>mtd percent change</stp>
        <tr r="U9" s="1"/>
      </tp>
      <tp>
        <v>1.30254589</v>
        <stp/>
        <stp>IEF</stp>
        <stp>mtd percent change</stp>
        <tr r="U11" s="1"/>
      </tp>
      <tp>
        <v>1.74190383</v>
        <stp/>
        <stp>IYR</stp>
        <stp>mtd percent change</stp>
        <tr r="U4" s="1"/>
      </tp>
      <tp>
        <v>2.0326640299999998</v>
        <stp/>
        <stp>IVV</stp>
        <stp>mtd percent change</stp>
        <tr r="U3" s="1"/>
      </tp>
    </main>
    <main first="rtdsrv.4b86c05bef1847308d30bfc58374b548">
      <tp>
        <v>-0.91139241000000004</v>
        <stp/>
        <stp>RWX</stp>
        <stp>mtd percent change</stp>
        <tr r="U6" s="1"/>
      </tp>
      <tp>
        <v>0.29484709999999997</v>
        <stp/>
        <stp>SHY</stp>
        <stp>mtd percent change</stp>
        <tr r="U12" s="1"/>
      </tp>
      <tp>
        <v>2.3214587199999999</v>
        <stp/>
        <stp>TLT</stp>
        <stp>mtd percent change</stp>
        <tr r="U5" s="1"/>
      </tp>
    </main>
    <main first="rtdsrv.4b86c05bef1847308d30bfc58374b548">
      <tp>
        <v>5.217630097487231E-3</v>
        <stp/>
        <stp>ACWI</stp>
        <stp>change in percent</stp>
        <tr r="K22" s="1"/>
      </tp>
    </main>
    <main first="rtdsrv.4b86c05bef1847308d30bfc58374b548">
      <tp>
        <v>82.94</v>
        <stp/>
        <stp>IYR</stp>
        <stp>last</stp>
        <tr r="J4" s="1"/>
        <tr r="C22" s="4"/>
      </tp>
    </main>
    <main first="rtdsrv.4b86c05bef1847308d30bfc58374b548">
      <tp>
        <v>288.63</v>
        <stp/>
        <stp>IVV</stp>
        <stp>last</stp>
        <tr r="J3" s="1"/>
        <tr r="C38" s="4"/>
        <tr r="C21" s="4"/>
      </tp>
    </main>
    <main first="rtdsrv.4b86c05bef1847308d30bfc58374b548">
      <tp>
        <v>57.4</v>
        <stp/>
        <stp>EWJ</stp>
        <stp>last</stp>
        <tr r="J7" s="1"/>
      </tp>
    </main>
    <main first="rtdsrv.4b86c05bef1847308d30bfc58374b548">
      <tp>
        <v>39.14</v>
        <stp/>
        <stp>RWX</stp>
        <stp>last</stp>
        <tr r="J6" s="1"/>
      </tp>
    </main>
    <main first="rtdsrv.4b86c05bef1847308d30bfc58374b548">
      <tp>
        <v>55.256</v>
        <stp/>
        <stp>STX</stp>
        <stp>last</stp>
        <tr r="C10" s="4"/>
      </tp>
    </main>
    <main first="rtdsrv.4b86c05bef1847308d30bfc58374b548">
      <tp>
        <v>180.45</v>
        <stp/>
        <stp>QQQ</stp>
        <stp>last</stp>
        <tr r="C39" s="4"/>
      </tp>
    </main>
    <main first="rtdsrv.4b86c05bef1847308d30bfc58374b548">
      <tp>
        <v>112.76</v>
        <stp/>
        <stp>GLD</stp>
        <stp>last</stp>
        <tr r="J8" s="1"/>
      </tp>
    </main>
    <main first="rtdsrv.4b86c05bef1847308d30bfc58374b548">
      <tp>
        <v>121.22</v>
        <stp/>
        <stp>TLT</stp>
        <stp>last</stp>
        <tr r="J5" s="1"/>
      </tp>
    </main>
    <main first="rtdsrv.4b86c05bef1847308d30bfc58374b548">
      <tp>
        <v>83.304900000000004</v>
        <stp/>
        <stp>SHY</stp>
        <stp>last</stp>
        <tr r="J12" s="1"/>
        <tr r="C23" s="4"/>
      </tp>
    </main>
    <main first="rtdsrv.4b86c05bef1847308d30bfc58374b548">
      <tp t="s">
        <v>ARROW ETF TR-ARROW DJ GLB YLD</v>
        <stp/>
        <stp>GYLD</stp>
        <stp>description</stp>
        <tr r="L26" s="1"/>
      </tp>
    </main>
    <main first="rtdsrv.4b86c05bef1847308d30bfc58374b548">
      <tp>
        <v>102.66</v>
        <stp/>
        <stp>IEF</stp>
        <stp>last</stp>
        <tr r="J11" s="1"/>
      </tp>
      <tp>
        <v>42.895000000000003</v>
        <stp/>
        <stp>EEM</stp>
        <stp>last</stp>
        <tr r="J10" s="1"/>
      </tp>
    </main>
    <main first="rtdsrv.4b86c05bef1847308d30bfc58374b548">
      <tp>
        <v>44.93</v>
        <stp/>
        <stp>IEV</stp>
        <stp>last</stp>
        <tr r="J9" s="1"/>
      </tp>
    </main>
    <main first="rtdsrv.4b86c05bef1847308d30bfc58374b548">
      <tp>
        <v>16.93</v>
        <stp/>
        <stp>DBC</stp>
        <stp>last</stp>
        <tr r="J2" s="1"/>
        <tr r="C20" s="4"/>
      </tp>
    </main>
    <main first="rtdsrv.4b86c05bef1847308d30bfc58374b548">
      <tp>
        <v>38.212000000000003</v>
        <stp/>
        <stp>GAL</stp>
        <stp>last</stp>
        <tr r="C37" s="4"/>
      </tp>
      <tp>
        <v>-1.5561174868702298E-3</v>
        <stp/>
        <stp>IEF</stp>
        <stp>change in percent</stp>
        <tr r="L11" s="1"/>
      </tp>
    </main>
    <main first="rtdsrv.4b86c05bef1847308d30bfc58374b548">
      <tp>
        <v>-1.1718383800506235E-3</v>
        <stp/>
        <stp>AGG</stp>
        <stp>change in percent</stp>
        <tr r="K23" s="1"/>
      </tp>
    </main>
    <main first="rtdsrv.4b86c05bef1847308d30bfc58374b548">
      <tp>
        <v>6.2117312982524987E-4</v>
        <stp/>
        <stp>GLD</stp>
        <stp>change in percent</stp>
        <tr r="L8" s="1"/>
      </tp>
    </main>
    <main first="rtdsrv.4b86c05bef1847308d30bfc58374b548">
      <tp>
        <v>5.3444180522565264E-3</v>
        <stp/>
        <stp>DBC</stp>
        <stp>change in percent</stp>
        <tr r="L2" s="1"/>
      </tp>
    </main>
    <main first="rtdsrv.4b86c05bef1847308d30bfc58374b548">
      <tp>
        <v>1.1674528301886911E-2</v>
        <stp/>
        <stp>EEM</stp>
        <stp>change in percent</stp>
        <tr r="L10" s="1"/>
      </tp>
    </main>
    <main first="rtdsrv.4b86c05bef1847308d30bfc58374b548">
      <tp>
        <v>-3.483106931383333E-4</v>
        <stp/>
        <stp>EWJ</stp>
        <stp>change in percent</stp>
        <tr r="L7" s="1"/>
      </tp>
    </main>
    <main first="rtdsrv.4b86c05bef1847308d30bfc58374b548">
      <tp>
        <v>3.0930701327586919E-3</v>
        <stp/>
        <stp>IVV</stp>
        <stp>change in percent</stp>
        <tr r="K24" s="1"/>
        <tr r="L3" s="1"/>
      </tp>
      <tp>
        <v>1.0116906474820213E-2</v>
        <stp/>
        <stp>IEV</stp>
        <stp>change in percent</stp>
        <tr r="L9" s="1"/>
      </tp>
    </main>
    <main first="rtdsrv.4b86c05bef1847308d30bfc58374b548">
      <tp>
        <v>-4.6801872074883561E-3</v>
        <stp/>
        <stp>TLT</stp>
        <stp>change in percent</stp>
        <tr r="L5" s="1"/>
      </tp>
    </main>
    <main first="rtdsrv.4b86c05bef1847308d30bfc58374b548">
      <tp>
        <v>-4.2021851362709691E-3</v>
        <stp/>
        <stp>IYR</stp>
        <stp>change in percent</stp>
        <tr r="L4" s="1"/>
      </tp>
    </main>
    <main first="rtdsrv.4b86c05bef1847308d30bfc58374b548">
      <tp>
        <v>2.0481310803891011E-3</v>
        <stp/>
        <stp>RWX</stp>
        <stp>change in percent</stp>
        <tr r="L6" s="1"/>
      </tp>
    </main>
    <main first="rtdsrv.4b86c05bef1847308d30bfc58374b548">
      <tp>
        <v>-3.0121204848187691E-4</v>
        <stp/>
        <stp>SHY</stp>
        <stp>change in percent</stp>
        <tr r="L12" s="1"/>
      </tp>
    </main>
    <main first="rtdsrv.4b86c05bef1847308d30bfc58374b548">
      <tp>
        <v>529.57000000000005</v>
        <stp/>
        <stp>ISRG</stp>
        <stp>last</stp>
        <tr r="C8" s="4"/>
      </tp>
    </main>
    <main first="rtdsrv.4b86c05bef1847308d30bfc58374b548">
      <tp>
        <v>46.625599999999999</v>
        <stp/>
        <stp>QQQE</stp>
        <stp>last</stp>
        <tr r="C40" s="4"/>
      </tp>
    </main>
    <main first="rtdsrv.4b86c05bef1847308d30bfc58374b548">
      <tp>
        <v>3.67</v>
        <stp/>
        <stp>RWX</stp>
        <stp>dividend yield</stp>
        <tr r="M6" s="1"/>
      </tp>
      <tp>
        <v>1.87</v>
        <stp/>
        <stp>SHY</stp>
        <stp>dividend yield</stp>
        <tr r="M12" s="1"/>
      </tp>
      <tp>
        <v>2.71</v>
        <stp/>
        <stp>TLT</stp>
        <stp>dividend yield</stp>
        <tr r="M5" s="1"/>
      </tp>
      <tp t="s">
        <v>--</v>
        <stp/>
        <stp>DBC</stp>
        <stp>dividend yield</stp>
        <tr r="M2" s="1"/>
      </tp>
      <tp>
        <v>1.35</v>
        <stp/>
        <stp>EEM</stp>
        <stp>dividend yield</stp>
        <tr r="M10" s="1"/>
      </tp>
      <tp>
        <v>1.6</v>
        <stp/>
        <stp>EWJ</stp>
        <stp>dividend yield</stp>
        <tr r="M7" s="1"/>
      </tp>
      <tp>
        <v>2.2200000000000002</v>
        <stp/>
        <stp>IEF</stp>
        <stp>dividend yield</stp>
        <tr r="M11" s="1"/>
      </tp>
      <tp>
        <v>4.75</v>
        <stp/>
        <stp>IEV</stp>
        <stp>dividend yield</stp>
        <tr r="M9" s="1"/>
      </tp>
      <tp>
        <v>0.48</v>
        <stp/>
        <stp>IYR</stp>
        <stp>dividend yield</stp>
        <tr r="M4" s="1"/>
      </tp>
      <tp>
        <v>1.78</v>
        <stp/>
        <stp>IVV</stp>
        <stp>dividend yield</stp>
        <tr r="M3" s="1"/>
      </tp>
    </main>
    <main first="rtdsrv.4b86c05bef1847308d30bfc58374b548">
      <tp t="s">
        <v>ISHARES INC-MSCI JPN ETF NEW</v>
        <stp/>
        <stp>EWJ</stp>
        <stp>description</stp>
        <tr r="B7" s="1"/>
      </tp>
    </main>
    <main first="rtdsrv.4b86c05bef1847308d30bfc58374b548">
      <tp t="s">
        <v>ISHARES TR-MSCI EMG MKT ETF</v>
        <stp/>
        <stp>EEM</stp>
        <stp>description</stp>
        <tr r="B10" s="1"/>
      </tp>
    </main>
    <main first="rtdsrv.4b86c05bef1847308d30bfc58374b548">
      <tp t="s">
        <v>INVESCO DB COMMDY INDX TRCK-UNIT</v>
        <stp/>
        <stp>DBC</stp>
        <stp>description</stp>
        <tr r="B2" s="1"/>
      </tp>
    </main>
    <main first="rtdsrv.4b86c05bef1847308d30bfc58374b548">
      <tp t="s">
        <v>SPDR GOLD TRUST-GOLD SHS</v>
        <stp/>
        <stp>GLD</stp>
        <stp>description</stp>
        <tr r="B8" s="1"/>
      </tp>
    </main>
    <main first="rtdsrv.4b86c05bef1847308d30bfc58374b548">
      <tp t="s">
        <v>ISHARES TR-U.S. REAL ES ETF</v>
        <stp/>
        <stp>IYR</stp>
        <stp>description</stp>
        <tr r="B4" s="1"/>
      </tp>
      <tp t="s">
        <v>ISHARES TR-CORE S&amp;P500 ETF</v>
        <stp/>
        <stp>IVV</stp>
        <stp>description</stp>
        <tr r="B3" s="1"/>
      </tp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4b86c05bef1847308d30bfc58374b548">
      <tp>
        <v>1885.37</v>
        <stp/>
        <stp>AMZN</stp>
        <stp>last</stp>
        <tr r="C6" s="4"/>
      </tp>
    </main>
    <main first="rtdsrv.4b86c05bef1847308d30bfc58374b548">
      <tp>
        <v>121.79</v>
        <stp/>
        <stp>TLT</stp>
        <stp>close</stp>
        <tr r="G5" s="1"/>
      </tp>
    </main>
    <main first="rtdsrv.4b86c05bef1847308d30bfc58374b548">
      <tp>
        <v>287.74</v>
        <stp/>
        <stp>IVV</stp>
        <stp>close</stp>
        <tr r="G3" s="1"/>
      </tp>
    </main>
    <main first="rtdsrv.4b86c05bef1847308d30bfc58374b548">
      <tp>
        <v>83.29</v>
        <stp/>
        <stp>IYR</stp>
        <stp>close</stp>
        <tr r="G4" s="1"/>
      </tp>
    </main>
    <main first="rtdsrv.4b86c05bef1847308d30bfc58374b548">
      <tp>
        <v>46.31</v>
        <stp/>
        <stp>CSCO</stp>
        <stp>last</stp>
        <tr r="C7" s="4"/>
      </tp>
    </main>
    <main first="rtdsrv.4b86c05bef1847308d30bfc58374b548">
      <tp t="s">
        <v>ISHARES TR-1 3 YR TREAS BD</v>
        <stp/>
        <stp>SHY</stp>
        <stp>description</stp>
        <tr r="B12" s="1"/>
      </tp>
      <tp>
        <v>49.55</v>
        <stp/>
        <stp>MU</stp>
        <stp>last</stp>
        <tr r="C9" s="4"/>
      </tp>
    </main>
    <main first="rtdsrv.4b86c05bef1847308d30bfc58374b548">
      <tp t="s">
        <v>SPDR INDEX SHS FDS-DJ INTL RL ETF</v>
        <stp/>
        <stp>RWX</stp>
        <stp>description</stp>
        <tr r="B6" s="1"/>
      </tp>
    </main>
    <main first="rtdsrv.4b86c05bef1847308d30bfc58374b548">
      <tp>
        <v>354.57</v>
        <stp/>
        <stp>ALGN</stp>
        <stp>last</stp>
        <tr r="C5" s="4"/>
      </tp>
    </main>
    <main first="rtdsrv.4b86c05bef1847308d30bfc58374b548">
      <tp t="s">
        <v>ISHARES TR-20 YR TR BD ETF</v>
        <stp/>
        <stp>TLT</stp>
        <stp>description</stp>
        <tr r="B5" s="1"/>
      </tp>
    </main>
    <main first="rtdsrv.4b86c05bef1847308d30bfc58374b548">
      <tp>
        <v>16.84</v>
        <stp/>
        <stp>DBC</stp>
        <stp>close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topLeftCell="B1" zoomScale="90" zoomScaleNormal="90" workbookViewId="0">
      <selection activeCell="P24" sqref="P24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-5.5355971768606405E-2</v>
      </c>
      <c r="F2" s="5">
        <f>I2/$I$21</f>
        <v>0.14691872883653811</v>
      </c>
      <c r="G2" s="4">
        <f>_xll.RealtimeData(A2,"Close")</f>
        <v>16.84</v>
      </c>
      <c r="H2" s="4">
        <v>176</v>
      </c>
      <c r="I2" s="4">
        <f>H2*G2</f>
        <v>2963.84</v>
      </c>
      <c r="J2" s="4">
        <f>_xll.RealtimeData(A2,"Last")</f>
        <v>16.93</v>
      </c>
      <c r="K2" s="5">
        <f>J2/D2-1</f>
        <v>-5.030739917117022E-2</v>
      </c>
      <c r="L2" s="8">
        <f>_xll.RealtimeData(A2,"Change in Percent")</f>
        <v>5.3444180522565264E-3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-4.9187288365381276E-3</v>
      </c>
      <c r="Q2" s="31">
        <f>O2*Daily!$D$68</f>
        <v>2823.9823999999999</v>
      </c>
      <c r="R2">
        <f t="shared" ref="R2:R11" si="2">ROUND(Q2/J2,0)</f>
        <v>167</v>
      </c>
      <c r="S2">
        <f t="shared" ref="S2:S11" si="3">R2-H2</f>
        <v>-9</v>
      </c>
      <c r="T2" t="str">
        <f t="shared" ref="T2:T12" si="4">A2</f>
        <v>DBC</v>
      </c>
      <c r="U2">
        <f>_xll.RealtimeData(T2,"MTD Percent Change")</f>
        <v>-0.41176470999999998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8.0269335240530149E-2</v>
      </c>
      <c r="F3" s="5">
        <f>I3/$I$21</f>
        <v>0.41363820450069466</v>
      </c>
      <c r="G3" s="4">
        <f>_xll.RealtimeData(A3,"Close")</f>
        <v>287.74</v>
      </c>
      <c r="H3" s="4">
        <v>29</v>
      </c>
      <c r="I3" s="4">
        <f>H3*G3</f>
        <v>8344.4600000000009</v>
      </c>
      <c r="J3" s="4">
        <f>_xll.RealtimeData(A3,"Last")</f>
        <v>288.63</v>
      </c>
      <c r="K3" s="5">
        <f>J3/D3-1</f>
        <v>8.3610684056697693E-2</v>
      </c>
      <c r="L3" s="8">
        <f>_xll.RealtimeData(A3,"Change in Percent")</f>
        <v>3.0930701327586919E-3</v>
      </c>
      <c r="M3" s="29">
        <f>_xll.RealtimeData(A3,"Dividend Yield")</f>
        <v>1.78</v>
      </c>
      <c r="N3" s="4" t="str">
        <f t="shared" si="0"/>
        <v>IVV</v>
      </c>
      <c r="O3" s="5">
        <v>0.36599999999999999</v>
      </c>
      <c r="P3" s="60">
        <f t="shared" si="1"/>
        <v>-4.763820450069467E-2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2.0326640299999998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6.1966084406477107E-2</v>
      </c>
      <c r="F4" s="5">
        <f>I4/$I$21</f>
        <v>0.22295079691850575</v>
      </c>
      <c r="G4" s="4">
        <f>_xll.RealtimeData(A4,"Close")</f>
        <v>83.29</v>
      </c>
      <c r="H4" s="4">
        <v>54</v>
      </c>
      <c r="I4" s="4">
        <f>H4*G4</f>
        <v>4497.6600000000008</v>
      </c>
      <c r="J4" s="4">
        <f>_xll.RealtimeData(A4,"Last")</f>
        <v>82.94</v>
      </c>
      <c r="K4" s="5">
        <f>J4/D4-1</f>
        <v>5.7503506311360253E-2</v>
      </c>
      <c r="L4" s="8">
        <f t="array" ref="L4">_xll.RealtimeData(A4,"Change in Percent")</f>
        <v>-4.2021851362709691E-3</v>
      </c>
      <c r="M4" s="29">
        <f>_xll.RealtimeData(A4,"Dividend Yield")</f>
        <v>0.48</v>
      </c>
      <c r="N4" s="4" t="str">
        <f t="shared" si="0"/>
        <v>IYR</v>
      </c>
      <c r="O4" s="5">
        <v>0.39300000000000002</v>
      </c>
      <c r="P4" s="60">
        <f t="shared" si="1"/>
        <v>0.17004920308149427</v>
      </c>
      <c r="Q4" s="31">
        <f>O4*Daily!$D$68</f>
        <v>7815.6696000000002</v>
      </c>
      <c r="R4">
        <f t="shared" si="2"/>
        <v>94</v>
      </c>
      <c r="S4">
        <f t="shared" si="3"/>
        <v>40</v>
      </c>
      <c r="T4" t="str">
        <f t="shared" si="4"/>
        <v>IYR</v>
      </c>
      <c r="U4">
        <f>_xll.RealtimeData(T4,"MTD Percent Change")</f>
        <v>1.74190383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-4.119587419803783E-3</v>
      </c>
      <c r="F5" s="5">
        <f>I5/$I$21</f>
        <v>0.21130125765057128</v>
      </c>
      <c r="G5" s="4">
        <f>_xll.RealtimeData(A5,"Close")</f>
        <v>121.79</v>
      </c>
      <c r="H5" s="4">
        <v>35</v>
      </c>
      <c r="I5" s="4">
        <f>H5*G5</f>
        <v>4262.6500000000005</v>
      </c>
      <c r="J5" s="31">
        <f>_xll.RealtimeData(A5,"Last")</f>
        <v>121.22</v>
      </c>
      <c r="K5" s="5">
        <f>J5/D5-1</f>
        <v>-8.7804941869498165E-3</v>
      </c>
      <c r="L5" s="8">
        <f t="array" ref="L5">_xll.RealtimeData(A5,"Change in Percent")</f>
        <v>-4.6801872074883561E-3</v>
      </c>
      <c r="M5" s="29">
        <f>_xll.RealtimeData(A5,"Dividend Yield")</f>
        <v>2.71</v>
      </c>
      <c r="N5" s="4" t="str">
        <f t="shared" si="0"/>
        <v>TLT</v>
      </c>
      <c r="O5" s="5">
        <v>0</v>
      </c>
      <c r="P5" s="60">
        <f t="shared" si="1"/>
        <v>-0.21130125765057128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2.3214587199999999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39.14</v>
      </c>
      <c r="K6" s="5"/>
      <c r="L6" s="8">
        <f>_xll.RealtimeData(A6,"Change in Percent")</f>
        <v>2.0481310803891011E-3</v>
      </c>
      <c r="M6" s="29">
        <f>_xll.RealtimeData(A6,"Dividend Yield")</f>
        <v>3.67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-0.91139241000000004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57.4</v>
      </c>
      <c r="K7" s="5"/>
      <c r="L7" s="8">
        <f>_xll.RealtimeData(A7,"Change in Percent")</f>
        <v>-3.483106931383333E-4</v>
      </c>
      <c r="M7" s="29">
        <f>_xll.RealtimeData(A7,"Dividend Yield")</f>
        <v>1.6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-2.5632320499999999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112.76</v>
      </c>
      <c r="K8" s="5"/>
      <c r="L8" s="8">
        <f>_xll.RealtimeData(A8,"Change in Percent")</f>
        <v>6.2117312982524987E-4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-2.0670488100000002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44.93</v>
      </c>
      <c r="K9" s="5"/>
      <c r="L9" s="8">
        <f>_xll.RealtimeData(A9,"Change in Percent")</f>
        <v>1.0116906474820213E-2</v>
      </c>
      <c r="M9" s="29">
        <f>_xll.RealtimeData(A9,"Dividend Yield")</f>
        <v>4.75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-2.32608696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42.895000000000003</v>
      </c>
      <c r="K10" s="5"/>
      <c r="L10" s="8">
        <f t="array" ref="L10">_xll.RealtimeData(A10,"Change in Percent")</f>
        <v>1.1674528301886911E-2</v>
      </c>
      <c r="M10" s="29">
        <f>_xll.RealtimeData(A10,"Dividend Yield")</f>
        <v>1.35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-3.5200179899999999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102.66</v>
      </c>
      <c r="K11" s="5"/>
      <c r="L11" s="8">
        <f t="array" ref="L11">_xll.RealtimeData(A11,"Change in Percent")</f>
        <v>-1.5561174868702298E-3</v>
      </c>
      <c r="M11" s="29">
        <f>_xll.RealtimeData(A11,"Dividend Yield")</f>
        <v>2.2200000000000002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1.30254589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83.304900000000004</v>
      </c>
      <c r="L12" s="8">
        <f t="array" ref="L12">_xll.RealtimeData(A12,"Change in Percent")</f>
        <v>-3.0121204848187691E-4</v>
      </c>
      <c r="M12" s="29">
        <f>_xll.RealtimeData(A12,"Dividend Yield")</f>
        <v>1.87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0.29484709999999997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1.39924251425</v>
      </c>
      <c r="V14" s="8">
        <f>U14*0.01</f>
        <v>1.3992425142500001E-2</v>
      </c>
    </row>
    <row r="19" spans="5:16" s="1" customFormat="1" x14ac:dyDescent="0.25"/>
    <row r="20" spans="5:16" x14ac:dyDescent="0.25">
      <c r="E20" t="s">
        <v>70</v>
      </c>
      <c r="F20" s="11">
        <f>SUM(F2:F5)</f>
        <v>0.99480898790630978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5.1910120936902171E-3</v>
      </c>
      <c r="H21" s="2" t="s">
        <v>16</v>
      </c>
      <c r="I21" s="6">
        <f>SUM(I2:I20)</f>
        <v>20173.330000000005</v>
      </c>
      <c r="J21" t="s">
        <v>33</v>
      </c>
      <c r="K21" s="8">
        <f>SUMPRODUCT(K2:K7,F2:F7)</f>
        <v>3.8158597186216711E-2</v>
      </c>
      <c r="M21" t="s">
        <v>34</v>
      </c>
      <c r="N21" s="76">
        <f t="array" ref="N21">MMULT(TRANSPOSE(F2:F5),L2:L5)</f>
        <v>1.3879711480448945E-4</v>
      </c>
      <c r="P21" s="8">
        <f>SUMPRODUCT(L2:L12,O2:O12)</f>
        <v>2.0969228065591115E-4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5.217630097487231E-3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-1.1718383800506235E-3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3.0930701327586919E-3</v>
      </c>
    </row>
    <row r="25" spans="5:16" x14ac:dyDescent="0.25">
      <c r="J25" t="s">
        <v>57</v>
      </c>
      <c r="K25" s="8">
        <f t="array" ref="K25">SUMPRODUCT(K22:K23,L22:L23)</f>
        <v>2.6618427064720889E-3</v>
      </c>
    </row>
    <row r="26" spans="5:16" x14ac:dyDescent="0.25">
      <c r="H26" t="s">
        <v>25</v>
      </c>
      <c r="I26" s="6">
        <f>SUM(I2:I18)</f>
        <v>20068.610000000004</v>
      </c>
      <c r="J26" t="s">
        <v>56</v>
      </c>
      <c r="K26" s="8">
        <f>_xll.RealtimeData(J26,"Change in Percent")</f>
        <v>0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2.2111426648168805E-3</v>
      </c>
    </row>
    <row r="28" spans="5:16" x14ac:dyDescent="0.25">
      <c r="J28" t="s">
        <v>64</v>
      </c>
      <c r="K28" s="8">
        <f>SUMPRODUCT(F2:F7,M2:M7)*0.01</f>
        <v>1.4159187947651674E-2</v>
      </c>
      <c r="L28" t="s">
        <v>65</v>
      </c>
      <c r="M28" s="8">
        <f>AVERAGE(M2:M11)*0.01</f>
        <v>2.0622222222222222E-2</v>
      </c>
    </row>
    <row r="29" spans="5:16" ht="15.75" thickBot="1" x14ac:dyDescent="0.3"/>
    <row r="30" spans="5:16" ht="15.75" thickBot="1" x14ac:dyDescent="0.3">
      <c r="H30" s="30">
        <v>43332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1.3879711480448945E-4</v>
      </c>
      <c r="J31" s="21">
        <f>LOOKUP(2,1/(Daily!E:E&lt;&gt;""),Daily!E:E)</f>
        <v>3.0304702723047416E-3</v>
      </c>
      <c r="K31" s="22">
        <f>VLOOKUP($H$30,Daily!$A:$AF,7,0)</f>
        <v>1.6373141156247328E-2</v>
      </c>
      <c r="L31" s="23">
        <f>VLOOKUP($H$30,Daily!$A:$AF,8,0)</f>
        <v>8.6670000000004244E-3</v>
      </c>
    </row>
    <row r="32" spans="5:16" x14ac:dyDescent="0.25">
      <c r="H32" s="19" t="s">
        <v>59</v>
      </c>
      <c r="I32" s="24">
        <f>$K$25</f>
        <v>2.6618427064720889E-3</v>
      </c>
      <c r="J32" s="24">
        <f>LOOKUP(2,1/(Daily!M:M&lt;&gt;""),Daily!M:M)</f>
        <v>3.0216638038293108E-3</v>
      </c>
      <c r="K32" s="14">
        <f>VLOOKUP($H$30,Daily!$A:$AF,25,0)</f>
        <v>1.672155418865251E-2</v>
      </c>
      <c r="L32" s="25">
        <f>VLOOKUP($H$30,Daily!$A:$AF,31,0)</f>
        <v>1.0884419850209825E-2</v>
      </c>
    </row>
    <row r="33" spans="8:18" x14ac:dyDescent="0.25">
      <c r="H33" s="19" t="s">
        <v>60</v>
      </c>
      <c r="I33" s="24">
        <f>$K$24</f>
        <v>3.0930701327586919E-3</v>
      </c>
      <c r="J33" s="24">
        <f>LOOKUP(2,1/(Daily!L:L&lt;&gt;""),Daily!L:L)</f>
        <v>2.4386845039019445E-3</v>
      </c>
      <c r="K33" s="14">
        <f>VLOOKUP($H$30,Daily!$A:$AF,24,0)</f>
        <v>5.3799670390038523E-2</v>
      </c>
      <c r="L33" s="25">
        <f>VLOOKUP($H$30,Daily!$A:$AF,30,0)</f>
        <v>8.0567722728383862E-2</v>
      </c>
    </row>
    <row r="34" spans="8:18" ht="15.75" thickBot="1" x14ac:dyDescent="0.3">
      <c r="H34" s="20" t="s">
        <v>56</v>
      </c>
      <c r="I34" s="26">
        <f>$K$26</f>
        <v>0</v>
      </c>
      <c r="J34" s="26">
        <f>LOOKUP(2,1/(Daily!N:N&lt;&gt;""),Daily!N:N)</f>
        <v>9.0309633027523262E-3</v>
      </c>
      <c r="K34" s="27">
        <f>VLOOKUP($H$30,Daily!$A:$AF,26,0)</f>
        <v>1.1350574712644113E-2</v>
      </c>
      <c r="L34" s="28">
        <f>VLOOKUP($H$30,Daily!$A:$AF,32,0)</f>
        <v>2.0573124448430846E-2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1.2254836204755157E-4</v>
      </c>
      <c r="J37" s="44"/>
      <c r="K37" s="22"/>
      <c r="L37" s="39"/>
      <c r="M37" s="50"/>
      <c r="N37" s="38">
        <f>AVERAGE(Daily!J$3:J380)</f>
        <v>1.6797337432984075E-4</v>
      </c>
      <c r="O37" s="22">
        <f>AVERAGE(Daily!K$3:K380)</f>
        <v>1.1134423014804939E-4</v>
      </c>
      <c r="P37" s="22">
        <f>AVERAGE(Daily!L$3:L380)</f>
        <v>1.0106162266901478E-3</v>
      </c>
      <c r="Q37" s="22">
        <f>AVERAGE(Daily!M$3:M380)</f>
        <v>1.4532171665712417E-4</v>
      </c>
      <c r="R37" s="23">
        <f>AVERAGE(Daily!N$3:N380)</f>
        <v>2.9349956466376715E-4</v>
      </c>
    </row>
    <row r="38" spans="8:18" x14ac:dyDescent="0.25">
      <c r="H38" s="56" t="s">
        <v>73</v>
      </c>
      <c r="I38" s="47">
        <f>STDEV(Daily!E$3:E380)</f>
        <v>4.9095853809326814E-3</v>
      </c>
      <c r="J38" s="45"/>
      <c r="K38" s="14"/>
      <c r="L38" s="32"/>
      <c r="M38" s="51"/>
      <c r="N38" s="40">
        <f>STDEV(Daily!J$3:J380)</f>
        <v>6.2307478170767899E-3</v>
      </c>
      <c r="O38" s="14">
        <f>STDEV(Daily!K$3:K380)</f>
        <v>1.7347522032489311E-3</v>
      </c>
      <c r="P38" s="14">
        <f>STDEV(Daily!L$3:L380)</f>
        <v>5.8163797645187617E-3</v>
      </c>
      <c r="Q38" s="14">
        <f>STDEV(Daily!M$3:M380)</f>
        <v>3.6336202052133495E-3</v>
      </c>
      <c r="R38" s="25">
        <f>STDEV(Daily!N$3:N380)</f>
        <v>8.1016399999560128E-3</v>
      </c>
    </row>
    <row r="39" spans="8:18" x14ac:dyDescent="0.25">
      <c r="H39" s="56" t="s">
        <v>74</v>
      </c>
      <c r="I39" s="48">
        <f>COUNTIF(Daily!E$3:E380,"&gt;0")</f>
        <v>45</v>
      </c>
      <c r="J39" s="45"/>
      <c r="K39" s="14"/>
      <c r="L39" s="32"/>
      <c r="M39" s="51"/>
      <c r="N39" s="41">
        <f>COUNTIF(Daily!J$3:J380,"&gt;0")</f>
        <v>40</v>
      </c>
      <c r="O39" s="33">
        <f>COUNTIF(Daily!K$3:K380,"&gt;0")</f>
        <v>42</v>
      </c>
      <c r="P39" s="33">
        <f>COUNTIF(Daily!L$3:L380,"&gt;0")</f>
        <v>45</v>
      </c>
      <c r="Q39" s="33">
        <f>COUNTIF(Daily!M$3:M380,"&gt;0")</f>
        <v>42</v>
      </c>
      <c r="R39" s="35">
        <f>COUNTIF(Daily!N$3:N380,"&gt;0")</f>
        <v>44</v>
      </c>
    </row>
    <row r="40" spans="8:18" x14ac:dyDescent="0.25">
      <c r="H40" s="56" t="s">
        <v>80</v>
      </c>
      <c r="I40" s="47">
        <f>SUMIF(Daily!E$3:E380,"&gt;0")</f>
        <v>0.14819461808406653</v>
      </c>
      <c r="J40" s="45"/>
      <c r="K40" s="14"/>
      <c r="L40" s="32"/>
      <c r="M40" s="51"/>
      <c r="N40" s="40">
        <f>SUMIF(Daily!J$3:J380,"&gt;0")</f>
        <v>0.19595720576371534</v>
      </c>
      <c r="O40" s="14">
        <f>SUMIF(Daily!K$3:K380,"&gt;0")</f>
        <v>5.6572493231464627E-2</v>
      </c>
      <c r="P40" s="14">
        <f>SUMIF(Daily!L$3:L380,"&gt;0")</f>
        <v>0.22242941167790325</v>
      </c>
      <c r="Q40" s="14">
        <f>SUMIF(Daily!M$3:M380,"&gt;0")</f>
        <v>0.11632641581387866</v>
      </c>
      <c r="R40" s="25">
        <f>SUMIF(Daily!N$3:N380,"&gt;0")</f>
        <v>0.26097133118885429</v>
      </c>
    </row>
    <row r="41" spans="8:18" x14ac:dyDescent="0.25">
      <c r="H41" s="56" t="s">
        <v>81</v>
      </c>
      <c r="I41" s="47">
        <f>SUMIF(Daily!E$3:E380,"&lt;0")</f>
        <v>-0.13863584584435751</v>
      </c>
      <c r="J41" s="45"/>
      <c r="K41" s="14"/>
      <c r="L41" s="32"/>
      <c r="M41" s="51"/>
      <c r="N41" s="40">
        <f>SUMIF(Daily!J$3:J380,"&lt;0")</f>
        <v>-0.18285528256598776</v>
      </c>
      <c r="O41" s="14">
        <f>SUMIF(Daily!K$3:K380,"&lt;0")</f>
        <v>-4.7887643279916778E-2</v>
      </c>
      <c r="P41" s="14">
        <f>SUMIF(Daily!L$3:L380,"&lt;0")</f>
        <v>-0.14360134599607172</v>
      </c>
      <c r="Q41" s="14">
        <f>SUMIF(Daily!M$3:M380,"&lt;0")</f>
        <v>-0.104991321914623</v>
      </c>
      <c r="R41" s="25">
        <f>SUMIF(Daily!N$3:N380,"&lt;0")</f>
        <v>-0.23807836514508046</v>
      </c>
    </row>
    <row r="42" spans="8:18" x14ac:dyDescent="0.25">
      <c r="H42" s="56" t="s">
        <v>75</v>
      </c>
      <c r="I42" s="48">
        <f>COUNT(Daily!E$3:E380)</f>
        <v>78</v>
      </c>
      <c r="J42" s="45"/>
      <c r="K42" s="14"/>
      <c r="L42" s="32"/>
      <c r="M42" s="51"/>
      <c r="N42" s="41">
        <f>COUNT(Daily!J$3:J380)</f>
        <v>78</v>
      </c>
      <c r="O42" s="33">
        <f>COUNT(Daily!K$3:K380)</f>
        <v>78</v>
      </c>
      <c r="P42" s="33">
        <f>COUNT(Daily!L$3:L380)</f>
        <v>78</v>
      </c>
      <c r="Q42" s="33">
        <f>COUNT(Daily!M$3:M380)</f>
        <v>78</v>
      </c>
      <c r="R42" s="35">
        <f>COUNT(Daily!N$3:N380)</f>
        <v>78</v>
      </c>
    </row>
    <row r="43" spans="8:18" x14ac:dyDescent="0.25">
      <c r="H43" s="56" t="s">
        <v>76</v>
      </c>
      <c r="I43" s="48">
        <f>I42-I39</f>
        <v>33</v>
      </c>
      <c r="J43" s="45"/>
      <c r="K43" s="14"/>
      <c r="L43" s="32"/>
      <c r="M43" s="51"/>
      <c r="N43" s="41">
        <f>N42-N39</f>
        <v>38</v>
      </c>
      <c r="O43" s="33">
        <f>O42-O39</f>
        <v>36</v>
      </c>
      <c r="P43" s="33">
        <f>P42-P39</f>
        <v>33</v>
      </c>
      <c r="Q43" s="33">
        <f>Q42-Q39</f>
        <v>36</v>
      </c>
      <c r="R43" s="35">
        <f>R42-R39</f>
        <v>34</v>
      </c>
    </row>
    <row r="44" spans="8:18" x14ac:dyDescent="0.25">
      <c r="H44" s="56" t="s">
        <v>78</v>
      </c>
      <c r="I44" s="49">
        <f>(I40/I41)*(I39/I43)*-1</f>
        <v>1.4576574253494989</v>
      </c>
      <c r="J44" s="45"/>
      <c r="K44" s="14"/>
      <c r="L44" s="32"/>
      <c r="M44" s="51"/>
      <c r="N44" s="42">
        <f>(N40/N41)*(N39/N43)*-1</f>
        <v>1.1280546015110953</v>
      </c>
      <c r="O44" s="34">
        <f>(O40/O41)*(O39/O43)*-1</f>
        <v>1.3782520412954868</v>
      </c>
      <c r="P44" s="34">
        <f>(P40/P41)*(P39/P43)*-1</f>
        <v>2.1121865676281959</v>
      </c>
      <c r="Q44" s="34">
        <f>(Q40/Q41)*(Q39/Q43)*-1</f>
        <v>1.2926225644936509</v>
      </c>
      <c r="R44" s="36">
        <f>(R40/R41)*(R39/R43)*-1</f>
        <v>1.4185564692622292</v>
      </c>
    </row>
    <row r="45" spans="8:18" x14ac:dyDescent="0.25">
      <c r="H45" s="61" t="s">
        <v>77</v>
      </c>
      <c r="I45" s="62">
        <f>I39/I42</f>
        <v>0.57692307692307687</v>
      </c>
      <c r="J45" s="63"/>
      <c r="K45" s="64"/>
      <c r="L45" s="65"/>
      <c r="M45" s="66"/>
      <c r="N45" s="67">
        <f>N39/N42</f>
        <v>0.51282051282051277</v>
      </c>
      <c r="O45" s="64">
        <f>O39/O42</f>
        <v>0.53846153846153844</v>
      </c>
      <c r="P45" s="64">
        <f>P39/P42</f>
        <v>0.57692307692307687</v>
      </c>
      <c r="Q45" s="64">
        <f>Q39/Q42</f>
        <v>0.53846153846153844</v>
      </c>
      <c r="R45" s="68">
        <f>R39/R42</f>
        <v>0.5641025641025641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-3.9128004471771866E-2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80"/>
  <sheetViews>
    <sheetView zoomScale="80" zoomScaleNormal="80" workbookViewId="0">
      <pane xSplit="1" ySplit="1" topLeftCell="M72" activePane="bottomRight" state="frozen"/>
      <selection pane="topRight" activeCell="B1" sqref="B1"/>
      <selection pane="bottomLeft" activeCell="A2" sqref="A2"/>
      <selection pane="bottomRight" activeCell="Z92" sqref="Z92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80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4">D73/D72-1</f>
        <v>1.0268983370647078E-3</v>
      </c>
      <c r="F73" s="10">
        <f t="shared" ref="F73" si="1285">F72*(1+E73)</f>
        <v>100.11260000000003</v>
      </c>
      <c r="G73" s="5">
        <f t="shared" ref="G73" si="1286">F73/F$45-1</f>
        <v>8.7745284748972363E-3</v>
      </c>
      <c r="H73" s="8">
        <f t="shared" ref="H73" si="1287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8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9">P72*(1+J73)</f>
        <v>102.12561751434727</v>
      </c>
      <c r="Q73" s="10">
        <f t="shared" ref="Q73" si="1290">Q72*(1+K73)</f>
        <v>100.22702753856336</v>
      </c>
      <c r="R73" s="10">
        <f t="shared" ref="R73" si="1291">R72*(1+L73)</f>
        <v>107.82018449730529</v>
      </c>
      <c r="S73" s="10">
        <f t="shared" ref="S73" si="1292">S72*(1+M73)</f>
        <v>101.39981432874961</v>
      </c>
      <c r="T73" s="10">
        <f t="shared" ref="T73" si="1293">T72*(1+N73)</f>
        <v>102.18780197631112</v>
      </c>
      <c r="V73" s="5">
        <f t="shared" ref="V73" si="1294">P73/P$45-1</f>
        <v>3.3745781777277939E-2</v>
      </c>
      <c r="W73" s="5">
        <f t="shared" ref="W73" si="1295">Q73/Q$45-1</f>
        <v>-8.5587063157277488E-4</v>
      </c>
      <c r="X73" s="5">
        <f t="shared" ref="X73" si="1296">R73/R$45-1</f>
        <v>5.1492400659219895E-2</v>
      </c>
      <c r="Y73" s="5">
        <f t="shared" ref="Y73" si="1297">S73/S$45-1</f>
        <v>1.9853257151233095E-2</v>
      </c>
      <c r="Z73" s="5">
        <f t="shared" ref="Z73" si="1298">T73/T$45-1</f>
        <v>1.2643678160919825E-2</v>
      </c>
      <c r="AB73" s="8">
        <f t="shared" ref="AB73" si="1299">P73/$P$2-1</f>
        <v>2.1256175143472777E-2</v>
      </c>
      <c r="AC73" s="8">
        <f t="shared" ref="AC73" si="1300">Q73/$P$2-1</f>
        <v>2.2702753856336244E-3</v>
      </c>
      <c r="AD73" s="8">
        <f t="shared" ref="AD73" si="1301">R73/$P$2-1</f>
        <v>7.8201844973052825E-2</v>
      </c>
      <c r="AE73" s="8">
        <f t="shared" ref="AE73" si="1302">S73/$P$2-1</f>
        <v>1.3998143287496045E-2</v>
      </c>
      <c r="AF73" s="8">
        <f t="shared" ref="AF73" si="1303">T73/$T$2-1</f>
        <v>2.1878019763111212E-2</v>
      </c>
      <c r="AI73" s="8">
        <f t="shared" ref="AI73" si="1304">MIN(0,(F73-MAX(F44:F73))/MAX(F44:F73))</f>
        <v>-1.1443987815692004E-3</v>
      </c>
      <c r="AJ73" s="8">
        <f t="shared" ref="AJ73" si="1305">MIN(0,(P73-MAX(P44:P73))/MAX(P44:P73))</f>
        <v>-4.872766648619198E-3</v>
      </c>
      <c r="AK73" s="8">
        <f t="shared" ref="AK73" si="1306">MIN(0,(Q73-MAX(Q44:Q73))/MAX(Q44:Q73))</f>
        <v>-4.7882827903483801E-3</v>
      </c>
      <c r="AL73" s="8">
        <f t="shared" ref="AL73" si="1307">MIN(0,(R73-MAX(R44:R73))/MAX(R44:R73))</f>
        <v>-1.2523045883048413E-3</v>
      </c>
      <c r="AM73" s="8">
        <f t="shared" ref="AM73" si="1308">MIN(0,(S73-MAX(S44:S73))/MAX(S44:S73))</f>
        <v>-3.140480198829323E-3</v>
      </c>
      <c r="AN73" s="8">
        <f t="shared" ref="AN73" si="1309">MIN(0,(T73-MAX(T44:T73))/MAX(T44:T73))</f>
        <v>-1.5092230296254972E-2</v>
      </c>
    </row>
    <row r="74" spans="1:40" x14ac:dyDescent="0.25">
      <c r="A74" s="9">
        <v>43322</v>
      </c>
      <c r="B74" s="4">
        <f t="shared" si="812"/>
        <v>19849.68</v>
      </c>
      <c r="C74" s="4">
        <v>104.72</v>
      </c>
      <c r="D74" s="4">
        <f>19950.61+3.79</f>
        <v>19954.400000000001</v>
      </c>
      <c r="E74" s="5">
        <f t="shared" ref="E74" si="1310">D74/D73-1</f>
        <v>-3.4021691575285562E-3</v>
      </c>
      <c r="F74" s="10">
        <f t="shared" ref="F74" si="1311">F73*(1+E74)</f>
        <v>99.772000000000034</v>
      </c>
      <c r="G74" s="5">
        <f t="shared" ref="G74" si="1312">F74/F$45-1</f>
        <v>5.3425068872194892E-3</v>
      </c>
      <c r="H74" s="8">
        <f t="shared" ref="H74" si="1313">F74/$F$2-1</f>
        <v>-2.2799999999996157E-3</v>
      </c>
      <c r="J74" s="11">
        <f>VLOOKUP($A74,Prices!$A:$J,MATCH(J$1,Prices!$1:$1,0),0)</f>
        <v>-1.1833514689880142E-2</v>
      </c>
      <c r="K74" s="11">
        <f>VLOOKUP($A74,Prices!$A:$J,MATCH(K$1,Prices!$1:$1,0),0)</f>
        <v>2.1698113207546665E-3</v>
      </c>
      <c r="L74" s="11">
        <f>VLOOKUP($A74,Prices!$A:$J,MATCH(L$1,Prices!$1:$1,0),0)</f>
        <v>-7.1052906551496431E-3</v>
      </c>
      <c r="M74" s="11">
        <f t="shared" ref="M74" si="1314">0.6*J74 + 0.4*K74</f>
        <v>-6.2321842856262188E-3</v>
      </c>
      <c r="N74" s="11">
        <f>VLOOKUP($A74,Prices!$A:$J,MATCH(N$1,Prices!$1:$1,0),0)</f>
        <v>-3.9727582292848895E-3</v>
      </c>
      <c r="P74" s="10">
        <f t="shared" ref="P74" si="1315">P73*(1+J74)</f>
        <v>100.91711251927816</v>
      </c>
      <c r="Q74" s="10">
        <f t="shared" ref="Q74" si="1316">Q73*(1+K74)</f>
        <v>100.44450127756213</v>
      </c>
      <c r="R74" s="10">
        <f t="shared" ref="R74" si="1317">R73*(1+L74)</f>
        <v>107.05409074796007</v>
      </c>
      <c r="S74" s="10">
        <f t="shared" ref="S74" si="1318">S73*(1+M74)</f>
        <v>100.76787199932457</v>
      </c>
      <c r="T74" s="10">
        <f t="shared" ref="T74" si="1319">T73*(1+N74)</f>
        <v>101.7818345450772</v>
      </c>
      <c r="V74" s="5">
        <f t="shared" ref="V74" si="1320">P74/P$45-1</f>
        <v>2.1512935883014839E-2</v>
      </c>
      <c r="W74" s="5">
        <f t="shared" ref="W74" si="1321">Q74/Q$45-1</f>
        <v>1.3120836113964529E-3</v>
      </c>
      <c r="X74" s="5">
        <f t="shared" ref="X74" si="1322">R74/R$45-1</f>
        <v>4.402124153085496E-2</v>
      </c>
      <c r="Y74" s="5">
        <f t="shared" ref="Y74" si="1323">S74/S$45-1</f>
        <v>1.3497343708370524E-2</v>
      </c>
      <c r="Z74" s="5">
        <f t="shared" ref="Z74" si="1324">T74/T$45-1</f>
        <v>8.6206896551728196E-3</v>
      </c>
      <c r="AB74" s="8">
        <f t="shared" ref="AB74" si="1325">P74/$P$2-1</f>
        <v>9.1711251927817372E-3</v>
      </c>
      <c r="AC74" s="8">
        <f t="shared" ref="AC74" si="1326">Q74/$P$2-1</f>
        <v>4.4450127756212598E-3</v>
      </c>
      <c r="AD74" s="8">
        <f t="shared" ref="AD74" si="1327">R74/$P$2-1</f>
        <v>7.0540907479600845E-2</v>
      </c>
      <c r="AE74" s="8">
        <f t="shared" ref="AE74" si="1328">S74/$P$2-1</f>
        <v>7.6787199932457639E-3</v>
      </c>
      <c r="AF74" s="8">
        <f t="shared" ref="AF74" si="1329">T74/$T$2-1</f>
        <v>1.78183454507721E-2</v>
      </c>
      <c r="AI74" s="8">
        <f t="shared" ref="AI74" si="1330">MIN(0,(F74-MAX(F45:F74))/MAX(F45:F74))</f>
        <v>-4.5426745008592031E-3</v>
      </c>
      <c r="AJ74" s="8">
        <f t="shared" ref="AJ74" si="1331">MIN(0,(P74-MAX(P45:P74))/MAX(P45:P74))</f>
        <v>-1.6648619382782514E-2</v>
      </c>
      <c r="AK74" s="8">
        <f t="shared" ref="AK74" si="1332">MIN(0,(Q74-MAX(Q45:Q74))/MAX(Q45:Q74))</f>
        <v>-2.6288611397992049E-3</v>
      </c>
      <c r="AL74" s="8">
        <f t="shared" ref="AL74" si="1333">MIN(0,(R74-MAX(R45:R74))/MAX(R45:R74))</f>
        <v>-8.3486972553658279E-3</v>
      </c>
      <c r="AM74" s="8">
        <f t="shared" ref="AM74" si="1334">MIN(0,(S74-MAX(S45:S74))/MAX(S45:S74))</f>
        <v>-9.3530924331110231E-3</v>
      </c>
      <c r="AN74" s="8">
        <f t="shared" ref="AN74" si="1335">MIN(0,(T74-MAX(T45:T74))/MAX(T45:T74))</f>
        <v>-1.9005030743432089E-2</v>
      </c>
    </row>
    <row r="75" spans="1:40" x14ac:dyDescent="0.25">
      <c r="A75" s="9">
        <v>43325</v>
      </c>
      <c r="B75" s="4">
        <f t="shared" si="812"/>
        <v>19795.09</v>
      </c>
      <c r="C75" s="4">
        <v>104.72</v>
      </c>
      <c r="D75" s="4">
        <f>19924.66-24.85</f>
        <v>19899.810000000001</v>
      </c>
      <c r="E75" s="5">
        <f t="shared" ref="E75" si="1336">D75/D74-1</f>
        <v>-2.7357374814577229E-3</v>
      </c>
      <c r="F75" s="10">
        <f t="shared" ref="F75" si="1337">F74*(1+E75)</f>
        <v>99.49905000000004</v>
      </c>
      <c r="G75" s="5">
        <f t="shared" ref="G75" si="1338">F75/F$45-1</f>
        <v>2.5921537094255598E-3</v>
      </c>
      <c r="H75" s="8">
        <f t="shared" ref="H75" si="1339">F75/$F$2-1</f>
        <v>-5.009499999999556E-3</v>
      </c>
      <c r="J75" s="11">
        <f>VLOOKUP($A75,Prices!$A:$J,MATCH(J$1,Prices!$1:$1,0),0)</f>
        <v>-5.9187887130076611E-3</v>
      </c>
      <c r="K75" s="11">
        <f>VLOOKUP($A75,Prices!$A:$J,MATCH(K$1,Prices!$1:$1,0),0)</f>
        <v>5.6481219994353182E-4</v>
      </c>
      <c r="L75" s="11">
        <f>VLOOKUP($A75,Prices!$A:$J,MATCH(L$1,Prices!$1:$1,0),0)</f>
        <v>-3.3675939242991948E-3</v>
      </c>
      <c r="M75" s="11">
        <f t="shared" ref="M75" si="1340">0.6*J75 + 0.4*K75</f>
        <v>-3.3253483478271838E-3</v>
      </c>
      <c r="N75" s="11">
        <f>VLOOKUP($A75,Prices!$A:$J,MATCH(N$1,Prices!$1:$1,0),0)</f>
        <v>-9.1168091168091214E-3</v>
      </c>
      <c r="P75" s="10">
        <f t="shared" ref="P75" si="1341">P74*(1+J75)</f>
        <v>100.31980545274973</v>
      </c>
      <c r="Q75" s="10">
        <f t="shared" ref="Q75" si="1342">Q74*(1+K75)</f>
        <v>100.50123355730094</v>
      </c>
      <c r="R75" s="10">
        <f t="shared" ref="R75" si="1343">R74*(1+L75)</f>
        <v>106.69357604238587</v>
      </c>
      <c r="S75" s="10">
        <f t="shared" ref="S75" si="1344">S74*(1+M75)</f>
        <v>100.43278372265756</v>
      </c>
      <c r="T75" s="10">
        <f t="shared" ref="T75" si="1345">T74*(1+N75)</f>
        <v>100.85390898797108</v>
      </c>
      <c r="V75" s="5">
        <f t="shared" ref="V75" si="1346">P75/P$45-1</f>
        <v>1.5466816647919268E-2</v>
      </c>
      <c r="W75" s="5">
        <f t="shared" ref="W75" si="1347">Q75/Q$45-1</f>
        <v>1.8776368921709086E-3</v>
      </c>
      <c r="X75" s="5">
        <f t="shared" ref="X75" si="1348">R75/R$45-1</f>
        <v>4.0505401941036467E-2</v>
      </c>
      <c r="Y75" s="5">
        <f t="shared" ref="Y75" si="1349">S75/S$45-1</f>
        <v>1.0127111990942739E-2</v>
      </c>
      <c r="Z75" s="5">
        <f t="shared" ref="Z75" si="1350">T75/T$45-1</f>
        <v>-5.7471264367792152E-4</v>
      </c>
      <c r="AB75" s="8">
        <f t="shared" ref="AB75" si="1351">P75/$P$2-1</f>
        <v>3.1980545274974403E-3</v>
      </c>
      <c r="AC75" s="8">
        <f t="shared" ref="AC75" si="1352">Q75/$P$2-1</f>
        <v>5.0123355730093966E-3</v>
      </c>
      <c r="AD75" s="8">
        <f t="shared" ref="AD75" si="1353">R75/$P$2-1</f>
        <v>6.6935760423858737E-2</v>
      </c>
      <c r="AE75" s="8">
        <f t="shared" ref="AE75" si="1354">S75/$P$2-1</f>
        <v>4.3278372265755927E-3</v>
      </c>
      <c r="AF75" s="8">
        <f t="shared" ref="AF75" si="1355">T75/$T$2-1</f>
        <v>8.5390898797108594E-3</v>
      </c>
      <c r="AI75" s="8">
        <f t="shared" ref="AI75" si="1356">MIN(0,(F75-MAX(F46:F75))/MAX(F46:F75))</f>
        <v>-7.2659844174188084E-3</v>
      </c>
      <c r="AJ75" s="8">
        <f t="shared" ref="AJ75" si="1357">MIN(0,(P75-MAX(P46:P75))/MAX(P46:P75))</f>
        <v>-2.2468868435300222E-2</v>
      </c>
      <c r="AK75" s="8">
        <f t="shared" ref="AK75" si="1358">MIN(0,(Q75-MAX(Q46:Q75))/MAX(Q46:Q75))</f>
        <v>-2.0655337526993955E-3</v>
      </c>
      <c r="AL75" s="8">
        <f t="shared" ref="AL75" si="1359">MIN(0,(R75-MAX(R46:R75))/MAX(R46:R75))</f>
        <v>-1.1688176157512029E-2</v>
      </c>
      <c r="AM75" s="8">
        <f t="shared" ref="AM75" si="1360">MIN(0,(S75-MAX(S46:S75))/MAX(S46:S75))</f>
        <v>-1.264733849046862E-2</v>
      </c>
      <c r="AN75" s="8">
        <f t="shared" ref="AN75" si="1361">MIN(0,(T75-MAX(T46:T75))/MAX(T46:T75))</f>
        <v>-2.7948574622694289E-2</v>
      </c>
    </row>
    <row r="76" spans="1:40" x14ac:dyDescent="0.25">
      <c r="A76" s="9">
        <v>43326</v>
      </c>
      <c r="B76" s="4">
        <f>D76-C76</f>
        <v>19867.46</v>
      </c>
      <c r="C76" s="4">
        <v>104.72</v>
      </c>
      <c r="D76" s="4">
        <f>19930.15+42.03</f>
        <v>19972.18</v>
      </c>
      <c r="E76" s="5">
        <f t="shared" ref="E76" si="1362">D76/D75-1</f>
        <v>3.6367181395198234E-3</v>
      </c>
      <c r="F76" s="10">
        <f t="shared" ref="F76" si="1363">F75*(1+E76)</f>
        <v>99.860900000000029</v>
      </c>
      <c r="G76" s="5">
        <f t="shared" ref="G76" si="1364">F76/F$45-1</f>
        <v>6.2382987813609514E-3</v>
      </c>
      <c r="H76" s="8">
        <f t="shared" ref="H76" si="1365">F76/$F$2-1</f>
        <v>-1.390999999999698E-3</v>
      </c>
      <c r="J76" s="11">
        <f>VLOOKUP($A76,Prices!$A:$J,MATCH(J$1,Prices!$1:$1,0),0)</f>
        <v>4.5693713652728007E-3</v>
      </c>
      <c r="K76" s="11">
        <f>VLOOKUP($A76,Prices!$A:$J,MATCH(K$1,Prices!$1:$1,0),0)</f>
        <v>-9.4082227867164914E-4</v>
      </c>
      <c r="L76" s="11">
        <f>VLOOKUP($A76,Prices!$A:$J,MATCH(L$1,Prices!$1:$1,0),0)</f>
        <v>6.405969518848309E-3</v>
      </c>
      <c r="M76" s="11">
        <f t="shared" ref="M76" si="1366">0.6*J76 + 0.4*K76</f>
        <v>2.3652939076950208E-3</v>
      </c>
      <c r="N76" s="11">
        <f>VLOOKUP($A76,Prices!$A:$J,MATCH(N$1,Prices!$1:$1,0),0)</f>
        <v>4.025301897642386E-3</v>
      </c>
      <c r="P76" s="10">
        <f t="shared" ref="P76" si="1367">P75*(1+J76)</f>
        <v>100.77820389915527</v>
      </c>
      <c r="Q76" s="10">
        <f t="shared" ref="Q76" si="1368">Q75*(1+K76)</f>
        <v>100.40667975773624</v>
      </c>
      <c r="R76" s="10">
        <f t="shared" ref="R76" si="1369">R75*(1+L76)</f>
        <v>107.37705183837032</v>
      </c>
      <c r="S76" s="10">
        <f t="shared" ref="S76" si="1370">S75*(1+M76)</f>
        <v>100.67033677412961</v>
      </c>
      <c r="T76" s="10">
        <f t="shared" ref="T76" si="1371">T75*(1+N76)</f>
        <v>101.25987641920501</v>
      </c>
      <c r="V76" s="5">
        <f t="shared" ref="V76" si="1372">P76/P$45-1</f>
        <v>2.0106861642295026E-2</v>
      </c>
      <c r="W76" s="5">
        <f t="shared" ref="W76" si="1373">Q76/Q$45-1</f>
        <v>9.3504809087985308E-4</v>
      </c>
      <c r="X76" s="5">
        <f t="shared" ref="X76" si="1374">R76/R$45-1</f>
        <v>4.7170847830067641E-2</v>
      </c>
      <c r="Y76" s="5">
        <f t="shared" ref="Y76" si="1375">S76/S$45-1</f>
        <v>1.2516359494932461E-2</v>
      </c>
      <c r="Z76" s="5">
        <f t="shared" ref="Z76" si="1376">T76/T$45-1</f>
        <v>3.4482758620693055E-3</v>
      </c>
      <c r="AB76" s="8">
        <f t="shared" ref="AB76" si="1377">P76/$P$2-1</f>
        <v>7.782038991552831E-3</v>
      </c>
      <c r="AC76" s="8">
        <f t="shared" ref="AC76" si="1378">Q76/$P$2-1</f>
        <v>4.066797577362502E-3</v>
      </c>
      <c r="AD76" s="8">
        <f t="shared" ref="AD76" si="1379">R76/$P$2-1</f>
        <v>7.3770518383703187E-2</v>
      </c>
      <c r="AE76" s="8">
        <f t="shared" ref="AE76" si="1380">S76/$P$2-1</f>
        <v>6.7033677412959847E-3</v>
      </c>
      <c r="AF76" s="8">
        <f t="shared" ref="AF76" si="1381">T76/$T$2-1</f>
        <v>1.2598764192050194E-2</v>
      </c>
      <c r="AI76" s="8">
        <f t="shared" ref="AI76" si="1382">MIN(0,(F76-MAX(F47:F76))/MAX(F47:F76))</f>
        <v>-3.6556906152312822E-3</v>
      </c>
      <c r="AJ76" s="8">
        <f t="shared" ref="AJ76" si="1383">MIN(0,(P76-MAX(P47:P76))/MAX(P47:P76))</f>
        <v>-1.8002165674065703E-2</v>
      </c>
      <c r="AK76" s="8">
        <f t="shared" ref="AK76" si="1384">MIN(0,(Q76-MAX(Q47:Q76))/MAX(Q47:Q76))</f>
        <v>-3.0044127311991721E-3</v>
      </c>
      <c r="AL76" s="8">
        <f t="shared" ref="AL76" si="1385">MIN(0,(R76-MAX(R47:R76))/MAX(R47:R76))</f>
        <v>-5.3570807388596577E-3</v>
      </c>
      <c r="AM76" s="8">
        <f t="shared" ref="AM76" si="1386">MIN(0,(S76-MAX(S47:S76))/MAX(S47:S76))</f>
        <v>-1.0311959255453714E-2</v>
      </c>
      <c r="AN76" s="8">
        <f t="shared" ref="AN76" si="1387">MIN(0,(T76-MAX(T47:T76))/MAX(T47:T76))</f>
        <v>-2.4035774175517034E-2</v>
      </c>
    </row>
    <row r="77" spans="1:40" x14ac:dyDescent="0.25">
      <c r="A77" s="9">
        <v>43327</v>
      </c>
      <c r="B77" s="4">
        <f t="shared" si="812"/>
        <v>19793.66</v>
      </c>
      <c r="C77" s="4">
        <v>104.72</v>
      </c>
      <c r="D77" s="4">
        <f>19938.52-40.14</f>
        <v>19898.38</v>
      </c>
      <c r="E77" s="5">
        <f t="shared" ref="E77" si="1388">D77/D76-1</f>
        <v>-3.6951399396559781E-3</v>
      </c>
      <c r="F77" s="10">
        <f t="shared" ref="F77" si="1389">F76*(1+E77)</f>
        <v>99.491900000000044</v>
      </c>
      <c r="G77" s="5">
        <f t="shared" ref="G77" si="1390">F77/F$45-1</f>
        <v>2.5201074547225311E-3</v>
      </c>
      <c r="H77" s="8">
        <f t="shared" ref="H77" si="1391">F77/$F$2-1</f>
        <v>-5.0809999999995581E-3</v>
      </c>
      <c r="J77" s="11">
        <f>VLOOKUP($A77,Prices!$A:$J,MATCH(J$1,Prices!$1:$1,0),0)</f>
        <v>-1.1853893866299092E-2</v>
      </c>
      <c r="K77" s="11">
        <f>VLOOKUP($A77,Prices!$A:$J,MATCH(K$1,Prices!$1:$1,0),0)</f>
        <v>1.4125623881722227E-3</v>
      </c>
      <c r="L77" s="11">
        <f>VLOOKUP($A77,Prices!$A:$J,MATCH(L$1,Prices!$1:$1,0),0)</f>
        <v>-7.9739796453678347E-3</v>
      </c>
      <c r="M77" s="11">
        <f t="shared" ref="M77" si="1392">0.6*J77 + 0.4*K77</f>
        <v>-6.5473113645105659E-3</v>
      </c>
      <c r="N77" s="11">
        <f>VLOOKUP($A77,Prices!$A:$J,MATCH(N$1,Prices!$1:$1,0),0)</f>
        <v>-8.1443298969073874E-3</v>
      </c>
      <c r="P77" s="10">
        <f t="shared" ref="P77" si="1393">P76*(1+J77)</f>
        <v>99.583589766098441</v>
      </c>
      <c r="Q77" s="10">
        <f t="shared" ref="Q77" si="1394">Q76*(1+K77)</f>
        <v>100.54851045708327</v>
      </c>
      <c r="R77" s="10">
        <f t="shared" ref="R77" si="1395">R76*(1+L77)</f>
        <v>106.52082941263154</v>
      </c>
      <c r="S77" s="10">
        <f t="shared" ref="S77" si="1396">S76*(1+M77)</f>
        <v>100.01121673409924</v>
      </c>
      <c r="T77" s="10">
        <f t="shared" ref="T77" si="1397">T76*(1+N77)</f>
        <v>100.43518258032694</v>
      </c>
      <c r="V77" s="5">
        <f t="shared" ref="V77" si="1398">P77/P$45-1</f>
        <v>8.0146231721038852E-3</v>
      </c>
      <c r="W77" s="5">
        <f t="shared" ref="W77" si="1399">Q77/Q$45-1</f>
        <v>2.3489312928164363E-3</v>
      </c>
      <c r="X77" s="5">
        <f t="shared" ref="X77" si="1400">R77/R$45-1</f>
        <v>3.8820728804248139E-2</v>
      </c>
      <c r="Y77" s="5">
        <f t="shared" ref="Y77" si="1401">S77/S$45-1</f>
        <v>5.887099627658321E-3</v>
      </c>
      <c r="Z77" s="5">
        <f t="shared" ref="Z77" si="1402">T77/T$45-1</f>
        <v>-4.7241379310343223E-3</v>
      </c>
      <c r="AB77" s="8">
        <f t="shared" ref="AB77" si="1403">P77/$P$2-1</f>
        <v>-4.1641023390155407E-3</v>
      </c>
      <c r="AC77" s="8">
        <f t="shared" ref="AC77" si="1404">Q77/$P$2-1</f>
        <v>5.4851045708326218E-3</v>
      </c>
      <c r="AD77" s="8">
        <f t="shared" ref="AD77" si="1405">R77/$P$2-1</f>
        <v>6.5208294126315458E-2</v>
      </c>
      <c r="AE77" s="8">
        <f t="shared" ref="AE77" si="1406">S77/$P$2-1</f>
        <v>1.1216734099228631E-4</v>
      </c>
      <c r="AF77" s="8">
        <f t="shared" ref="AF77" si="1407">T77/$T$2-1</f>
        <v>4.3518258032693158E-3</v>
      </c>
      <c r="AI77" s="8">
        <f t="shared" ref="AI77" si="1408">MIN(0,(F77-MAX(F48:F77))/MAX(F48:F77))</f>
        <v>-7.3373222664878321E-3</v>
      </c>
      <c r="AJ77" s="8">
        <f t="shared" ref="AJ77" si="1409">MIN(0,(P77-MAX(P48:P77))/MAX(P48:P77))</f>
        <v>-2.9642663779100839E-2</v>
      </c>
      <c r="AK77" s="8">
        <f t="shared" ref="AK77" si="1410">MIN(0,(Q77-MAX(Q48:Q77))/MAX(Q48:Q77))</f>
        <v>-1.5960942634496483E-3</v>
      </c>
      <c r="AL77" s="8">
        <f t="shared" ref="AL77" si="1411">MIN(0,(R77-MAX(R48:R77))/MAX(R48:R77))</f>
        <v>-1.3288343131457294E-2</v>
      </c>
      <c r="AM77" s="8">
        <f t="shared" ref="AM77" si="1412">MIN(0,(S77-MAX(S48:S77))/MAX(S48:S77))</f>
        <v>-1.6791755011940763E-2</v>
      </c>
      <c r="AN77" s="8">
        <f t="shared" ref="AN77" si="1413">MIN(0,(T77-MAX(T48:T77))/MAX(T48:T77))</f>
        <v>-3.1984348798211416E-2</v>
      </c>
    </row>
    <row r="78" spans="1:40" x14ac:dyDescent="0.25">
      <c r="A78" s="9">
        <v>43328</v>
      </c>
      <c r="B78" s="4">
        <f t="shared" si="812"/>
        <v>19922.879999999997</v>
      </c>
      <c r="C78" s="4">
        <v>104.72</v>
      </c>
      <c r="D78" s="4">
        <f>20034.32-6.72</f>
        <v>20027.599999999999</v>
      </c>
      <c r="E78" s="5">
        <f t="shared" ref="E78" si="1414">D78/D77-1</f>
        <v>6.493995993643642E-3</v>
      </c>
      <c r="F78" s="10">
        <f t="shared" ref="F78" si="1415">F77*(1+E78)</f>
        <v>100.13800000000003</v>
      </c>
      <c r="G78" s="5">
        <f t="shared" ref="G78" si="1416">F78/F$45-1</f>
        <v>9.0304690160805112E-3</v>
      </c>
      <c r="H78" s="8">
        <f t="shared" ref="H78" si="1417">F78/$F$2-1</f>
        <v>1.3800000000003809E-3</v>
      </c>
      <c r="J78" s="11">
        <f>VLOOKUP($A78,Prices!$A:$J,MATCH(J$1,Prices!$1:$1,0),0)</f>
        <v>7.5324313014368816E-3</v>
      </c>
      <c r="K78" s="11">
        <f>VLOOKUP($A78,Prices!$A:$J,MATCH(K$1,Prices!$1:$1,0),0)</f>
        <v>5.6422794809107835E-4</v>
      </c>
      <c r="L78" s="11">
        <f>VLOOKUP($A78,Prices!$A:$J,MATCH(L$1,Prices!$1:$1,0),0)</f>
        <v>8.6374052529527567E-3</v>
      </c>
      <c r="M78" s="11">
        <f t="shared" ref="M78" si="1418">0.6*J78 + 0.4*K78</f>
        <v>4.7451499600985603E-3</v>
      </c>
      <c r="N78" s="11">
        <f>VLOOKUP($A78,Prices!$A:$J,MATCH(N$1,Prices!$1:$1,0),0)</f>
        <v>-7.3796902608874726E-3</v>
      </c>
      <c r="P78" s="10">
        <f t="shared" ref="P78" si="1419">P77*(1+J78)</f>
        <v>100.33369631476205</v>
      </c>
      <c r="Q78" s="10">
        <f t="shared" ref="Q78" si="1420">Q77*(1+K78)</f>
        <v>100.60524273682208</v>
      </c>
      <c r="R78" s="10">
        <f t="shared" ref="R78" si="1421">R77*(1+L78)</f>
        <v>107.44089298414909</v>
      </c>
      <c r="S78" s="10">
        <f t="shared" ref="S78" si="1422">S77*(1+M78)</f>
        <v>100.48578495519446</v>
      </c>
      <c r="T78" s="10">
        <f t="shared" ref="T78" si="1423">T77*(1+N78)</f>
        <v>99.694002041588448</v>
      </c>
      <c r="V78" s="5">
        <f t="shared" ref="V78" si="1424">P78/P$45-1</f>
        <v>1.5607424071991449E-2</v>
      </c>
      <c r="W78" s="5">
        <f t="shared" ref="W78" si="1425">Q78/Q$45-1</f>
        <v>2.914484573590892E-3</v>
      </c>
      <c r="X78" s="5">
        <f t="shared" ref="X78" si="1426">R78/R$45-1</f>
        <v>4.7793444424098164E-2</v>
      </c>
      <c r="Y78" s="5">
        <f t="shared" ref="Y78" si="1427">S78/S$45-1</f>
        <v>1.0660184758320312E-2</v>
      </c>
      <c r="Z78" s="5">
        <f t="shared" ref="Z78" si="1428">T78/T$45-1</f>
        <v>-1.2068965517241015E-2</v>
      </c>
      <c r="AB78" s="8">
        <f t="shared" ref="AB78" si="1429">P78/$P$2-1</f>
        <v>3.336963147620553E-3</v>
      </c>
      <c r="AC78" s="8">
        <f t="shared" ref="AC78" si="1430">Q78/$P$2-1</f>
        <v>6.0524273682207586E-3</v>
      </c>
      <c r="AD78" s="8">
        <f t="shared" ref="AD78" si="1431">R78/$P$2-1</f>
        <v>7.4408929841490945E-2</v>
      </c>
      <c r="AE78" s="8">
        <f t="shared" ref="AE78" si="1432">S78/$P$2-1</f>
        <v>4.8578495519446818E-3</v>
      </c>
      <c r="AF78" s="8">
        <f t="shared" ref="AF78" si="1433">T78/$T$2-1</f>
        <v>-3.0599795841155242E-3</v>
      </c>
      <c r="AI78" s="8">
        <f t="shared" ref="AI78" si="1434">MIN(0,(F78-MAX(F49:F78))/MAX(F49:F78))</f>
        <v>-8.9097481424687652E-4</v>
      </c>
      <c r="AJ78" s="8">
        <f t="shared" ref="AJ78" si="1435">MIN(0,(P78-MAX(P49:P78))/MAX(P49:P78))</f>
        <v>-2.2333513806171625E-2</v>
      </c>
      <c r="AK78" s="8">
        <f t="shared" ref="AK78" si="1436">MIN(0,(Q78-MAX(Q49:Q78))/MAX(Q49:Q78))</f>
        <v>-1.0327668763498389E-3</v>
      </c>
      <c r="AL78" s="8">
        <f t="shared" ref="AL78" si="1437">MIN(0,(R78-MAX(R49:R78))/MAX(R49:R78))</f>
        <v>-4.7657146832712528E-3</v>
      </c>
      <c r="AM78" s="8">
        <f t="shared" ref="AM78" si="1438">MIN(0,(S78-MAX(S49:S78))/MAX(S49:S78))</f>
        <v>-1.212628444746704E-2</v>
      </c>
      <c r="AN78" s="8">
        <f t="shared" ref="AN78" si="1439">MIN(0,(T78-MAX(T49:T78))/MAX(T49:T78))</f>
        <v>-3.9128004471771866E-2</v>
      </c>
    </row>
    <row r="79" spans="1:40" x14ac:dyDescent="0.25">
      <c r="A79" s="9">
        <v>43329</v>
      </c>
      <c r="B79" s="4">
        <f t="shared" si="812"/>
        <v>20007.669999999998</v>
      </c>
      <c r="C79" s="4">
        <v>104.72</v>
      </c>
      <c r="D79" s="4">
        <f>20124.46-12.07</f>
        <v>20112.39</v>
      </c>
      <c r="E79" s="5">
        <f t="shared" ref="E79" si="1440">D79/D78-1</f>
        <v>4.23365755257743E-3</v>
      </c>
      <c r="F79" s="10">
        <f t="shared" ref="F79" si="1441">F78*(1+E79)</f>
        <v>100.56195000000004</v>
      </c>
      <c r="G79" s="5">
        <f t="shared" ref="G79" si="1442">F79/F$45-1</f>
        <v>1.3302358482011334E-2</v>
      </c>
      <c r="H79" s="8">
        <f t="shared" ref="H79" si="1443">F79/$F$2-1</f>
        <v>5.6195000000003326E-3</v>
      </c>
      <c r="J79" s="11">
        <f>VLOOKUP($A79,Prices!$A:$J,MATCH(J$1,Prices!$1:$1,0),0)</f>
        <v>4.568738751211443E-3</v>
      </c>
      <c r="K79" s="11">
        <f>VLOOKUP($A79,Prices!$A:$J,MATCH(K$1,Prices!$1:$1,0),0)</f>
        <v>5.6390977443587786E-4</v>
      </c>
      <c r="L79" s="11">
        <f>VLOOKUP($A79,Prices!$A:$J,MATCH(L$1,Prices!$1:$1,0),0)</f>
        <v>3.2855644879412615E-3</v>
      </c>
      <c r="M79" s="11">
        <f t="shared" ref="M79" si="1444">0.6*J79 + 0.4*K79</f>
        <v>2.966807160501217E-3</v>
      </c>
      <c r="N79" s="11">
        <f>VLOOKUP($A79,Prices!$A:$J,MATCH(N$1,Prices!$1:$1,0),0)</f>
        <v>1.4543339150669077E-2</v>
      </c>
      <c r="P79" s="10">
        <f t="shared" ref="P79" si="1445">P78*(1+J79)</f>
        <v>100.79209476116759</v>
      </c>
      <c r="Q79" s="10">
        <f t="shared" ref="Q79" si="1446">Q78*(1+K79)</f>
        <v>100.66197501656086</v>
      </c>
      <c r="R79" s="10">
        <f t="shared" ref="R79" si="1447">R78*(1+L79)</f>
        <v>107.79389696669051</v>
      </c>
      <c r="S79" s="10">
        <f t="shared" ref="S79" si="1448">S78*(1+M79)</f>
        <v>100.78390690152811</v>
      </c>
      <c r="T79" s="10">
        <f t="shared" ref="T79" si="1449">T78*(1+N79)</f>
        <v>101.14388572456676</v>
      </c>
      <c r="V79" s="5">
        <f t="shared" ref="V79" si="1450">P79/P$45-1</f>
        <v>2.0247469066367207E-2</v>
      </c>
      <c r="W79" s="5">
        <f t="shared" ref="W79" si="1451">Q79/Q$45-1</f>
        <v>3.4800378543651256E-3</v>
      </c>
      <c r="X79" s="5">
        <f t="shared" ref="X79" si="1452">R79/R$45-1</f>
        <v>5.1236037355795627E-2</v>
      </c>
      <c r="Y79" s="5">
        <f t="shared" ref="Y79" si="1453">S79/S$45-1</f>
        <v>1.3658618631294583E-2</v>
      </c>
      <c r="Z79" s="5">
        <f t="shared" ref="Z79" si="1454">T79/T$45-1</f>
        <v>2.2988505747130183E-3</v>
      </c>
      <c r="AB79" s="8">
        <f t="shared" ref="AB79" si="1455">P79/$P$2-1</f>
        <v>7.9209476116759436E-3</v>
      </c>
      <c r="AC79" s="8">
        <f t="shared" ref="AC79" si="1456">Q79/$P$2-1</f>
        <v>6.6197501656086732E-3</v>
      </c>
      <c r="AD79" s="8">
        <f t="shared" ref="AD79" si="1457">R79/$P$2-1</f>
        <v>7.7938969666905056E-2</v>
      </c>
      <c r="AE79" s="8">
        <f t="shared" ref="AE79" si="1458">S79/$P$2-1</f>
        <v>7.839069015281197E-3</v>
      </c>
      <c r="AF79" s="8">
        <f t="shared" ref="AF79" si="1459">T79/$T$2-1</f>
        <v>1.1438857245667622E-2</v>
      </c>
      <c r="AI79" s="8">
        <f t="shared" ref="AI79" si="1460">MIN(0,(F79-MAX(F50:F79))/MAX(F50:F79))</f>
        <v>0</v>
      </c>
      <c r="AJ79" s="8">
        <f t="shared" ref="AJ79" si="1461">MIN(0,(P79-MAX(P50:P79))/MAX(P50:P79))</f>
        <v>-1.7866811044937106E-2</v>
      </c>
      <c r="AK79" s="8">
        <f t="shared" ref="AK79" si="1462">MIN(0,(Q79-MAX(Q50:Q79))/MAX(Q50:Q79))</f>
        <v>-4.6943948925031159E-4</v>
      </c>
      <c r="AL79" s="8">
        <f t="shared" ref="AL79" si="1463">MIN(0,(R79-MAX(R50:R79))/MAX(R50:R79))</f>
        <v>-1.4958082582529537E-3</v>
      </c>
      <c r="AM79" s="8">
        <f t="shared" ref="AM79" si="1464">MIN(0,(S79-MAX(S50:S79))/MAX(S50:S79))</f>
        <v>-9.1954536344948917E-3</v>
      </c>
      <c r="AN79" s="8">
        <f t="shared" ref="AN79" si="1465">MIN(0,(T79-MAX(T50:T79))/MAX(T50:T79))</f>
        <v>-2.5153717160424725E-2</v>
      </c>
    </row>
    <row r="80" spans="1:40" x14ac:dyDescent="0.25">
      <c r="A80" s="9">
        <v>43332</v>
      </c>
      <c r="B80" s="4">
        <f t="shared" si="812"/>
        <v>20068.62</v>
      </c>
      <c r="C80" s="4">
        <v>104.72</v>
      </c>
      <c r="D80" s="4">
        <f>20175.06-1.72</f>
        <v>20173.34</v>
      </c>
      <c r="E80" s="5">
        <f t="shared" ref="E80" si="1466">D80/D79-1</f>
        <v>3.0304702723047416E-3</v>
      </c>
      <c r="F80" s="10">
        <f t="shared" ref="F80" si="1467">F79*(1+E80)</f>
        <v>100.86670000000004</v>
      </c>
      <c r="G80" s="5">
        <f t="shared" ref="G80" si="1468">F80/F$45-1</f>
        <v>1.6373141156247328E-2</v>
      </c>
      <c r="H80" s="8">
        <f t="shared" ref="H80" si="1469">F80/$F$2-1</f>
        <v>8.6670000000004244E-3</v>
      </c>
      <c r="J80" s="11">
        <f>VLOOKUP($A80,Prices!$A:$J,MATCH(J$1,Prices!$1:$1,0),0)</f>
        <v>3.7210584343989606E-3</v>
      </c>
      <c r="K80" s="11">
        <f>VLOOKUP($A80,Prices!$A:$J,MATCH(K$1,Prices!$1:$1,0),0)</f>
        <v>1.9725718579748364E-3</v>
      </c>
      <c r="L80" s="11">
        <f>VLOOKUP($A80,Prices!$A:$J,MATCH(L$1,Prices!$1:$1,0),0)</f>
        <v>2.4386845039019445E-3</v>
      </c>
      <c r="M80" s="11">
        <f t="shared" ref="M80" si="1470">0.6*J80 + 0.4*K80</f>
        <v>3.0216638038293108E-3</v>
      </c>
      <c r="N80" s="11">
        <f>VLOOKUP($A80,Prices!$A:$J,MATCH(N$1,Prices!$1:$1,0),0)</f>
        <v>9.0309633027523262E-3</v>
      </c>
      <c r="P80" s="10">
        <f t="shared" ref="P80" si="1471">P79*(1+J80)</f>
        <v>101.16714803549937</v>
      </c>
      <c r="Q80" s="10">
        <f t="shared" ref="Q80" si="1472">Q79*(1+K80)</f>
        <v>100.86053799564669</v>
      </c>
      <c r="R80" s="10">
        <f t="shared" ref="R80" si="1473">R79*(1+L80)</f>
        <v>108.05677227283839</v>
      </c>
      <c r="S80" s="10">
        <f t="shared" ref="S80" si="1474">S79*(1+M80)</f>
        <v>101.08844198502098</v>
      </c>
      <c r="T80" s="10">
        <f t="shared" ref="T80" si="1475">T79*(1+N80)</f>
        <v>102.05731244484309</v>
      </c>
      <c r="V80" s="5">
        <f t="shared" ref="V80" si="1476">P80/P$45-1</f>
        <v>2.4043869516310767E-2</v>
      </c>
      <c r="W80" s="5">
        <f t="shared" ref="W80" si="1477">Q80/Q$45-1</f>
        <v>5.4594743370763865E-3</v>
      </c>
      <c r="X80" s="5">
        <f t="shared" ref="X80" si="1478">R80/R$45-1</f>
        <v>5.3799670390038523E-2</v>
      </c>
      <c r="Y80" s="5">
        <f t="shared" ref="Y80" si="1479">S80/S$45-1</f>
        <v>1.672155418865251E-2</v>
      </c>
      <c r="Z80" s="5">
        <f t="shared" ref="Z80" si="1480">T80/T$45-1</f>
        <v>1.1350574712644113E-2</v>
      </c>
      <c r="AB80" s="8">
        <f t="shared" ref="AB80" si="1481">P80/$P$2-1</f>
        <v>1.1671480354993768E-2</v>
      </c>
      <c r="AC80" s="8">
        <f t="shared" ref="AC80" si="1482">Q80/$P$2-1</f>
        <v>8.6053799564669298E-3</v>
      </c>
      <c r="AD80" s="8">
        <f t="shared" ref="AD80" si="1483">R80/$P$2-1</f>
        <v>8.0567722728383862E-2</v>
      </c>
      <c r="AE80" s="8">
        <f t="shared" ref="AE80" si="1484">S80/$P$2-1</f>
        <v>1.0884419850209825E-2</v>
      </c>
      <c r="AF80" s="8">
        <f t="shared" ref="AF80" si="1485">T80/$T$2-1</f>
        <v>2.0573124448430846E-2</v>
      </c>
      <c r="AI80" s="8">
        <f t="shared" ref="AI80" si="1486">MIN(0,(F80-MAX(F51:F80))/MAX(F51:F80))</f>
        <v>0</v>
      </c>
      <c r="AJ80" s="8">
        <f t="shared" ref="AJ80" si="1487">MIN(0,(P80-MAX(P51:P80))/MAX(P51:P80))</f>
        <v>-1.4212236058472777E-2</v>
      </c>
      <c r="AK80" s="8">
        <f t="shared" ref="AK80" si="1488">MIN(0,(Q80-MAX(Q51:Q80))/MAX(Q51:Q80))</f>
        <v>0</v>
      </c>
      <c r="AL80" s="8">
        <f t="shared" ref="AL80" si="1489">MIN(0,(R80-MAX(R51:R80))/MAX(R51:R80))</f>
        <v>0</v>
      </c>
      <c r="AM80" s="8">
        <f t="shared" ref="AM80" si="1490">MIN(0,(S80-MAX(S51:S80))/MAX(S51:S80))</f>
        <v>-6.2015754000725775E-3</v>
      </c>
      <c r="AN80" s="8">
        <f t="shared" ref="AN80" si="1491">MIN(0,(T80-MAX(T51:T80))/MAX(T51:T80))</f>
        <v>-1.6349916154276035E-2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7"/>
  <sheetViews>
    <sheetView topLeftCell="A51" zoomScale="90" zoomScaleNormal="90" workbookViewId="0">
      <selection activeCell="P74" sqref="P74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A75" s="13">
        <v>43322</v>
      </c>
      <c r="B75">
        <f t="array" ref="B75">_xll.HistoricalData(B$1,"Adj. Close",$A75,$A75,"Daily","RemoveHeaders = True","ReverseOrder =True","RemoveDates =""True")</f>
        <v>72.650000000000006</v>
      </c>
      <c r="C75">
        <f t="array" ref="C75">_xll.HistoricalData(C$1,"Adj. Close",$A75,$A75,"Daily","RemoveHeaders = True","ReverseOrder =True","RemoveDates =""True")</f>
        <v>106.23</v>
      </c>
      <c r="D75">
        <f t="array" ref="D75">_xll.HistoricalData(D$1,"Adj. Close",$A75,$A75,"Daily","RemoveHeaders = True","ReverseOrder =True","RemoveDates =""True")</f>
        <v>285.07</v>
      </c>
      <c r="E75">
        <f t="array" ref="E75">_xll.HistoricalData(E$1,"Adj. Close",$A75,$A75,"Daily","RemoveHeaders = True","ReverseOrder =True","RemoveDates =""True")</f>
        <v>17.55</v>
      </c>
      <c r="G75" s="5">
        <f t="shared" si="220"/>
        <v>-1.1833514689880142E-2</v>
      </c>
      <c r="H75" s="5">
        <f t="shared" si="221"/>
        <v>2.1698113207546665E-3</v>
      </c>
      <c r="I75" s="5">
        <f t="shared" si="222"/>
        <v>-7.1052906551496431E-3</v>
      </c>
      <c r="J75" s="5">
        <f t="shared" si="223"/>
        <v>-3.9727582292848895E-3</v>
      </c>
    </row>
    <row r="76" spans="1:10" x14ac:dyDescent="0.25">
      <c r="A76" s="13">
        <v>43325</v>
      </c>
      <c r="B76">
        <f t="array" ref="B76">_xll.HistoricalData(B$1,"Adj. Close",$A76,$A76,"Daily","RemoveHeaders = True","ReverseOrder =True","RemoveDates =""True")</f>
        <v>72.22</v>
      </c>
      <c r="C76">
        <f t="array" ref="C76">_xll.HistoricalData(C$1,"Adj. Close",$A76,$A76,"Daily","RemoveHeaders = True","ReverseOrder =True","RemoveDates =""True")</f>
        <v>106.29</v>
      </c>
      <c r="D76">
        <f t="array" ref="D76">_xll.HistoricalData(D$1,"Adj. Close",$A76,$A76,"Daily","RemoveHeaders = True","ReverseOrder =True","RemoveDates =""True")</f>
        <v>284.11</v>
      </c>
      <c r="E76">
        <f t="array" ref="E76">_xll.HistoricalData(E$1,"Adj. Close",$A76,$A76,"Daily","RemoveHeaders = True","ReverseOrder =True","RemoveDates =""True")</f>
        <v>17.39</v>
      </c>
      <c r="G76" s="5">
        <f t="shared" si="220"/>
        <v>-5.9187887130076611E-3</v>
      </c>
      <c r="H76" s="5">
        <f t="shared" si="221"/>
        <v>5.6481219994353182E-4</v>
      </c>
      <c r="I76" s="5">
        <f t="shared" si="222"/>
        <v>-3.3675939242991948E-3</v>
      </c>
      <c r="J76" s="5">
        <f t="shared" si="223"/>
        <v>-9.1168091168091214E-3</v>
      </c>
    </row>
    <row r="77" spans="1:10" x14ac:dyDescent="0.25">
      <c r="A77" s="13">
        <v>43326</v>
      </c>
      <c r="B77">
        <f t="array" ref="B77">_xll.HistoricalData(B$1,"Adj. Close",$A77,$A77,"Daily","RemoveHeaders = True","ReverseOrder =True","RemoveDates =""True")</f>
        <v>72.55</v>
      </c>
      <c r="C77">
        <f t="array" ref="C77">_xll.HistoricalData(C$1,"Adj. Close",$A77,$A77,"Daily","RemoveHeaders = True","ReverseOrder =True","RemoveDates =""True")</f>
        <v>106.19</v>
      </c>
      <c r="D77">
        <f t="array" ref="D77">_xll.HistoricalData(D$1,"Adj. Close",$A77,$A77,"Daily","RemoveHeaders = True","ReverseOrder =True","RemoveDates =""True")</f>
        <v>285.93</v>
      </c>
      <c r="E77">
        <f t="array" ref="E77">_xll.HistoricalData(E$1,"Adj. Close",$A77,$A77,"Daily","RemoveHeaders = True","ReverseOrder =True","RemoveDates =""True")</f>
        <v>17.46</v>
      </c>
      <c r="G77" s="5">
        <f t="shared" si="220"/>
        <v>4.5693713652728007E-3</v>
      </c>
      <c r="H77" s="5">
        <f t="shared" si="221"/>
        <v>-9.4082227867164914E-4</v>
      </c>
      <c r="I77" s="5">
        <f t="shared" si="222"/>
        <v>6.405969518848309E-3</v>
      </c>
      <c r="J77" s="5">
        <f t="shared" si="223"/>
        <v>4.025301897642386E-3</v>
      </c>
    </row>
    <row r="78" spans="1:10" x14ac:dyDescent="0.25">
      <c r="A78" s="13">
        <v>43327</v>
      </c>
      <c r="B78">
        <f t="array" ref="B78">_xll.HistoricalData(B$1,"Adj. Close",$A78,$A78,"Daily","RemoveHeaders = True","ReverseOrder =True","RemoveDates =""True")</f>
        <v>71.69</v>
      </c>
      <c r="C78">
        <f t="array" ref="C78">_xll.HistoricalData(C$1,"Adj. Close",$A78,$A78,"Daily","RemoveHeaders = True","ReverseOrder =True","RemoveDates =""True")</f>
        <v>106.34</v>
      </c>
      <c r="D78">
        <f t="array" ref="D78">_xll.HistoricalData(D$1,"Adj. Close",$A78,$A78,"Daily","RemoveHeaders = True","ReverseOrder =True","RemoveDates =""True")</f>
        <v>283.64999999999998</v>
      </c>
      <c r="E78">
        <f t="array" ref="E78">_xll.HistoricalData(E$1,"Adj. Close",$A78,$A78,"Daily","RemoveHeaders = True","ReverseOrder =True","RemoveDates =""True")</f>
        <v>17.317799999999998</v>
      </c>
      <c r="G78" s="5">
        <f t="shared" si="220"/>
        <v>-1.1853893866299092E-2</v>
      </c>
      <c r="H78" s="5">
        <f t="shared" si="221"/>
        <v>1.4125623881722227E-3</v>
      </c>
      <c r="I78" s="5">
        <f t="shared" si="222"/>
        <v>-7.9739796453678347E-3</v>
      </c>
      <c r="J78" s="5">
        <f t="shared" si="223"/>
        <v>-8.1443298969073874E-3</v>
      </c>
    </row>
    <row r="79" spans="1:10" x14ac:dyDescent="0.25">
      <c r="A79" s="13">
        <v>43328</v>
      </c>
      <c r="B79">
        <f t="array" ref="B79">_xll.HistoricalData(B$1,"Adj. Close",$A79,$A79,"Daily","RemoveHeaders = True","ReverseOrder =True","RemoveDates =""True")</f>
        <v>72.23</v>
      </c>
      <c r="C79">
        <f t="array" ref="C79">_xll.HistoricalData(C$1,"Adj. Close",$A79,$A79,"Daily","RemoveHeaders = True","ReverseOrder =True","RemoveDates =""True")</f>
        <v>106.4</v>
      </c>
      <c r="D79">
        <f t="array" ref="D79">_xll.HistoricalData(D$1,"Adj. Close",$A79,$A79,"Daily","RemoveHeaders = True","ReverseOrder =True","RemoveDates =""True")</f>
        <v>286.10000000000002</v>
      </c>
      <c r="E79">
        <f t="array" ref="E79">_xll.HistoricalData(E$1,"Adj. Close",$A79,$A79,"Daily","RemoveHeaders = True","ReverseOrder =True","RemoveDates =""True")</f>
        <v>17.190000000000001</v>
      </c>
      <c r="G79" s="5">
        <f t="shared" ref="G79:G87" si="224">B79/B78-1</f>
        <v>7.5324313014368816E-3</v>
      </c>
      <c r="H79" s="5">
        <f t="shared" ref="H79:H87" si="225">C79/C78-1</f>
        <v>5.6422794809107835E-4</v>
      </c>
      <c r="I79" s="5">
        <f t="shared" ref="I79:I87" si="226">D79/D78-1</f>
        <v>8.6374052529527567E-3</v>
      </c>
      <c r="J79" s="5">
        <f t="shared" ref="J79:J87" si="227">E79/E78-1</f>
        <v>-7.3796902608874726E-3</v>
      </c>
    </row>
    <row r="80" spans="1:10" x14ac:dyDescent="0.25">
      <c r="A80" s="13">
        <v>43329</v>
      </c>
      <c r="B80">
        <f t="array" ref="B80">_xll.HistoricalData(B$1,"Adj. Close",$A80,$A80,"Daily","RemoveHeaders = True","ReverseOrder =True","RemoveDates =""True")</f>
        <v>72.56</v>
      </c>
      <c r="C80">
        <f t="array" ref="C80">_xll.HistoricalData(C$1,"Adj. Close",$A80,$A80,"Daily","RemoveHeaders = True","ReverseOrder =True","RemoveDates =""True")</f>
        <v>106.46</v>
      </c>
      <c r="D80">
        <f t="array" ref="D80">_xll.HistoricalData(D$1,"Adj. Close",$A80,$A80,"Daily","RemoveHeaders = True","ReverseOrder =True","RemoveDates =""True")</f>
        <v>287.04000000000002</v>
      </c>
      <c r="E80">
        <f t="array" ref="E80">_xll.HistoricalData(E$1,"Adj. Close",$A80,$A80,"Daily","RemoveHeaders = True","ReverseOrder =True","RemoveDates =""True")</f>
        <v>17.440000000000001</v>
      </c>
      <c r="G80" s="5">
        <f t="shared" si="224"/>
        <v>4.568738751211443E-3</v>
      </c>
      <c r="H80" s="5">
        <f t="shared" si="225"/>
        <v>5.6390977443587786E-4</v>
      </c>
      <c r="I80" s="5">
        <f t="shared" si="226"/>
        <v>3.2855644879412615E-3</v>
      </c>
      <c r="J80" s="5">
        <f t="shared" si="227"/>
        <v>1.4543339150669077E-2</v>
      </c>
    </row>
    <row r="81" spans="1:10" x14ac:dyDescent="0.25">
      <c r="A81" s="13">
        <v>43332</v>
      </c>
      <c r="B81">
        <f t="array" ref="B81">_xll.HistoricalData(B$1,"Adj. Close",$A81,$A81,"Daily","RemoveHeaders = True","ReverseOrder =True","RemoveDates =""True")</f>
        <v>72.83</v>
      </c>
      <c r="C81">
        <f t="array" ref="C81">_xll.HistoricalData(C$1,"Adj. Close",$A81,$A81,"Daily","RemoveHeaders = True","ReverseOrder =True","RemoveDates =""True")</f>
        <v>106.67</v>
      </c>
      <c r="D81">
        <f t="array" ref="D81">_xll.HistoricalData(D$1,"Adj. Close",$A81,$A81,"Daily","RemoveHeaders = True","ReverseOrder =True","RemoveDates =""True")</f>
        <v>287.74</v>
      </c>
      <c r="E81">
        <f t="array" ref="E81">_xll.HistoricalData(E$1,"Adj. Close",$A81,$A81,"Daily","RemoveHeaders = True","ReverseOrder =True","RemoveDates =""True")</f>
        <v>17.5975</v>
      </c>
      <c r="G81" s="5">
        <f t="shared" si="224"/>
        <v>3.7210584343989606E-3</v>
      </c>
      <c r="H81" s="5">
        <f t="shared" si="225"/>
        <v>1.9725718579748364E-3</v>
      </c>
      <c r="I81" s="5">
        <f t="shared" si="226"/>
        <v>2.4386845039019445E-3</v>
      </c>
      <c r="J81" s="5">
        <f t="shared" si="227"/>
        <v>9.0309633027523262E-3</v>
      </c>
    </row>
    <row r="82" spans="1:10" x14ac:dyDescent="0.25">
      <c r="B82" t="str">
        <f t="array" ref="B82">_xll.HistoricalData(B$1,"Adj. Close",$A82,$A82,"Daily","RemoveHeaders = True","ReverseOrder =True","RemoveDates =""True")</f>
        <v>--</v>
      </c>
      <c r="C82" t="str">
        <f t="array" ref="C82">_xll.HistoricalData(C$1,"Adj. Close",$A82,$A82,"Daily","RemoveHeaders = True","ReverseOrder =True","RemoveDates =""True")</f>
        <v>--</v>
      </c>
      <c r="D82" t="str">
        <f t="array" ref="D82">_xll.HistoricalData(D$1,"Adj. Close",$A82,$A82,"Daily","RemoveHeaders = True","ReverseOrder =True","RemoveDates =""True")</f>
        <v>--</v>
      </c>
      <c r="E82" t="str">
        <f t="array" ref="E82">_xll.HistoricalData(E$1,"Adj. Close",$A82,$A82,"Daily","RemoveHeaders = True","ReverseOrder =True","RemoveDates =""True")</f>
        <v>--</v>
      </c>
      <c r="G82" s="5" t="e">
        <f t="shared" si="224"/>
        <v>#VALUE!</v>
      </c>
      <c r="H82" s="5" t="e">
        <f t="shared" si="225"/>
        <v>#VALUE!</v>
      </c>
      <c r="I82" s="5" t="e">
        <f t="shared" si="226"/>
        <v>#VALUE!</v>
      </c>
      <c r="J82" s="5" t="e">
        <f t="shared" si="227"/>
        <v>#VALUE!</v>
      </c>
    </row>
    <row r="83" spans="1:10" x14ac:dyDescent="0.25">
      <c r="B83" t="str">
        <f t="array" ref="B83">_xll.HistoricalData(B$1,"Adj. Close",$A83,$A83,"Daily","RemoveHeaders = True","ReverseOrder =True","RemoveDates =""True")</f>
        <v>--</v>
      </c>
      <c r="C83" t="str">
        <f t="array" ref="C83">_xll.HistoricalData(C$1,"Adj. Close",$A83,$A83,"Daily","RemoveHeaders = True","ReverseOrder =True","RemoveDates =""True")</f>
        <v>--</v>
      </c>
      <c r="D83" t="str">
        <f t="array" ref="D83">_xll.HistoricalData(D$1,"Adj. Close",$A83,$A83,"Daily","RemoveHeaders = True","ReverseOrder =True","RemoveDates =""True")</f>
        <v>--</v>
      </c>
      <c r="E83" t="str">
        <f t="array" ref="E83">_xll.HistoricalData(E$1,"Adj. Close",$A83,$A83,"Daily","RemoveHeaders = True","ReverseOrder =True","RemoveDates =""True")</f>
        <v>--</v>
      </c>
      <c r="G83" s="5" t="e">
        <f t="shared" si="224"/>
        <v>#VALUE!</v>
      </c>
      <c r="H83" s="5" t="e">
        <f t="shared" si="225"/>
        <v>#VALUE!</v>
      </c>
      <c r="I83" s="5" t="e">
        <f t="shared" si="226"/>
        <v>#VALUE!</v>
      </c>
      <c r="J83" s="5" t="e">
        <f t="shared" si="227"/>
        <v>#VALUE!</v>
      </c>
    </row>
    <row r="84" spans="1:10" x14ac:dyDescent="0.25">
      <c r="B84" t="str">
        <f t="array" ref="B84">_xll.HistoricalData(B$1,"Adj. Close",$A84,$A84,"Daily","RemoveHeaders = True","ReverseOrder =True","RemoveDates =""True")</f>
        <v>--</v>
      </c>
      <c r="C84" t="str">
        <f t="array" ref="C84">_xll.HistoricalData(C$1,"Adj. Close",$A84,$A84,"Daily","RemoveHeaders = True","ReverseOrder =True","RemoveDates =""True")</f>
        <v>--</v>
      </c>
      <c r="D84" t="str">
        <f t="array" ref="D84">_xll.HistoricalData(D$1,"Adj. Close",$A84,$A84,"Daily","RemoveHeaders = True","ReverseOrder =True","RemoveDates =""True")</f>
        <v>--</v>
      </c>
      <c r="E84" t="str">
        <f t="array" ref="E84">_xll.HistoricalData(E$1,"Adj. Close",$A84,$A84,"Daily","RemoveHeaders = True","ReverseOrder =True","RemoveDates =""True")</f>
        <v>--</v>
      </c>
      <c r="G84" s="5" t="e">
        <f t="shared" si="224"/>
        <v>#VALUE!</v>
      </c>
      <c r="H84" s="5" t="e">
        <f t="shared" si="225"/>
        <v>#VALUE!</v>
      </c>
      <c r="I84" s="5" t="e">
        <f t="shared" si="226"/>
        <v>#VALUE!</v>
      </c>
      <c r="J84" s="5" t="e">
        <f t="shared" si="227"/>
        <v>#VALUE!</v>
      </c>
    </row>
    <row r="85" spans="1:10" x14ac:dyDescent="0.25">
      <c r="B85" t="str">
        <f t="array" ref="B85">_xll.HistoricalData(B$1,"Adj. Close",$A85,$A85,"Daily","RemoveHeaders = True","ReverseOrder =True","RemoveDates =""True")</f>
        <v>--</v>
      </c>
      <c r="C85" t="str">
        <f t="array" ref="C85">_xll.HistoricalData(C$1,"Adj. Close",$A85,$A85,"Daily","RemoveHeaders = True","ReverseOrder =True","RemoveDates =""True")</f>
        <v>--</v>
      </c>
      <c r="D85" t="str">
        <f t="array" ref="D85">_xll.HistoricalData(D$1,"Adj. Close",$A85,$A85,"Daily","RemoveHeaders = True","ReverseOrder =True","RemoveDates =""True")</f>
        <v>--</v>
      </c>
      <c r="E85" t="str">
        <f t="array" ref="E85">_xll.HistoricalData(E$1,"Adj. Close",$A85,$A85,"Daily","RemoveHeaders = True","ReverseOrder =True","RemoveDates =""True")</f>
        <v>--</v>
      </c>
      <c r="G85" s="5" t="e">
        <f t="shared" si="224"/>
        <v>#VALUE!</v>
      </c>
      <c r="H85" s="5" t="e">
        <f t="shared" si="225"/>
        <v>#VALUE!</v>
      </c>
      <c r="I85" s="5" t="e">
        <f t="shared" si="226"/>
        <v>#VALUE!</v>
      </c>
      <c r="J85" s="5" t="e">
        <f t="shared" si="227"/>
        <v>#VALUE!</v>
      </c>
    </row>
    <row r="86" spans="1:10" x14ac:dyDescent="0.25">
      <c r="B86" t="str">
        <f t="array" ref="B86">_xll.HistoricalData(B$1,"Adj. Close",$A86,$A86,"Daily","RemoveHeaders = True","ReverseOrder =True","RemoveDates =""True")</f>
        <v>--</v>
      </c>
      <c r="C86" t="str">
        <f t="array" ref="C86">_xll.HistoricalData(C$1,"Adj. Close",$A86,$A86,"Daily","RemoveHeaders = True","ReverseOrder =True","RemoveDates =""True")</f>
        <v>--</v>
      </c>
      <c r="D86" t="str">
        <f t="array" ref="D86">_xll.HistoricalData(D$1,"Adj. Close",$A86,$A86,"Daily","RemoveHeaders = True","ReverseOrder =True","RemoveDates =""True")</f>
        <v>--</v>
      </c>
      <c r="E86" t="str">
        <f t="array" ref="E86">_xll.HistoricalData(E$1,"Adj. Close",$A86,$A86,"Daily","RemoveHeaders = True","ReverseOrder =True","RemoveDates =""True")</f>
        <v>--</v>
      </c>
      <c r="G86" s="5" t="e">
        <f t="shared" si="224"/>
        <v>#VALUE!</v>
      </c>
      <c r="H86" s="5" t="e">
        <f t="shared" si="225"/>
        <v>#VALUE!</v>
      </c>
      <c r="I86" s="5" t="e">
        <f t="shared" si="226"/>
        <v>#VALUE!</v>
      </c>
      <c r="J86" s="5" t="e">
        <f t="shared" si="227"/>
        <v>#VALUE!</v>
      </c>
    </row>
    <row r="87" spans="1:10" x14ac:dyDescent="0.25">
      <c r="B87" t="str">
        <f t="array" ref="B87">_xll.HistoricalData(B$1,"Adj. Close",$A87,$A87,"Daily","RemoveHeaders = True","ReverseOrder =True","RemoveDates =""True")</f>
        <v>--</v>
      </c>
      <c r="C87" t="str">
        <f t="array" ref="C87">_xll.HistoricalData(C$1,"Adj. Close",$A87,$A87,"Daily","RemoveHeaders = True","ReverseOrder =True","RemoveDates =""True")</f>
        <v>--</v>
      </c>
      <c r="D87" t="str">
        <f t="array" ref="D87">_xll.HistoricalData(D$1,"Adj. Close",$A87,$A87,"Daily","RemoveHeaders = True","ReverseOrder =True","RemoveDates =""True")</f>
        <v>--</v>
      </c>
      <c r="E87" t="str">
        <f t="array" ref="E87">_xll.HistoricalData(E$1,"Adj. Close",$A87,$A87,"Daily","RemoveHeaders = True","ReverseOrder =True","RemoveDates =""True")</f>
        <v>--</v>
      </c>
      <c r="G87" s="5" t="e">
        <f t="shared" si="224"/>
        <v>#VALUE!</v>
      </c>
      <c r="H87" s="5" t="e">
        <f t="shared" si="225"/>
        <v>#VALUE!</v>
      </c>
      <c r="I87" s="5" t="e">
        <f t="shared" si="226"/>
        <v>#VALUE!</v>
      </c>
      <c r="J87" s="5" t="e">
        <f t="shared" si="227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N27" sqref="N27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0.99278775913896955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354.57</v>
      </c>
      <c r="D5">
        <f>ROUNDDOWN(($C$2/6)/B5,0)</f>
        <v>35</v>
      </c>
      <c r="E5" s="8">
        <f>C5/B5-1</f>
        <v>6.8142792589245493E-2</v>
      </c>
      <c r="F5">
        <f>C5*D5</f>
        <v>12409.949999999999</v>
      </c>
      <c r="G5" s="73">
        <f>F5/$F$13</f>
        <v>0.16870591384718434</v>
      </c>
      <c r="H5" s="8">
        <f>F5/$F$31</f>
        <v>0.11935661026476657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1885.37</v>
      </c>
      <c r="D6">
        <f t="shared" ref="D6:D10" si="0">ROUNDDOWN(($C$2/6)/B6,0)</f>
        <v>7</v>
      </c>
      <c r="E6" s="8">
        <f t="shared" ref="E6:E10" si="1">C6/B6-1</f>
        <v>0.15693842736343444</v>
      </c>
      <c r="F6">
        <f t="shared" ref="F6:F9" si="2">C6*D6</f>
        <v>13197.59</v>
      </c>
      <c r="G6" s="73">
        <f t="shared" ref="G6:G10" si="3">F6/$F$13</f>
        <v>0.17941341274787262</v>
      </c>
      <c r="H6" s="8">
        <f t="shared" ref="H6:H10" si="4">F6/$F$31</f>
        <v>0.12693198651599572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46.31</v>
      </c>
      <c r="D7">
        <f t="shared" si="0"/>
        <v>275</v>
      </c>
      <c r="E7" s="8">
        <f t="shared" si="1"/>
        <v>9.2732420953279826E-2</v>
      </c>
      <c r="F7">
        <f t="shared" si="2"/>
        <v>12735.25</v>
      </c>
      <c r="G7" s="73">
        <f t="shared" si="3"/>
        <v>0.17312817451499438</v>
      </c>
      <c r="H7" s="8">
        <f t="shared" si="4"/>
        <v>0.12248528566790105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529.57000000000005</v>
      </c>
      <c r="D8">
        <f t="shared" si="0"/>
        <v>25</v>
      </c>
      <c r="E8" s="8">
        <f t="shared" si="1"/>
        <v>0.1520656122870756</v>
      </c>
      <c r="F8">
        <f t="shared" si="2"/>
        <v>13239.250000000002</v>
      </c>
      <c r="G8" s="73">
        <f t="shared" si="3"/>
        <v>0.17997975575254821</v>
      </c>
      <c r="H8" s="8">
        <f t="shared" si="4"/>
        <v>0.12733266471241311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49.55</v>
      </c>
      <c r="D9">
        <f t="shared" si="0"/>
        <v>202</v>
      </c>
      <c r="E9" s="8">
        <f t="shared" si="1"/>
        <v>-0.13960757075881236</v>
      </c>
      <c r="F9">
        <f t="shared" si="2"/>
        <v>10009.099999999999</v>
      </c>
      <c r="G9" s="73">
        <f t="shared" si="3"/>
        <v>0.13606778127936475</v>
      </c>
      <c r="H9" s="8">
        <f t="shared" si="4"/>
        <v>9.6265677766717433E-2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55.256</v>
      </c>
      <c r="D10">
        <f t="shared" si="0"/>
        <v>207</v>
      </c>
      <c r="E10" s="8">
        <f t="shared" si="1"/>
        <v>-1.9414374445430371E-2</v>
      </c>
      <c r="F10">
        <f>C10*D10</f>
        <v>11437.992</v>
      </c>
      <c r="G10" s="73">
        <f t="shared" si="3"/>
        <v>0.15549272099700515</v>
      </c>
      <c r="H10" s="8">
        <f t="shared" si="4"/>
        <v>0.11000849748431848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73559.661999999997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5.085231428571424E-2</v>
      </c>
    </row>
    <row r="15" spans="1:23" x14ac:dyDescent="0.25">
      <c r="E15" t="s">
        <v>108</v>
      </c>
    </row>
    <row r="17" spans="1:10" x14ac:dyDescent="0.25">
      <c r="H17" s="11">
        <f>SUM(H20:H23)</f>
        <v>0.98834157297326852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16.93</v>
      </c>
      <c r="D20">
        <f>ROUNDDOWN(($C$3*E20)/B20,0)</f>
        <v>250</v>
      </c>
      <c r="E20" s="11">
        <v>0.14199999999999999</v>
      </c>
      <c r="F20" s="8">
        <f>C20/B20-1</f>
        <v>-4.1176470588235592E-3</v>
      </c>
      <c r="G20">
        <f>D20*C20</f>
        <v>4232.5</v>
      </c>
      <c r="H20" s="8">
        <f>G20/$G$27</f>
        <v>0.13916264986925531</v>
      </c>
      <c r="I20" s="8">
        <f>G20/$F$31</f>
        <v>4.070740437678029E-2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288.63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2.0326640271493224E-2</v>
      </c>
      <c r="G21">
        <f t="shared" ref="G21:G22" si="8">D21*C21</f>
        <v>10967.94</v>
      </c>
      <c r="H21" s="8">
        <f t="shared" ref="H21:H23" si="9">G21/$G$27</f>
        <v>0.36062081370513882</v>
      </c>
      <c r="I21" s="8">
        <f t="shared" ref="I21:I23" si="10">G21/$F$31</f>
        <v>0.10548762404259035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82.94</v>
      </c>
      <c r="D22">
        <f t="shared" si="6"/>
        <v>144</v>
      </c>
      <c r="E22" s="11">
        <v>0.39300000000000002</v>
      </c>
      <c r="F22" s="8">
        <f t="shared" si="7"/>
        <v>1.7419038272816545E-2</v>
      </c>
      <c r="G22">
        <f t="shared" si="8"/>
        <v>11943.36</v>
      </c>
      <c r="H22" s="8">
        <f t="shared" si="9"/>
        <v>0.39269217387890587</v>
      </c>
      <c r="I22" s="8">
        <f t="shared" si="10"/>
        <v>0.11486903370052279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83.304900000000004</v>
      </c>
      <c r="D23">
        <f>ROUNDDOWN(($C$3*E23)/B23,0)</f>
        <v>35</v>
      </c>
      <c r="E23" s="11">
        <v>9.9000000000000005E-2</v>
      </c>
      <c r="F23" s="8">
        <f t="shared" si="7"/>
        <v>2.9484709848301982E-3</v>
      </c>
      <c r="G23">
        <f>D23*C23</f>
        <v>2915.6714999999999</v>
      </c>
      <c r="H23" s="8">
        <f t="shared" si="9"/>
        <v>9.5865935519968443E-2</v>
      </c>
      <c r="I23" s="8">
        <f t="shared" si="10"/>
        <v>2.804239073369251E-2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30414.051500000005</v>
      </c>
      <c r="J27">
        <f>SUM(J20:J23)</f>
        <v>29645.42</v>
      </c>
    </row>
    <row r="28" spans="1:10" x14ac:dyDescent="0.25">
      <c r="F28" t="s">
        <v>106</v>
      </c>
      <c r="G28" s="8">
        <f>G27/J27-1</f>
        <v>2.5927495714346716E-2</v>
      </c>
      <c r="I28" t="s">
        <v>26</v>
      </c>
      <c r="J28">
        <f>C3-J27</f>
        <v>354.58000000000175</v>
      </c>
    </row>
    <row r="31" spans="1:10" x14ac:dyDescent="0.25">
      <c r="E31" t="s">
        <v>101</v>
      </c>
      <c r="F31" s="75">
        <f>SUM(F13,G27)</f>
        <v>103973.7135</v>
      </c>
    </row>
    <row r="33" spans="1:9" x14ac:dyDescent="0.25">
      <c r="E33" t="s">
        <v>105</v>
      </c>
      <c r="F33" s="8">
        <f>F31/B1-1</f>
        <v>3.9737134999999979E-2</v>
      </c>
      <c r="H33" s="11">
        <f>F33-F37</f>
        <v>9.9586973468766445E-3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38.212000000000003</v>
      </c>
      <c r="D37" s="8">
        <f>C37/B37-1</f>
        <v>-1.2545739675899892E-3</v>
      </c>
      <c r="E37" s="11"/>
      <c r="F37" s="8">
        <f>D37*$B$3+D40*$B$2</f>
        <v>2.9778437653123335E-2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288.63</v>
      </c>
      <c r="D38" s="8">
        <f t="shared" ref="D38:D39" si="12">C38/B38-1</f>
        <v>5.8299417005829746E-2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180.45</v>
      </c>
      <c r="D39" s="8">
        <f t="shared" si="12"/>
        <v>6.1033692009172746E-2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46.625599999999999</v>
      </c>
      <c r="D40" s="8">
        <f>C40/B40-1</f>
        <v>4.3078299776286189E-2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2018-08-21T13:44:16Z</dcterms:modified>
</cp:coreProperties>
</file>