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8" i="2" l="1"/>
  <c r="F88" i="2" s="1"/>
  <c r="J88" i="2"/>
  <c r="P88" i="2" s="1"/>
  <c r="K88" i="2"/>
  <c r="Q88" i="2" s="1"/>
  <c r="L88" i="2"/>
  <c r="R88" i="2" s="1"/>
  <c r="M88" i="2"/>
  <c r="S88" i="2" s="1"/>
  <c r="N88" i="2"/>
  <c r="T88" i="2" s="1"/>
  <c r="B88" i="2"/>
  <c r="D88" i="2"/>
  <c r="AK88" i="2" l="1"/>
  <c r="W88" i="2"/>
  <c r="AC88" i="2"/>
  <c r="Z88" i="2"/>
  <c r="AN88" i="2"/>
  <c r="AF88" i="2"/>
  <c r="Y88" i="2"/>
  <c r="AM88" i="2"/>
  <c r="AE88" i="2"/>
  <c r="AD88" i="2"/>
  <c r="AL88" i="2"/>
  <c r="X88" i="2"/>
  <c r="AJ88" i="2"/>
  <c r="V88" i="2"/>
  <c r="AB88" i="2"/>
  <c r="G88" i="2"/>
  <c r="H88" i="2"/>
  <c r="AI88" i="2"/>
  <c r="E87" i="2"/>
  <c r="F87" i="2" s="1"/>
  <c r="J87" i="2"/>
  <c r="K87" i="2"/>
  <c r="L87" i="2"/>
  <c r="N87" i="2"/>
  <c r="B87" i="2"/>
  <c r="D87" i="2"/>
  <c r="G87" i="2" l="1"/>
  <c r="H87" i="2"/>
  <c r="AI87" i="2"/>
  <c r="M87" i="2"/>
  <c r="E86" i="2"/>
  <c r="F86" i="2" s="1"/>
  <c r="J86" i="2"/>
  <c r="K86" i="2"/>
  <c r="L86" i="2"/>
  <c r="M86" i="2"/>
  <c r="N86" i="2"/>
  <c r="B86" i="2"/>
  <c r="D86" i="2"/>
  <c r="AI86" i="2" l="1"/>
  <c r="G86" i="2"/>
  <c r="H86" i="2"/>
  <c r="E85" i="2"/>
  <c r="F85" i="2"/>
  <c r="G85" i="2" s="1"/>
  <c r="J85" i="2"/>
  <c r="K85" i="2"/>
  <c r="L85" i="2"/>
  <c r="N85" i="2"/>
  <c r="B85" i="2"/>
  <c r="D85" i="2"/>
  <c r="M85" i="2" l="1"/>
  <c r="AI85" i="2"/>
  <c r="H85" i="2"/>
  <c r="E84" i="2"/>
  <c r="F84" i="2" s="1"/>
  <c r="J84" i="2"/>
  <c r="K84" i="2"/>
  <c r="L84" i="2"/>
  <c r="N84" i="2"/>
  <c r="B84" i="2"/>
  <c r="D84" i="2"/>
  <c r="B90" i="3" a="1"/>
  <c r="D91" i="3" a="1"/>
  <c r="B92" i="3" a="1"/>
  <c r="C91" i="3" a="1"/>
  <c r="C90" i="3" a="1"/>
  <c r="E91" i="3" a="1"/>
  <c r="C92" i="3" a="1"/>
  <c r="E90" i="3" a="1"/>
  <c r="D90" i="3" a="1"/>
  <c r="B91" i="3" a="1"/>
  <c r="D92" i="3" a="1"/>
  <c r="E92" i="3" a="1"/>
  <c r="E88" i="3" a="1"/>
  <c r="D88" i="3" a="1"/>
  <c r="C88" i="3" a="1"/>
  <c r="B88" i="3" a="1"/>
  <c r="D89" i="3" a="1"/>
  <c r="B89" i="3" a="1"/>
  <c r="E89" i="3" a="1"/>
  <c r="C89" i="3" a="1"/>
  <c r="M84" i="2" l="1"/>
  <c r="E92" i="3"/>
  <c r="J92" i="3" s="1"/>
  <c r="C89" i="3"/>
  <c r="E88" i="3"/>
  <c r="D92" i="3"/>
  <c r="I92" i="3" s="1"/>
  <c r="B91" i="3"/>
  <c r="G91" i="3" s="1"/>
  <c r="D90" i="3"/>
  <c r="I90" i="3" s="1"/>
  <c r="B89" i="3"/>
  <c r="G89" i="3" s="1"/>
  <c r="D88" i="3"/>
  <c r="E90" i="3"/>
  <c r="C92" i="3"/>
  <c r="E91" i="3"/>
  <c r="C90" i="3"/>
  <c r="H90" i="3" s="1"/>
  <c r="E89" i="3"/>
  <c r="J89" i="3" s="1"/>
  <c r="C88" i="3"/>
  <c r="C91" i="3"/>
  <c r="H91" i="3" s="1"/>
  <c r="B92" i="3"/>
  <c r="D91" i="3"/>
  <c r="B90" i="3"/>
  <c r="D89" i="3"/>
  <c r="I89" i="3" s="1"/>
  <c r="B88" i="3"/>
  <c r="AI84" i="2"/>
  <c r="G84" i="2"/>
  <c r="H84" i="2"/>
  <c r="E83" i="2"/>
  <c r="F83" i="2" s="1"/>
  <c r="J83" i="2"/>
  <c r="K83" i="2"/>
  <c r="L83" i="2"/>
  <c r="N83" i="2"/>
  <c r="B83" i="2"/>
  <c r="D83" i="2"/>
  <c r="G90" i="3" l="1"/>
  <c r="H92" i="3"/>
  <c r="I91" i="3"/>
  <c r="J90" i="3"/>
  <c r="G92" i="3"/>
  <c r="J91" i="3"/>
  <c r="H89" i="3"/>
  <c r="G83" i="2"/>
  <c r="H83" i="2"/>
  <c r="AI83" i="2"/>
  <c r="M83" i="2"/>
  <c r="E82" i="2"/>
  <c r="F82" i="2"/>
  <c r="AI82" i="2" s="1"/>
  <c r="J82" i="2"/>
  <c r="K82" i="2"/>
  <c r="L82" i="2"/>
  <c r="N82" i="2"/>
  <c r="B82" i="2"/>
  <c r="D82" i="2"/>
  <c r="M82" i="2" l="1"/>
  <c r="H82" i="2"/>
  <c r="G82" i="2"/>
  <c r="E81" i="2"/>
  <c r="F81" i="2"/>
  <c r="AI81" i="2" s="1"/>
  <c r="J81" i="2"/>
  <c r="K81" i="2"/>
  <c r="L81" i="2"/>
  <c r="N81" i="2"/>
  <c r="B81" i="2"/>
  <c r="D81" i="2"/>
  <c r="M81" i="2" l="1"/>
  <c r="H81" i="2"/>
  <c r="G81" i="2"/>
  <c r="E80" i="2"/>
  <c r="F80" i="2"/>
  <c r="G80" i="2" s="1"/>
  <c r="AI80" i="2"/>
  <c r="B80" i="2"/>
  <c r="D80" i="2"/>
  <c r="H80" i="2" l="1"/>
  <c r="E79" i="2"/>
  <c r="F79" i="2"/>
  <c r="G79" i="2" s="1"/>
  <c r="B79" i="2"/>
  <c r="D79" i="2"/>
  <c r="AI79" i="2" l="1"/>
  <c r="H79" i="2"/>
  <c r="E78" i="2"/>
  <c r="F78" i="2"/>
  <c r="G78" i="2" s="1"/>
  <c r="J78" i="2"/>
  <c r="K78" i="2"/>
  <c r="L78" i="2"/>
  <c r="N78" i="2"/>
  <c r="AI78" i="2"/>
  <c r="B78" i="2"/>
  <c r="D78" i="2"/>
  <c r="M78" i="2" l="1"/>
  <c r="H78" i="2"/>
  <c r="B76" i="2"/>
  <c r="E77" i="2"/>
  <c r="F77" i="2"/>
  <c r="G77" i="2" s="1"/>
  <c r="J77" i="2"/>
  <c r="K77" i="2"/>
  <c r="L77" i="2"/>
  <c r="N77" i="2"/>
  <c r="B77" i="2"/>
  <c r="D77" i="2"/>
  <c r="M77" i="2" l="1"/>
  <c r="AI77" i="2"/>
  <c r="H77" i="2"/>
  <c r="E76" i="2"/>
  <c r="F76" i="2" s="1"/>
  <c r="J76" i="2"/>
  <c r="K76" i="2"/>
  <c r="L76" i="2"/>
  <c r="N76" i="2"/>
  <c r="D76" i="2"/>
  <c r="C79" i="3" a="1"/>
  <c r="B79" i="3" a="1"/>
  <c r="E79" i="3" a="1"/>
  <c r="D79" i="3" a="1"/>
  <c r="C80" i="3" a="1"/>
  <c r="D80" i="3" a="1"/>
  <c r="E80" i="3" a="1"/>
  <c r="B80" i="3" a="1"/>
  <c r="B81" i="3" a="1"/>
  <c r="D81" i="3" a="1"/>
  <c r="E81" i="3" a="1"/>
  <c r="C81" i="3" a="1"/>
  <c r="C82" i="3" a="1"/>
  <c r="B82" i="3" a="1"/>
  <c r="D82" i="3" a="1"/>
  <c r="E82" i="3" a="1"/>
  <c r="B83" i="3" a="1"/>
  <c r="D83" i="3" a="1"/>
  <c r="C83" i="3" a="1"/>
  <c r="E83" i="3" a="1"/>
  <c r="E84" i="3" a="1"/>
  <c r="B84" i="3" a="1"/>
  <c r="D84" i="3" a="1"/>
  <c r="C84" i="3" a="1"/>
  <c r="D85" i="3" a="1"/>
  <c r="E85" i="3" a="1"/>
  <c r="C85" i="3" a="1"/>
  <c r="B85" i="3" a="1"/>
  <c r="B86" i="3" a="1"/>
  <c r="E86" i="3" a="1"/>
  <c r="C86" i="3" a="1"/>
  <c r="D86" i="3" a="1"/>
  <c r="B87" i="3" a="1"/>
  <c r="C87" i="3" a="1"/>
  <c r="D87" i="3" a="1"/>
  <c r="E87" i="3" a="1"/>
  <c r="B80" i="3" l="1"/>
  <c r="B87" i="3"/>
  <c r="G88" i="3" s="1"/>
  <c r="B85" i="3"/>
  <c r="G85" i="3" s="1"/>
  <c r="B83" i="3"/>
  <c r="B81" i="3"/>
  <c r="B79" i="3"/>
  <c r="E87" i="3"/>
  <c r="J88" i="3" s="1"/>
  <c r="E85" i="3"/>
  <c r="J85" i="3" s="1"/>
  <c r="E83" i="3"/>
  <c r="J83" i="3" s="1"/>
  <c r="E81" i="3"/>
  <c r="E79" i="3"/>
  <c r="D87" i="3"/>
  <c r="I88" i="3" s="1"/>
  <c r="B84" i="3"/>
  <c r="D86" i="3"/>
  <c r="D84" i="3"/>
  <c r="D82" i="3"/>
  <c r="D80" i="3"/>
  <c r="I80" i="3" s="1"/>
  <c r="L79" i="2" s="1"/>
  <c r="C86" i="3"/>
  <c r="C84" i="3"/>
  <c r="C82" i="3"/>
  <c r="C80" i="3"/>
  <c r="D85" i="3"/>
  <c r="I85" i="3" s="1"/>
  <c r="D79" i="3"/>
  <c r="D83" i="3"/>
  <c r="I83" i="3" s="1"/>
  <c r="D81" i="3"/>
  <c r="I81" i="3" s="1"/>
  <c r="L80" i="2" s="1"/>
  <c r="C87" i="3"/>
  <c r="E86" i="3"/>
  <c r="C85" i="3"/>
  <c r="H85" i="3" s="1"/>
  <c r="E84" i="3"/>
  <c r="C83" i="3"/>
  <c r="E82" i="3"/>
  <c r="J82" i="3" s="1"/>
  <c r="C81" i="3"/>
  <c r="H81" i="3" s="1"/>
  <c r="K80" i="2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H87" i="3" l="1"/>
  <c r="H88" i="3"/>
  <c r="J86" i="3"/>
  <c r="H83" i="3"/>
  <c r="H82" i="3"/>
  <c r="J80" i="3"/>
  <c r="N79" i="2" s="1"/>
  <c r="G80" i="3"/>
  <c r="J79" i="2" s="1"/>
  <c r="I87" i="3"/>
  <c r="G83" i="3"/>
  <c r="I82" i="3"/>
  <c r="I84" i="3"/>
  <c r="J87" i="3"/>
  <c r="I86" i="3"/>
  <c r="J84" i="3"/>
  <c r="H80" i="3"/>
  <c r="K79" i="2" s="1"/>
  <c r="G84" i="3"/>
  <c r="G81" i="3"/>
  <c r="J80" i="2" s="1"/>
  <c r="M75" i="2"/>
  <c r="H84" i="3"/>
  <c r="H86" i="3"/>
  <c r="J81" i="3"/>
  <c r="N80" i="2" s="1"/>
  <c r="G87" i="3"/>
  <c r="AI75" i="2"/>
  <c r="H75" i="2"/>
  <c r="E74" i="2"/>
  <c r="F74" i="2" s="1"/>
  <c r="J74" i="2"/>
  <c r="K74" i="2"/>
  <c r="L74" i="2"/>
  <c r="N74" i="2"/>
  <c r="B74" i="2"/>
  <c r="D74" i="2"/>
  <c r="M80" i="2" l="1"/>
  <c r="M79" i="2"/>
  <c r="M74" i="2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M70" i="2" l="1"/>
  <c r="G70" i="2"/>
  <c r="H70" i="2"/>
  <c r="AI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6" i="4"/>
  <c r="C39" i="4"/>
  <c r="C21" i="4"/>
  <c r="C7" i="4"/>
  <c r="C37" i="4"/>
  <c r="C5" i="4"/>
  <c r="C8" i="4"/>
  <c r="C9" i="4"/>
  <c r="C40" i="4"/>
  <c r="C20" i="4"/>
  <c r="C38" i="4"/>
  <c r="C10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11" i="1"/>
  <c r="U5" i="1"/>
  <c r="U4" i="1"/>
  <c r="U12" i="1"/>
  <c r="U7" i="1"/>
  <c r="M12" i="1"/>
  <c r="U9" i="1"/>
  <c r="B12" i="1"/>
  <c r="U6" i="1"/>
  <c r="U8" i="1"/>
  <c r="U10" i="1"/>
  <c r="U2" i="1"/>
  <c r="U3" i="1"/>
  <c r="G2" i="4" l="1"/>
  <c r="H17" i="4"/>
  <c r="U14" i="1" a="1"/>
  <c r="U14" i="1" s="1"/>
  <c r="V14" i="1" s="1"/>
  <c r="F33" i="4"/>
  <c r="H33" i="4" s="1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2" i="1"/>
  <c r="J9" i="1"/>
  <c r="J10" i="1"/>
  <c r="J7" i="1"/>
  <c r="J11" i="1"/>
  <c r="J8" i="1"/>
  <c r="J5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G4" i="1"/>
  <c r="L6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1" i="1"/>
  <c r="M5" i="1"/>
  <c r="M10" i="1"/>
  <c r="M7" i="1"/>
  <c r="M9" i="1"/>
  <c r="M6" i="1"/>
  <c r="M4" i="1"/>
  <c r="M3" i="1"/>
  <c r="M2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0" i="1" a="1"/>
  <c r="L5" i="1" a="1"/>
  <c r="L11" i="1" a="1"/>
  <c r="L4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1" i="1"/>
  <c r="L5" i="1"/>
  <c r="L10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2" i="1"/>
  <c r="L8" i="1"/>
  <c r="L7" i="1"/>
  <c r="L3" i="1"/>
  <c r="L9" i="1"/>
  <c r="K26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4" i="1"/>
  <c r="K23" i="1"/>
  <c r="K22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J3" i="1"/>
  <c r="B11" i="1"/>
  <c r="B8" i="1"/>
  <c r="B7" i="1"/>
  <c r="B2" i="1"/>
  <c r="B5" i="1"/>
  <c r="B10" i="1"/>
  <c r="B6" i="1"/>
  <c r="J2" i="1"/>
  <c r="B9" i="1"/>
  <c r="B4" i="1"/>
  <c r="J6" i="1"/>
  <c r="B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AK33" i="2" s="1"/>
  <c r="R33" i="2"/>
  <c r="R34" i="2" s="1"/>
  <c r="AD32" i="2"/>
  <c r="AB32" i="2"/>
  <c r="AC32" i="2"/>
  <c r="W32" i="2"/>
  <c r="X32" i="2"/>
  <c r="V32" i="2"/>
  <c r="Q34" i="2"/>
  <c r="AK34" i="2" s="1"/>
  <c r="T25" i="2"/>
  <c r="Z24" i="2"/>
  <c r="AF24" i="2"/>
  <c r="S14" i="2"/>
  <c r="Y13" i="2"/>
  <c r="AE13" i="2"/>
  <c r="F14" i="2"/>
  <c r="G13" i="2"/>
  <c r="H13" i="2"/>
  <c r="W33" i="2" l="1"/>
  <c r="AC33" i="2"/>
  <c r="V33" i="2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V34" i="2" l="1"/>
  <c r="W35" i="2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Z31" i="2"/>
  <c r="AF31" i="2"/>
  <c r="Y18" i="2"/>
  <c r="S19" i="2"/>
  <c r="AE18" i="2"/>
  <c r="G18" i="2"/>
  <c r="F19" i="2"/>
  <c r="H18" i="2"/>
  <c r="AF32" i="2" l="1"/>
  <c r="T33" i="2"/>
  <c r="Z32" i="2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Z33" i="2"/>
  <c r="AF33" i="2"/>
  <c r="AE19" i="2"/>
  <c r="S20" i="2"/>
  <c r="Y19" i="2"/>
  <c r="F20" i="2"/>
  <c r="G19" i="2"/>
  <c r="H19" i="2"/>
  <c r="AF34" i="2" l="1"/>
  <c r="Z34" i="2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 l="1"/>
  <c r="AM33" i="2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AE36" i="2" l="1"/>
  <c r="S38" i="2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87" i="2" l="1"/>
  <c r="X87" i="2"/>
  <c r="AL87" i="2"/>
  <c r="X86" i="2"/>
  <c r="AD86" i="2"/>
  <c r="AL86" i="2"/>
  <c r="X85" i="2"/>
  <c r="AL85" i="2"/>
  <c r="AD85" i="2"/>
  <c r="AD84" i="2"/>
  <c r="AL84" i="2"/>
  <c r="X84" i="2"/>
  <c r="X83" i="2"/>
  <c r="AL83" i="2"/>
  <c r="AD83" i="2"/>
  <c r="AD82" i="2"/>
  <c r="X82" i="2"/>
  <c r="AL82" i="2"/>
  <c r="AL81" i="2"/>
  <c r="AD81" i="2"/>
  <c r="X81" i="2"/>
  <c r="AD80" i="2"/>
  <c r="X80" i="2"/>
  <c r="AL80" i="2"/>
  <c r="AD79" i="2"/>
  <c r="AL79" i="2"/>
  <c r="X79" i="2"/>
  <c r="X78" i="2"/>
  <c r="AL78" i="2"/>
  <c r="AD78" i="2"/>
  <c r="P79" i="2"/>
  <c r="P80" i="2" s="1"/>
  <c r="P81" i="2" s="1"/>
  <c r="P82" i="2" s="1"/>
  <c r="P83" i="2" s="1"/>
  <c r="P84" i="2" s="1"/>
  <c r="P85" i="2" s="1"/>
  <c r="P86" i="2" s="1"/>
  <c r="P87" i="2" s="1"/>
  <c r="AJ78" i="2"/>
  <c r="V78" i="2"/>
  <c r="AB78" i="2"/>
  <c r="X77" i="2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V87" i="2" l="1"/>
  <c r="AJ87" i="2"/>
  <c r="AB87" i="2"/>
  <c r="AK87" i="2"/>
  <c r="AC87" i="2"/>
  <c r="W87" i="2"/>
  <c r="AK86" i="2"/>
  <c r="AC86" i="2"/>
  <c r="W86" i="2"/>
  <c r="V86" i="2"/>
  <c r="AJ86" i="2"/>
  <c r="AB86" i="2"/>
  <c r="W85" i="2"/>
  <c r="AC85" i="2"/>
  <c r="AK85" i="2"/>
  <c r="AB85" i="2"/>
  <c r="AJ85" i="2"/>
  <c r="V85" i="2"/>
  <c r="AK84" i="2"/>
  <c r="AC84" i="2"/>
  <c r="W84" i="2"/>
  <c r="V84" i="2"/>
  <c r="AJ84" i="2"/>
  <c r="AB84" i="2"/>
  <c r="AC83" i="2"/>
  <c r="W83" i="2"/>
  <c r="AK83" i="2"/>
  <c r="AJ83" i="2"/>
  <c r="V83" i="2"/>
  <c r="AB83" i="2"/>
  <c r="AC82" i="2"/>
  <c r="W82" i="2"/>
  <c r="AK82" i="2"/>
  <c r="AJ82" i="2"/>
  <c r="AB82" i="2"/>
  <c r="V82" i="2"/>
  <c r="W81" i="2"/>
  <c r="AK81" i="2"/>
  <c r="AC81" i="2"/>
  <c r="V81" i="2"/>
  <c r="AB81" i="2"/>
  <c r="AJ81" i="2"/>
  <c r="AK80" i="2"/>
  <c r="AC80" i="2"/>
  <c r="W80" i="2"/>
  <c r="AJ80" i="2"/>
  <c r="V80" i="2"/>
  <c r="AB80" i="2"/>
  <c r="AK79" i="2"/>
  <c r="AC79" i="2"/>
  <c r="W79" i="2"/>
  <c r="AK78" i="2"/>
  <c r="AC78" i="2"/>
  <c r="W78" i="2"/>
  <c r="AJ79" i="2"/>
  <c r="AB79" i="2"/>
  <c r="V79" i="2"/>
  <c r="AC77" i="2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N46" i="1" l="1"/>
  <c r="O46" i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S57" i="2"/>
  <c r="AM56" i="2"/>
  <c r="Y56" i="2"/>
  <c r="AE56" i="2"/>
  <c r="AN66" i="2"/>
  <c r="Z66" i="2"/>
  <c r="AF66" i="2"/>
  <c r="F54" i="2"/>
  <c r="G53" i="2"/>
  <c r="H53" i="2"/>
  <c r="Z87" i="2" l="1"/>
  <c r="AF87" i="2"/>
  <c r="AN87" i="2"/>
  <c r="Z86" i="2"/>
  <c r="AN86" i="2"/>
  <c r="AF86" i="2"/>
  <c r="Z85" i="2"/>
  <c r="AF85" i="2"/>
  <c r="L34" i="1" s="1"/>
  <c r="AN85" i="2"/>
  <c r="Z84" i="2"/>
  <c r="AN84" i="2"/>
  <c r="AF84" i="2"/>
  <c r="AF83" i="2"/>
  <c r="Z83" i="2"/>
  <c r="AN83" i="2"/>
  <c r="AN82" i="2"/>
  <c r="AF82" i="2"/>
  <c r="Z82" i="2"/>
  <c r="AN81" i="2"/>
  <c r="AF81" i="2"/>
  <c r="Z81" i="2"/>
  <c r="Z80" i="2"/>
  <c r="AF80" i="2"/>
  <c r="AN80" i="2"/>
  <c r="Z79" i="2"/>
  <c r="AN79" i="2"/>
  <c r="AF79" i="2"/>
  <c r="AN78" i="2"/>
  <c r="AF78" i="2"/>
  <c r="Z78" i="2"/>
  <c r="Z77" i="2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AM66" i="2"/>
  <c r="AE66" i="2"/>
  <c r="Y66" i="2"/>
  <c r="H63" i="2"/>
  <c r="L31" i="1" s="1"/>
  <c r="G63" i="2"/>
  <c r="K31" i="1" s="1"/>
  <c r="Y87" i="2" l="1"/>
  <c r="AM87" i="2"/>
  <c r="AE87" i="2"/>
  <c r="Y86" i="2"/>
  <c r="AM86" i="2"/>
  <c r="AE86" i="2"/>
  <c r="AE85" i="2"/>
  <c r="AM85" i="2"/>
  <c r="Y85" i="2"/>
  <c r="Y84" i="2"/>
  <c r="AM84" i="2"/>
  <c r="AE84" i="2"/>
  <c r="Y83" i="2"/>
  <c r="AE83" i="2"/>
  <c r="AM83" i="2"/>
  <c r="Y82" i="2"/>
  <c r="AM82" i="2"/>
  <c r="AE82" i="2"/>
  <c r="Y81" i="2"/>
  <c r="AM81" i="2"/>
  <c r="AE81" i="2"/>
  <c r="Y80" i="2"/>
  <c r="AE80" i="2"/>
  <c r="AM80" i="2"/>
  <c r="AM79" i="2"/>
  <c r="AE79" i="2"/>
  <c r="Y79" i="2"/>
  <c r="Y78" i="2"/>
  <c r="AE78" i="2"/>
  <c r="AM78" i="2"/>
  <c r="Y77" i="2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AE68" i="2"/>
  <c r="L32" i="1" s="1"/>
  <c r="K32" i="1" l="1"/>
  <c r="Q46" i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<sst xmlns="http://schemas.openxmlformats.org/spreadsheetml/2006/main" count="159" uniqueCount="112">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</sst>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ff990b09f2f4e599a937a9fb15f4b36">
      <tp>
        <v>3.0549898167005346E-3</v>
        <stp/>
        <stp>RWX</stp>
        <stp>change in percent</stp>
        <tr r="L6" s="1"/>
      </tp>
      <tp>
        <v>1.2001920307255282E-4</v>
        <stp/>
        <stp>SHY</stp>
        <stp>change in percent</stp>
        <tr r="L12" s="1"/>
      </tp>
      <tp>
        <v>3.5356200527704076E-3</v>
        <stp/>
        <stp>TLT</stp>
        <stp>change in percent</stp>
        <tr r="L5" s="1"/>
      </tp>
      <tp>
        <v>1.4711416743645248E-3</v>
        <stp/>
        <stp>IVV</stp>
        <stp>change in percent</stp>
        <tr r="K24" s="1"/>
        <tr r="L3" s="1"/>
      </tp>
      <tp>
        <v>-5.7243505063849622E-3</v>
        <stp/>
        <stp>IEV</stp>
        <stp>change in percent</stp>
        <tr r="L9" s="1"/>
      </tp>
    </main>
    <main first="rtdsrv.0ff990b09f2f4e599a937a9fb15f4b36">
      <tp>
        <v>3.6201279111861585E-3</v>
        <stp/>
        <stp>IYR</stp>
        <stp>change in percent</stp>
        <tr r="L4" s="1"/>
      </tp>
    </main>
    <main first="rtdsrv.0ff990b09f2f4e599a937a9fb15f4b36">
      <tp>
        <v>7.5669383003491497E-3</v>
        <stp/>
        <stp>EEM</stp>
        <stp>change in percent</stp>
        <tr r="L10" s="1"/>
      </tp>
    </main>
    <main first="rtdsrv.0ff990b09f2f4e599a937a9fb15f4b36">
      <tp>
        <v>-9.1533180778032037E-3</v>
        <stp/>
        <stp>GYLD</stp>
        <stp>change in percent</stp>
        <tr r="K26" s="1"/>
      </tp>
    </main>
    <main first="rtdsrv.0ff990b09f2f4e599a937a9fb15f4b36">
      <tp>
        <v>3.786574870912203E-3</v>
        <stp/>
        <stp>EWJ</stp>
        <stp>change in percent</stp>
        <tr r="L7" s="1"/>
      </tp>
      <tp>
        <v>2.2439281942977386E-3</v>
        <stp/>
        <stp>GLD</stp>
        <stp>change in percent</stp>
        <tr r="L8" s="1"/>
      </tp>
      <tp>
        <v>1.4913734282092992E-3</v>
        <stp/>
        <stp>IEF</stp>
        <stp>change in percent</stp>
        <tr r="L11" s="1"/>
      </tp>
      <tp>
        <v>0.32506622000000002</v>
        <stp/>
        <stp>SHY</stp>
        <stp>mtd percent change</stp>
        <tr r="U12" s="1"/>
      </tp>
      <tp>
        <v>-0.25316455999999998</v>
        <stp/>
        <stp>RWX</stp>
        <stp>mtd percent change</stp>
        <tr r="U6" s="1"/>
      </tp>
      <tp>
        <v>2.7425291199999999</v>
        <stp/>
        <stp>TLT</stp>
        <stp>mtd percent change</stp>
        <tr r="U5" s="1"/>
      </tp>
      <tp>
        <v>1.38444839</v>
        <stp/>
        <stp>IEF</stp>
        <stp>mtd percent change</stp>
        <tr r="U11" s="1"/>
      </tp>
      <tp>
        <v>-1.82608696</v>
        <stp/>
        <stp>IEV</stp>
        <stp>mtd percent change</stp>
        <tr r="U9" s="1"/>
      </tp>
      <tp>
        <v>2.0240431800000001</v>
        <stp/>
        <stp>IYR</stp>
        <stp>mtd percent change</stp>
        <tr r="U4" s="1"/>
      </tp>
      <tp>
        <v>3.4820418599999998</v>
        <stp/>
        <stp>IVV</stp>
        <stp>mtd percent change</stp>
        <tr r="U3" s="1"/>
      </tp>
      <tp>
        <v>-1.0812923400000001</v>
        <stp/>
        <stp>GLD</stp>
        <stp>mtd percent change</stp>
        <tr r="U8" s="1"/>
      </tp>
      <tp>
        <v>-2.6729644600000002</v>
        <stp/>
        <stp>EEM</stp>
        <stp>mtd percent change</stp>
        <tr r="U10" s="1"/>
      </tp>
      <tp>
        <v>-1.0015277499999999</v>
        <stp/>
        <stp>EWJ</stp>
        <stp>mtd percent change</stp>
        <tr r="U7" s="1"/>
      </tp>
      <tp>
        <v>2.6176470599999999</v>
        <stp/>
        <stp>DBC</stp>
        <stp>mtd percent change</stp>
        <tr r="U2" s="1"/>
      </tp>
      <tp>
        <v>9.8665664348810377E-4</v>
        <stp/>
        <stp>AGG</stp>
        <stp>change in percent</stp>
        <tr r="K23" s="1"/>
      </tp>
    </main>
    <main first="rtdsrv.0ff990b09f2f4e599a937a9fb15f4b36">
      <tp>
        <v>4.8963133640553512E-3</v>
        <stp/>
        <stp>DBC</stp>
        <stp>change in percent</stp>
        <tr r="L2" s="1"/>
      </tp>
    </main>
    <main first="rtdsrv.0ff990b09f2f4e599a937a9fb15f4b36">
      <tp>
        <v>0</v>
        <stp/>
        <stp>ACWI</stp>
        <stp>change in percent</stp>
        <tr r="K22" s="1"/>
      </tp>
    </main>
    <main first="rtdsrv.0ff990b09f2f4e599a937a9fb15f4b36">
      <tp>
        <v>83.17</v>
        <stp/>
        <stp>IYR</stp>
        <stp>last</stp>
        <tr r="J4" s="1"/>
        <tr r="C22" s="4"/>
      </tp>
      <tp>
        <v>17.36</v>
        <stp/>
        <stp>DBC</stp>
        <stp>close</stp>
        <tr r="G2" s="1"/>
      </tp>
      <tp>
        <v>187.04</v>
        <stp/>
        <stp>QQQ</stp>
        <stp>last</stp>
        <tr r="C39" s="4"/>
      </tp>
      <tp t="s">
        <v>SPDR INDEX SHS FDS-DJ INTL RL ETF</v>
        <stp/>
        <stp>RWX</stp>
        <stp>description</stp>
        <tr r="B6" s="1"/>
      </tp>
      <tp>
        <v>47.405000000000001</v>
        <stp/>
        <stp>CSCO</stp>
        <stp>last</stp>
        <tr r="C7" s="4"/>
      </tp>
    </main>
    <main first="rtdsrv.0ff990b09f2f4e599a937a9fb15f4b36">
      <tp t="s">
        <v>ISHARES TR-1 3 YR TREAS BD</v>
        <stp/>
        <stp>SHY</stp>
        <stp>description</stp>
        <tr r="B12" s="1"/>
      </tp>
      <tp>
        <v>52.86</v>
        <stp/>
        <stp>MU</stp>
        <stp>last</stp>
        <tr r="C9" s="4"/>
      </tp>
    </main>
    <main first="rtdsrv.0ff990b09f2f4e599a937a9fb15f4b36">
      <tp>
        <v>53.07</v>
        <stp/>
        <stp>STX</stp>
        <stp>last</stp>
        <tr r="C10" s="4"/>
      </tp>
      <tp t="s">
        <v>ISHARES TR-20 YR TR BD ETF</v>
        <stp/>
        <stp>TLT</stp>
        <stp>description</stp>
        <tr r="B5" s="1"/>
      </tp>
    </main>
    <main first="rtdsrv.0ff990b09f2f4e599a937a9fb15f4b36">
      <tp>
        <v>292.72000000000003</v>
        <stp/>
        <stp>IVV</stp>
        <stp>last</stp>
        <tr r="J3" s="1"/>
        <tr r="C38" s="4"/>
        <tr r="C21" s="4"/>
      </tp>
      <tp>
        <v>388.1</v>
        <stp/>
        <stp>ALGN</stp>
        <stp>last</stp>
        <tr r="C5" s="4"/>
      </tp>
    </main>
    <main first="rtdsrv.0ff990b09f2f4e599a937a9fb15f4b36">
      <tp>
        <v>39.4</v>
        <stp/>
        <stp>RWX</stp>
        <stp>last</stp>
        <tr r="J6" s="1"/>
      </tp>
      <tp>
        <v>58.32</v>
        <stp/>
        <stp>EWJ</stp>
        <stp>last</stp>
        <tr r="J7" s="1"/>
      </tp>
      <tp>
        <v>83.33</v>
        <stp/>
        <stp>SHY</stp>
        <stp>last</stp>
        <tr r="J12" s="1"/>
        <tr r="C23" s="4"/>
      </tp>
    </main>
    <main first="rtdsrv.0ff990b09f2f4e599a937a9fb15f4b36">
      <tp t="s">
        <v>ISHARES TR-U.S. REAL ES ETF</v>
        <stp/>
        <stp>IYR</stp>
        <stp>description</stp>
        <tr r="B4" s="1"/>
      </tp>
    </main>
    <main first="rtdsrv.0ff990b09f2f4e599a937a9fb15f4b36">
      <tp t="s">
        <v>ISHARES TR-CORE S&amp;P500 ETF</v>
        <stp/>
        <stp>IVV</stp>
        <stp>description</stp>
        <tr r="B3" s="1"/>
      </tp>
      <tp t="s">
        <v>ISHARES TR-BARCLAYS 7 10 YR</v>
        <stp/>
        <stp>IEF</stp>
        <stp>description</stp>
        <tr r="B11" s="1"/>
      </tp>
      <tp t="s">
        <v>ISHARES TR-EUROPE ETF</v>
        <stp/>
        <stp>IEV</stp>
        <stp>description</stp>
        <tr r="B9" s="1"/>
      </tp>
      <tp>
        <v>292.29000000000002</v>
        <stp/>
        <stp>IVV</stp>
        <stp>close</stp>
        <tr r="G3" s="1"/>
      </tp>
    </main>
    <main first="rtdsrv.0ff990b09f2f4e599a937a9fb15f4b36">
      <tp>
        <v>2021.1533999999999</v>
        <stp/>
        <stp>AMZN</stp>
        <stp>last</stp>
        <tr r="C6" s="4"/>
      </tp>
      <tp>
        <v>121.28</v>
        <stp/>
        <stp>TLT</stp>
        <stp>close</stp>
        <tr r="G5" s="1"/>
      </tp>
      <tp>
        <v>121.7088</v>
        <stp/>
        <stp>TLT</stp>
        <stp>last</stp>
        <tr r="J5" s="1"/>
      </tp>
      <tp>
        <v>113.895</v>
        <stp/>
        <stp>GLD</stp>
        <stp>last</stp>
        <tr r="J8" s="1"/>
      </tp>
    </main>
    <main first="rtdsrv.0ff990b09f2f4e599a937a9fb15f4b36">
      <tp>
        <v>82.87</v>
        <stp/>
        <stp>IYR</stp>
        <stp>close</stp>
        <tr r="G4" s="1"/>
      </tp>
    </main>
    <main first="rtdsrv.0ff990b09f2f4e599a937a9fb15f4b36">
      <tp>
        <v>47.545000000000002</v>
        <stp/>
        <stp>QQQE</stp>
        <stp>last</stp>
        <tr r="C40" s="4"/>
      </tp>
      <tp>
        <v>38.6601</v>
        <stp/>
        <stp>GAL</stp>
        <stp>last</stp>
        <tr r="C37" s="4"/>
      </tp>
      <tp>
        <v>17.445</v>
        <stp/>
        <stp>DBC</stp>
        <stp>last</stp>
        <tr r="J2" s="1"/>
        <tr r="C20" s="4"/>
      </tp>
      <tp>
        <v>557.178</v>
        <stp/>
        <stp>ISRG</stp>
        <stp>last</stp>
        <tr r="C8" s="4"/>
      </tp>
      <tp t="s">
        <v>INVESCO DB COMMDY INDX TRCK-UNIT</v>
        <stp/>
        <stp>DBC</stp>
        <stp>description</stp>
        <tr r="B2" s="1"/>
      </tp>
    </main>
    <main first="rtdsrv.0ff990b09f2f4e599a937a9fb15f4b36">
      <tp t="s">
        <v>ISHARES INC-MSCI JPN ETF NEW</v>
        <stp/>
        <stp>EWJ</stp>
        <stp>description</stp>
        <tr r="B7" s="1"/>
      </tp>
      <tp>
        <v>45.16</v>
        <stp/>
        <stp>IEV</stp>
        <stp>last</stp>
        <tr r="J9" s="1"/>
      </tp>
      <tp>
        <v>43.274999999999999</v>
        <stp/>
        <stp>EEM</stp>
        <stp>last</stp>
        <tr r="J10" s="1"/>
      </tp>
      <tp>
        <v>102.74299999999999</v>
        <stp/>
        <stp>IEF</stp>
        <stp>last</stp>
        <tr r="J11" s="1"/>
      </tp>
      <tp t="s">
        <v>ISHARES TR-MSCI EMG MKT ETF</v>
        <stp/>
        <stp>EEM</stp>
        <stp>description</stp>
        <tr r="B10" s="1"/>
      </tp>
    </main>
    <main first="rtdsrv.0ff990b09f2f4e599a937a9fb15f4b36">
      <tp t="s">
        <v>ARROW ETF TR-ARROW DJ GLB YLD</v>
        <stp/>
        <stp>GYLD</stp>
        <stp>description</stp>
        <tr r="L26" s="1"/>
      </tp>
      <tp t="s">
        <v>SPDR GOLD TRUST-GOLD SHS</v>
        <stp/>
        <stp>GLD</stp>
        <stp>description</stp>
        <tr r="B8" s="1"/>
      </tp>
    </main>
    <main first="rtdsrv.0ff990b09f2f4e599a937a9fb15f4b36">
      <tp>
        <v>4.66</v>
        <stp/>
        <stp>IEV</stp>
        <stp>dividend yield</stp>
        <tr r="M9" s="1"/>
      </tp>
      <tp>
        <v>2.2200000000000002</v>
        <stp/>
        <stp>IEF</stp>
        <stp>dividend yield</stp>
        <tr r="M11" s="1"/>
      </tp>
      <tp>
        <v>0.48</v>
        <stp/>
        <stp>IYR</stp>
        <stp>dividend yield</stp>
        <tr r="M4" s="1"/>
      </tp>
      <tp>
        <v>1.75</v>
        <stp/>
        <stp>IVV</stp>
        <stp>dividend yield</stp>
        <tr r="M3" s="1"/>
      </tp>
      <tp>
        <v>1.34</v>
        <stp/>
        <stp>EEM</stp>
        <stp>dividend yield</stp>
        <tr r="M10" s="1"/>
      </tp>
      <tp>
        <v>1.58</v>
        <stp/>
        <stp>EWJ</stp>
        <stp>dividend yield</stp>
        <tr r="M7" s="1"/>
      </tp>
      <tp t="s">
        <v>--</v>
        <stp/>
        <stp>DBC</stp>
        <stp>dividend yield</stp>
        <tr r="M2" s="1"/>
      </tp>
      <tp>
        <v>1.87</v>
        <stp/>
        <stp>SHY</stp>
        <stp>dividend yield</stp>
        <tr r="M12" s="1"/>
      </tp>
      <tp>
        <v>3.66</v>
        <stp/>
        <stp>RWX</stp>
        <stp>dividend yield</stp>
        <tr r="M6" s="1"/>
      </tp>
      <tp>
        <v>2.71</v>
        <stp/>
        <stp>TLT</stp>
        <stp>dividend yield</stp>
        <tr r="M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zoomScale="90" zoomScaleNormal="90" workbookViewId="0">
      <selection activeCell="O27" sqref="O27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-2.6186441205641731E-2</v>
      </c>
      <c r="F2" s="5">
        <f>I2/$I$21</f>
        <v>0.1500942952711867</v>
      </c>
      <c r="G2" s="4">
        <f>_xll.RealtimeData(A2,"Close")</f>
        <v>17.36</v>
      </c>
      <c r="H2" s="4">
        <v>176</v>
      </c>
      <c r="I2" s="4">
        <f>H2*G2</f>
        <v>3055.3599999999997</v>
      </c>
      <c r="J2" s="4">
        <f>_xll.RealtimeData(A2,"Last")</f>
        <v>17.445</v>
      </c>
      <c r="K2" s="5">
        <f>J2/D2-1</f>
        <v>-2.1418344863618599E-2</v>
      </c>
      <c r="L2" s="8">
        <f>_xll.RealtimeData(A2,"Change in Percent")</f>
        <v>4.8963133640553512E-3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-8.0942952711867133E-3</v>
      </c>
      <c r="Q2" s="31">
        <f>O2*Daily!$D$68</f>
        <v>2823.9823999999999</v>
      </c>
      <c r="R2">
        <f t="shared" ref="R2:R11" si="2">ROUND(Q2/J2,0)</f>
        <v>162</v>
      </c>
      <c r="S2">
        <f t="shared" ref="S2:S11" si="3">R2-H2</f>
        <v>-14</v>
      </c>
      <c r="T2" t="str">
        <f t="shared" ref="T2:T12" si="4">A2</f>
        <v>DBC</v>
      </c>
      <c r="U2">
        <f>_xll.RealtimeData(T2,"MTD Percent Change")</f>
        <v>2.6176470599999999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9.7351511772623134E-2</v>
      </c>
      <c r="F3" s="5">
        <f>I3/$I$21</f>
        <v>0.41640290681937309</v>
      </c>
      <c r="G3" s="4">
        <f>_xll.RealtimeData(A3,"Close")</f>
        <v>292.29000000000002</v>
      </c>
      <c r="H3" s="4">
        <v>29</v>
      </c>
      <c r="I3" s="4">
        <f>H3*G3</f>
        <v>8476.41</v>
      </c>
      <c r="J3" s="4">
        <f>_xll.RealtimeData(A3,"Last")</f>
        <v>292.72000000000003</v>
      </c>
      <c r="K3" s="5">
        <f>J3/D3-1</f>
        <v>9.8965871313018594E-2</v>
      </c>
      <c r="L3" s="8">
        <f>_xll.RealtimeData(A3,"Change in Percent")</f>
        <v>1.4711416743645248E-3</v>
      </c>
      <c r="M3" s="29">
        <f>_xll.RealtimeData(A3,"Dividend Yield")</f>
        <v>1.75</v>
      </c>
      <c r="N3" s="4" t="str">
        <f t="shared" si="0"/>
        <v>IVV</v>
      </c>
      <c r="O3" s="5">
        <v>0.36599999999999999</v>
      </c>
      <c r="P3" s="60">
        <f t="shared" si="1"/>
        <v>-5.0402906819373094E-2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3.4820418599999998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5.6610990692337104E-2</v>
      </c>
      <c r="F4" s="5">
        <f>I4/$I$21</f>
        <v>0.21983300476953785</v>
      </c>
      <c r="G4" s="4">
        <f>_xll.RealtimeData(A4,"Close")</f>
        <v>82.87</v>
      </c>
      <c r="H4" s="4">
        <v>54</v>
      </c>
      <c r="I4" s="4">
        <f>H4*G4</f>
        <v>4474.9800000000005</v>
      </c>
      <c r="J4" s="4">
        <f>_xll.RealtimeData(A4,"Last")</f>
        <v>83.17</v>
      </c>
      <c r="K4" s="5">
        <f>J4/D4-1</f>
        <v>6.0436057631008566E-2</v>
      </c>
      <c r="L4" s="8">
        <f t="array" ref="L4">_xll.RealtimeData(A4,"Change in Percent")</f>
        <v>3.6201279111861585E-3</v>
      </c>
      <c r="M4" s="29">
        <f>_xll.RealtimeData(A4,"Dividend Yield")</f>
        <v>0.48</v>
      </c>
      <c r="N4" s="4" t="str">
        <f t="shared" si="0"/>
        <v>IYR</v>
      </c>
      <c r="O4" s="5">
        <v>0.39300000000000002</v>
      </c>
      <c r="P4" s="60">
        <f t="shared" si="1"/>
        <v>0.17316699523046217</v>
      </c>
      <c r="Q4" s="31">
        <f>O4*Daily!$D$68</f>
        <v>7815.6696000000002</v>
      </c>
      <c r="R4">
        <f t="shared" si="2"/>
        <v>94</v>
      </c>
      <c r="S4">
        <f t="shared" si="3"/>
        <v>40</v>
      </c>
      <c r="T4" t="str">
        <f t="shared" si="4"/>
        <v>IYR</v>
      </c>
      <c r="U4">
        <f>_xll.RealtimeData(T4,"MTD Percent Change")</f>
        <v>2.0240431800000001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-8.2898724219870878E-3</v>
      </c>
      <c r="F5" s="5">
        <f>I5/$I$21</f>
        <v>0.20852543221326894</v>
      </c>
      <c r="G5" s="4">
        <f>_xll.RealtimeData(A5,"Close")</f>
        <v>121.28</v>
      </c>
      <c r="H5" s="4">
        <v>35</v>
      </c>
      <c r="I5" s="4">
        <f>H5*G5</f>
        <v>4244.8</v>
      </c>
      <c r="J5" s="31">
        <f>_xll.RealtimeData(A5,"Last")</f>
        <v>121.7088</v>
      </c>
      <c r="K5" s="5">
        <f>J5/D5-1</f>
        <v>-4.7835622083867158E-3</v>
      </c>
      <c r="L5" s="8">
        <f t="array" ref="L5">_xll.RealtimeData(A5,"Change in Percent")</f>
        <v>3.5356200527704076E-3</v>
      </c>
      <c r="M5" s="29">
        <f>_xll.RealtimeData(A5,"Dividend Yield")</f>
        <v>2.71</v>
      </c>
      <c r="N5" s="4" t="str">
        <f t="shared" si="0"/>
        <v>TLT</v>
      </c>
      <c r="O5" s="5">
        <v>0</v>
      </c>
      <c r="P5" s="60">
        <f t="shared" si="1"/>
        <v>-0.20852543221326894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2.7425291199999999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39.4</v>
      </c>
      <c r="K6" s="5"/>
      <c r="L6" s="8">
        <f>_xll.RealtimeData(A6,"Change in Percent")</f>
        <v>3.0549898167005346E-3</v>
      </c>
      <c r="M6" s="29">
        <f>_xll.RealtimeData(A6,"Dividend Yield")</f>
        <v>3.66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-0.25316455999999998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58.32</v>
      </c>
      <c r="K7" s="5"/>
      <c r="L7" s="8">
        <f>_xll.RealtimeData(A7,"Change in Percent")</f>
        <v>3.786574870912203E-3</v>
      </c>
      <c r="M7" s="29">
        <f>_xll.RealtimeData(A7,"Dividend Yield")</f>
        <v>1.58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-1.0015277499999999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113.895</v>
      </c>
      <c r="K8" s="5"/>
      <c r="L8" s="8">
        <f>_xll.RealtimeData(A8,"Change in Percent")</f>
        <v>2.2439281942977386E-3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-1.0812923400000001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45.16</v>
      </c>
      <c r="K9" s="5"/>
      <c r="L9" s="8">
        <f>_xll.RealtimeData(A9,"Change in Percent")</f>
        <v>-5.7243505063849622E-3</v>
      </c>
      <c r="M9" s="29">
        <f>_xll.RealtimeData(A9,"Dividend Yield")</f>
        <v>4.66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-1.82608696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43.274999999999999</v>
      </c>
      <c r="K10" s="5"/>
      <c r="L10" s="8">
        <f t="array" ref="L10">_xll.RealtimeData(A10,"Change in Percent")</f>
        <v>7.5669383003491497E-3</v>
      </c>
      <c r="M10" s="29">
        <f>_xll.RealtimeData(A10,"Dividend Yield")</f>
        <v>1.34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-2.6729644600000002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102.74299999999999</v>
      </c>
      <c r="K11" s="5"/>
      <c r="L11" s="8">
        <f t="array" ref="L11">_xll.RealtimeData(A11,"Change in Percent")</f>
        <v>1.4913734282092992E-3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1.38444839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83.33</v>
      </c>
      <c r="L12" s="8">
        <f t="array" ref="L12">_xll.RealtimeData(A12,"Change in Percent")</f>
        <v>1.2001920307255282E-4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0.32506622000000002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2.4737637287999994</v>
      </c>
      <c r="V14" s="8">
        <f>U14*0.01</f>
        <v>2.4737637287999995E-2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0.99485563907336649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5.1443609266335066E-3</v>
      </c>
      <c r="H21" s="2" t="s">
        <v>16</v>
      </c>
      <c r="I21" s="6">
        <f>SUM(I2:I20)</f>
        <v>20356.27</v>
      </c>
      <c r="J21" t="s">
        <v>33</v>
      </c>
      <c r="K21" s="8">
        <f>SUMPRODUCT(K2:K7,F2:F7)</f>
        <v>5.0283250880899542E-2</v>
      </c>
      <c r="M21" t="s">
        <v>34</v>
      </c>
      <c r="N21" s="76">
        <f t="array" ref="N21">MMULT(TRANSPOSE(F2:F5),L2:L5)</f>
        <v>2.880586669365263E-3</v>
      </c>
      <c r="P21" s="8">
        <f>SUMPRODUCT(L2:L12,O2:O12)</f>
        <v>2.6683065207136186E-3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9.8665664348810377E-4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1.4711416743645248E-3</v>
      </c>
    </row>
    <row r="25" spans="5:16" x14ac:dyDescent="0.25">
      <c r="J25" t="s">
        <v>57</v>
      </c>
      <c r="K25" s="8">
        <f t="array" ref="K25">SUMPRODUCT(K22:K23,L22:L23)</f>
        <v>3.9466265739524154E-4</v>
      </c>
    </row>
    <row r="26" spans="5:16" x14ac:dyDescent="0.25">
      <c r="H26" t="s">
        <v>25</v>
      </c>
      <c r="I26" s="6">
        <f>SUM(I2:I18)</f>
        <v>20251.55</v>
      </c>
      <c r="J26" t="s">
        <v>56</v>
      </c>
      <c r="K26" s="8">
        <f>_xll.RealtimeData(J26,"Change in Percent")</f>
        <v>-9.1533180778032037E-3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2.5942657106460408E-3</v>
      </c>
    </row>
    <row r="28" spans="5:16" x14ac:dyDescent="0.25">
      <c r="J28" t="s">
        <v>64</v>
      </c>
      <c r="K28" s="8">
        <f>SUMPRODUCT(F2:F7,M2:M7)*0.01</f>
        <v>1.3993288505212398E-2</v>
      </c>
      <c r="L28" t="s">
        <v>65</v>
      </c>
      <c r="M28" s="8">
        <f>AVERAGE(M2:M11)*0.01</f>
        <v>2.0444444444444442E-2</v>
      </c>
    </row>
    <row r="29" spans="5:16" ht="15.75" thickBot="1" x14ac:dyDescent="0.3"/>
    <row r="30" spans="5:16" ht="15.75" thickBot="1" x14ac:dyDescent="0.3">
      <c r="H30" s="30">
        <v>43342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2.880586669365263E-3</v>
      </c>
      <c r="J31" s="21">
        <f>LOOKUP(2,1/(Daily!E:E&lt;&gt;""),Daily!E:E)</f>
        <v>-2.3568469122804414E-3</v>
      </c>
      <c r="K31" s="22">
        <f>VLOOKUP($H$30,Daily!$A:$AF,7,0)</f>
        <v>2.5590527378585026E-2</v>
      </c>
      <c r="L31" s="23">
        <f>VLOOKUP($H$30,Daily!$A:$AF,8,0)</f>
        <v>1.7814500000000288E-2</v>
      </c>
    </row>
    <row r="32" spans="5:16" x14ac:dyDescent="0.25">
      <c r="H32" s="19" t="s">
        <v>59</v>
      </c>
      <c r="I32" s="24">
        <f>$K$25</f>
        <v>3.9466265739524154E-4</v>
      </c>
      <c r="J32" s="24">
        <f>LOOKUP(2,1/(Daily!M:M&lt;&gt;""),Daily!M:M)</f>
        <v>-4.9539160006765838E-3</v>
      </c>
      <c r="K32" s="14">
        <f>VLOOKUP($H$30,Daily!$A:$AF,25,0)</f>
        <v>2.5901293901688494E-2</v>
      </c>
      <c r="L32" s="25">
        <f>VLOOKUP($H$30,Daily!$A:$AF,31,0)</f>
        <v>2.0011457450581638E-2</v>
      </c>
    </row>
    <row r="33" spans="8:18" x14ac:dyDescent="0.25">
      <c r="H33" s="19" t="s">
        <v>60</v>
      </c>
      <c r="I33" s="24">
        <f>$K$24</f>
        <v>1.4711416743645248E-3</v>
      </c>
      <c r="J33" s="24">
        <f>LOOKUP(2,1/(Daily!L:L&lt;&gt;""),Daily!L:L)</f>
        <v>-4.2583634257682412E-3</v>
      </c>
      <c r="K33" s="14">
        <f>VLOOKUP($H$30,Daily!$A:$AF,24,0)</f>
        <v>7.0463285112616791E-2</v>
      </c>
      <c r="L33" s="25">
        <f>VLOOKUP($H$30,Daily!$A:$AF,30,0)</f>
        <v>9.7654617627995099E-2</v>
      </c>
    </row>
    <row r="34" spans="8:18" ht="15.75" thickBot="1" x14ac:dyDescent="0.3">
      <c r="H34" s="20" t="s">
        <v>56</v>
      </c>
      <c r="I34" s="26">
        <f>$K$26</f>
        <v>-9.1533180778032037E-3</v>
      </c>
      <c r="J34" s="26">
        <f>LOOKUP(2,1/(Daily!N:N&lt;&gt;""),Daily!N:N)</f>
        <v>-3.9886039886040114E-3</v>
      </c>
      <c r="K34" s="27">
        <f>VLOOKUP($H$30,Daily!$A:$AF,26,0)</f>
        <v>4.5977011494258146E-3</v>
      </c>
      <c r="L34" s="28">
        <f>VLOOKUP($H$30,Daily!$A:$AF,32,0)</f>
        <v>1.3758671138432987E-2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2.1647598421738998E-4</v>
      </c>
      <c r="J37" s="44"/>
      <c r="K37" s="22"/>
      <c r="L37" s="39"/>
      <c r="M37" s="50"/>
      <c r="N37" s="38">
        <f>AVERAGE(Daily!J$3:J380)</f>
        <v>3.4573442252108669E-4</v>
      </c>
      <c r="O37" s="22">
        <f>AVERAGE(Daily!K$3:K380)</f>
        <v>7.3752069032445905E-5</v>
      </c>
      <c r="P37" s="22">
        <f>AVERAGE(Daily!L$3:L380)</f>
        <v>1.0999484047293047E-3</v>
      </c>
      <c r="Q37" s="22">
        <f>AVERAGE(Daily!M$3:M380)</f>
        <v>2.3694148112563036E-4</v>
      </c>
      <c r="R37" s="23">
        <f>AVERAGE(Daily!N$3:N380)</f>
        <v>1.8945487018053405E-4</v>
      </c>
    </row>
    <row r="38" spans="8:18" x14ac:dyDescent="0.25">
      <c r="H38" s="56" t="s">
        <v>73</v>
      </c>
      <c r="I38" s="47">
        <f>STDEV(Daily!E$3:E380)</f>
        <v>4.7447404534837444E-3</v>
      </c>
      <c r="J38" s="45"/>
      <c r="K38" s="14"/>
      <c r="L38" s="32"/>
      <c r="M38" s="51"/>
      <c r="N38" s="40">
        <f>STDEV(Daily!J$3:J380)</f>
        <v>6.2207026313976397E-3</v>
      </c>
      <c r="O38" s="14">
        <f>STDEV(Daily!K$3:K380)</f>
        <v>1.6828765018090065E-3</v>
      </c>
      <c r="P38" s="14">
        <f>STDEV(Daily!L$3:L380)</f>
        <v>5.6752973665053939E-3</v>
      </c>
      <c r="Q38" s="14">
        <f>STDEV(Daily!M$3:M380)</f>
        <v>3.631294062267362E-3</v>
      </c>
      <c r="R38" s="25">
        <f>STDEV(Daily!N$3:N380)</f>
        <v>7.8641644594355953E-3</v>
      </c>
    </row>
    <row r="39" spans="8:18" x14ac:dyDescent="0.25">
      <c r="H39" s="56" t="s">
        <v>74</v>
      </c>
      <c r="I39" s="48">
        <f>COUNTIF(Daily!E$3:E380,"&gt;0")</f>
        <v>50</v>
      </c>
      <c r="J39" s="45"/>
      <c r="K39" s="14"/>
      <c r="L39" s="32"/>
      <c r="M39" s="51"/>
      <c r="N39" s="41">
        <f>COUNTIF(Daily!J$3:J380,"&gt;0")</f>
        <v>46</v>
      </c>
      <c r="O39" s="33">
        <f>COUNTIF(Daily!K$3:K380,"&gt;0")</f>
        <v>45</v>
      </c>
      <c r="P39" s="33">
        <f>COUNTIF(Daily!L$3:L380,"&gt;0")</f>
        <v>50</v>
      </c>
      <c r="Q39" s="33">
        <f>COUNTIF(Daily!M$3:M380,"&gt;0")</f>
        <v>47</v>
      </c>
      <c r="R39" s="35">
        <f>COUNTIF(Daily!N$3:N380,"&gt;0")</f>
        <v>46</v>
      </c>
    </row>
    <row r="40" spans="8:18" x14ac:dyDescent="0.25">
      <c r="H40" s="56" t="s">
        <v>80</v>
      </c>
      <c r="I40" s="47">
        <f>SUMIF(Daily!E$3:E380,"&gt;0")</f>
        <v>0.16197166323527146</v>
      </c>
      <c r="J40" s="45"/>
      <c r="K40" s="14"/>
      <c r="L40" s="32"/>
      <c r="M40" s="51"/>
      <c r="N40" s="40">
        <f>SUMIF(Daily!J$3:J380,"&gt;0")</f>
        <v>0.22593454200862206</v>
      </c>
      <c r="O40" s="14">
        <f>SUMIF(Daily!K$3:K380,"&gt;0")</f>
        <v>5.9012584656719325E-2</v>
      </c>
      <c r="P40" s="14">
        <f>SUMIF(Daily!L$3:L380,"&gt;0")</f>
        <v>0.24419005695222568</v>
      </c>
      <c r="Q40" s="14">
        <f>SUMIF(Daily!M$3:M380,"&gt;0")</f>
        <v>0.13384000810055</v>
      </c>
      <c r="R40" s="25">
        <f>SUMIF(Daily!N$3:N380,"&gt;0")</f>
        <v>0.27414561476434096</v>
      </c>
    </row>
    <row r="41" spans="8:18" x14ac:dyDescent="0.25">
      <c r="H41" s="56" t="s">
        <v>81</v>
      </c>
      <c r="I41" s="47">
        <f>SUMIF(Daily!E$3:E380,"&lt;0")</f>
        <v>-0.14335472859257592</v>
      </c>
      <c r="J41" s="45"/>
      <c r="K41" s="14"/>
      <c r="L41" s="32"/>
      <c r="M41" s="51"/>
      <c r="N41" s="40">
        <f>SUMIF(Daily!J$3:J380,"&lt;0")</f>
        <v>-0.19620138167180862</v>
      </c>
      <c r="O41" s="14">
        <f>SUMIF(Daily!K$3:K380,"&lt;0")</f>
        <v>-5.266990671992898E-2</v>
      </c>
      <c r="P41" s="14">
        <f>SUMIF(Daily!L$3:L380,"&lt;0")</f>
        <v>-0.14959449414550546</v>
      </c>
      <c r="Q41" s="14">
        <f>SUMIF(Daily!M$3:M380,"&lt;0")</f>
        <v>-0.1134630407237458</v>
      </c>
      <c r="R41" s="25">
        <f>SUMIF(Daily!N$3:N380,"&lt;0")</f>
        <v>-0.25785249592881504</v>
      </c>
    </row>
    <row r="42" spans="8:18" x14ac:dyDescent="0.25">
      <c r="H42" s="56" t="s">
        <v>75</v>
      </c>
      <c r="I42" s="48">
        <f>COUNT(Daily!E$3:E380)</f>
        <v>86</v>
      </c>
      <c r="J42" s="45"/>
      <c r="K42" s="14"/>
      <c r="L42" s="32"/>
      <c r="M42" s="51"/>
      <c r="N42" s="41">
        <f>COUNT(Daily!J$3:J380)</f>
        <v>86</v>
      </c>
      <c r="O42" s="33">
        <f>COUNT(Daily!K$3:K380)</f>
        <v>86</v>
      </c>
      <c r="P42" s="33">
        <f>COUNT(Daily!L$3:L380)</f>
        <v>86</v>
      </c>
      <c r="Q42" s="33">
        <f>COUNT(Daily!M$3:M380)</f>
        <v>86</v>
      </c>
      <c r="R42" s="35">
        <f>COUNT(Daily!N$3:N380)</f>
        <v>86</v>
      </c>
    </row>
    <row r="43" spans="8:18" x14ac:dyDescent="0.25">
      <c r="H43" s="56" t="s">
        <v>76</v>
      </c>
      <c r="I43" s="48">
        <f>I42-I39</f>
        <v>36</v>
      </c>
      <c r="J43" s="45"/>
      <c r="K43" s="14"/>
      <c r="L43" s="32"/>
      <c r="M43" s="51"/>
      <c r="N43" s="41">
        <f>N42-N39</f>
        <v>40</v>
      </c>
      <c r="O43" s="33">
        <f>O42-O39</f>
        <v>41</v>
      </c>
      <c r="P43" s="33">
        <f>P42-P39</f>
        <v>36</v>
      </c>
      <c r="Q43" s="33">
        <f>Q42-Q39</f>
        <v>39</v>
      </c>
      <c r="R43" s="35">
        <f>R42-R39</f>
        <v>40</v>
      </c>
    </row>
    <row r="44" spans="8:18" x14ac:dyDescent="0.25">
      <c r="H44" s="56" t="s">
        <v>78</v>
      </c>
      <c r="I44" s="49">
        <f>(I40/I41)*(I39/I43)*-1</f>
        <v>1.5692586187489861</v>
      </c>
      <c r="J44" s="45"/>
      <c r="K44" s="14"/>
      <c r="L44" s="32"/>
      <c r="M44" s="51"/>
      <c r="N44" s="42">
        <f>(N40/N41)*(N39/N43)*-1</f>
        <v>1.324275706399108</v>
      </c>
      <c r="O44" s="34">
        <f>(O40/O41)*(O39/O43)*-1</f>
        <v>1.2297327643562139</v>
      </c>
      <c r="P44" s="34">
        <f>(P40/P41)*(P39/P43)*-1</f>
        <v>2.2671479910765218</v>
      </c>
      <c r="Q44" s="34">
        <f>(Q40/Q41)*(Q39/Q43)*-1</f>
        <v>1.4215586653390666</v>
      </c>
      <c r="R44" s="36">
        <f>(R40/R41)*(R39/R43)*-1</f>
        <v>1.2226659115451322</v>
      </c>
    </row>
    <row r="45" spans="8:18" x14ac:dyDescent="0.25">
      <c r="H45" s="61" t="s">
        <v>77</v>
      </c>
      <c r="I45" s="62">
        <f>I39/I42</f>
        <v>0.58139534883720934</v>
      </c>
      <c r="J45" s="63"/>
      <c r="K45" s="64"/>
      <c r="L45" s="65"/>
      <c r="M45" s="66"/>
      <c r="N45" s="67">
        <f>N39/N42</f>
        <v>0.53488372093023251</v>
      </c>
      <c r="O45" s="64">
        <f>O39/O42</f>
        <v>0.52325581395348841</v>
      </c>
      <c r="P45" s="64">
        <f>P39/P42</f>
        <v>0.58139534883720934</v>
      </c>
      <c r="Q45" s="64">
        <f>Q39/Q42</f>
        <v>0.54651162790697672</v>
      </c>
      <c r="R45" s="68">
        <f>R39/R42</f>
        <v>0.53488372093023251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88"/>
  <sheetViews>
    <sheetView zoomScale="80" zoomScaleNormal="80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B96" sqref="B95:B96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88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>0.6*J70 + 0.4*K70</f>
        <v>1.8244843109000989E-4</v>
      </c>
      <c r="N70" s="11">
        <f>VLOOKUP($A70,Prices!$A:$J,MATCH(N$1,Prices!$1:$1,0),0)</f>
        <v>5.6657223796041656E-4</v>
      </c>
      <c r="P70" s="10">
        <f t="shared" ref="P70" si="1210">P69*(1+J70)</f>
        <v>101.90336372215063</v>
      </c>
      <c r="Q70" s="10">
        <f t="shared" ref="Q70" si="1211">Q69*(1+K70)</f>
        <v>100.26484905838925</v>
      </c>
      <c r="R70" s="10">
        <f t="shared" ref="R70" si="1212">R69*(1+L70)</f>
        <v>107.64743786755095</v>
      </c>
      <c r="S70" s="10">
        <f t="shared" ref="S70" si="1213">S69*(1+M70)</f>
        <v>101.28194123662431</v>
      </c>
      <c r="T70" s="10">
        <f t="shared" ref="T70" si="1214">T69*(1+N70)</f>
        <v>102.41978336558765</v>
      </c>
      <c r="V70" s="5">
        <f t="shared" ref="V70" si="1215">P70/P$45-1</f>
        <v>3.1496062992125928E-2</v>
      </c>
      <c r="W70" s="5">
        <f t="shared" ref="W70" si="1216">Q70/Q$45-1</f>
        <v>-4.7883511105628607E-4</v>
      </c>
      <c r="X70" s="5">
        <f t="shared" ref="X70" si="1217">R70/R$45-1</f>
        <v>4.9807727522431344E-2</v>
      </c>
      <c r="Y70" s="5">
        <f t="shared" ref="Y70" si="1218">S70/S$45-1</f>
        <v>1.8667719902173419E-2</v>
      </c>
      <c r="Z70" s="5">
        <f t="shared" ref="Z70" si="1219">T70/T$45-1</f>
        <v>1.4942528735632399E-2</v>
      </c>
      <c r="AB70" s="8">
        <f t="shared" ref="AB70" si="1220">P70/$P$2-1</f>
        <v>1.9033637221506305E-2</v>
      </c>
      <c r="AC70" s="8">
        <f t="shared" ref="AC70" si="1221">Q70/$P$2-1</f>
        <v>2.6484905838923822E-3</v>
      </c>
      <c r="AD70" s="8">
        <f t="shared" ref="AD70" si="1222">R70/$P$2-1</f>
        <v>7.6474378675509547E-2</v>
      </c>
      <c r="AE70" s="8">
        <f t="shared" ref="AE70" si="1223">S70/$P$2-1</f>
        <v>1.2819412366243066E-2</v>
      </c>
      <c r="AF70" s="8">
        <f t="shared" ref="AF70" si="1224">T70/$T$2-1</f>
        <v>2.4197833655876577E-2</v>
      </c>
      <c r="AI70" s="8">
        <f t="shared" ref="AI70" si="1225">MIN(0,(F70-MAX(F41:F70))/MAX(F41:F70))</f>
        <v>0</v>
      </c>
      <c r="AJ70" s="8">
        <f t="shared" ref="AJ70" si="1226">MIN(0,(P70-MAX(P41:P70))/MAX(P41:P70))</f>
        <v>-7.0384407146724367E-3</v>
      </c>
      <c r="AK70" s="8">
        <f t="shared" ref="AK70" si="1227">MIN(0,(Q70-MAX(Q41:Q70))/MAX(Q41:Q70))</f>
        <v>-4.4127311989484138E-3</v>
      </c>
      <c r="AL70" s="8">
        <f t="shared" ref="AL70" si="1228">MIN(0,(R70-MAX(R41:R70))/MAX(R41:R70))</f>
        <v>0</v>
      </c>
      <c r="AM70" s="8">
        <f t="shared" ref="AM70" si="1229">MIN(0,(S70-MAX(S41:S70))/MAX(S41:S70))</f>
        <v>-4.2992881788178833E-3</v>
      </c>
      <c r="AN70" s="8">
        <f t="shared" ref="AN70" si="1230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1">D71/D70-1</f>
        <v>-3.3668471564133329E-3</v>
      </c>
      <c r="F71" s="10">
        <f t="shared" ref="F71" si="1232">F70*(1+E71)</f>
        <v>99.88985000000001</v>
      </c>
      <c r="G71" s="5">
        <f t="shared" ref="G71" si="1233">F71/F$45-1</f>
        <v>6.5300105399139774E-3</v>
      </c>
      <c r="H71" s="8">
        <f t="shared" ref="H71" si="1234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5">0.6*J71 + 0.4*K71</f>
        <v>2.0640963040633674E-3</v>
      </c>
      <c r="N71" s="11">
        <f>VLOOKUP($A71,Prices!$A:$J,MATCH(N$1,Prices!$1:$1,0),0)</f>
        <v>1.1325028312569874E-3</v>
      </c>
      <c r="P71" s="10">
        <f t="shared" ref="P71" si="1236">P70*(1+J71)</f>
        <v>102.37565303056846</v>
      </c>
      <c r="Q71" s="10">
        <f t="shared" ref="Q71" si="1237">Q70*(1+K71)</f>
        <v>100.08519683921634</v>
      </c>
      <c r="R71" s="10">
        <f t="shared" ref="R71" si="1238">R70*(1+L71)</f>
        <v>107.95537751189562</v>
      </c>
      <c r="S71" s="10">
        <f t="shared" ref="S71" si="1239">S70*(1+M71)</f>
        <v>101.4909969171992</v>
      </c>
      <c r="T71" s="10">
        <f t="shared" ref="T71" si="1240">T70*(1+N71)</f>
        <v>102.5357740602259</v>
      </c>
      <c r="V71" s="5">
        <f t="shared" ref="V71" si="1241">P71/P$45-1</f>
        <v>3.6276715410573646E-2</v>
      </c>
      <c r="W71" s="5">
        <f t="shared" ref="W71" si="1242">Q71/Q$45-1</f>
        <v>-2.2697538335092471E-3</v>
      </c>
      <c r="X71" s="5">
        <f t="shared" ref="X71" si="1243">R71/R$45-1</f>
        <v>5.2810840505401746E-2</v>
      </c>
      <c r="Y71" s="5">
        <f t="shared" ref="Y71" si="1244">S71/S$45-1</f>
        <v>2.0770348177892251E-2</v>
      </c>
      <c r="Z71" s="5">
        <f t="shared" ref="Z71" si="1245">T71/T$45-1</f>
        <v>1.6091954022988686E-2</v>
      </c>
      <c r="AB71" s="8">
        <f t="shared" ref="AB71" si="1246">P71/$P$2-1</f>
        <v>2.3756530305684587E-2</v>
      </c>
      <c r="AC71" s="8">
        <f t="shared" ref="AC71" si="1247">Q71/$P$2-1</f>
        <v>8.5196839216328257E-4</v>
      </c>
      <c r="AD71" s="8">
        <f t="shared" ref="AD71" si="1248">R71/$P$2-1</f>
        <v>7.9553775118956116E-2</v>
      </c>
      <c r="AE71" s="8">
        <f t="shared" ref="AE71" si="1249">S71/$P$2-1</f>
        <v>1.4909969171992055E-2</v>
      </c>
      <c r="AF71" s="8">
        <f t="shared" ref="AF71" si="1250">T71/$T$2-1</f>
        <v>2.5357740602259149E-2</v>
      </c>
      <c r="AI71" s="8">
        <f t="shared" ref="AI71" si="1251">MIN(0,(F71-MAX(F42:F71))/MAX(F42:F71))</f>
        <v>-3.3668471564133706E-3</v>
      </c>
      <c r="AJ71" s="8">
        <f t="shared" ref="AJ71" si="1252">MIN(0,(P71-MAX(P42:P71))/MAX(P42:P71))</f>
        <v>-2.436383324309599E-3</v>
      </c>
      <c r="AK71" s="8">
        <f t="shared" ref="AK71" si="1253">MIN(0,(Q71-MAX(Q42:Q71))/MAX(Q42:Q71))</f>
        <v>-6.1966012580979037E-3</v>
      </c>
      <c r="AL71" s="8">
        <f t="shared" ref="AL71" si="1254">MIN(0,(R71-MAX(R42:R71))/MAX(R42:R71))</f>
        <v>0</v>
      </c>
      <c r="AM71" s="8">
        <f t="shared" ref="AM71" si="1255">MIN(0,(S71-MAX(S42:S71))/MAX(S42:S71))</f>
        <v>-2.2440660195943954E-3</v>
      </c>
      <c r="AN71" s="8">
        <f t="shared" ref="AN71" si="1256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7">D72/D71-1</f>
        <v>1.2018238089255284E-3</v>
      </c>
      <c r="F72" s="10">
        <f t="shared" ref="F72" si="1258">F71*(1+E72)</f>
        <v>100.00990000000002</v>
      </c>
      <c r="G72" s="5">
        <f t="shared" ref="G72" si="1259">F72/F$45-1</f>
        <v>7.739682270978987E-3</v>
      </c>
      <c r="H72" s="8">
        <f t="shared" ref="H72" si="1260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1">0.6*J72 + 0.4*K72</f>
        <v>8.141112618722523E-5</v>
      </c>
      <c r="N72" s="11">
        <f>VLOOKUP($A72,Prices!$A:$J,MATCH(N$1,Prices!$1:$1,0),0)</f>
        <v>2.8280542986425239E-3</v>
      </c>
      <c r="P72" s="10">
        <f t="shared" ref="P72" si="1262">P71*(1+J72)</f>
        <v>102.38954389258075</v>
      </c>
      <c r="Q72" s="10">
        <f t="shared" ref="Q72" si="1263">Q71*(1+K72)</f>
        <v>100.08519683921634</v>
      </c>
      <c r="R72" s="10">
        <f t="shared" ref="R72" si="1264">R71*(1+L72)</f>
        <v>107.91782389673163</v>
      </c>
      <c r="S72" s="10">
        <f t="shared" ref="S72" si="1265">S71*(1+M72)</f>
        <v>101.4992594135561</v>
      </c>
      <c r="T72" s="10">
        <f t="shared" ref="T72" si="1266">T71*(1+N72)</f>
        <v>102.82575079682157</v>
      </c>
      <c r="V72" s="5">
        <f t="shared" ref="V72" si="1267">P72/P$45-1</f>
        <v>3.6417322834645605E-2</v>
      </c>
      <c r="W72" s="5">
        <f t="shared" ref="W72" si="1268">Q72/Q$45-1</f>
        <v>-2.2697538335092471E-3</v>
      </c>
      <c r="X72" s="5">
        <f t="shared" ref="X72" si="1269">R72/R$45-1</f>
        <v>5.2444607214795713E-2</v>
      </c>
      <c r="Y72" s="5">
        <f t="shared" ref="Y72" si="1270">S72/S$45-1</f>
        <v>2.0853450241516081E-2</v>
      </c>
      <c r="Z72" s="5">
        <f t="shared" ref="Z72" si="1271">T72/T$45-1</f>
        <v>1.8965517241379404E-2</v>
      </c>
      <c r="AB72" s="8">
        <f t="shared" ref="AB72" si="1272">P72/$P$2-1</f>
        <v>2.3895438925807477E-2</v>
      </c>
      <c r="AC72" s="8">
        <f t="shared" ref="AC72" si="1273">Q72/$P$2-1</f>
        <v>8.5196839216328257E-4</v>
      </c>
      <c r="AD72" s="8">
        <f t="shared" ref="AD72" si="1274">R72/$P$2-1</f>
        <v>7.917823896731635E-2</v>
      </c>
      <c r="AE72" s="8">
        <f t="shared" ref="AE72" si="1275">S72/$P$2-1</f>
        <v>1.4992594135561088E-2</v>
      </c>
      <c r="AF72" s="8">
        <f t="shared" ref="AF72" si="1276">T72/$T$2-1</f>
        <v>2.8257507968215689E-2</v>
      </c>
      <c r="AI72" s="8">
        <f t="shared" ref="AI72" si="1277">MIN(0,(F72-MAX(F43:F72))/MAX(F43:F72))</f>
        <v>-2.169069704561368E-3</v>
      </c>
      <c r="AJ72" s="8">
        <f t="shared" ref="AJ72" si="1278">MIN(0,(P72-MAX(P43:P72))/MAX(P43:P72))</f>
        <v>-2.3010286951812803E-3</v>
      </c>
      <c r="AK72" s="8">
        <f t="shared" ref="AK72" si="1279">MIN(0,(Q72-MAX(Q43:Q72))/MAX(Q43:Q72))</f>
        <v>-6.1966012580979037E-3</v>
      </c>
      <c r="AL72" s="8">
        <f t="shared" ref="AL72" si="1280">MIN(0,(R72-MAX(R43:R72))/MAX(R43:R72))</f>
        <v>-3.4786238564029221E-4</v>
      </c>
      <c r="AM72" s="8">
        <f t="shared" ref="AM72" si="1281">MIN(0,(S72-MAX(S43:S72))/MAX(S43:S72))</f>
        <v>-2.1628375853489398E-3</v>
      </c>
      <c r="AN72" s="8">
        <f t="shared" ref="AN72" si="1282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3">D73/D72-1</f>
        <v>1.0268983370647078E-3</v>
      </c>
      <c r="F73" s="10">
        <f t="shared" ref="F73" si="1284">F72*(1+E73)</f>
        <v>100.11260000000003</v>
      </c>
      <c r="G73" s="5">
        <f t="shared" ref="G73" si="1285">F73/F$45-1</f>
        <v>8.7745284748972363E-3</v>
      </c>
      <c r="H73" s="8">
        <f t="shared" ref="H73" si="1286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7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8">P72*(1+J73)</f>
        <v>102.12561751434727</v>
      </c>
      <c r="Q73" s="10">
        <f t="shared" ref="Q73" si="1289">Q72*(1+K73)</f>
        <v>100.22702753856336</v>
      </c>
      <c r="R73" s="10">
        <f t="shared" ref="R73" si="1290">R72*(1+L73)</f>
        <v>107.82018449730529</v>
      </c>
      <c r="S73" s="10">
        <f t="shared" ref="S73" si="1291">S72*(1+M73)</f>
        <v>101.39981432874961</v>
      </c>
      <c r="T73" s="10">
        <f t="shared" ref="T73" si="1292">T72*(1+N73)</f>
        <v>102.18780197631112</v>
      </c>
      <c r="V73" s="5">
        <f t="shared" ref="V73" si="1293">P73/P$45-1</f>
        <v>3.3745781777277939E-2</v>
      </c>
      <c r="W73" s="5">
        <f t="shared" ref="W73" si="1294">Q73/Q$45-1</f>
        <v>-8.5587063157277488E-4</v>
      </c>
      <c r="X73" s="5">
        <f t="shared" ref="X73" si="1295">R73/R$45-1</f>
        <v>5.1492400659219895E-2</v>
      </c>
      <c r="Y73" s="5">
        <f t="shared" ref="Y73" si="1296">S73/S$45-1</f>
        <v>1.9853257151233095E-2</v>
      </c>
      <c r="Z73" s="5">
        <f t="shared" ref="Z73" si="1297">T73/T$45-1</f>
        <v>1.2643678160919825E-2</v>
      </c>
      <c r="AB73" s="8">
        <f t="shared" ref="AB73" si="1298">P73/$P$2-1</f>
        <v>2.1256175143472777E-2</v>
      </c>
      <c r="AC73" s="8">
        <f t="shared" ref="AC73" si="1299">Q73/$P$2-1</f>
        <v>2.2702753856336244E-3</v>
      </c>
      <c r="AD73" s="8">
        <f t="shared" ref="AD73" si="1300">R73/$P$2-1</f>
        <v>7.8201844973052825E-2</v>
      </c>
      <c r="AE73" s="8">
        <f t="shared" ref="AE73" si="1301">S73/$P$2-1</f>
        <v>1.3998143287496045E-2</v>
      </c>
      <c r="AF73" s="8">
        <f t="shared" ref="AF73" si="1302">T73/$T$2-1</f>
        <v>2.1878019763111212E-2</v>
      </c>
      <c r="AI73" s="8">
        <f t="shared" ref="AI73" si="1303">MIN(0,(F73-MAX(F44:F73))/MAX(F44:F73))</f>
        <v>-1.1443987815692004E-3</v>
      </c>
      <c r="AJ73" s="8">
        <f t="shared" ref="AJ73" si="1304">MIN(0,(P73-MAX(P44:P73))/MAX(P44:P73))</f>
        <v>-4.872766648619198E-3</v>
      </c>
      <c r="AK73" s="8">
        <f t="shared" ref="AK73" si="1305">MIN(0,(Q73-MAX(Q44:Q73))/MAX(Q44:Q73))</f>
        <v>-4.7882827903483801E-3</v>
      </c>
      <c r="AL73" s="8">
        <f t="shared" ref="AL73" si="1306">MIN(0,(R73-MAX(R44:R73))/MAX(R44:R73))</f>
        <v>-1.2523045883048413E-3</v>
      </c>
      <c r="AM73" s="8">
        <f t="shared" ref="AM73" si="1307">MIN(0,(S73-MAX(S44:S73))/MAX(S44:S73))</f>
        <v>-3.140480198829323E-3</v>
      </c>
      <c r="AN73" s="8">
        <f t="shared" ref="AN73" si="1308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09">D74/D73-1</f>
        <v>-3.4021691575285562E-3</v>
      </c>
      <c r="F74" s="10">
        <f t="shared" ref="F74" si="1310">F73*(1+E74)</f>
        <v>99.772000000000034</v>
      </c>
      <c r="G74" s="5">
        <f t="shared" ref="G74" si="1311">F74/F$45-1</f>
        <v>5.3425068872194892E-3</v>
      </c>
      <c r="H74" s="8">
        <f t="shared" ref="H74" si="1312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3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4">P73*(1+J74)</f>
        <v>100.91711251927816</v>
      </c>
      <c r="Q74" s="10">
        <f t="shared" ref="Q74" si="1315">Q73*(1+K74)</f>
        <v>100.44450127756213</v>
      </c>
      <c r="R74" s="10">
        <f t="shared" ref="R74" si="1316">R73*(1+L74)</f>
        <v>107.05409074796007</v>
      </c>
      <c r="S74" s="10">
        <f t="shared" ref="S74" si="1317">S73*(1+M74)</f>
        <v>100.76787199932457</v>
      </c>
      <c r="T74" s="10">
        <f t="shared" ref="T74" si="1318">T73*(1+N74)</f>
        <v>101.7818345450772</v>
      </c>
      <c r="V74" s="5">
        <f t="shared" ref="V74" si="1319">P74/P$45-1</f>
        <v>2.1512935883014839E-2</v>
      </c>
      <c r="W74" s="5">
        <f t="shared" ref="W74" si="1320">Q74/Q$45-1</f>
        <v>1.3120836113964529E-3</v>
      </c>
      <c r="X74" s="5">
        <f t="shared" ref="X74" si="1321">R74/R$45-1</f>
        <v>4.402124153085496E-2</v>
      </c>
      <c r="Y74" s="5">
        <f t="shared" ref="Y74" si="1322">S74/S$45-1</f>
        <v>1.3497343708370524E-2</v>
      </c>
      <c r="Z74" s="5">
        <f t="shared" ref="Z74" si="1323">T74/T$45-1</f>
        <v>8.6206896551728196E-3</v>
      </c>
      <c r="AB74" s="8">
        <f t="shared" ref="AB74" si="1324">P74/$P$2-1</f>
        <v>9.1711251927817372E-3</v>
      </c>
      <c r="AC74" s="8">
        <f t="shared" ref="AC74" si="1325">Q74/$P$2-1</f>
        <v>4.4450127756212598E-3</v>
      </c>
      <c r="AD74" s="8">
        <f t="shared" ref="AD74" si="1326">R74/$P$2-1</f>
        <v>7.0540907479600845E-2</v>
      </c>
      <c r="AE74" s="8">
        <f t="shared" ref="AE74" si="1327">S74/$P$2-1</f>
        <v>7.6787199932457639E-3</v>
      </c>
      <c r="AF74" s="8">
        <f t="shared" ref="AF74" si="1328">T74/$T$2-1</f>
        <v>1.78183454507721E-2</v>
      </c>
      <c r="AI74" s="8">
        <f t="shared" ref="AI74" si="1329">MIN(0,(F74-MAX(F45:F74))/MAX(F45:F74))</f>
        <v>-4.5426745008592031E-3</v>
      </c>
      <c r="AJ74" s="8">
        <f t="shared" ref="AJ74" si="1330">MIN(0,(P74-MAX(P45:P74))/MAX(P45:P74))</f>
        <v>-1.6648619382782514E-2</v>
      </c>
      <c r="AK74" s="8">
        <f t="shared" ref="AK74" si="1331">MIN(0,(Q74-MAX(Q45:Q74))/MAX(Q45:Q74))</f>
        <v>-2.6288611397992049E-3</v>
      </c>
      <c r="AL74" s="8">
        <f t="shared" ref="AL74" si="1332">MIN(0,(R74-MAX(R45:R74))/MAX(R45:R74))</f>
        <v>-8.3486972553658279E-3</v>
      </c>
      <c r="AM74" s="8">
        <f t="shared" ref="AM74" si="1333">MIN(0,(S74-MAX(S45:S74))/MAX(S45:S74))</f>
        <v>-9.3530924331110231E-3</v>
      </c>
      <c r="AN74" s="8">
        <f t="shared" ref="AN74" si="1334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5">D75/D74-1</f>
        <v>-2.7357374814577229E-3</v>
      </c>
      <c r="F75" s="10">
        <f t="shared" ref="F75" si="1336">F74*(1+E75)</f>
        <v>99.49905000000004</v>
      </c>
      <c r="G75" s="5">
        <f t="shared" ref="G75" si="1337">F75/F$45-1</f>
        <v>2.5921537094255598E-3</v>
      </c>
      <c r="H75" s="8">
        <f t="shared" ref="H75" si="1338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39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0">P74*(1+J75)</f>
        <v>100.31980545274973</v>
      </c>
      <c r="Q75" s="10">
        <f t="shared" ref="Q75" si="1341">Q74*(1+K75)</f>
        <v>100.50123355730094</v>
      </c>
      <c r="R75" s="10">
        <f t="shared" ref="R75" si="1342">R74*(1+L75)</f>
        <v>106.69357604238587</v>
      </c>
      <c r="S75" s="10">
        <f t="shared" ref="S75" si="1343">S74*(1+M75)</f>
        <v>100.43278372265756</v>
      </c>
      <c r="T75" s="10">
        <f t="shared" ref="T75" si="1344">T74*(1+N75)</f>
        <v>100.85390898797108</v>
      </c>
      <c r="V75" s="5">
        <f t="shared" ref="V75" si="1345">P75/P$45-1</f>
        <v>1.5466816647919268E-2</v>
      </c>
      <c r="W75" s="5">
        <f t="shared" ref="W75" si="1346">Q75/Q$45-1</f>
        <v>1.8776368921709086E-3</v>
      </c>
      <c r="X75" s="5">
        <f t="shared" ref="X75" si="1347">R75/R$45-1</f>
        <v>4.0505401941036467E-2</v>
      </c>
      <c r="Y75" s="5">
        <f t="shared" ref="Y75" si="1348">S75/S$45-1</f>
        <v>1.0127111990942739E-2</v>
      </c>
      <c r="Z75" s="5">
        <f t="shared" ref="Z75" si="1349">T75/T$45-1</f>
        <v>-5.7471264367792152E-4</v>
      </c>
      <c r="AB75" s="8">
        <f t="shared" ref="AB75" si="1350">P75/$P$2-1</f>
        <v>3.1980545274974403E-3</v>
      </c>
      <c r="AC75" s="8">
        <f t="shared" ref="AC75" si="1351">Q75/$P$2-1</f>
        <v>5.0123355730093966E-3</v>
      </c>
      <c r="AD75" s="8">
        <f t="shared" ref="AD75" si="1352">R75/$P$2-1</f>
        <v>6.6935760423858737E-2</v>
      </c>
      <c r="AE75" s="8">
        <f t="shared" ref="AE75" si="1353">S75/$P$2-1</f>
        <v>4.3278372265755927E-3</v>
      </c>
      <c r="AF75" s="8">
        <f t="shared" ref="AF75" si="1354">T75/$T$2-1</f>
        <v>8.5390898797108594E-3</v>
      </c>
      <c r="AI75" s="8">
        <f t="shared" ref="AI75" si="1355">MIN(0,(F75-MAX(F46:F75))/MAX(F46:F75))</f>
        <v>-7.2659844174188084E-3</v>
      </c>
      <c r="AJ75" s="8">
        <f t="shared" ref="AJ75" si="1356">MIN(0,(P75-MAX(P46:P75))/MAX(P46:P75))</f>
        <v>-2.2468868435300222E-2</v>
      </c>
      <c r="AK75" s="8">
        <f t="shared" ref="AK75" si="1357">MIN(0,(Q75-MAX(Q46:Q75))/MAX(Q46:Q75))</f>
        <v>-2.0655337526993955E-3</v>
      </c>
      <c r="AL75" s="8">
        <f t="shared" ref="AL75" si="1358">MIN(0,(R75-MAX(R46:R75))/MAX(R46:R75))</f>
        <v>-1.1688176157512029E-2</v>
      </c>
      <c r="AM75" s="8">
        <f t="shared" ref="AM75" si="1359">MIN(0,(S75-MAX(S46:S75))/MAX(S46:S75))</f>
        <v>-1.264733849046862E-2</v>
      </c>
      <c r="AN75" s="8">
        <f t="shared" ref="AN75" si="1360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1">D76/D75-1</f>
        <v>3.6367181395198234E-3</v>
      </c>
      <c r="F76" s="10">
        <f t="shared" ref="F76" si="1362">F75*(1+E76)</f>
        <v>99.860900000000029</v>
      </c>
      <c r="G76" s="5">
        <f t="shared" ref="G76" si="1363">F76/F$45-1</f>
        <v>6.2382987813609514E-3</v>
      </c>
      <c r="H76" s="8">
        <f t="shared" ref="H76" si="1364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5">0.6*J76 + 0.4*K76</f>
        <v>2.3652939076950208E-3</v>
      </c>
      <c r="N76" s="11">
        <f>VLOOKUP($A76,Prices!$A:$J,MATCH(N$1,Prices!$1:$1,0),0)</f>
        <v>4.025301897642386E-3</v>
      </c>
      <c r="P76" s="10">
        <f t="shared" ref="P76" si="1366">P75*(1+J76)</f>
        <v>100.77820389915527</v>
      </c>
      <c r="Q76" s="10">
        <f t="shared" ref="Q76" si="1367">Q75*(1+K76)</f>
        <v>100.40667975773624</v>
      </c>
      <c r="R76" s="10">
        <f t="shared" ref="R76" si="1368">R75*(1+L76)</f>
        <v>107.37705183837032</v>
      </c>
      <c r="S76" s="10">
        <f t="shared" ref="S76" si="1369">S75*(1+M76)</f>
        <v>100.67033677412961</v>
      </c>
      <c r="T76" s="10">
        <f t="shared" ref="T76" si="1370">T75*(1+N76)</f>
        <v>101.25987641920501</v>
      </c>
      <c r="V76" s="5">
        <f t="shared" ref="V76" si="1371">P76/P$45-1</f>
        <v>2.0106861642295026E-2</v>
      </c>
      <c r="W76" s="5">
        <f t="shared" ref="W76" si="1372">Q76/Q$45-1</f>
        <v>9.3504809087985308E-4</v>
      </c>
      <c r="X76" s="5">
        <f t="shared" ref="X76" si="1373">R76/R$45-1</f>
        <v>4.7170847830067641E-2</v>
      </c>
      <c r="Y76" s="5">
        <f t="shared" ref="Y76" si="1374">S76/S$45-1</f>
        <v>1.2516359494932461E-2</v>
      </c>
      <c r="Z76" s="5">
        <f t="shared" ref="Z76" si="1375">T76/T$45-1</f>
        <v>3.4482758620693055E-3</v>
      </c>
      <c r="AB76" s="8">
        <f t="shared" ref="AB76" si="1376">P76/$P$2-1</f>
        <v>7.782038991552831E-3</v>
      </c>
      <c r="AC76" s="8">
        <f t="shared" ref="AC76" si="1377">Q76/$P$2-1</f>
        <v>4.066797577362502E-3</v>
      </c>
      <c r="AD76" s="8">
        <f t="shared" ref="AD76" si="1378">R76/$P$2-1</f>
        <v>7.3770518383703187E-2</v>
      </c>
      <c r="AE76" s="8">
        <f t="shared" ref="AE76" si="1379">S76/$P$2-1</f>
        <v>6.7033677412959847E-3</v>
      </c>
      <c r="AF76" s="8">
        <f t="shared" ref="AF76" si="1380">T76/$T$2-1</f>
        <v>1.2598764192050194E-2</v>
      </c>
      <c r="AI76" s="8">
        <f t="shared" ref="AI76" si="1381">MIN(0,(F76-MAX(F47:F76))/MAX(F47:F76))</f>
        <v>-3.6556906152312822E-3</v>
      </c>
      <c r="AJ76" s="8">
        <f t="shared" ref="AJ76" si="1382">MIN(0,(P76-MAX(P47:P76))/MAX(P47:P76))</f>
        <v>-1.8002165674065703E-2</v>
      </c>
      <c r="AK76" s="8">
        <f t="shared" ref="AK76" si="1383">MIN(0,(Q76-MAX(Q47:Q76))/MAX(Q47:Q76))</f>
        <v>-3.0044127311991721E-3</v>
      </c>
      <c r="AL76" s="8">
        <f t="shared" ref="AL76" si="1384">MIN(0,(R76-MAX(R47:R76))/MAX(R47:R76))</f>
        <v>-5.3570807388596577E-3</v>
      </c>
      <c r="AM76" s="8">
        <f t="shared" ref="AM76" si="1385">MIN(0,(S76-MAX(S47:S76))/MAX(S47:S76))</f>
        <v>-1.0311959255453714E-2</v>
      </c>
      <c r="AN76" s="8">
        <f t="shared" ref="AN76" si="1386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7">D77/D76-1</f>
        <v>-3.6951399396559781E-3</v>
      </c>
      <c r="F77" s="10">
        <f t="shared" ref="F77" si="1388">F76*(1+E77)</f>
        <v>99.491900000000044</v>
      </c>
      <c r="G77" s="5">
        <f t="shared" ref="G77" si="1389">F77/F$45-1</f>
        <v>2.5201074547225311E-3</v>
      </c>
      <c r="H77" s="8">
        <f t="shared" ref="H77" si="1390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1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2">P76*(1+J77)</f>
        <v>99.583589766098441</v>
      </c>
      <c r="Q77" s="10">
        <f t="shared" ref="Q77" si="1393">Q76*(1+K77)</f>
        <v>100.54851045708327</v>
      </c>
      <c r="R77" s="10">
        <f t="shared" ref="R77" si="1394">R76*(1+L77)</f>
        <v>106.52082941263154</v>
      </c>
      <c r="S77" s="10">
        <f t="shared" ref="S77" si="1395">S76*(1+M77)</f>
        <v>100.01121673409924</v>
      </c>
      <c r="T77" s="10">
        <f t="shared" ref="T77" si="1396">T76*(1+N77)</f>
        <v>100.43518258032694</v>
      </c>
      <c r="V77" s="5">
        <f t="shared" ref="V77" si="1397">P77/P$45-1</f>
        <v>8.0146231721038852E-3</v>
      </c>
      <c r="W77" s="5">
        <f t="shared" ref="W77" si="1398">Q77/Q$45-1</f>
        <v>2.3489312928164363E-3</v>
      </c>
      <c r="X77" s="5">
        <f t="shared" ref="X77" si="1399">R77/R$45-1</f>
        <v>3.8820728804248139E-2</v>
      </c>
      <c r="Y77" s="5">
        <f t="shared" ref="Y77" si="1400">S77/S$45-1</f>
        <v>5.887099627658321E-3</v>
      </c>
      <c r="Z77" s="5">
        <f t="shared" ref="Z77" si="1401">T77/T$45-1</f>
        <v>-4.7241379310343223E-3</v>
      </c>
      <c r="AB77" s="8">
        <f t="shared" ref="AB77" si="1402">P77/$P$2-1</f>
        <v>-4.1641023390155407E-3</v>
      </c>
      <c r="AC77" s="8">
        <f t="shared" ref="AC77" si="1403">Q77/$P$2-1</f>
        <v>5.4851045708326218E-3</v>
      </c>
      <c r="AD77" s="8">
        <f t="shared" ref="AD77" si="1404">R77/$P$2-1</f>
        <v>6.5208294126315458E-2</v>
      </c>
      <c r="AE77" s="8">
        <f t="shared" ref="AE77" si="1405">S77/$P$2-1</f>
        <v>1.1216734099228631E-4</v>
      </c>
      <c r="AF77" s="8">
        <f t="shared" ref="AF77" si="1406">T77/$T$2-1</f>
        <v>4.3518258032693158E-3</v>
      </c>
      <c r="AI77" s="8">
        <f t="shared" ref="AI77" si="1407">MIN(0,(F77-MAX(F48:F77))/MAX(F48:F77))</f>
        <v>-7.3373222664878321E-3</v>
      </c>
      <c r="AJ77" s="8">
        <f t="shared" ref="AJ77" si="1408">MIN(0,(P77-MAX(P48:P77))/MAX(P48:P77))</f>
        <v>-2.9642663779100839E-2</v>
      </c>
      <c r="AK77" s="8">
        <f t="shared" ref="AK77" si="1409">MIN(0,(Q77-MAX(Q48:Q77))/MAX(Q48:Q77))</f>
        <v>-1.5960942634496483E-3</v>
      </c>
      <c r="AL77" s="8">
        <f t="shared" ref="AL77" si="1410">MIN(0,(R77-MAX(R48:R77))/MAX(R48:R77))</f>
        <v>-1.3288343131457294E-2</v>
      </c>
      <c r="AM77" s="8">
        <f t="shared" ref="AM77" si="1411">MIN(0,(S77-MAX(S48:S77))/MAX(S48:S77))</f>
        <v>-1.6791755011940763E-2</v>
      </c>
      <c r="AN77" s="8">
        <f t="shared" ref="AN77" si="1412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3">D78/D77-1</f>
        <v>6.493995993643642E-3</v>
      </c>
      <c r="F78" s="10">
        <f t="shared" ref="F78" si="1414">F77*(1+E78)</f>
        <v>100.13800000000003</v>
      </c>
      <c r="G78" s="5">
        <f t="shared" ref="G78" si="1415">F78/F$45-1</f>
        <v>9.0304690160805112E-3</v>
      </c>
      <c r="H78" s="8">
        <f t="shared" ref="H78" si="1416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7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8">P77*(1+J78)</f>
        <v>100.33369631476205</v>
      </c>
      <c r="Q78" s="10">
        <f t="shared" ref="Q78" si="1419">Q77*(1+K78)</f>
        <v>100.60524273682208</v>
      </c>
      <c r="R78" s="10">
        <f t="shared" ref="R78" si="1420">R77*(1+L78)</f>
        <v>107.44089298414909</v>
      </c>
      <c r="S78" s="10">
        <f t="shared" ref="S78" si="1421">S77*(1+M78)</f>
        <v>100.48578495519446</v>
      </c>
      <c r="T78" s="10">
        <f t="shared" ref="T78" si="1422">T77*(1+N78)</f>
        <v>99.694002041588448</v>
      </c>
      <c r="V78" s="5">
        <f t="shared" ref="V78" si="1423">P78/P$45-1</f>
        <v>1.5607424071991449E-2</v>
      </c>
      <c r="W78" s="5">
        <f t="shared" ref="W78" si="1424">Q78/Q$45-1</f>
        <v>2.914484573590892E-3</v>
      </c>
      <c r="X78" s="5">
        <f t="shared" ref="X78" si="1425">R78/R$45-1</f>
        <v>4.7793444424098164E-2</v>
      </c>
      <c r="Y78" s="5">
        <f t="shared" ref="Y78" si="1426">S78/S$45-1</f>
        <v>1.0660184758320312E-2</v>
      </c>
      <c r="Z78" s="5">
        <f t="shared" ref="Z78" si="1427">T78/T$45-1</f>
        <v>-1.2068965517241015E-2</v>
      </c>
      <c r="AB78" s="8">
        <f t="shared" ref="AB78" si="1428">P78/$P$2-1</f>
        <v>3.336963147620553E-3</v>
      </c>
      <c r="AC78" s="8">
        <f t="shared" ref="AC78" si="1429">Q78/$P$2-1</f>
        <v>6.0524273682207586E-3</v>
      </c>
      <c r="AD78" s="8">
        <f t="shared" ref="AD78" si="1430">R78/$P$2-1</f>
        <v>7.4408929841490945E-2</v>
      </c>
      <c r="AE78" s="8">
        <f t="shared" ref="AE78" si="1431">S78/$P$2-1</f>
        <v>4.8578495519446818E-3</v>
      </c>
      <c r="AF78" s="8">
        <f t="shared" ref="AF78" si="1432">T78/$T$2-1</f>
        <v>-3.0599795841155242E-3</v>
      </c>
      <c r="AI78" s="8">
        <f t="shared" ref="AI78" si="1433">MIN(0,(F78-MAX(F49:F78))/MAX(F49:F78))</f>
        <v>-8.9097481424687652E-4</v>
      </c>
      <c r="AJ78" s="8">
        <f t="shared" ref="AJ78" si="1434">MIN(0,(P78-MAX(P49:P78))/MAX(P49:P78))</f>
        <v>-2.2333513806171625E-2</v>
      </c>
      <c r="AK78" s="8">
        <f t="shared" ref="AK78" si="1435">MIN(0,(Q78-MAX(Q49:Q78))/MAX(Q49:Q78))</f>
        <v>-1.0327668763498389E-3</v>
      </c>
      <c r="AL78" s="8">
        <f t="shared" ref="AL78" si="1436">MIN(0,(R78-MAX(R49:R78))/MAX(R49:R78))</f>
        <v>-4.7657146832712528E-3</v>
      </c>
      <c r="AM78" s="8">
        <f t="shared" ref="AM78" si="1437">MIN(0,(S78-MAX(S49:S78))/MAX(S49:S78))</f>
        <v>-1.212628444746704E-2</v>
      </c>
      <c r="AN78" s="8">
        <f t="shared" ref="AN78" si="1438">MIN(0,(T78-MAX(T49:T78))/MAX(T49:T78))</f>
        <v>-3.9128004471771866E-2</v>
      </c>
    </row>
    <row r="79" spans="1:40" x14ac:dyDescent="0.25">
      <c r="A79" s="9">
        <v>43329</v>
      </c>
      <c r="B79" s="4">
        <f t="shared" si="812"/>
        <v>20007.669999999998</v>
      </c>
      <c r="C79" s="4">
        <v>104.72</v>
      </c>
      <c r="D79" s="4">
        <f>20124.46-12.07</f>
        <v>20112.39</v>
      </c>
      <c r="E79" s="5">
        <f t="shared" ref="E79" si="1439">D79/D78-1</f>
        <v>4.23365755257743E-3</v>
      </c>
      <c r="F79" s="10">
        <f t="shared" ref="F79" si="1440">F78*(1+E79)</f>
        <v>100.56195000000004</v>
      </c>
      <c r="G79" s="5">
        <f t="shared" ref="G79" si="1441">F79/F$45-1</f>
        <v>1.3302358482011334E-2</v>
      </c>
      <c r="H79" s="8">
        <f t="shared" ref="H79" si="1442">F79/$F$2-1</f>
        <v>5.6195000000003326E-3</v>
      </c>
      <c r="J79" s="11">
        <f>VLOOKUP($A79,Prices!$A:$J,MATCH(J$1,Prices!$1:$1,0),0)</f>
        <v>4.568738751211443E-3</v>
      </c>
      <c r="K79" s="11">
        <f>VLOOKUP($A79,Prices!$A:$J,MATCH(K$1,Prices!$1:$1,0),0)</f>
        <v>5.6390977443587786E-4</v>
      </c>
      <c r="L79" s="11">
        <f>VLOOKUP($A79,Prices!$A:$J,MATCH(L$1,Prices!$1:$1,0),0)</f>
        <v>3.2855644879412615E-3</v>
      </c>
      <c r="M79" s="11">
        <f t="shared" ref="M79" si="1443">0.6*J79 + 0.4*K79</f>
        <v>2.966807160501217E-3</v>
      </c>
      <c r="N79" s="11">
        <f>VLOOKUP($A79,Prices!$A:$J,MATCH(N$1,Prices!$1:$1,0),0)</f>
        <v>1.4543339150669077E-2</v>
      </c>
      <c r="P79" s="10">
        <f t="shared" ref="P79" si="1444">P78*(1+J79)</f>
        <v>100.79209476116759</v>
      </c>
      <c r="Q79" s="10">
        <f t="shared" ref="Q79" si="1445">Q78*(1+K79)</f>
        <v>100.66197501656086</v>
      </c>
      <c r="R79" s="10">
        <f t="shared" ref="R79" si="1446">R78*(1+L79)</f>
        <v>107.79389696669051</v>
      </c>
      <c r="S79" s="10">
        <f t="shared" ref="S79" si="1447">S78*(1+M79)</f>
        <v>100.78390690152811</v>
      </c>
      <c r="T79" s="10">
        <f t="shared" ref="T79" si="1448">T78*(1+N79)</f>
        <v>101.14388572456676</v>
      </c>
      <c r="V79" s="5">
        <f t="shared" ref="V79" si="1449">P79/P$45-1</f>
        <v>2.0247469066367207E-2</v>
      </c>
      <c r="W79" s="5">
        <f t="shared" ref="W79" si="1450">Q79/Q$45-1</f>
        <v>3.4800378543651256E-3</v>
      </c>
      <c r="X79" s="5">
        <f t="shared" ref="X79" si="1451">R79/R$45-1</f>
        <v>5.1236037355795627E-2</v>
      </c>
      <c r="Y79" s="5">
        <f t="shared" ref="Y79" si="1452">S79/S$45-1</f>
        <v>1.3658618631294583E-2</v>
      </c>
      <c r="Z79" s="5">
        <f t="shared" ref="Z79" si="1453">T79/T$45-1</f>
        <v>2.2988505747130183E-3</v>
      </c>
      <c r="AB79" s="8">
        <f t="shared" ref="AB79" si="1454">P79/$P$2-1</f>
        <v>7.9209476116759436E-3</v>
      </c>
      <c r="AC79" s="8">
        <f t="shared" ref="AC79" si="1455">Q79/$P$2-1</f>
        <v>6.6197501656086732E-3</v>
      </c>
      <c r="AD79" s="8">
        <f t="shared" ref="AD79" si="1456">R79/$P$2-1</f>
        <v>7.7938969666905056E-2</v>
      </c>
      <c r="AE79" s="8">
        <f t="shared" ref="AE79" si="1457">S79/$P$2-1</f>
        <v>7.839069015281197E-3</v>
      </c>
      <c r="AF79" s="8">
        <f t="shared" ref="AF79" si="1458">T79/$T$2-1</f>
        <v>1.1438857245667622E-2</v>
      </c>
      <c r="AI79" s="8">
        <f t="shared" ref="AI79" si="1459">MIN(0,(F79-MAX(F50:F79))/MAX(F50:F79))</f>
        <v>0</v>
      </c>
      <c r="AJ79" s="8">
        <f t="shared" ref="AJ79" si="1460">MIN(0,(P79-MAX(P50:P79))/MAX(P50:P79))</f>
        <v>-1.7866811044937106E-2</v>
      </c>
      <c r="AK79" s="8">
        <f t="shared" ref="AK79" si="1461">MIN(0,(Q79-MAX(Q50:Q79))/MAX(Q50:Q79))</f>
        <v>-4.6943948925031159E-4</v>
      </c>
      <c r="AL79" s="8">
        <f t="shared" ref="AL79" si="1462">MIN(0,(R79-MAX(R50:R79))/MAX(R50:R79))</f>
        <v>-1.4958082582529537E-3</v>
      </c>
      <c r="AM79" s="8">
        <f t="shared" ref="AM79" si="1463">MIN(0,(S79-MAX(S50:S79))/MAX(S50:S79))</f>
        <v>-9.1954536344948917E-3</v>
      </c>
      <c r="AN79" s="8">
        <f t="shared" ref="AN79" si="1464">MIN(0,(T79-MAX(T50:T79))/MAX(T50:T79))</f>
        <v>-2.5153717160424725E-2</v>
      </c>
    </row>
    <row r="80" spans="1:40" x14ac:dyDescent="0.25">
      <c r="A80" s="9">
        <v>43332</v>
      </c>
      <c r="B80" s="4">
        <f t="shared" si="812"/>
        <v>20068.62</v>
      </c>
      <c r="C80" s="4">
        <v>104.72</v>
      </c>
      <c r="D80" s="4">
        <f>20175.06-1.72</f>
        <v>20173.34</v>
      </c>
      <c r="E80" s="5">
        <f t="shared" ref="E80" si="1465">D80/D79-1</f>
        <v>3.0304702723047416E-3</v>
      </c>
      <c r="F80" s="10">
        <f t="shared" ref="F80" si="1466">F79*(1+E80)</f>
        <v>100.86670000000004</v>
      </c>
      <c r="G80" s="5">
        <f t="shared" ref="G80" si="1467">F80/F$45-1</f>
        <v>1.6373141156247328E-2</v>
      </c>
      <c r="H80" s="8">
        <f t="shared" ref="H80" si="1468">F80/$F$2-1</f>
        <v>8.6670000000004244E-3</v>
      </c>
      <c r="J80" s="11">
        <f>VLOOKUP($A80,Prices!$A:$J,MATCH(J$1,Prices!$1:$1,0),0)</f>
        <v>3.7210584343989606E-3</v>
      </c>
      <c r="K80" s="11">
        <f>VLOOKUP($A80,Prices!$A:$J,MATCH(K$1,Prices!$1:$1,0),0)</f>
        <v>1.9725718579748364E-3</v>
      </c>
      <c r="L80" s="11">
        <f>VLOOKUP($A80,Prices!$A:$J,MATCH(L$1,Prices!$1:$1,0),0)</f>
        <v>2.4386845039019445E-3</v>
      </c>
      <c r="M80" s="11">
        <f t="shared" ref="M80" si="1469">0.6*J80 + 0.4*K80</f>
        <v>3.0216638038293108E-3</v>
      </c>
      <c r="N80" s="11">
        <f>VLOOKUP($A80,Prices!$A:$J,MATCH(N$1,Prices!$1:$1,0),0)</f>
        <v>9.0309633027523262E-3</v>
      </c>
      <c r="P80" s="10">
        <f t="shared" ref="P80" si="1470">P79*(1+J80)</f>
        <v>101.16714803549937</v>
      </c>
      <c r="Q80" s="10">
        <f t="shared" ref="Q80" si="1471">Q79*(1+K80)</f>
        <v>100.86053799564669</v>
      </c>
      <c r="R80" s="10">
        <f t="shared" ref="R80" si="1472">R79*(1+L80)</f>
        <v>108.05677227283839</v>
      </c>
      <c r="S80" s="10">
        <f t="shared" ref="S80" si="1473">S79*(1+M80)</f>
        <v>101.08844198502098</v>
      </c>
      <c r="T80" s="10">
        <f t="shared" ref="T80" si="1474">T79*(1+N80)</f>
        <v>102.05731244484309</v>
      </c>
      <c r="V80" s="5">
        <f t="shared" ref="V80" si="1475">P80/P$45-1</f>
        <v>2.4043869516310767E-2</v>
      </c>
      <c r="W80" s="5">
        <f t="shared" ref="W80" si="1476">Q80/Q$45-1</f>
        <v>5.4594743370763865E-3</v>
      </c>
      <c r="X80" s="5">
        <f t="shared" ref="X80" si="1477">R80/R$45-1</f>
        <v>5.3799670390038523E-2</v>
      </c>
      <c r="Y80" s="5">
        <f t="shared" ref="Y80" si="1478">S80/S$45-1</f>
        <v>1.672155418865251E-2</v>
      </c>
      <c r="Z80" s="5">
        <f t="shared" ref="Z80" si="1479">T80/T$45-1</f>
        <v>1.1350574712644113E-2</v>
      </c>
      <c r="AB80" s="8">
        <f t="shared" ref="AB80" si="1480">P80/$P$2-1</f>
        <v>1.1671480354993768E-2</v>
      </c>
      <c r="AC80" s="8">
        <f t="shared" ref="AC80" si="1481">Q80/$P$2-1</f>
        <v>8.6053799564669298E-3</v>
      </c>
      <c r="AD80" s="8">
        <f t="shared" ref="AD80" si="1482">R80/$P$2-1</f>
        <v>8.0567722728383862E-2</v>
      </c>
      <c r="AE80" s="8">
        <f t="shared" ref="AE80" si="1483">S80/$P$2-1</f>
        <v>1.0884419850209825E-2</v>
      </c>
      <c r="AF80" s="8">
        <f t="shared" ref="AF80" si="1484">T80/$T$2-1</f>
        <v>2.0573124448430846E-2</v>
      </c>
      <c r="AI80" s="8">
        <f t="shared" ref="AI80" si="1485">MIN(0,(F80-MAX(F51:F80))/MAX(F51:F80))</f>
        <v>0</v>
      </c>
      <c r="AJ80" s="8">
        <f t="shared" ref="AJ80" si="1486">MIN(0,(P80-MAX(P51:P80))/MAX(P51:P80))</f>
        <v>-1.4212236058472777E-2</v>
      </c>
      <c r="AK80" s="8">
        <f t="shared" ref="AK80" si="1487">MIN(0,(Q80-MAX(Q51:Q80))/MAX(Q51:Q80))</f>
        <v>0</v>
      </c>
      <c r="AL80" s="8">
        <f t="shared" ref="AL80" si="1488">MIN(0,(R80-MAX(R51:R80))/MAX(R51:R80))</f>
        <v>0</v>
      </c>
      <c r="AM80" s="8">
        <f t="shared" ref="AM80" si="1489">MIN(0,(S80-MAX(S51:S80))/MAX(S51:S80))</f>
        <v>-6.2015754000725775E-3</v>
      </c>
      <c r="AN80" s="8">
        <f t="shared" ref="AN80" si="1490">MIN(0,(T80-MAX(T51:T80))/MAX(T51:T80))</f>
        <v>-1.6349916154276035E-2</v>
      </c>
    </row>
    <row r="81" spans="1:40" x14ac:dyDescent="0.25">
      <c r="A81" s="9">
        <v>43333</v>
      </c>
      <c r="B81" s="4">
        <f t="shared" si="812"/>
        <v>20043.52</v>
      </c>
      <c r="C81" s="4">
        <v>104.72</v>
      </c>
      <c r="D81" s="4">
        <f>20138.34+9.9</f>
        <v>20148.240000000002</v>
      </c>
      <c r="E81" s="5">
        <f t="shared" ref="E81" si="1491">D81/D80-1</f>
        <v>-1.2442163766633874E-3</v>
      </c>
      <c r="F81" s="10">
        <f t="shared" ref="F81" si="1492">F80*(1+E81)</f>
        <v>100.74120000000005</v>
      </c>
      <c r="G81" s="5">
        <f t="shared" ref="G81" si="1493">F81/F$45-1</f>
        <v>1.5108553049220097E-2</v>
      </c>
      <c r="H81" s="8">
        <f t="shared" ref="H81" si="1494">F81/$F$2-1</f>
        <v>7.4120000000004183E-3</v>
      </c>
      <c r="J81" s="11">
        <f>VLOOKUP($A81,Prices!$A:$J,MATCH(J$1,Prices!$1:$1,0),0)</f>
        <v>4.6684058766992553E-3</v>
      </c>
      <c r="K81" s="11">
        <f>VLOOKUP($A81,Prices!$A:$J,MATCH(K$1,Prices!$1:$1,0),0)</f>
        <v>-8.4372363363649505E-4</v>
      </c>
      <c r="L81" s="11">
        <f>VLOOKUP($A81,Prices!$A:$J,MATCH(L$1,Prices!$1:$1,0),0)</f>
        <v>1.7029262528671651E-3</v>
      </c>
      <c r="M81" s="11">
        <f t="shared" ref="M81" si="1495">0.6*J81 + 0.4*K81</f>
        <v>2.4635540725649551E-3</v>
      </c>
      <c r="N81" s="11">
        <f>VLOOKUP($A81,Prices!$A:$J,MATCH(N$1,Prices!$1:$1,0),0)</f>
        <v>5.2564284699532227E-3</v>
      </c>
      <c r="P81" s="10">
        <f t="shared" ref="P81" si="1496">P80*(1+J81)</f>
        <v>101.63943734391719</v>
      </c>
      <c r="Q81" s="10">
        <f t="shared" ref="Q81" si="1497">Q80*(1+K81)</f>
        <v>100.77543957603848</v>
      </c>
      <c r="R81" s="10">
        <f t="shared" ref="R81" si="1498">R80*(1+L81)</f>
        <v>108.24078498714189</v>
      </c>
      <c r="S81" s="10">
        <f t="shared" ref="S81" si="1499">S80*(1+M81)</f>
        <v>101.33747882796243</v>
      </c>
      <c r="T81" s="10">
        <f t="shared" ref="T81" si="1500">T80*(1+N81)</f>
        <v>102.59376940754508</v>
      </c>
      <c r="V81" s="5">
        <f t="shared" ref="V81" si="1501">P81/P$45-1</f>
        <v>2.8824521934758485E-2</v>
      </c>
      <c r="W81" s="5">
        <f t="shared" ref="W81" si="1502">Q81/Q$45-1</f>
        <v>4.611144415914481E-3</v>
      </c>
      <c r="X81" s="5">
        <f t="shared" ref="X81" si="1503">R81/R$45-1</f>
        <v>5.5594213514008395E-2</v>
      </c>
      <c r="Y81" s="5">
        <f t="shared" ref="Y81" si="1504">S81/S$45-1</f>
        <v>1.922630271413861E-2</v>
      </c>
      <c r="Z81" s="5">
        <f t="shared" ref="Z81" si="1505">T81/T$45-1</f>
        <v>1.6666666666667274E-2</v>
      </c>
      <c r="AB81" s="8">
        <f t="shared" ref="AB81" si="1506">P81/$P$2-1</f>
        <v>1.639437343917205E-2</v>
      </c>
      <c r="AC81" s="8">
        <f t="shared" ref="AC81" si="1507">Q81/$P$2-1</f>
        <v>7.7543957603847247E-3</v>
      </c>
      <c r="AD81" s="8">
        <f t="shared" ref="AD81" si="1508">R81/$P$2-1</f>
        <v>8.2407849871418914E-2</v>
      </c>
      <c r="AE81" s="8">
        <f t="shared" ref="AE81" si="1509">S81/$P$2-1</f>
        <v>1.3374788279624239E-2</v>
      </c>
      <c r="AF81" s="8">
        <f t="shared" ref="AF81" si="1510">T81/$T$2-1</f>
        <v>2.5937694075450768E-2</v>
      </c>
      <c r="AI81" s="8">
        <f t="shared" ref="AI81" si="1511">MIN(0,(F81-MAX(F52:F81))/MAX(F52:F81))</f>
        <v>-1.2442163766633401E-3</v>
      </c>
      <c r="AJ81" s="8">
        <f t="shared" ref="AJ81" si="1512">MIN(0,(P81-MAX(P52:P81))/MAX(P52:P81))</f>
        <v>-9.6101786681099394E-3</v>
      </c>
      <c r="AK81" s="8">
        <f t="shared" ref="AK81" si="1513">MIN(0,(Q81-MAX(Q52:Q81))/MAX(Q52:Q81))</f>
        <v>-8.4372363363645916E-4</v>
      </c>
      <c r="AL81" s="8">
        <f t="shared" ref="AL81" si="1514">MIN(0,(R81-MAX(R52:R81))/MAX(R52:R81))</f>
        <v>0</v>
      </c>
      <c r="AM81" s="8">
        <f t="shared" ref="AM81" si="1515">MIN(0,(S81-MAX(S52:S81))/MAX(S52:S81))</f>
        <v>-3.7532992438407348E-3</v>
      </c>
      <c r="AN81" s="8">
        <f t="shared" ref="AN81" si="1516">MIN(0,(T81-MAX(T52:T81))/MAX(T52:T81))</f>
        <v>-6.1797752808986387E-3</v>
      </c>
    </row>
    <row r="82" spans="1:40" x14ac:dyDescent="0.25">
      <c r="A82" s="9">
        <v>43334</v>
      </c>
      <c r="B82" s="4">
        <f t="shared" si="812"/>
        <v>20077.429999999997</v>
      </c>
      <c r="C82" s="4">
        <v>104.72</v>
      </c>
      <c r="D82" s="4">
        <f>20180.05+2.1</f>
        <v>20182.149999999998</v>
      </c>
      <c r="E82" s="5">
        <f t="shared" ref="E82" si="1517">D82/D81-1</f>
        <v>1.6830254156192659E-3</v>
      </c>
      <c r="F82" s="10">
        <f t="shared" ref="F82" si="1518">F81*(1+E82)</f>
        <v>100.91075000000004</v>
      </c>
      <c r="G82" s="5">
        <f t="shared" ref="G82" si="1519">F82/F$45-1</f>
        <v>1.6817006543614399E-2</v>
      </c>
      <c r="H82" s="8">
        <f t="shared" ref="H82" si="1520">F82/$F$2-1</f>
        <v>9.1075000000002682E-3</v>
      </c>
      <c r="J82" s="11">
        <f>VLOOKUP($A82,Prices!$A:$J,MATCH(J$1,Prices!$1:$1,0),0)</f>
        <v>1.5033483668169811E-3</v>
      </c>
      <c r="K82" s="11">
        <f>VLOOKUP($A82,Prices!$A:$J,MATCH(K$1,Prices!$1:$1,0),0)</f>
        <v>8.444361043347115E-4</v>
      </c>
      <c r="L82" s="11">
        <f>VLOOKUP($A82,Prices!$A:$J,MATCH(L$1,Prices!$1:$1,0),0)</f>
        <v>-3.4694514797206644E-5</v>
      </c>
      <c r="M82" s="11">
        <f t="shared" ref="M82" si="1521">0.6*J82 + 0.4*K82</f>
        <v>1.2397834618240733E-3</v>
      </c>
      <c r="N82" s="11">
        <f>VLOOKUP($A82,Prices!$A:$J,MATCH(N$1,Prices!$1:$1,0),0)</f>
        <v>-5.6529112492942346E-4</v>
      </c>
      <c r="P82" s="10">
        <f t="shared" ref="P82" si="1522">P81*(1+J82)</f>
        <v>101.79223682605237</v>
      </c>
      <c r="Q82" s="10">
        <f t="shared" ref="Q82" si="1523">Q81*(1+K82)</f>
        <v>100.86053799564668</v>
      </c>
      <c r="R82" s="10">
        <f t="shared" ref="R82" si="1524">R81*(1+L82)</f>
        <v>108.2370296256255</v>
      </c>
      <c r="S82" s="10">
        <f t="shared" ref="S82" si="1525">S81*(1+M82)</f>
        <v>101.46311535827628</v>
      </c>
      <c r="T82" s="10">
        <f t="shared" ref="T82" si="1526">T81*(1+N82)</f>
        <v>102.53577406022595</v>
      </c>
      <c r="V82" s="5">
        <f t="shared" ref="V82" si="1527">P82/P$45-1</f>
        <v>3.0371203599550478E-2</v>
      </c>
      <c r="W82" s="5">
        <f t="shared" ref="W82" si="1528">Q82/Q$45-1</f>
        <v>5.4594743370761645E-3</v>
      </c>
      <c r="X82" s="5">
        <f t="shared" ref="X82" si="1529">R82/R$45-1</f>
        <v>5.555759018494788E-2</v>
      </c>
      <c r="Y82" s="5">
        <f t="shared" ref="Y82" si="1530">S82/S$45-1</f>
        <v>2.0489922628099677E-2</v>
      </c>
      <c r="Z82" s="5">
        <f t="shared" ref="Z82" si="1531">T82/T$45-1</f>
        <v>1.609195402298913E-2</v>
      </c>
      <c r="AB82" s="8">
        <f t="shared" ref="AB82" si="1532">P82/$P$2-1</f>
        <v>1.7922368260523847E-2</v>
      </c>
      <c r="AC82" s="8">
        <f t="shared" ref="AC82" si="1533">Q82/$P$2-1</f>
        <v>8.6053799564667077E-3</v>
      </c>
      <c r="AD82" s="8">
        <f t="shared" ref="AD82" si="1534">R82/$P$2-1</f>
        <v>8.2370296256254916E-2</v>
      </c>
      <c r="AE82" s="8">
        <f t="shared" ref="AE82" si="1535">S82/$P$2-1</f>
        <v>1.463115358276279E-2</v>
      </c>
      <c r="AF82" s="8">
        <f t="shared" ref="AF82" si="1536">T82/$T$2-1</f>
        <v>2.5357740602259371E-2</v>
      </c>
      <c r="AI82" s="8">
        <f t="shared" ref="AI82" si="1537">MIN(0,(F82-MAX(F53:F82))/MAX(F53:F82))</f>
        <v>0</v>
      </c>
      <c r="AJ82" s="8">
        <f t="shared" ref="AJ82" si="1538">MIN(0,(P82-MAX(P53:P82))/MAX(P53:P82))</f>
        <v>-8.1212777476984323E-3</v>
      </c>
      <c r="AK82" s="8">
        <f t="shared" ref="AK82" si="1539">MIN(0,(Q82-MAX(Q53:Q82))/MAX(Q53:Q82))</f>
        <v>-1.4089608282493365E-16</v>
      </c>
      <c r="AL82" s="8">
        <f t="shared" ref="AL82" si="1540">MIN(0,(R82-MAX(R53:R82))/MAX(R53:R82))</f>
        <v>-3.4694514797202564E-5</v>
      </c>
      <c r="AM82" s="8">
        <f t="shared" ref="AM82" si="1541">MIN(0,(S82-MAX(S53:S82))/MAX(S53:S82))</f>
        <v>-2.5181690603464507E-3</v>
      </c>
      <c r="AN82" s="8">
        <f t="shared" ref="AN82" si="1542">MIN(0,(T82-MAX(T53:T82))/MAX(T53:T82))</f>
        <v>-6.7415730337076563E-3</v>
      </c>
    </row>
    <row r="83" spans="1:40" x14ac:dyDescent="0.25">
      <c r="A83" s="9">
        <v>43335</v>
      </c>
      <c r="B83" s="4">
        <f t="shared" si="812"/>
        <v>20054.87</v>
      </c>
      <c r="C83" s="4">
        <v>104.72</v>
      </c>
      <c r="D83" s="4">
        <f>20175.75-16.16</f>
        <v>20159.59</v>
      </c>
      <c r="E83" s="5">
        <f t="shared" ref="E83" si="1543">D83/D82-1</f>
        <v>-1.1178194592745827E-3</v>
      </c>
      <c r="F83" s="10">
        <f t="shared" ref="F83" si="1544">F82*(1+E83)</f>
        <v>100.79795000000004</v>
      </c>
      <c r="G83" s="5">
        <f t="shared" ref="G83" si="1545">F83/F$45-1</f>
        <v>1.5680388707178583E-2</v>
      </c>
      <c r="H83" s="8">
        <f t="shared" ref="H83" si="1546">F83/$F$2-1</f>
        <v>7.9795000000004723E-3</v>
      </c>
      <c r="J83" s="11">
        <f>VLOOKUP($A83,Prices!$A:$J,MATCH(J$1,Prices!$1:$1,0),0)</f>
        <v>-4.7762008733623906E-3</v>
      </c>
      <c r="K83" s="11">
        <f>VLOOKUP($A83,Prices!$A:$J,MATCH(K$1,Prices!$1:$1,0),0)</f>
        <v>-5.6248242242429303E-4</v>
      </c>
      <c r="L83" s="11">
        <f>VLOOKUP($A83,Prices!$A:$J,MATCH(L$1,Prices!$1:$1,0),0)</f>
        <v>-1.700090208868299E-3</v>
      </c>
      <c r="M83" s="11">
        <f t="shared" ref="M83" si="1547">0.6*J83 + 0.4*K83</f>
        <v>-3.0907134929871517E-3</v>
      </c>
      <c r="N83" s="11">
        <f>VLOOKUP($A83,Prices!$A:$J,MATCH(N$1,Prices!$1:$1,0),0)</f>
        <v>-8.4841628959275717E-3</v>
      </c>
      <c r="P83" s="10">
        <f t="shared" ref="P83" si="1548">P82*(1+J83)</f>
        <v>101.30605665562227</v>
      </c>
      <c r="Q83" s="10">
        <f t="shared" ref="Q83" si="1549">Q82*(1+K83)</f>
        <v>100.80380571590787</v>
      </c>
      <c r="R83" s="10">
        <f t="shared" ref="R83" si="1550">R82*(1+L83)</f>
        <v>108.05301691132198</v>
      </c>
      <c r="S83" s="10">
        <f t="shared" ref="S83" si="1551">S82*(1+M83)</f>
        <v>101.14952193859794</v>
      </c>
      <c r="T83" s="10">
        <f t="shared" ref="T83" si="1552">T82*(1+N83)</f>
        <v>101.66584385043896</v>
      </c>
      <c r="V83" s="5">
        <f t="shared" ref="V83" si="1553">P83/P$45-1</f>
        <v>2.5449943757030802E-2</v>
      </c>
      <c r="W83" s="5">
        <f t="shared" ref="W83" si="1554">Q83/Q$45-1</f>
        <v>4.8939210563014868E-3</v>
      </c>
      <c r="X83" s="5">
        <f t="shared" ref="X83" si="1555">R83/R$45-1</f>
        <v>5.3763047060977787E-2</v>
      </c>
      <c r="Y83" s="5">
        <f t="shared" ref="Y83" si="1556">S83/S$45-1</f>
        <v>1.7335880654775648E-2</v>
      </c>
      <c r="Z83" s="5">
        <f t="shared" ref="Z83" si="1557">T83/T$45-1</f>
        <v>7.4712643678165325E-3</v>
      </c>
      <c r="AB83" s="8">
        <f t="shared" ref="AB83" si="1558">P83/$P$2-1</f>
        <v>1.3060566556222675E-2</v>
      </c>
      <c r="AC83" s="8">
        <f t="shared" ref="AC83" si="1559">Q83/$P$2-1</f>
        <v>8.038057159078793E-3</v>
      </c>
      <c r="AD83" s="8">
        <f t="shared" ref="AD83" si="1560">R83/$P$2-1</f>
        <v>8.0530169113219863E-2</v>
      </c>
      <c r="AE83" s="8">
        <f t="shared" ref="AE83" si="1561">S83/$P$2-1</f>
        <v>1.1495219385979416E-2</v>
      </c>
      <c r="AF83" s="8">
        <f t="shared" ref="AF83" si="1562">T83/$T$2-1</f>
        <v>1.6658438504389528E-2</v>
      </c>
      <c r="AI83" s="8">
        <f t="shared" ref="AI83" si="1563">MIN(0,(F83-MAX(F54:F83))/MAX(F54:F83))</f>
        <v>-1.1178194592745853E-3</v>
      </c>
      <c r="AJ83" s="8">
        <f t="shared" ref="AJ83" si="1564">MIN(0,(P83-MAX(P54:P83))/MAX(P54:P83))</f>
        <v>-1.285868976718945E-2</v>
      </c>
      <c r="AK83" s="8">
        <f t="shared" ref="AK83" si="1565">MIN(0,(Q83-MAX(Q54:Q83))/MAX(Q54:Q83))</f>
        <v>-5.6248242242444698E-4</v>
      </c>
      <c r="AL83" s="8">
        <f t="shared" ref="AL83" si="1566">MIN(0,(R83-MAX(R54:R83))/MAX(R54:R83))</f>
        <v>-1.7347257398606533E-3</v>
      </c>
      <c r="AM83" s="8">
        <f t="shared" ref="AM83" si="1567">MIN(0,(S83-MAX(S54:S83))/MAX(S54:S83))</f>
        <v>-5.6010996142412117E-3</v>
      </c>
      <c r="AN83" s="8">
        <f t="shared" ref="AN83" si="1568">MIN(0,(T83-MAX(T54:T83))/MAX(T54:T83))</f>
        <v>-1.5168539325842502E-2</v>
      </c>
    </row>
    <row r="84" spans="1:40" x14ac:dyDescent="0.25">
      <c r="A84" s="9">
        <v>43336</v>
      </c>
      <c r="B84" s="4">
        <f t="shared" si="812"/>
        <v>20160.739999999998</v>
      </c>
      <c r="C84" s="4">
        <v>104.72</v>
      </c>
      <c r="D84" s="4">
        <f>20289.82-24.36</f>
        <v>20265.46</v>
      </c>
      <c r="E84" s="5">
        <f t="shared" ref="E84" si="1569">D84/D83-1</f>
        <v>5.2515948985072392E-3</v>
      </c>
      <c r="F84" s="10">
        <f t="shared" ref="F84" si="1570">F83*(1+E84)</f>
        <v>101.32730000000004</v>
      </c>
      <c r="G84" s="5">
        <f t="shared" ref="G84" si="1571">F84/F$45-1</f>
        <v>2.1014330655027003E-2</v>
      </c>
      <c r="H84" s="8">
        <f t="shared" ref="H84" si="1572">F84/$F$2-1</f>
        <v>1.3273000000000312E-2</v>
      </c>
      <c r="J84" s="11">
        <f>VLOOKUP($A84,Prices!$A:$J,MATCH(J$1,Prices!$1:$1,0),0)</f>
        <v>7.678595913889863E-3</v>
      </c>
      <c r="K84" s="11">
        <f>VLOOKUP($A84,Prices!$A:$J,MATCH(K$1,Prices!$1:$1,0),0)</f>
        <v>1.1255979739237532E-3</v>
      </c>
      <c r="L84" s="11">
        <f>VLOOKUP($A84,Prices!$A:$J,MATCH(L$1,Prices!$1:$1,0),0)</f>
        <v>6.2211100684668175E-3</v>
      </c>
      <c r="M84" s="11">
        <f t="shared" ref="M84" si="1573">0.6*J84 + 0.4*K84</f>
        <v>5.0573967379034194E-3</v>
      </c>
      <c r="N84" s="11">
        <f>VLOOKUP($A84,Prices!$A:$J,MATCH(N$1,Prices!$1:$1,0),0)</f>
        <v>7.9178551055334445E-3</v>
      </c>
      <c r="P84" s="10">
        <f t="shared" ref="P84" si="1574">P83*(1+J84)</f>
        <v>102.08394492831043</v>
      </c>
      <c r="Q84" s="10">
        <f t="shared" ref="Q84" si="1575">Q83*(1+K84)</f>
        <v>100.9172702753855</v>
      </c>
      <c r="R84" s="10">
        <f t="shared" ref="R84" si="1576">R83*(1+L84)</f>
        <v>108.72522662275722</v>
      </c>
      <c r="S84" s="10">
        <f t="shared" ref="S84" si="1577">S83*(1+M84)</f>
        <v>101.66107520089071</v>
      </c>
      <c r="T84" s="10">
        <f t="shared" ref="T84" si="1578">T83*(1+N84)</f>
        <v>102.47081927122852</v>
      </c>
      <c r="V84" s="5">
        <f t="shared" ref="V84" si="1579">P84/P$45-1</f>
        <v>3.3323959505062284E-2</v>
      </c>
      <c r="W84" s="5">
        <f t="shared" ref="W84" si="1580">Q84/Q$45-1</f>
        <v>6.0250276178508422E-3</v>
      </c>
      <c r="X84" s="5">
        <f t="shared" ref="X84" si="1581">R84/R$45-1</f>
        <v>6.0318622962827195E-2</v>
      </c>
      <c r="Y84" s="5">
        <f t="shared" ref="Y84" si="1582">S84/S$45-1</f>
        <v>2.2480951818951267E-2</v>
      </c>
      <c r="Z84" s="5">
        <f t="shared" ref="Z84" si="1583">T84/T$45-1</f>
        <v>1.5448275862069538E-2</v>
      </c>
      <c r="AB84" s="8">
        <f t="shared" ref="AB84" si="1584">P84/$P$2-1</f>
        <v>2.0839449283104328E-2</v>
      </c>
      <c r="AC84" s="8">
        <f t="shared" ref="AC84" si="1585">Q84/$P$2-1</f>
        <v>9.1727027538550665E-3</v>
      </c>
      <c r="AD84" s="8">
        <f t="shared" ref="AD84" si="1586">R84/$P$2-1</f>
        <v>8.7252266227572095E-2</v>
      </c>
      <c r="AE84" s="8">
        <f t="shared" ref="AE84" si="1587">S84/$P$2-1</f>
        <v>1.6610752008907159E-2</v>
      </c>
      <c r="AF84" s="8">
        <f t="shared" ref="AF84" si="1588">T84/$T$2-1</f>
        <v>2.4708192712285193E-2</v>
      </c>
      <c r="AI84" s="8">
        <f t="shared" ref="AI84" si="1589">MIN(0,(F84-MAX(F55:F84))/MAX(F55:F84))</f>
        <v>0</v>
      </c>
      <c r="AJ84" s="8">
        <f t="shared" ref="AJ84" si="1590">MIN(0,(P84-MAX(P55:P84))/MAX(P55:P84))</f>
        <v>-5.2788305360038775E-3</v>
      </c>
      <c r="AK84" s="8">
        <f t="shared" ref="AK84" si="1591">MIN(0,(Q84-MAX(Q55:Q84))/MAX(Q55:Q84))</f>
        <v>0</v>
      </c>
      <c r="AL84" s="8">
        <f t="shared" ref="AL84" si="1592">MIN(0,(R84-MAX(R55:R84))/MAX(R55:R84))</f>
        <v>0</v>
      </c>
      <c r="AM84" s="8">
        <f t="shared" ref="AM84" si="1593">MIN(0,(S84-MAX(S55:S84))/MAX(S55:S84))</f>
        <v>-5.7202985925544007E-4</v>
      </c>
      <c r="AN84" s="8">
        <f t="shared" ref="AN84" si="1594">MIN(0,(T84-MAX(T55:T84))/MAX(T55:T84))</f>
        <v>-7.3707865168537003E-3</v>
      </c>
    </row>
    <row r="85" spans="1:40" x14ac:dyDescent="0.25">
      <c r="A85" s="9">
        <v>43339</v>
      </c>
      <c r="B85" s="4">
        <f t="shared" si="812"/>
        <v>20205.12</v>
      </c>
      <c r="C85" s="4">
        <v>104.72</v>
      </c>
      <c r="D85" s="4">
        <f>20315.83-5.99</f>
        <v>20309.84</v>
      </c>
      <c r="E85" s="5">
        <f t="shared" ref="E85" si="1595">D85/D84-1</f>
        <v>2.1899330190382482E-3</v>
      </c>
      <c r="F85" s="10">
        <f t="shared" ref="F85" si="1596">F84*(1+E85)</f>
        <v>101.54920000000003</v>
      </c>
      <c r="G85" s="5">
        <f t="shared" ref="G85" si="1597">F85/F$45-1</f>
        <v>2.3250283650639636E-2</v>
      </c>
      <c r="H85" s="8">
        <f t="shared" ref="H85" si="1598">F85/$F$2-1</f>
        <v>1.5492000000000283E-2</v>
      </c>
      <c r="J85" s="11">
        <f>VLOOKUP($A85,Prices!$A:$J,MATCH(J$1,Prices!$1:$1,0),0)</f>
        <v>9.6611783916180638E-3</v>
      </c>
      <c r="K85" s="11">
        <f>VLOOKUP($A85,Prices!$A:$J,MATCH(K$1,Prices!$1:$1,0),0)</f>
        <v>-1.3117211655579997E-3</v>
      </c>
      <c r="L85" s="11">
        <f>VLOOKUP($A85,Prices!$A:$J,MATCH(L$1,Prices!$1:$1,0),0)</f>
        <v>7.9096435479415472E-3</v>
      </c>
      <c r="M85" s="11">
        <f t="shared" ref="M85" si="1599">0.6*J85 + 0.4*K85</f>
        <v>5.2720185687476382E-3</v>
      </c>
      <c r="N85" s="11">
        <f>VLOOKUP($A85,Prices!$A:$J,MATCH(N$1,Prices!$1:$1,0),0)</f>
        <v>-3.8938694195417289E-3</v>
      </c>
      <c r="P85" s="10">
        <f t="shared" ref="P85" si="1600">P84*(1+J85)</f>
        <v>103.07019613118295</v>
      </c>
      <c r="Q85" s="10">
        <f t="shared" ref="Q85" si="1601">Q84*(1+K85)</f>
        <v>100.78489495599494</v>
      </c>
      <c r="R85" s="10">
        <f t="shared" ref="R85" si="1602">R84*(1+L85)</f>
        <v>109.58520441001239</v>
      </c>
      <c r="S85" s="10">
        <f t="shared" ref="S85" si="1603">S84*(1+M85)</f>
        <v>102.19703427706865</v>
      </c>
      <c r="T85" s="10">
        <f t="shared" ref="T85" si="1604">T84*(1+N85)</f>
        <v>102.07181128167289</v>
      </c>
      <c r="V85" s="5">
        <f t="shared" ref="V85" si="1605">P85/P$45-1</f>
        <v>4.3307086614173818E-2</v>
      </c>
      <c r="W85" s="5">
        <f t="shared" ref="W85" si="1606">Q85/Q$45-1</f>
        <v>4.7054032960434089E-3</v>
      </c>
      <c r="X85" s="5">
        <f t="shared" ref="X85" si="1607">R85/R$45-1</f>
        <v>6.8705365317707434E-2</v>
      </c>
      <c r="Y85" s="5">
        <f t="shared" ref="Y85" si="1608">S85/S$45-1</f>
        <v>2.7871490383131636E-2</v>
      </c>
      <c r="Z85" s="5">
        <f t="shared" ref="Z85" si="1609">T85/T$45-1</f>
        <v>1.1494252873563759E-2</v>
      </c>
      <c r="AB85" s="8">
        <f t="shared" ref="AB85" si="1610">P85/$P$2-1</f>
        <v>3.0701961311829562E-2</v>
      </c>
      <c r="AC85" s="8">
        <f t="shared" ref="AC85" si="1611">Q85/$P$2-1</f>
        <v>7.8489495599494141E-3</v>
      </c>
      <c r="AD85" s="8">
        <f t="shared" ref="AD85" si="1612">R85/$P$2-1</f>
        <v>9.5852044100124045E-2</v>
      </c>
      <c r="AE85" s="8">
        <f t="shared" ref="AE85" si="1613">S85/$P$2-1</f>
        <v>2.1970342770686546E-2</v>
      </c>
      <c r="AF85" s="8">
        <f t="shared" ref="AF85" si="1614">T85/$T$2-1</f>
        <v>2.0718112816728862E-2</v>
      </c>
      <c r="AI85" s="8">
        <f t="shared" ref="AI85" si="1615">MIN(0,(F85-MAX(F56:F85))/MAX(F56:F85))</f>
        <v>0</v>
      </c>
      <c r="AJ85" s="8">
        <f t="shared" ref="AJ85" si="1616">MIN(0,(P85-MAX(P56:P85))/MAX(P56:P85))</f>
        <v>0</v>
      </c>
      <c r="AK85" s="8">
        <f t="shared" ref="AK85" si="1617">MIN(0,(Q85-MAX(Q56:Q85))/MAX(Q56:Q85))</f>
        <v>-1.3117211655580129E-3</v>
      </c>
      <c r="AL85" s="8">
        <f t="shared" ref="AL85" si="1618">MIN(0,(R85-MAX(R56:R85))/MAX(R56:R85))</f>
        <v>0</v>
      </c>
      <c r="AM85" s="8">
        <f t="shared" ref="AM85" si="1619">MIN(0,(S85-MAX(S56:S85))/MAX(S56:S85))</f>
        <v>0</v>
      </c>
      <c r="AN85" s="8">
        <f t="shared" ref="AN85" si="1620">MIN(0,(T85-MAX(T56:T85))/MAX(T56:T85))</f>
        <v>-1.1235955056179518E-2</v>
      </c>
    </row>
    <row r="86" spans="1:40" x14ac:dyDescent="0.25">
      <c r="A86" s="9">
        <v>43340</v>
      </c>
      <c r="B86" s="4">
        <f t="shared" si="812"/>
        <v>20217.09</v>
      </c>
      <c r="C86" s="4">
        <v>104.72</v>
      </c>
      <c r="D86" s="4">
        <f>20324.2-2.39</f>
        <v>20321.810000000001</v>
      </c>
      <c r="E86" s="5">
        <f t="shared" ref="E86" si="1621">D86/D85-1</f>
        <v>5.8936948789356514E-4</v>
      </c>
      <c r="F86" s="10">
        <f t="shared" ref="F86" si="1622">F85*(1+E86)</f>
        <v>101.60905000000002</v>
      </c>
      <c r="G86" s="5">
        <f t="shared" ref="G86" si="1623">F86/F$45-1</f>
        <v>2.3853356146301907E-2</v>
      </c>
      <c r="H86" s="8">
        <f t="shared" ref="H86" si="1624">F86/$F$2-1</f>
        <v>1.609050000000023E-2</v>
      </c>
      <c r="J86" s="11">
        <f>VLOOKUP($A86,Prices!$A:$J,MATCH(J$1,Prices!$1:$1,0),0)</f>
        <v>5.3908355795129204E-4</v>
      </c>
      <c r="K86" s="11">
        <f>VLOOKUP($A86,Prices!$A:$J,MATCH(K$1,Prices!$1:$1,0),0)</f>
        <v>-1.8763486255746198E-3</v>
      </c>
      <c r="L86" s="11">
        <f>VLOOKUP($A86,Prices!$A:$J,MATCH(L$1,Prices!$1:$1,0),0)</f>
        <v>2.7415098865701815E-4</v>
      </c>
      <c r="M86" s="11">
        <f t="shared" ref="M86" si="1625">0.6*J86 + 0.4*K86</f>
        <v>-4.2708931545907273E-4</v>
      </c>
      <c r="N86" s="11">
        <f>VLOOKUP($A86,Prices!$A:$J,MATCH(N$1,Prices!$1:$1,0),0)</f>
        <v>-2.2727272727274261E-3</v>
      </c>
      <c r="P86" s="10">
        <f t="shared" ref="P86" si="1626">P85*(1+J86)</f>
        <v>103.1257595792321</v>
      </c>
      <c r="Q86" s="10">
        <f t="shared" ref="Q86" si="1627">Q85*(1+K86)</f>
        <v>100.59578735686559</v>
      </c>
      <c r="R86" s="10">
        <f t="shared" ref="R86" si="1628">R85*(1+L86)</f>
        <v>109.61524730214359</v>
      </c>
      <c r="S86" s="10">
        <f t="shared" ref="S86" si="1629">S85*(1+M86)</f>
        <v>102.15338701565732</v>
      </c>
      <c r="T86" s="10">
        <f t="shared" ref="T86" si="1630">T85*(1+N86)</f>
        <v>101.83982989239635</v>
      </c>
      <c r="V86" s="5">
        <f t="shared" ref="V86" si="1631">P86/P$45-1</f>
        <v>4.3869516310461654E-2</v>
      </c>
      <c r="W86" s="5">
        <f t="shared" ref="W86" si="1632">Q86/Q$45-1</f>
        <v>2.82022569346152E-3</v>
      </c>
      <c r="X86" s="5">
        <f t="shared" ref="X86" si="1633">R86/R$45-1</f>
        <v>6.8998351950192216E-2</v>
      </c>
      <c r="Y86" s="5">
        <f t="shared" ref="Y86" si="1634">S86/S$45-1</f>
        <v>2.7432497451923998E-2</v>
      </c>
      <c r="Z86" s="5">
        <f t="shared" ref="Z86" si="1635">T86/T$45-1</f>
        <v>9.1954022988509632E-3</v>
      </c>
      <c r="AB86" s="8">
        <f t="shared" ref="AB86" si="1636">P86/$P$2-1</f>
        <v>3.1257595792320902E-2</v>
      </c>
      <c r="AC86" s="8">
        <f t="shared" ref="AC86" si="1637">Q86/$P$2-1</f>
        <v>5.9578735686558471E-3</v>
      </c>
      <c r="AD86" s="8">
        <f t="shared" ref="AD86" si="1638">R86/$P$2-1</f>
        <v>9.6152473021435814E-2</v>
      </c>
      <c r="AE86" s="8">
        <f t="shared" ref="AE86" si="1639">S86/$P$2-1</f>
        <v>2.1533870156573265E-2</v>
      </c>
      <c r="AF86" s="8">
        <f t="shared" ref="AF86" si="1640">T86/$T$2-1</f>
        <v>1.8398298923963496E-2</v>
      </c>
      <c r="AI86" s="8">
        <f t="shared" ref="AI86" si="1641">MIN(0,(F86-MAX(F57:F86))/MAX(F57:F86))</f>
        <v>0</v>
      </c>
      <c r="AJ86" s="8">
        <f t="shared" ref="AJ86" si="1642">MIN(0,(P86-MAX(P57:P86))/MAX(P57:P86))</f>
        <v>0</v>
      </c>
      <c r="AK86" s="8">
        <f t="shared" ref="AK86" si="1643">MIN(0,(Q86-MAX(Q57:Q86))/MAX(Q57:Q86))</f>
        <v>-3.185608544926442E-3</v>
      </c>
      <c r="AL86" s="8">
        <f t="shared" ref="AL86" si="1644">MIN(0,(R86-MAX(R57:R86))/MAX(R57:R86))</f>
        <v>0</v>
      </c>
      <c r="AM86" s="8">
        <f t="shared" ref="AM86" si="1645">MIN(0,(S86-MAX(S57:S86))/MAX(S57:S86))</f>
        <v>-4.2708931545903722E-4</v>
      </c>
      <c r="AN86" s="8">
        <f t="shared" ref="AN86" si="1646">MIN(0,(T86-MAX(T57:T86))/MAX(T57:T86))</f>
        <v>-1.3483146067415587E-2</v>
      </c>
    </row>
    <row r="87" spans="1:40" x14ac:dyDescent="0.25">
      <c r="A87" s="9">
        <v>43341</v>
      </c>
      <c r="B87" s="4">
        <f t="shared" si="812"/>
        <v>20299.659999999996</v>
      </c>
      <c r="C87" s="4">
        <v>104.72</v>
      </c>
      <c r="D87" s="4">
        <f>20393.94+10.44</f>
        <v>20404.379999999997</v>
      </c>
      <c r="E87" s="5">
        <f t="shared" ref="E87" si="1647">D87/D86-1</f>
        <v>4.0631223301466068E-3</v>
      </c>
      <c r="F87" s="10">
        <f t="shared" ref="F87" si="1648">F86*(1+E87)</f>
        <v>102.0219</v>
      </c>
      <c r="G87" s="5">
        <f t="shared" ref="G87" si="1649">F87/F$45-1</f>
        <v>2.801339758045529E-2</v>
      </c>
      <c r="H87" s="8">
        <f t="shared" ref="H87" si="1650">F87/$F$2-1</f>
        <v>2.0218999999999987E-2</v>
      </c>
      <c r="J87" s="11">
        <f>VLOOKUP($A87,Prices!$A:$J,MATCH(J$1,Prices!$1:$1,0),0)</f>
        <v>5.9267241379312718E-3</v>
      </c>
      <c r="K87" s="11">
        <f>VLOOKUP($A87,Prices!$A:$J,MATCH(K$1,Prices!$1:$1,0),0)</f>
        <v>-1.8798759281879462E-4</v>
      </c>
      <c r="L87" s="11">
        <f>VLOOKUP($A87,Prices!$A:$J,MATCH(L$1,Prices!$1:$1,0),0)</f>
        <v>5.652814416389873E-3</v>
      </c>
      <c r="M87" s="11">
        <f t="shared" ref="M87" si="1651">0.6*J87 + 0.4*K87</f>
        <v>3.4808394456312453E-3</v>
      </c>
      <c r="N87" s="11">
        <f>VLOOKUP($A87,Prices!$A:$J,MATCH(N$1,Prices!$1:$1,0),0)</f>
        <v>-5.6947608200441646E-4</v>
      </c>
      <c r="P87" s="10">
        <f t="shared" ref="P87" si="1652">P86*(1+J87)</f>
        <v>103.73695750777283</v>
      </c>
      <c r="Q87" s="10">
        <f t="shared" ref="Q87" si="1653">Q86*(1+K87)</f>
        <v>100.57687659695266</v>
      </c>
      <c r="R87" s="10">
        <f t="shared" ref="R87" si="1654">R86*(1+L87)</f>
        <v>110.23488195234928</v>
      </c>
      <c r="S87" s="10">
        <f t="shared" ref="S87" si="1655">S86*(1+M87)</f>
        <v>102.50896655468624</v>
      </c>
      <c r="T87" s="10">
        <f t="shared" ref="T87" si="1656">T86*(1+N87)</f>
        <v>101.78183454507723</v>
      </c>
      <c r="V87" s="5">
        <f t="shared" ref="V87" si="1657">P87/P$45-1</f>
        <v>5.0056242969629405E-2</v>
      </c>
      <c r="W87" s="5">
        <f t="shared" ref="W87" si="1658">Q87/Q$45-1</f>
        <v>2.6317079332034421E-3</v>
      </c>
      <c r="X87" s="5">
        <f t="shared" ref="X87" si="1659">R87/R$45-1</f>
        <v>7.5041201245193312E-2</v>
      </c>
      <c r="Y87" s="5">
        <f t="shared" ref="Y87" si="1660">S87/S$45-1</f>
        <v>3.100882501677793E-2</v>
      </c>
      <c r="Z87" s="5">
        <f t="shared" ref="Z87" si="1661">T87/T$45-1</f>
        <v>8.6206896551730416E-3</v>
      </c>
      <c r="AB87" s="8">
        <f t="shared" ref="AB87" si="1662">P87/$P$2-1</f>
        <v>3.7369575077728312E-2</v>
      </c>
      <c r="AC87" s="8">
        <f t="shared" ref="AC87" si="1663">Q87/$P$2-1</f>
        <v>5.7687659695266902E-3</v>
      </c>
      <c r="AD87" s="8">
        <f t="shared" ref="AD87" si="1664">R87/$P$2-1</f>
        <v>0.10234881952349273</v>
      </c>
      <c r="AE87" s="8">
        <f t="shared" ref="AE87" si="1665">S87/$P$2-1</f>
        <v>2.5089665546862427E-2</v>
      </c>
      <c r="AF87" s="8">
        <f t="shared" ref="AF87" si="1666">T87/$T$2-1</f>
        <v>1.7818345450772322E-2</v>
      </c>
      <c r="AI87" s="8">
        <f t="shared" ref="AI87" si="1667">MIN(0,(F87-MAX(F58:F87))/MAX(F58:F87))</f>
        <v>0</v>
      </c>
      <c r="AJ87" s="8">
        <f t="shared" ref="AJ87" si="1668">MIN(0,(P87-MAX(P58:P87))/MAX(P58:P87))</f>
        <v>0</v>
      </c>
      <c r="AK87" s="8">
        <f t="shared" ref="AK87" si="1669">MIN(0,(Q87-MAX(Q58:Q87))/MAX(Q58:Q87))</f>
        <v>-3.3729972828632003E-3</v>
      </c>
      <c r="AL87" s="8">
        <f t="shared" ref="AL87" si="1670">MIN(0,(R87-MAX(R58:R87))/MAX(R58:R87))</f>
        <v>0</v>
      </c>
      <c r="AM87" s="8">
        <f t="shared" ref="AM87" si="1671">MIN(0,(S87-MAX(S58:S87))/MAX(S58:S87))</f>
        <v>0</v>
      </c>
      <c r="AN87" s="8">
        <f t="shared" ref="AN87" si="1672">MIN(0,(T87-MAX(T58:T87))/MAX(T58:T87))</f>
        <v>-1.4044943820224467E-2</v>
      </c>
    </row>
    <row r="88" spans="1:40" x14ac:dyDescent="0.25">
      <c r="A88" s="9">
        <v>43342</v>
      </c>
      <c r="B88" s="4">
        <f t="shared" si="812"/>
        <v>20251.57</v>
      </c>
      <c r="C88" s="4">
        <v>104.72</v>
      </c>
      <c r="D88" s="4">
        <f>20365.59-9.3</f>
        <v>20356.29</v>
      </c>
      <c r="E88" s="5">
        <f t="shared" ref="E88" si="1673">D88/D87-1</f>
        <v>-2.3568469122804414E-3</v>
      </c>
      <c r="F88" s="10">
        <f t="shared" ref="F88" si="1674">F87*(1+E88)</f>
        <v>101.78145000000002</v>
      </c>
      <c r="G88" s="5">
        <f t="shared" ref="G88" si="1675">F88/F$45-1</f>
        <v>2.5590527378585026E-2</v>
      </c>
      <c r="H88" s="8">
        <f t="shared" ref="H88" si="1676">F88/$F$2-1</f>
        <v>1.7814500000000288E-2</v>
      </c>
      <c r="J88" s="11">
        <f>VLOOKUP($A88,Prices!$A:$J,MATCH(J$1,Prices!$1:$1,0),0)</f>
        <v>-8.5698982324584616E-3</v>
      </c>
      <c r="K88" s="11">
        <f>VLOOKUP($A88,Prices!$A:$J,MATCH(K$1,Prices!$1:$1,0),0)</f>
        <v>4.7005734699623325E-4</v>
      </c>
      <c r="L88" s="11">
        <f>VLOOKUP($A88,Prices!$A:$J,MATCH(L$1,Prices!$1:$1,0),0)</f>
        <v>-4.2583634257682412E-3</v>
      </c>
      <c r="M88" s="11">
        <f t="shared" ref="M88" si="1677">0.6*J88 + 0.4*K88</f>
        <v>-4.9539160006765838E-3</v>
      </c>
      <c r="N88" s="11">
        <f>VLOOKUP($A88,Prices!$A:$J,MATCH(N$1,Prices!$1:$1,0),0)</f>
        <v>-3.9886039886040114E-3</v>
      </c>
      <c r="P88" s="10">
        <f t="shared" ref="P88" si="1678">P87*(1+J88)</f>
        <v>102.84794233898634</v>
      </c>
      <c r="Q88" s="10">
        <f t="shared" ref="Q88" si="1679">Q87*(1+K88)</f>
        <v>100.62415349673499</v>
      </c>
      <c r="R88" s="10">
        <f t="shared" ref="R88" si="1680">R87*(1+L88)</f>
        <v>109.76546176279952</v>
      </c>
      <c r="S88" s="10">
        <f t="shared" ref="S88" si="1681">S87*(1+M88)</f>
        <v>102.00114574505815</v>
      </c>
      <c r="T88" s="10">
        <f t="shared" ref="T88" si="1682">T87*(1+N88)</f>
        <v>101.3758671138433</v>
      </c>
      <c r="V88" s="5">
        <f t="shared" ref="V88" si="1683">P88/P$45-1</f>
        <v>4.1057367829022029E-2</v>
      </c>
      <c r="W88" s="5">
        <f t="shared" ref="W88" si="1684">Q88/Q$45-1</f>
        <v>3.1030023338489698E-3</v>
      </c>
      <c r="X88" s="5">
        <f t="shared" ref="X88" si="1685">R88/R$45-1</f>
        <v>7.0463285112616791E-2</v>
      </c>
      <c r="Y88" s="5">
        <f t="shared" ref="Y88" si="1686">S88/S$45-1</f>
        <v>2.5901293901688494E-2</v>
      </c>
      <c r="Z88" s="5">
        <f t="shared" ref="Z88" si="1687">T88/T$45-1</f>
        <v>4.5977011494258146E-3</v>
      </c>
      <c r="AB88" s="8">
        <f t="shared" ref="AB88" si="1688">P88/$P$2-1</f>
        <v>2.8479423389863534E-2</v>
      </c>
      <c r="AC88" s="8">
        <f t="shared" ref="AC88" si="1689">Q88/$P$2-1</f>
        <v>6.2415349673499154E-3</v>
      </c>
      <c r="AD88" s="8">
        <f t="shared" ref="AD88" si="1690">R88/$P$2-1</f>
        <v>9.7654617627995099E-2</v>
      </c>
      <c r="AE88" s="8">
        <f t="shared" ref="AE88" si="1691">S88/$P$2-1</f>
        <v>2.0011457450581638E-2</v>
      </c>
      <c r="AF88" s="8">
        <f t="shared" ref="AF88" si="1692">T88/$T$2-1</f>
        <v>1.3758671138432987E-2</v>
      </c>
      <c r="AI88" s="8">
        <f t="shared" ref="AI88" si="1693">MIN(0,(F88-MAX(F59:F88))/MAX(F59:F88))</f>
        <v>-2.3568469122804163E-3</v>
      </c>
      <c r="AJ88" s="8">
        <f t="shared" ref="AJ88" si="1694">MIN(0,(P88-MAX(P59:P88))/MAX(P59:P88))</f>
        <v>-8.5698982324585084E-3</v>
      </c>
      <c r="AK88" s="8">
        <f t="shared" ref="AK88" si="1695">MIN(0,(Q88-MAX(Q59:Q88))/MAX(Q59:Q88))</f>
        <v>-2.9045254380211634E-3</v>
      </c>
      <c r="AL88" s="8">
        <f t="shared" ref="AL88" si="1696">MIN(0,(R88-MAX(R59:R88))/MAX(R59:R88))</f>
        <v>-4.2583634257682577E-3</v>
      </c>
      <c r="AM88" s="8">
        <f t="shared" ref="AM88" si="1697">MIN(0,(S88-MAX(S59:S88))/MAX(S59:S88))</f>
        <v>-4.9539160006766341E-3</v>
      </c>
      <c r="AN88" s="8">
        <f t="shared" ref="AN88" si="1698">MIN(0,(T88-MAX(T59:T88))/MAX(T59:T88))</f>
        <v>-1.7977528089887451E-2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2"/>
  <sheetViews>
    <sheetView topLeftCell="A68" zoomScale="90" zoomScaleNormal="90" workbookViewId="0">
      <selection activeCell="A90" sqref="A90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A80" s="13">
        <v>43329</v>
      </c>
      <c r="B80">
        <f t="array" ref="B80">_xll.HistoricalData(B$1,"Adj. Close",$A80,$A80,"Daily","RemoveHeaders = True","ReverseOrder =True","RemoveDates =""True")</f>
        <v>72.56</v>
      </c>
      <c r="C80">
        <f t="array" ref="C80">_xll.HistoricalData(C$1,"Adj. Close",$A80,$A80,"Daily","RemoveHeaders = True","ReverseOrder =True","RemoveDates =""True")</f>
        <v>106.46</v>
      </c>
      <c r="D80">
        <f t="array" ref="D80">_xll.HistoricalData(D$1,"Adj. Close",$A80,$A80,"Daily","RemoveHeaders = True","ReverseOrder =True","RemoveDates =""True")</f>
        <v>287.04000000000002</v>
      </c>
      <c r="E80">
        <f t="array" ref="E80">_xll.HistoricalData(E$1,"Adj. Close",$A80,$A80,"Daily","RemoveHeaders = True","ReverseOrder =True","RemoveDates =""True")</f>
        <v>17.440000000000001</v>
      </c>
      <c r="G80" s="5">
        <f t="shared" si="224"/>
        <v>4.568738751211443E-3</v>
      </c>
      <c r="H80" s="5">
        <f t="shared" si="225"/>
        <v>5.6390977443587786E-4</v>
      </c>
      <c r="I80" s="5">
        <f t="shared" si="226"/>
        <v>3.2855644879412615E-3</v>
      </c>
      <c r="J80" s="5">
        <f t="shared" si="227"/>
        <v>1.4543339150669077E-2</v>
      </c>
    </row>
    <row r="81" spans="1:10" x14ac:dyDescent="0.25">
      <c r="A81" s="13">
        <v>43332</v>
      </c>
      <c r="B81">
        <f t="array" ref="B81">_xll.HistoricalData(B$1,"Adj. Close",$A81,$A81,"Daily","RemoveHeaders = True","ReverseOrder =True","RemoveDates =""True")</f>
        <v>72.83</v>
      </c>
      <c r="C81">
        <f t="array" ref="C81">_xll.HistoricalData(C$1,"Adj. Close",$A81,$A81,"Daily","RemoveHeaders = True","ReverseOrder =True","RemoveDates =""True")</f>
        <v>106.67</v>
      </c>
      <c r="D81">
        <f t="array" ref="D81">_xll.HistoricalData(D$1,"Adj. Close",$A81,$A81,"Daily","RemoveHeaders = True","ReverseOrder =True","RemoveDates =""True")</f>
        <v>287.74</v>
      </c>
      <c r="E81">
        <f t="array" ref="E81">_xll.HistoricalData(E$1,"Adj. Close",$A81,$A81,"Daily","RemoveHeaders = True","ReverseOrder =True","RemoveDates =""True")</f>
        <v>17.5975</v>
      </c>
      <c r="G81" s="5">
        <f t="shared" si="224"/>
        <v>3.7210584343989606E-3</v>
      </c>
      <c r="H81" s="5">
        <f t="shared" si="225"/>
        <v>1.9725718579748364E-3</v>
      </c>
      <c r="I81" s="5">
        <f t="shared" si="226"/>
        <v>2.4386845039019445E-3</v>
      </c>
      <c r="J81" s="5">
        <f t="shared" si="227"/>
        <v>9.0309633027523262E-3</v>
      </c>
    </row>
    <row r="82" spans="1:10" x14ac:dyDescent="0.25">
      <c r="A82" s="13">
        <v>43333</v>
      </c>
      <c r="B82">
        <f t="array" ref="B82">_xll.HistoricalData(B$1,"Adj. Close",$A82,$A82,"Daily","RemoveHeaders = True","ReverseOrder =True","RemoveDates =""True")</f>
        <v>73.17</v>
      </c>
      <c r="C82">
        <f t="array" ref="C82">_xll.HistoricalData(C$1,"Adj. Close",$A82,$A82,"Daily","RemoveHeaders = True","ReverseOrder =True","RemoveDates =""True")</f>
        <v>106.58</v>
      </c>
      <c r="D82">
        <f t="array" ref="D82">_xll.HistoricalData(D$1,"Adj. Close",$A82,$A82,"Daily","RemoveHeaders = True","ReverseOrder =True","RemoveDates =""True")</f>
        <v>288.23</v>
      </c>
      <c r="E82">
        <f t="array" ref="E82">_xll.HistoricalData(E$1,"Adj. Close",$A82,$A82,"Daily","RemoveHeaders = True","ReverseOrder =True","RemoveDates =""True")</f>
        <v>17.690000000000001</v>
      </c>
      <c r="G82" s="5">
        <f t="shared" si="224"/>
        <v>4.6684058766992553E-3</v>
      </c>
      <c r="H82" s="5">
        <f t="shared" si="225"/>
        <v>-8.4372363363649505E-4</v>
      </c>
      <c r="I82" s="5">
        <f t="shared" si="226"/>
        <v>1.7029262528671651E-3</v>
      </c>
      <c r="J82" s="5">
        <f t="shared" si="227"/>
        <v>5.2564284699532227E-3</v>
      </c>
    </row>
    <row r="83" spans="1:10" x14ac:dyDescent="0.25">
      <c r="A83" s="13">
        <v>43334</v>
      </c>
      <c r="B83">
        <f t="array" ref="B83">_xll.HistoricalData(B$1,"Adj. Close",$A83,$A83,"Daily","RemoveHeaders = True","ReverseOrder =True","RemoveDates =""True")</f>
        <v>73.28</v>
      </c>
      <c r="C83">
        <f t="array" ref="C83">_xll.HistoricalData(C$1,"Adj. Close",$A83,$A83,"Daily","RemoveHeaders = True","ReverseOrder =True","RemoveDates =""True")</f>
        <v>106.67</v>
      </c>
      <c r="D83">
        <f t="array" ref="D83">_xll.HistoricalData(D$1,"Adj. Close",$A83,$A83,"Daily","RemoveHeaders = True","ReverseOrder =True","RemoveDates =""True")</f>
        <v>288.22000000000003</v>
      </c>
      <c r="E83">
        <f t="array" ref="E83">_xll.HistoricalData(E$1,"Adj. Close",$A83,$A83,"Daily","RemoveHeaders = True","ReverseOrder =True","RemoveDates =""True")</f>
        <v>17.68</v>
      </c>
      <c r="G83" s="5">
        <f t="shared" si="224"/>
        <v>1.5033483668169811E-3</v>
      </c>
      <c r="H83" s="5">
        <f t="shared" si="225"/>
        <v>8.444361043347115E-4</v>
      </c>
      <c r="I83" s="5">
        <f t="shared" si="226"/>
        <v>-3.4694514797206644E-5</v>
      </c>
      <c r="J83" s="5">
        <f t="shared" si="227"/>
        <v>-5.6529112492942346E-4</v>
      </c>
    </row>
    <row r="84" spans="1:10" x14ac:dyDescent="0.25">
      <c r="A84" s="13">
        <v>43335</v>
      </c>
      <c r="B84">
        <f t="array" ref="B84">_xll.HistoricalData(B$1,"Adj. Close",$A84,$A84,"Daily","RemoveHeaders = True","ReverseOrder =True","RemoveDates =""True")</f>
        <v>72.930000000000007</v>
      </c>
      <c r="C84">
        <f t="array" ref="C84">_xll.HistoricalData(C$1,"Adj. Close",$A84,$A84,"Daily","RemoveHeaders = True","ReverseOrder =True","RemoveDates =""True")</f>
        <v>106.61</v>
      </c>
      <c r="D84">
        <f t="array" ref="D84">_xll.HistoricalData(D$1,"Adj. Close",$A84,$A84,"Daily","RemoveHeaders = True","ReverseOrder =True","RemoveDates =""True")</f>
        <v>287.73</v>
      </c>
      <c r="E84">
        <f t="array" ref="E84">_xll.HistoricalData(E$1,"Adj. Close",$A84,$A84,"Daily","RemoveHeaders = True","ReverseOrder =True","RemoveDates =""True")</f>
        <v>17.53</v>
      </c>
      <c r="G84" s="5">
        <f t="shared" si="224"/>
        <v>-4.7762008733623906E-3</v>
      </c>
      <c r="H84" s="5">
        <f t="shared" si="225"/>
        <v>-5.6248242242429303E-4</v>
      </c>
      <c r="I84" s="5">
        <f t="shared" si="226"/>
        <v>-1.700090208868299E-3</v>
      </c>
      <c r="J84" s="5">
        <f t="shared" si="227"/>
        <v>-8.4841628959275717E-3</v>
      </c>
    </row>
    <row r="85" spans="1:10" x14ac:dyDescent="0.25">
      <c r="A85" s="13">
        <v>43336</v>
      </c>
      <c r="B85">
        <f t="array" ref="B85">_xll.HistoricalData(B$1,"Adj. Close",$A85,$A85,"Daily","RemoveHeaders = True","ReverseOrder =True","RemoveDates =""True")</f>
        <v>73.489999999999995</v>
      </c>
      <c r="C85">
        <f t="array" ref="C85">_xll.HistoricalData(C$1,"Adj. Close",$A85,$A85,"Daily","RemoveHeaders = True","ReverseOrder =True","RemoveDates =""True")</f>
        <v>106.73</v>
      </c>
      <c r="D85">
        <f t="array" ref="D85">_xll.HistoricalData(D$1,"Adj. Close",$A85,$A85,"Daily","RemoveHeaders = True","ReverseOrder =True","RemoveDates =""True")</f>
        <v>289.52</v>
      </c>
      <c r="E85">
        <f t="array" ref="E85">_xll.HistoricalData(E$1,"Adj. Close",$A85,$A85,"Daily","RemoveHeaders = True","ReverseOrder =True","RemoveDates =""True")</f>
        <v>17.668800000000001</v>
      </c>
      <c r="G85" s="5">
        <f t="shared" si="224"/>
        <v>7.678595913889863E-3</v>
      </c>
      <c r="H85" s="5">
        <f t="shared" si="225"/>
        <v>1.1255979739237532E-3</v>
      </c>
      <c r="I85" s="5">
        <f t="shared" si="226"/>
        <v>6.2211100684668175E-3</v>
      </c>
      <c r="J85" s="5">
        <f t="shared" si="227"/>
        <v>7.9178551055334445E-3</v>
      </c>
    </row>
    <row r="86" spans="1:10" x14ac:dyDescent="0.25">
      <c r="A86" s="13">
        <v>43339</v>
      </c>
      <c r="B86">
        <f t="array" ref="B86">_xll.HistoricalData(B$1,"Adj. Close",$A86,$A86,"Daily","RemoveHeaders = True","ReverseOrder =True","RemoveDates =""True")</f>
        <v>74.2</v>
      </c>
      <c r="C86">
        <f t="array" ref="C86">_xll.HistoricalData(C$1,"Adj. Close",$A86,$A86,"Daily","RemoveHeaders = True","ReverseOrder =True","RemoveDates =""True")</f>
        <v>106.59</v>
      </c>
      <c r="D86">
        <f t="array" ref="D86">_xll.HistoricalData(D$1,"Adj. Close",$A86,$A86,"Daily","RemoveHeaders = True","ReverseOrder =True","RemoveDates =""True")</f>
        <v>291.81</v>
      </c>
      <c r="E86">
        <f t="array" ref="E86">_xll.HistoricalData(E$1,"Adj. Close",$A86,$A86,"Daily","RemoveHeaders = True","ReverseOrder =True","RemoveDates =""True")</f>
        <v>17.600000000000001</v>
      </c>
      <c r="G86" s="5">
        <f t="shared" si="224"/>
        <v>9.6611783916180638E-3</v>
      </c>
      <c r="H86" s="5">
        <f t="shared" si="225"/>
        <v>-1.3117211655579997E-3</v>
      </c>
      <c r="I86" s="5">
        <f t="shared" si="226"/>
        <v>7.9096435479415472E-3</v>
      </c>
      <c r="J86" s="5">
        <f t="shared" si="227"/>
        <v>-3.8938694195417289E-3</v>
      </c>
    </row>
    <row r="87" spans="1:10" x14ac:dyDescent="0.25">
      <c r="A87" s="13">
        <v>43340</v>
      </c>
      <c r="B87">
        <f t="array" ref="B87">_xll.HistoricalData(B$1,"Adj. Close",$A87,$A87,"Daily","RemoveHeaders = True","ReverseOrder =True","RemoveDates =""True")</f>
        <v>74.239999999999995</v>
      </c>
      <c r="C87">
        <f t="array" ref="C87">_xll.HistoricalData(C$1,"Adj. Close",$A87,$A87,"Daily","RemoveHeaders = True","ReverseOrder =True","RemoveDates =""True")</f>
        <v>106.39</v>
      </c>
      <c r="D87">
        <f t="array" ref="D87">_xll.HistoricalData(D$1,"Adj. Close",$A87,$A87,"Daily","RemoveHeaders = True","ReverseOrder =True","RemoveDates =""True")</f>
        <v>291.89</v>
      </c>
      <c r="E87">
        <f t="array" ref="E87">_xll.HistoricalData(E$1,"Adj. Close",$A87,$A87,"Daily","RemoveHeaders = True","ReverseOrder =True","RemoveDates =""True")</f>
        <v>17.559999999999999</v>
      </c>
      <c r="G87" s="5">
        <f t="shared" si="224"/>
        <v>5.3908355795129204E-4</v>
      </c>
      <c r="H87" s="5">
        <f t="shared" si="225"/>
        <v>-1.8763486255746198E-3</v>
      </c>
      <c r="I87" s="5">
        <f t="shared" si="226"/>
        <v>2.7415098865701815E-4</v>
      </c>
      <c r="J87" s="5">
        <f t="shared" si="227"/>
        <v>-2.2727272727274261E-3</v>
      </c>
    </row>
    <row r="88" spans="1:10" x14ac:dyDescent="0.25">
      <c r="A88" s="13">
        <v>43341</v>
      </c>
      <c r="B88">
        <f t="array" ref="B88">_xll.HistoricalData(B$1,"Adj. Close",$A88,$A88,"Daily","RemoveHeaders = True","ReverseOrder =True","RemoveDates =""True")</f>
        <v>74.680000000000007</v>
      </c>
      <c r="C88">
        <f t="array" ref="C88">_xll.HistoricalData(C$1,"Adj. Close",$A88,$A88,"Daily","RemoveHeaders = True","ReverseOrder =True","RemoveDates =""True")</f>
        <v>106.37</v>
      </c>
      <c r="D88">
        <f t="array" ref="D88">_xll.HistoricalData(D$1,"Adj. Close",$A88,$A88,"Daily","RemoveHeaders = True","ReverseOrder =True","RemoveDates =""True")</f>
        <v>293.54000000000002</v>
      </c>
      <c r="E88">
        <f t="array" ref="E88">_xll.HistoricalData(E$1,"Adj. Close",$A88,$A88,"Daily","RemoveHeaders = True","ReverseOrder =True","RemoveDates =""True")</f>
        <v>17.55</v>
      </c>
      <c r="G88" s="5">
        <f t="shared" ref="G88:G92" si="228">B88/B87-1</f>
        <v>5.9267241379312718E-3</v>
      </c>
      <c r="H88" s="5">
        <f t="shared" ref="H88:H92" si="229">C88/C87-1</f>
        <v>-1.8798759281879462E-4</v>
      </c>
      <c r="I88" s="5">
        <f t="shared" ref="I88:I92" si="230">D88/D87-1</f>
        <v>5.652814416389873E-3</v>
      </c>
      <c r="J88" s="5">
        <f t="shared" ref="J88:J92" si="231">E88/E87-1</f>
        <v>-5.6947608200441646E-4</v>
      </c>
    </row>
    <row r="89" spans="1:10" x14ac:dyDescent="0.25">
      <c r="A89" s="13">
        <v>43342</v>
      </c>
      <c r="B89">
        <f t="array" ref="B89">_xll.HistoricalData(B$1,"Adj. Close",$A89,$A89,"Daily","RemoveHeaders = True","ReverseOrder =True","RemoveDates =""True")</f>
        <v>74.040000000000006</v>
      </c>
      <c r="C89">
        <f t="array" ref="C89">_xll.HistoricalData(C$1,"Adj. Close",$A89,$A89,"Daily","RemoveHeaders = True","ReverseOrder =True","RemoveDates =""True")</f>
        <v>106.42</v>
      </c>
      <c r="D89">
        <f t="array" ref="D89">_xll.HistoricalData(D$1,"Adj. Close",$A89,$A89,"Daily","RemoveHeaders = True","ReverseOrder =True","RemoveDates =""True")</f>
        <v>292.29000000000002</v>
      </c>
      <c r="E89">
        <f t="array" ref="E89">_xll.HistoricalData(E$1,"Adj. Close",$A89,$A89,"Daily","RemoveHeaders = True","ReverseOrder =True","RemoveDates =""True")</f>
        <v>17.48</v>
      </c>
      <c r="G89" s="5">
        <f t="shared" si="228"/>
        <v>-8.5698982324584616E-3</v>
      </c>
      <c r="H89" s="5">
        <f t="shared" si="229"/>
        <v>4.7005734699623325E-4</v>
      </c>
      <c r="I89" s="5">
        <f t="shared" si="230"/>
        <v>-4.2583634257682412E-3</v>
      </c>
      <c r="J89" s="5">
        <f t="shared" si="231"/>
        <v>-3.9886039886040114E-3</v>
      </c>
    </row>
    <row r="90" spans="1:10" x14ac:dyDescent="0.25">
      <c r="B90" t="str">
        <f t="array" ref="B90">_xll.HistoricalData(B$1,"Adj. Close",$A90,$A90,"Daily","RemoveHeaders = True","ReverseOrder =True","RemoveDates =""True")</f>
        <v>--</v>
      </c>
      <c r="C90" t="str">
        <f t="array" ref="C90">_xll.HistoricalData(C$1,"Adj. Close",$A90,$A90,"Daily","RemoveHeaders = True","ReverseOrder =True","RemoveDates =""True")</f>
        <v>--</v>
      </c>
      <c r="D90" t="str">
        <f t="array" ref="D90">_xll.HistoricalData(D$1,"Adj. Close",$A90,$A90,"Daily","RemoveHeaders = True","ReverseOrder =True","RemoveDates =""True")</f>
        <v>--</v>
      </c>
      <c r="E90" t="str">
        <f t="array" ref="E90">_xll.HistoricalData(E$1,"Adj. Close",$A90,$A90,"Daily","RemoveHeaders = True","ReverseOrder =True","RemoveDates =""True")</f>
        <v>--</v>
      </c>
      <c r="G90" s="5" t="e">
        <f t="shared" si="228"/>
        <v>#VALUE!</v>
      </c>
      <c r="H90" s="5" t="e">
        <f t="shared" si="229"/>
        <v>#VALUE!</v>
      </c>
      <c r="I90" s="5" t="e">
        <f t="shared" si="230"/>
        <v>#VALUE!</v>
      </c>
      <c r="J90" s="5" t="e">
        <f t="shared" si="231"/>
        <v>#VALUE!</v>
      </c>
    </row>
    <row r="91" spans="1:10" x14ac:dyDescent="0.25">
      <c r="B91" t="str">
        <f t="array" ref="B91">_xll.HistoricalData(B$1,"Adj. Close",$A91,$A91,"Daily","RemoveHeaders = True","ReverseOrder =True","RemoveDates =""True")</f>
        <v>--</v>
      </c>
      <c r="C91" t="str">
        <f t="array" ref="C91">_xll.HistoricalData(C$1,"Adj. Close",$A91,$A91,"Daily","RemoveHeaders = True","ReverseOrder =True","RemoveDates =""True")</f>
        <v>--</v>
      </c>
      <c r="D91" t="str">
        <f t="array" ref="D91">_xll.HistoricalData(D$1,"Adj. Close",$A91,$A91,"Daily","RemoveHeaders = True","ReverseOrder =True","RemoveDates =""True")</f>
        <v>--</v>
      </c>
      <c r="E91" t="str">
        <f t="array" ref="E91">_xll.HistoricalData(E$1,"Adj. Close",$A91,$A91,"Daily","RemoveHeaders = True","ReverseOrder =True","RemoveDates =""True")</f>
        <v>--</v>
      </c>
      <c r="G91" s="5" t="e">
        <f t="shared" si="228"/>
        <v>#VALUE!</v>
      </c>
      <c r="H91" s="5" t="e">
        <f t="shared" si="229"/>
        <v>#VALUE!</v>
      </c>
      <c r="I91" s="5" t="e">
        <f t="shared" si="230"/>
        <v>#VALUE!</v>
      </c>
      <c r="J91" s="5" t="e">
        <f t="shared" si="231"/>
        <v>#VALUE!</v>
      </c>
    </row>
    <row r="92" spans="1:10" x14ac:dyDescent="0.25">
      <c r="B92" t="str">
        <f t="array" ref="B92">_xll.HistoricalData(B$1,"Adj. Close",$A92,$A92,"Daily","RemoveHeaders = True","ReverseOrder =True","RemoveDates =""True")</f>
        <v>--</v>
      </c>
      <c r="C92" t="str">
        <f t="array" ref="C92">_xll.HistoricalData(C$1,"Adj. Close",$A92,$A92,"Daily","RemoveHeaders = True","ReverseOrder =True","RemoveDates =""True")</f>
        <v>--</v>
      </c>
      <c r="D92" t="str">
        <f t="array" ref="D92">_xll.HistoricalData(D$1,"Adj. Close",$A92,$A92,"Daily","RemoveHeaders = True","ReverseOrder =True","RemoveDates =""True")</f>
        <v>--</v>
      </c>
      <c r="E92" t="str">
        <f t="array" ref="E92">_xll.HistoricalData(E$1,"Adj. Close",$A92,$A92,"Daily","RemoveHeaders = True","ReverseOrder =True","RemoveDates =""True")</f>
        <v>--</v>
      </c>
      <c r="G92" s="5" t="e">
        <f t="shared" si="228"/>
        <v>#VALUE!</v>
      </c>
      <c r="H92" s="5" t="e">
        <f t="shared" si="229"/>
        <v>#VALUE!</v>
      </c>
      <c r="I92" s="5" t="e">
        <f t="shared" si="230"/>
        <v>#VALUE!</v>
      </c>
      <c r="J92" s="5" t="e">
        <f t="shared" si="231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10" workbookViewId="0">
      <selection activeCell="P18" sqref="P18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0.99310024525218754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388.1</v>
      </c>
      <c r="D5">
        <f>ROUNDDOWN(($C$2/6)/B5,0)</f>
        <v>35</v>
      </c>
      <c r="E5" s="8">
        <f>C5/B5-1</f>
        <v>0.16915198071998816</v>
      </c>
      <c r="F5">
        <f>C5*D5</f>
        <v>13583.5</v>
      </c>
      <c r="G5" s="73">
        <f>F5/$F$13</f>
        <v>0.17665884797638087</v>
      </c>
      <c r="H5" s="8">
        <f>F5/$F$31</f>
        <v>0.12621330677146642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2021.1533999999999</v>
      </c>
      <c r="D6">
        <f t="shared" ref="D6:D10" si="0">ROUNDDOWN(($C$2/6)/B6,0)</f>
        <v>7</v>
      </c>
      <c r="E6" s="8">
        <f t="shared" ref="E6:E10" si="1">C6/B6-1</f>
        <v>0.24026055153962278</v>
      </c>
      <c r="F6">
        <f t="shared" ref="F6:F9" si="2">C6*D6</f>
        <v>14148.0738</v>
      </c>
      <c r="G6" s="73">
        <f t="shared" ref="G6:G10" si="3">F6/$F$13</f>
        <v>0.18400135595338588</v>
      </c>
      <c r="H6" s="8">
        <f t="shared" ref="H6:H10" si="4">F6/$F$31</f>
        <v>0.13145913635990331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47.405000000000001</v>
      </c>
      <c r="D7">
        <f t="shared" si="0"/>
        <v>275</v>
      </c>
      <c r="E7" s="8">
        <f t="shared" si="1"/>
        <v>0.11857008022652193</v>
      </c>
      <c r="F7">
        <f t="shared" si="2"/>
        <v>13036.375</v>
      </c>
      <c r="G7" s="73">
        <f t="shared" si="3"/>
        <v>0.16954326861914029</v>
      </c>
      <c r="H7" s="8">
        <f t="shared" si="4"/>
        <v>0.12112960555548095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557.178</v>
      </c>
      <c r="D8">
        <f t="shared" si="0"/>
        <v>25</v>
      </c>
      <c r="E8" s="8">
        <f t="shared" si="1"/>
        <v>0.21212609045619679</v>
      </c>
      <c r="F8">
        <f t="shared" si="2"/>
        <v>13929.45</v>
      </c>
      <c r="G8" s="73">
        <f t="shared" si="3"/>
        <v>0.18115806603192097</v>
      </c>
      <c r="H8" s="8">
        <f t="shared" si="4"/>
        <v>0.12942775764771988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52.86</v>
      </c>
      <c r="D9">
        <f t="shared" si="0"/>
        <v>202</v>
      </c>
      <c r="E9" s="8">
        <f t="shared" si="1"/>
        <v>-8.2132314637958004E-2</v>
      </c>
      <c r="F9">
        <f t="shared" si="2"/>
        <v>10677.72</v>
      </c>
      <c r="G9" s="73">
        <f t="shared" si="3"/>
        <v>0.13886801738980095</v>
      </c>
      <c r="H9" s="8">
        <f t="shared" si="4"/>
        <v>9.9213777743572887E-2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53.07</v>
      </c>
      <c r="D10">
        <f t="shared" si="0"/>
        <v>207</v>
      </c>
      <c r="E10" s="8">
        <f t="shared" si="1"/>
        <v>-5.8207630878438388E-2</v>
      </c>
      <c r="F10">
        <f>C10*D10</f>
        <v>10985.49</v>
      </c>
      <c r="G10" s="73">
        <f t="shared" si="3"/>
        <v>0.14287068928155866</v>
      </c>
      <c r="H10" s="8">
        <f t="shared" si="4"/>
        <v>0.1020734729197097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76891.138800000001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9.8444839999999978E-2</v>
      </c>
    </row>
    <row r="15" spans="1:23" x14ac:dyDescent="0.25">
      <c r="E15" t="s">
        <v>108</v>
      </c>
    </row>
    <row r="17" spans="1:10" x14ac:dyDescent="0.25">
      <c r="H17" s="11">
        <f>SUM(H20:H23)</f>
        <v>0.98846227184368707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17.445</v>
      </c>
      <c r="D20">
        <f>ROUNDDOWN(($C$3*E20)/B20,0)</f>
        <v>250</v>
      </c>
      <c r="E20" s="11">
        <v>0.14199999999999999</v>
      </c>
      <c r="F20" s="8">
        <f>C20/B20-1</f>
        <v>2.6176470588235246E-2</v>
      </c>
      <c r="G20">
        <f>D20*C20</f>
        <v>4361.25</v>
      </c>
      <c r="H20" s="8">
        <f>G20/$G$27</f>
        <v>0.14191132303491255</v>
      </c>
      <c r="I20" s="8">
        <f>G20/$F$31</f>
        <v>4.0523266032838214E-2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292.72000000000003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3.4785067873303266E-2</v>
      </c>
      <c r="G21">
        <f t="shared" ref="G21:G22" si="8">D21*C21</f>
        <v>11123.36</v>
      </c>
      <c r="H21" s="8">
        <f t="shared" ref="H21:H23" si="9">G21/$G$27</f>
        <v>0.36194456502003436</v>
      </c>
      <c r="I21" s="8">
        <f t="shared" ref="I21:I23" si="10">G21/$F$31</f>
        <v>0.10335451452199056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83.17</v>
      </c>
      <c r="D22">
        <f t="shared" si="6"/>
        <v>144</v>
      </c>
      <c r="E22" s="11">
        <v>0.39300000000000002</v>
      </c>
      <c r="F22" s="8">
        <f t="shared" si="7"/>
        <v>2.0240431795878422E-2</v>
      </c>
      <c r="G22">
        <f t="shared" si="8"/>
        <v>11976.48</v>
      </c>
      <c r="H22" s="8">
        <f t="shared" si="9"/>
        <v>0.38970435588447561</v>
      </c>
      <c r="I22" s="8">
        <f t="shared" si="10"/>
        <v>0.11128141821197277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83.33</v>
      </c>
      <c r="D23">
        <f>ROUNDDOWN(($C$3*E23)/B23,0)</f>
        <v>35</v>
      </c>
      <c r="E23" s="11">
        <v>9.9000000000000005E-2</v>
      </c>
      <c r="F23" s="8">
        <f t="shared" si="7"/>
        <v>3.2506621719239348E-3</v>
      </c>
      <c r="G23">
        <f>D23*C23</f>
        <v>2916.5499999999997</v>
      </c>
      <c r="H23" s="8">
        <f t="shared" si="9"/>
        <v>9.4902027904264635E-2</v>
      </c>
      <c r="I23" s="8">
        <f t="shared" si="10"/>
        <v>2.7099600240315113E-2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30732.22</v>
      </c>
      <c r="J27">
        <f>SUM(J20:J23)</f>
        <v>29645.42</v>
      </c>
    </row>
    <row r="28" spans="1:10" x14ac:dyDescent="0.25">
      <c r="F28" t="s">
        <v>106</v>
      </c>
      <c r="G28" s="8">
        <f>G27/J27-1</f>
        <v>3.6659962989224137E-2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107623.3588</v>
      </c>
    </row>
    <row r="33" spans="1:9" x14ac:dyDescent="0.25">
      <c r="E33" t="s">
        <v>105</v>
      </c>
      <c r="F33" s="8">
        <f>F31/B1-1</f>
        <v>7.6233588000000019E-2</v>
      </c>
      <c r="H33" s="11">
        <f>F33-F37</f>
        <v>2.8543796265359703E-2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38.6601</v>
      </c>
      <c r="D37" s="8">
        <f>C37/B37-1</f>
        <v>1.0457396759017357E-2</v>
      </c>
      <c r="E37" s="11"/>
      <c r="F37" s="8">
        <f>D37*$B$3+D40*$B$2</f>
        <v>4.7689791734640316E-2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292.72000000000003</v>
      </c>
      <c r="D38" s="8">
        <f t="shared" ref="D38:D39" si="12">C38/B38-1</f>
        <v>7.3295933707329564E-2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187.04</v>
      </c>
      <c r="D39" s="8">
        <f t="shared" si="12"/>
        <v>9.9782442523666637E-2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47.545000000000002</v>
      </c>
      <c r="D40" s="8">
        <f>C40/B40-1</f>
        <v>6.3646532438478731E-2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</cp:lastModifiedBy>
  <dcterms:created xsi:type="dcterms:W3CDTF">2018-05-02T12:40:58Z</dcterms:created>
  <dcterms:modified xsi:type="dcterms:W3CDTF">2018-08-31T14:19:58Z</dcterms:modified>
</cp:coreProperties>
</file>