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2" i="1"/>
  <c r="O46" i="1" l="1"/>
  <c r="P46" i="1"/>
  <c r="Q46" i="1"/>
  <c r="R46" i="1"/>
  <c r="N46" i="1"/>
  <c r="I46" i="1"/>
  <c r="AJ32" i="2"/>
  <c r="AK32" i="2"/>
  <c r="AL32" i="2"/>
  <c r="AM32" i="2"/>
  <c r="AN32" i="2"/>
  <c r="AJ33" i="2"/>
  <c r="AK33" i="2"/>
  <c r="AL33" i="2"/>
  <c r="AM33" i="2"/>
  <c r="AN33" i="2"/>
  <c r="AJ34" i="2"/>
  <c r="AK34" i="2"/>
  <c r="AL34" i="2"/>
  <c r="AM34" i="2"/>
  <c r="AN34" i="2"/>
  <c r="AJ35" i="2"/>
  <c r="AK35" i="2"/>
  <c r="AL35" i="2"/>
  <c r="AM35" i="2"/>
  <c r="AN35" i="2"/>
  <c r="AJ36" i="2"/>
  <c r="AK36" i="2"/>
  <c r="AL36" i="2"/>
  <c r="AM36" i="2"/>
  <c r="AN36" i="2"/>
  <c r="AJ37" i="2"/>
  <c r="AK37" i="2"/>
  <c r="AL37" i="2"/>
  <c r="AM37" i="2"/>
  <c r="AN37" i="2"/>
  <c r="AJ38" i="2"/>
  <c r="AK38" i="2"/>
  <c r="AL38" i="2"/>
  <c r="AM38" i="2"/>
  <c r="AN38" i="2"/>
  <c r="AJ39" i="2"/>
  <c r="AK39" i="2"/>
  <c r="AL39" i="2"/>
  <c r="AM39" i="2"/>
  <c r="AN39" i="2"/>
  <c r="AJ40" i="2"/>
  <c r="AK40" i="2"/>
  <c r="AL40" i="2"/>
  <c r="AM40" i="2"/>
  <c r="AN40" i="2"/>
  <c r="AJ41" i="2"/>
  <c r="AK41" i="2"/>
  <c r="AL41" i="2"/>
  <c r="AM41" i="2"/>
  <c r="AN41" i="2"/>
  <c r="AJ42" i="2"/>
  <c r="AK42" i="2"/>
  <c r="AL42" i="2"/>
  <c r="AM42" i="2"/>
  <c r="AN42" i="2"/>
  <c r="AJ43" i="2"/>
  <c r="AK43" i="2"/>
  <c r="AL43" i="2"/>
  <c r="AM43" i="2"/>
  <c r="AN43" i="2"/>
  <c r="AJ44" i="2"/>
  <c r="AK44" i="2"/>
  <c r="AL44" i="2"/>
  <c r="AM44" i="2"/>
  <c r="AN44" i="2"/>
  <c r="AJ45" i="2"/>
  <c r="AK45" i="2"/>
  <c r="AL45" i="2"/>
  <c r="AM45" i="2"/>
  <c r="AN45" i="2"/>
  <c r="AJ46" i="2"/>
  <c r="AK46" i="2"/>
  <c r="AL46" i="2"/>
  <c r="AM46" i="2"/>
  <c r="AN46" i="2"/>
  <c r="AJ47" i="2"/>
  <c r="AK47" i="2"/>
  <c r="AL47" i="2"/>
  <c r="AM47" i="2"/>
  <c r="AN47" i="2"/>
  <c r="AJ48" i="2"/>
  <c r="AK48" i="2"/>
  <c r="AL48" i="2"/>
  <c r="AM48" i="2"/>
  <c r="AN48" i="2"/>
  <c r="AJ49" i="2"/>
  <c r="AK49" i="2"/>
  <c r="AL49" i="2"/>
  <c r="AM49" i="2"/>
  <c r="AN49" i="2"/>
  <c r="AJ50" i="2"/>
  <c r="AK50" i="2"/>
  <c r="AL50" i="2"/>
  <c r="AM50" i="2"/>
  <c r="AN50" i="2"/>
  <c r="AJ51" i="2"/>
  <c r="AK51" i="2"/>
  <c r="AL51" i="2"/>
  <c r="AM51" i="2"/>
  <c r="AN51" i="2"/>
  <c r="AJ52" i="2"/>
  <c r="AK52" i="2"/>
  <c r="AL52" i="2"/>
  <c r="AM52" i="2"/>
  <c r="AN52" i="2"/>
  <c r="AJ53" i="2"/>
  <c r="AK53" i="2"/>
  <c r="AL53" i="2"/>
  <c r="AM53" i="2"/>
  <c r="AN53" i="2"/>
  <c r="AJ54" i="2"/>
  <c r="AK54" i="2"/>
  <c r="AL54" i="2"/>
  <c r="AM54" i="2"/>
  <c r="AN54" i="2"/>
  <c r="AJ55" i="2"/>
  <c r="AK55" i="2"/>
  <c r="AL55" i="2"/>
  <c r="AM55" i="2"/>
  <c r="AN55" i="2"/>
  <c r="AJ56" i="2"/>
  <c r="AK56" i="2"/>
  <c r="AL56" i="2"/>
  <c r="AM56" i="2"/>
  <c r="AN56" i="2"/>
  <c r="AJ57" i="2"/>
  <c r="AK57" i="2"/>
  <c r="AL57" i="2"/>
  <c r="AM57" i="2"/>
  <c r="AN57" i="2"/>
  <c r="AJ58" i="2"/>
  <c r="AK58" i="2"/>
  <c r="AL58" i="2"/>
  <c r="AM58" i="2"/>
  <c r="AN58" i="2"/>
  <c r="AJ59" i="2"/>
  <c r="AK59" i="2"/>
  <c r="AL59" i="2"/>
  <c r="AM59" i="2"/>
  <c r="AN59" i="2"/>
  <c r="AJ60" i="2"/>
  <c r="AK60" i="2"/>
  <c r="AL60" i="2"/>
  <c r="AM60" i="2"/>
  <c r="AN60" i="2"/>
  <c r="AJ61" i="2"/>
  <c r="AK61" i="2"/>
  <c r="AL61" i="2"/>
  <c r="AM61" i="2"/>
  <c r="AN61" i="2"/>
  <c r="AJ62" i="2"/>
  <c r="AK62" i="2"/>
  <c r="AL62" i="2"/>
  <c r="AM62" i="2"/>
  <c r="AN62" i="2"/>
  <c r="AJ63" i="2"/>
  <c r="AK63" i="2"/>
  <c r="AL63" i="2"/>
  <c r="AM63" i="2"/>
  <c r="AN63" i="2"/>
  <c r="AJ64" i="2"/>
  <c r="AK64" i="2"/>
  <c r="AL64" i="2"/>
  <c r="AM64" i="2"/>
  <c r="AN64" i="2"/>
  <c r="AJ65" i="2"/>
  <c r="AK65" i="2"/>
  <c r="AL65" i="2"/>
  <c r="AM65" i="2"/>
  <c r="AN65" i="2"/>
  <c r="AJ66" i="2"/>
  <c r="AK66" i="2"/>
  <c r="AL66" i="2"/>
  <c r="AM66" i="2"/>
  <c r="AN66" i="2"/>
  <c r="AK31" i="2"/>
  <c r="AL31" i="2"/>
  <c r="AM31" i="2"/>
  <c r="AN31" i="2"/>
  <c r="AJ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P66" i="2" s="1"/>
  <c r="K66" i="2"/>
  <c r="Q66" i="2" s="1"/>
  <c r="L66" i="2"/>
  <c r="R66" i="2" s="1"/>
  <c r="N66" i="2"/>
  <c r="T66" i="2" s="1"/>
  <c r="B66" i="2"/>
  <c r="D66" i="2"/>
  <c r="C67" i="3" a="1"/>
  <c r="D67" i="3" a="1"/>
  <c r="E67" i="3" a="1"/>
  <c r="B67" i="3" a="1"/>
  <c r="Z66" i="2" l="1"/>
  <c r="AF66" i="2"/>
  <c r="AC66" i="2"/>
  <c r="W66" i="2"/>
  <c r="AB66" i="2"/>
  <c r="V66" i="2"/>
  <c r="AD66" i="2"/>
  <c r="X66" i="2"/>
  <c r="G66" i="2"/>
  <c r="H66" i="2"/>
  <c r="M66" i="2"/>
  <c r="S66" i="2" s="1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Y66" i="2" l="1"/>
  <c r="AE66" i="2"/>
  <c r="G65" i="2"/>
  <c r="H65" i="2"/>
  <c r="M65" i="2"/>
  <c r="E64" i="2"/>
  <c r="F64" i="2" s="1"/>
  <c r="J64" i="2"/>
  <c r="M64" i="2" s="1"/>
  <c r="K64" i="2"/>
  <c r="L64" i="2"/>
  <c r="N64" i="2"/>
  <c r="B64" i="2"/>
  <c r="D64" i="2"/>
  <c r="G64" i="2" l="1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M63" i="2" s="1"/>
  <c r="E62" i="2"/>
  <c r="J62" i="2"/>
  <c r="M62" i="2" s="1"/>
  <c r="K62" i="2"/>
  <c r="L62" i="2"/>
  <c r="N62" i="2"/>
  <c r="D62" i="2"/>
  <c r="E61" i="2" l="1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O20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2" i="1"/>
  <c r="J13" i="1"/>
  <c r="J10" i="1"/>
  <c r="J5" i="1"/>
  <c r="J7" i="1"/>
  <c r="J11" i="1"/>
  <c r="J8" i="1"/>
  <c r="J9" i="1"/>
  <c r="M47" i="2" l="1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3" i="1"/>
  <c r="G2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2" i="1"/>
  <c r="M7" i="1"/>
  <c r="M6" i="1"/>
  <c r="M11" i="1"/>
  <c r="M5" i="1"/>
  <c r="M4" i="1"/>
  <c r="M3" i="1"/>
  <c r="M10" i="1"/>
  <c r="M9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11" i="1" a="1"/>
  <c r="L10" i="1" a="1"/>
  <c r="L5" i="1" a="1"/>
  <c r="L4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5" i="1"/>
  <c r="L11" i="1"/>
  <c r="L4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8" i="1"/>
  <c r="L2" i="1"/>
  <c r="L7" i="1"/>
  <c r="L9" i="1"/>
  <c r="L3" i="1"/>
  <c r="K26" i="1"/>
  <c r="O38" i="1" l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3" i="1"/>
  <c r="K22" i="1"/>
  <c r="K24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2" i="1"/>
  <c r="B9" i="1"/>
  <c r="B7" i="1"/>
  <c r="B3" i="1"/>
  <c r="J2" i="1"/>
  <c r="B8" i="1"/>
  <c r="B10" i="1"/>
  <c r="B4" i="1"/>
  <c r="B5" i="1"/>
  <c r="B6" i="1"/>
  <c r="J6" i="1"/>
  <c r="J3" i="1"/>
  <c r="B11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I21" i="1" s="1"/>
  <c r="F2" i="1" s="1"/>
  <c r="E3" i="1"/>
  <c r="T18" i="2" l="1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P32" i="2" s="1"/>
  <c r="AB30" i="2"/>
  <c r="V30" i="2"/>
  <c r="R31" i="2"/>
  <c r="R32" i="2" s="1"/>
  <c r="AD30" i="2"/>
  <c r="X30" i="2"/>
  <c r="Q31" i="2"/>
  <c r="Q32" i="2" s="1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Q33" i="2" l="1"/>
  <c r="Q34" i="2" s="1"/>
  <c r="W32" i="2"/>
  <c r="AC32" i="2"/>
  <c r="R33" i="2"/>
  <c r="R34" i="2" s="1"/>
  <c r="AD32" i="2"/>
  <c r="X32" i="2"/>
  <c r="P33" i="2"/>
  <c r="P34" i="2" s="1"/>
  <c r="AB32" i="2"/>
  <c r="V32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Q35" i="2" l="1"/>
  <c r="Q36" i="2" s="1"/>
  <c r="Q37" i="2" s="1"/>
  <c r="Q38" i="2" s="1"/>
  <c r="AC34" i="2"/>
  <c r="W34" i="2"/>
  <c r="P35" i="2"/>
  <c r="P36" i="2" s="1"/>
  <c r="P37" i="2" s="1"/>
  <c r="P38" i="2" s="1"/>
  <c r="V34" i="2"/>
  <c r="AB34" i="2"/>
  <c r="R35" i="2"/>
  <c r="R36" i="2" s="1"/>
  <c r="R37" i="2" s="1"/>
  <c r="R38" i="2" s="1"/>
  <c r="AD34" i="2"/>
  <c r="X34" i="2"/>
  <c r="AB33" i="2"/>
  <c r="V33" i="2"/>
  <c r="AD33" i="2"/>
  <c r="X33" i="2"/>
  <c r="AC33" i="2"/>
  <c r="W33" i="2"/>
  <c r="T25" i="2"/>
  <c r="Z24" i="2"/>
  <c r="AF24" i="2"/>
  <c r="S14" i="2"/>
  <c r="Y13" i="2"/>
  <c r="AE13" i="2"/>
  <c r="F14" i="2"/>
  <c r="G13" i="2"/>
  <c r="H13" i="2"/>
  <c r="Q39" i="2" l="1"/>
  <c r="Q40" i="2" s="1"/>
  <c r="Q41" i="2" s="1"/>
  <c r="Q42" i="2" s="1"/>
  <c r="Q43" i="2" s="1"/>
  <c r="Q44" i="2" s="1"/>
  <c r="Q45" i="2" s="1"/>
  <c r="AC38" i="2"/>
  <c r="W38" i="2"/>
  <c r="R39" i="2"/>
  <c r="R40" i="2" s="1"/>
  <c r="R41" i="2" s="1"/>
  <c r="R42" i="2" s="1"/>
  <c r="R43" i="2" s="1"/>
  <c r="R44" i="2" s="1"/>
  <c r="R45" i="2" s="1"/>
  <c r="X38" i="2"/>
  <c r="AD38" i="2"/>
  <c r="P39" i="2"/>
  <c r="P40" i="2" s="1"/>
  <c r="P41" i="2" s="1"/>
  <c r="P42" i="2" s="1"/>
  <c r="P43" i="2" s="1"/>
  <c r="P44" i="2" s="1"/>
  <c r="P45" i="2" s="1"/>
  <c r="AB38" i="2"/>
  <c r="V38" i="2"/>
  <c r="AB37" i="2"/>
  <c r="V37" i="2"/>
  <c r="X37" i="2"/>
  <c r="AD37" i="2"/>
  <c r="W37" i="2"/>
  <c r="AC37" i="2"/>
  <c r="X36" i="2"/>
  <c r="AD36" i="2"/>
  <c r="AC36" i="2"/>
  <c r="W36" i="2"/>
  <c r="V36" i="2"/>
  <c r="AB36" i="2"/>
  <c r="X35" i="2"/>
  <c r="AD35" i="2"/>
  <c r="AC35" i="2"/>
  <c r="W35" i="2"/>
  <c r="AB35" i="2"/>
  <c r="V35" i="2"/>
  <c r="Z25" i="2"/>
  <c r="T26" i="2"/>
  <c r="AF25" i="2"/>
  <c r="S15" i="2"/>
  <c r="Y14" i="2"/>
  <c r="AE14" i="2"/>
  <c r="G14" i="2"/>
  <c r="F15" i="2"/>
  <c r="H14" i="2"/>
  <c r="V45" i="2" l="1"/>
  <c r="P46" i="2"/>
  <c r="AB45" i="2"/>
  <c r="Q46" i="2"/>
  <c r="W45" i="2"/>
  <c r="AC45" i="2"/>
  <c r="X45" i="2"/>
  <c r="R46" i="2"/>
  <c r="AD45" i="2"/>
  <c r="AB44" i="2"/>
  <c r="V44" i="2"/>
  <c r="AD44" i="2"/>
  <c r="X44" i="2"/>
  <c r="AC44" i="2"/>
  <c r="W44" i="2"/>
  <c r="V43" i="2"/>
  <c r="AB43" i="2"/>
  <c r="AD43" i="2"/>
  <c r="X43" i="2"/>
  <c r="W43" i="2"/>
  <c r="AC43" i="2"/>
  <c r="AC42" i="2"/>
  <c r="W42" i="2"/>
  <c r="V42" i="2"/>
  <c r="AB42" i="2"/>
  <c r="X42" i="2"/>
  <c r="AD42" i="2"/>
  <c r="AB41" i="2"/>
  <c r="V41" i="2"/>
  <c r="X41" i="2"/>
  <c r="AD41" i="2"/>
  <c r="AC41" i="2"/>
  <c r="W41" i="2"/>
  <c r="AD40" i="2"/>
  <c r="X40" i="2"/>
  <c r="AB40" i="2"/>
  <c r="V40" i="2"/>
  <c r="W40" i="2"/>
  <c r="AC40" i="2"/>
  <c r="AB39" i="2"/>
  <c r="V39" i="2"/>
  <c r="AC39" i="2"/>
  <c r="W39" i="2"/>
  <c r="AD39" i="2"/>
  <c r="X39" i="2"/>
  <c r="Z26" i="2"/>
  <c r="T27" i="2"/>
  <c r="AF26" i="2"/>
  <c r="S16" i="2"/>
  <c r="AE15" i="2"/>
  <c r="Y15" i="2"/>
  <c r="F16" i="2"/>
  <c r="G15" i="2"/>
  <c r="H15" i="2"/>
  <c r="X46" i="2" l="1"/>
  <c r="AD46" i="2"/>
  <c r="R47" i="2"/>
  <c r="R48" i="2" s="1"/>
  <c r="R49" i="2" s="1"/>
  <c r="R50" i="2" s="1"/>
  <c r="W46" i="2"/>
  <c r="Q47" i="2"/>
  <c r="Q48" i="2" s="1"/>
  <c r="Q49" i="2" s="1"/>
  <c r="Q50" i="2" s="1"/>
  <c r="AC46" i="2"/>
  <c r="V46" i="2"/>
  <c r="P47" i="2"/>
  <c r="P48" i="2" s="1"/>
  <c r="P49" i="2" s="1"/>
  <c r="P50" i="2" s="1"/>
  <c r="AB46" i="2"/>
  <c r="T28" i="2"/>
  <c r="T29" i="2" s="1"/>
  <c r="T30" i="2" s="1"/>
  <c r="AF27" i="2"/>
  <c r="Z27" i="2"/>
  <c r="S17" i="2"/>
  <c r="Y16" i="2"/>
  <c r="AE16" i="2"/>
  <c r="F17" i="2"/>
  <c r="H16" i="2"/>
  <c r="G16" i="2"/>
  <c r="AB50" i="2" l="1"/>
  <c r="V50" i="2"/>
  <c r="P51" i="2"/>
  <c r="P52" i="2" s="1"/>
  <c r="P53" i="2" s="1"/>
  <c r="P54" i="2" s="1"/>
  <c r="P55" i="2" s="1"/>
  <c r="W50" i="2"/>
  <c r="AC50" i="2"/>
  <c r="Q51" i="2"/>
  <c r="Q52" i="2" s="1"/>
  <c r="Q53" i="2" s="1"/>
  <c r="Q54" i="2" s="1"/>
  <c r="Q55" i="2" s="1"/>
  <c r="AD50" i="2"/>
  <c r="X50" i="2"/>
  <c r="R51" i="2"/>
  <c r="R52" i="2" s="1"/>
  <c r="R53" i="2" s="1"/>
  <c r="R54" i="2" s="1"/>
  <c r="R55" i="2" s="1"/>
  <c r="AC49" i="2"/>
  <c r="W49" i="2"/>
  <c r="AB49" i="2"/>
  <c r="V49" i="2"/>
  <c r="AD49" i="2"/>
  <c r="X49" i="2"/>
  <c r="AB48" i="2"/>
  <c r="V48" i="2"/>
  <c r="AD48" i="2"/>
  <c r="X48" i="2"/>
  <c r="AC48" i="2"/>
  <c r="W48" i="2"/>
  <c r="X47" i="2"/>
  <c r="AD47" i="2"/>
  <c r="W47" i="2"/>
  <c r="AC47" i="2"/>
  <c r="V47" i="2"/>
  <c r="AB47" i="2"/>
  <c r="T31" i="2"/>
  <c r="T32" i="2" s="1"/>
  <c r="AF30" i="2"/>
  <c r="Z30" i="2"/>
  <c r="AF29" i="2"/>
  <c r="Z29" i="2"/>
  <c r="Z28" i="2"/>
  <c r="AF28" i="2"/>
  <c r="AE17" i="2"/>
  <c r="Y17" i="2"/>
  <c r="S18" i="2"/>
  <c r="G17" i="2"/>
  <c r="F18" i="2"/>
  <c r="H17" i="2"/>
  <c r="R56" i="2" l="1"/>
  <c r="R57" i="2" s="1"/>
  <c r="R58" i="2" s="1"/>
  <c r="R59" i="2" s="1"/>
  <c r="R60" i="2" s="1"/>
  <c r="R61" i="2" s="1"/>
  <c r="R62" i="2" s="1"/>
  <c r="AD55" i="2"/>
  <c r="X55" i="2"/>
  <c r="Q56" i="2"/>
  <c r="Q57" i="2" s="1"/>
  <c r="Q58" i="2" s="1"/>
  <c r="Q59" i="2" s="1"/>
  <c r="Q60" i="2" s="1"/>
  <c r="Q61" i="2" s="1"/>
  <c r="Q62" i="2" s="1"/>
  <c r="AC55" i="2"/>
  <c r="W55" i="2"/>
  <c r="P56" i="2"/>
  <c r="P57" i="2" s="1"/>
  <c r="P58" i="2" s="1"/>
  <c r="P59" i="2" s="1"/>
  <c r="P60" i="2" s="1"/>
  <c r="P61" i="2" s="1"/>
  <c r="P62" i="2" s="1"/>
  <c r="V55" i="2"/>
  <c r="AB55" i="2"/>
  <c r="AC54" i="2"/>
  <c r="W54" i="2"/>
  <c r="AB54" i="2"/>
  <c r="V54" i="2"/>
  <c r="AD54" i="2"/>
  <c r="X54" i="2"/>
  <c r="W53" i="2"/>
  <c r="AC53" i="2"/>
  <c r="V53" i="2"/>
  <c r="AB53" i="2"/>
  <c r="X53" i="2"/>
  <c r="AD53" i="2"/>
  <c r="AC52" i="2"/>
  <c r="W52" i="2"/>
  <c r="AB52" i="2"/>
  <c r="V52" i="2"/>
  <c r="X52" i="2"/>
  <c r="AD52" i="2"/>
  <c r="X51" i="2"/>
  <c r="AD51" i="2"/>
  <c r="W51" i="2"/>
  <c r="AC51" i="2"/>
  <c r="V51" i="2"/>
  <c r="AB51" i="2"/>
  <c r="T33" i="2"/>
  <c r="T34" i="2" s="1"/>
  <c r="AF32" i="2"/>
  <c r="Z32" i="2"/>
  <c r="Z31" i="2"/>
  <c r="AF31" i="2"/>
  <c r="Y18" i="2"/>
  <c r="S19" i="2"/>
  <c r="AE18" i="2"/>
  <c r="G18" i="2"/>
  <c r="F19" i="2"/>
  <c r="H18" i="2"/>
  <c r="AB62" i="2" l="1"/>
  <c r="P63" i="2"/>
  <c r="P64" i="2" s="1"/>
  <c r="P65" i="2" s="1"/>
  <c r="V62" i="2"/>
  <c r="AC62" i="2"/>
  <c r="W62" i="2"/>
  <c r="Q63" i="2"/>
  <c r="Q64" i="2" s="1"/>
  <c r="Q65" i="2" s="1"/>
  <c r="AD62" i="2"/>
  <c r="X62" i="2"/>
  <c r="R63" i="2"/>
  <c r="R64" i="2" s="1"/>
  <c r="R65" i="2" s="1"/>
  <c r="AB61" i="2"/>
  <c r="V61" i="2"/>
  <c r="AC61" i="2"/>
  <c r="W61" i="2"/>
  <c r="X61" i="2"/>
  <c r="AD61" i="2"/>
  <c r="AB60" i="2"/>
  <c r="V60" i="2"/>
  <c r="AC60" i="2"/>
  <c r="W60" i="2"/>
  <c r="X60" i="2"/>
  <c r="AD60" i="2"/>
  <c r="AD59" i="2"/>
  <c r="X59" i="2"/>
  <c r="AB59" i="2"/>
  <c r="V59" i="2"/>
  <c r="W59" i="2"/>
  <c r="AC59" i="2"/>
  <c r="V58" i="2"/>
  <c r="AB58" i="2"/>
  <c r="AC58" i="2"/>
  <c r="W58" i="2"/>
  <c r="X58" i="2"/>
  <c r="AD58" i="2"/>
  <c r="V57" i="2"/>
  <c r="AB57" i="2"/>
  <c r="X57" i="2"/>
  <c r="AD57" i="2"/>
  <c r="AC57" i="2"/>
  <c r="W57" i="2"/>
  <c r="W56" i="2"/>
  <c r="AC56" i="2"/>
  <c r="V56" i="2"/>
  <c r="AB56" i="2"/>
  <c r="X56" i="2"/>
  <c r="AD56" i="2"/>
  <c r="T35" i="2"/>
  <c r="T36" i="2" s="1"/>
  <c r="T37" i="2" s="1"/>
  <c r="T38" i="2" s="1"/>
  <c r="Z34" i="2"/>
  <c r="AF34" i="2"/>
  <c r="Z33" i="2"/>
  <c r="AF33" i="2"/>
  <c r="AE19" i="2"/>
  <c r="S20" i="2"/>
  <c r="Y19" i="2"/>
  <c r="F20" i="2"/>
  <c r="G19" i="2"/>
  <c r="H19" i="2"/>
  <c r="AC65" i="2" l="1"/>
  <c r="W65" i="2"/>
  <c r="AB65" i="2"/>
  <c r="V65" i="2"/>
  <c r="X65" i="2"/>
  <c r="AD65" i="2"/>
  <c r="AC64" i="2"/>
  <c r="W64" i="2"/>
  <c r="AB64" i="2"/>
  <c r="V64" i="2"/>
  <c r="X64" i="2"/>
  <c r="AD64" i="2"/>
  <c r="W63" i="2"/>
  <c r="AC63" i="2"/>
  <c r="AB63" i="2"/>
  <c r="V63" i="2"/>
  <c r="AD63" i="2"/>
  <c r="L33" i="1" s="1"/>
  <c r="X63" i="2"/>
  <c r="K33" i="1" s="1"/>
  <c r="T39" i="2"/>
  <c r="T40" i="2" s="1"/>
  <c r="T41" i="2" s="1"/>
  <c r="T42" i="2" s="1"/>
  <c r="T43" i="2" s="1"/>
  <c r="T44" i="2" s="1"/>
  <c r="T45" i="2" s="1"/>
  <c r="Z38" i="2"/>
  <c r="AF38" i="2"/>
  <c r="Z37" i="2"/>
  <c r="AF37" i="2"/>
  <c r="AF36" i="2"/>
  <c r="Z36" i="2"/>
  <c r="Z35" i="2"/>
  <c r="AF35" i="2"/>
  <c r="S21" i="2"/>
  <c r="Y20" i="2"/>
  <c r="AE20" i="2"/>
  <c r="F21" i="2"/>
  <c r="F22" i="2" s="1"/>
  <c r="G20" i="2"/>
  <c r="H20" i="2"/>
  <c r="AF45" i="2" l="1"/>
  <c r="Z45" i="2"/>
  <c r="T46" i="2"/>
  <c r="AF44" i="2"/>
  <c r="Z44" i="2"/>
  <c r="Z43" i="2"/>
  <c r="AF43" i="2"/>
  <c r="AF42" i="2"/>
  <c r="Z42" i="2"/>
  <c r="Z41" i="2"/>
  <c r="AF41" i="2"/>
  <c r="AF40" i="2"/>
  <c r="Z40" i="2"/>
  <c r="Z39" i="2"/>
  <c r="AF39" i="2"/>
  <c r="F23" i="2"/>
  <c r="G22" i="2"/>
  <c r="H22" i="2"/>
  <c r="Y21" i="2"/>
  <c r="AE21" i="2"/>
  <c r="S22" i="2"/>
  <c r="G21" i="2"/>
  <c r="H21" i="2"/>
  <c r="Z46" i="2" l="1"/>
  <c r="AF46" i="2"/>
  <c r="T47" i="2"/>
  <c r="T48" i="2" s="1"/>
  <c r="T49" i="2" s="1"/>
  <c r="T50" i="2" s="1"/>
  <c r="F24" i="2"/>
  <c r="G24" i="2" s="1"/>
  <c r="G23" i="2"/>
  <c r="H23" i="2"/>
  <c r="Y22" i="2"/>
  <c r="S23" i="2"/>
  <c r="AE22" i="2"/>
  <c r="Z50" i="2" l="1"/>
  <c r="AF50" i="2"/>
  <c r="T51" i="2"/>
  <c r="T52" i="2" s="1"/>
  <c r="T53" i="2" s="1"/>
  <c r="T54" i="2" s="1"/>
  <c r="T55" i="2" s="1"/>
  <c r="Z49" i="2"/>
  <c r="AF49" i="2"/>
  <c r="AF48" i="2"/>
  <c r="Z48" i="2"/>
  <c r="Z47" i="2"/>
  <c r="AF47" i="2"/>
  <c r="F25" i="2"/>
  <c r="G25" i="2" s="1"/>
  <c r="H24" i="2"/>
  <c r="S24" i="2"/>
  <c r="Y23" i="2"/>
  <c r="AE23" i="2"/>
  <c r="T56" i="2" l="1"/>
  <c r="T57" i="2" s="1"/>
  <c r="T58" i="2" s="1"/>
  <c r="T59" i="2" s="1"/>
  <c r="T60" i="2" s="1"/>
  <c r="T61" i="2" s="1"/>
  <c r="T62" i="2" s="1"/>
  <c r="Z55" i="2"/>
  <c r="AF55" i="2"/>
  <c r="Z54" i="2"/>
  <c r="AF54" i="2"/>
  <c r="AF53" i="2"/>
  <c r="Z53" i="2"/>
  <c r="Z52" i="2"/>
  <c r="AF52" i="2"/>
  <c r="Z51" i="2"/>
  <c r="AF51" i="2"/>
  <c r="F26" i="2"/>
  <c r="H25" i="2"/>
  <c r="S25" i="2"/>
  <c r="AE24" i="2"/>
  <c r="Y24" i="2"/>
  <c r="T63" i="2" l="1"/>
  <c r="T64" i="2" s="1"/>
  <c r="T65" i="2" s="1"/>
  <c r="AF62" i="2"/>
  <c r="Z62" i="2"/>
  <c r="Z61" i="2"/>
  <c r="AF61" i="2"/>
  <c r="Z60" i="2"/>
  <c r="AF60" i="2"/>
  <c r="Z59" i="2"/>
  <c r="AF59" i="2"/>
  <c r="Z58" i="2"/>
  <c r="AF58" i="2"/>
  <c r="Z57" i="2"/>
  <c r="AF57" i="2"/>
  <c r="AF56" i="2"/>
  <c r="Z56" i="2"/>
  <c r="F27" i="2"/>
  <c r="G26" i="2"/>
  <c r="H26" i="2"/>
  <c r="Y25" i="2"/>
  <c r="S26" i="2"/>
  <c r="AE25" i="2"/>
  <c r="AF65" i="2" l="1"/>
  <c r="Z65" i="2"/>
  <c r="Z64" i="2"/>
  <c r="AF64" i="2"/>
  <c r="Z63" i="2"/>
  <c r="K34" i="1" s="1"/>
  <c r="AF63" i="2"/>
  <c r="L34" i="1" s="1"/>
  <c r="F28" i="2"/>
  <c r="G27" i="2"/>
  <c r="H27" i="2"/>
  <c r="S27" i="2"/>
  <c r="S28" i="2" s="1"/>
  <c r="S29" i="2" s="1"/>
  <c r="S30" i="2" s="1"/>
  <c r="Y26" i="2"/>
  <c r="AE26" i="2"/>
  <c r="F29" i="2" l="1"/>
  <c r="G28" i="2"/>
  <c r="H28" i="2"/>
  <c r="S31" i="2"/>
  <c r="S32" i="2" s="1"/>
  <c r="Y30" i="2"/>
  <c r="AE30" i="2"/>
  <c r="AE29" i="2"/>
  <c r="Y29" i="2"/>
  <c r="Y28" i="2"/>
  <c r="AE28" i="2"/>
  <c r="Y27" i="2"/>
  <c r="AE27" i="2"/>
  <c r="F30" i="2" l="1"/>
  <c r="H29" i="2"/>
  <c r="G29" i="2"/>
  <c r="S33" i="2"/>
  <c r="S34" i="2" s="1"/>
  <c r="AE32" i="2"/>
  <c r="Y32" i="2"/>
  <c r="Y31" i="2"/>
  <c r="AE31" i="2"/>
  <c r="F31" i="2" l="1"/>
  <c r="H30" i="2"/>
  <c r="G30" i="2"/>
  <c r="Y34" i="2"/>
  <c r="AE34" i="2"/>
  <c r="S35" i="2"/>
  <c r="S36" i="2" s="1"/>
  <c r="S37" i="2" s="1"/>
  <c r="S38" i="2" s="1"/>
  <c r="Y33" i="2"/>
  <c r="AE33" i="2"/>
  <c r="S39" i="2" l="1"/>
  <c r="S40" i="2" s="1"/>
  <c r="S41" i="2" s="1"/>
  <c r="S42" i="2" s="1"/>
  <c r="S43" i="2" s="1"/>
  <c r="S44" i="2" s="1"/>
  <c r="S45" i="2" s="1"/>
  <c r="Y38" i="2"/>
  <c r="AE38" i="2"/>
  <c r="Y37" i="2"/>
  <c r="AE37" i="2"/>
  <c r="F32" i="2"/>
  <c r="H31" i="2"/>
  <c r="G31" i="2"/>
  <c r="Y36" i="2"/>
  <c r="AE36" i="2"/>
  <c r="Y35" i="2"/>
  <c r="AE35" i="2"/>
  <c r="Y45" i="2" l="1"/>
  <c r="S46" i="2"/>
  <c r="AE45" i="2"/>
  <c r="Y44" i="2"/>
  <c r="AE44" i="2"/>
  <c r="Y43" i="2"/>
  <c r="AE43" i="2"/>
  <c r="AE42" i="2"/>
  <c r="Y42" i="2"/>
  <c r="AE41" i="2"/>
  <c r="Y41" i="2"/>
  <c r="Y40" i="2"/>
  <c r="AE40" i="2"/>
  <c r="Y39" i="2"/>
  <c r="AE39" i="2"/>
  <c r="G32" i="2"/>
  <c r="F33" i="2"/>
  <c r="H32" i="2"/>
  <c r="Y46" i="2" l="1"/>
  <c r="AE46" i="2"/>
  <c r="S47" i="2"/>
  <c r="S48" i="2" s="1"/>
  <c r="S49" i="2" s="1"/>
  <c r="S50" i="2" s="1"/>
  <c r="F34" i="2"/>
  <c r="G33" i="2"/>
  <c r="H33" i="2"/>
  <c r="Y50" i="2" l="1"/>
  <c r="AE50" i="2"/>
  <c r="S51" i="2"/>
  <c r="S52" i="2" s="1"/>
  <c r="S53" i="2" s="1"/>
  <c r="S54" i="2" s="1"/>
  <c r="S55" i="2" s="1"/>
  <c r="Y49" i="2"/>
  <c r="AE49" i="2"/>
  <c r="Y48" i="2"/>
  <c r="AE48" i="2"/>
  <c r="Y47" i="2"/>
  <c r="AE47" i="2"/>
  <c r="G34" i="2"/>
  <c r="F35" i="2"/>
  <c r="H34" i="2"/>
  <c r="S56" i="2" l="1"/>
  <c r="S57" i="2" s="1"/>
  <c r="S58" i="2" s="1"/>
  <c r="S59" i="2" s="1"/>
  <c r="S60" i="2" s="1"/>
  <c r="S61" i="2" s="1"/>
  <c r="S62" i="2" s="1"/>
  <c r="AE55" i="2"/>
  <c r="Y55" i="2"/>
  <c r="Y54" i="2"/>
  <c r="AE54" i="2"/>
  <c r="Y53" i="2"/>
  <c r="AE53" i="2"/>
  <c r="Y52" i="2"/>
  <c r="AE52" i="2"/>
  <c r="Y51" i="2"/>
  <c r="AE51" i="2"/>
  <c r="F36" i="2"/>
  <c r="G35" i="2"/>
  <c r="H35" i="2"/>
  <c r="AE62" i="2" l="1"/>
  <c r="Y62" i="2"/>
  <c r="S63" i="2"/>
  <c r="S64" i="2" s="1"/>
  <c r="S65" i="2" s="1"/>
  <c r="AE61" i="2"/>
  <c r="Y61" i="2"/>
  <c r="AE60" i="2"/>
  <c r="Y60" i="2"/>
  <c r="Y59" i="2"/>
  <c r="AE59" i="2"/>
  <c r="AE58" i="2"/>
  <c r="Y58" i="2"/>
  <c r="Y57" i="2"/>
  <c r="AE57" i="2"/>
  <c r="Y56" i="2"/>
  <c r="AE56" i="2"/>
  <c r="G36" i="2"/>
  <c r="F37" i="2"/>
  <c r="F38" i="2" s="1"/>
  <c r="H36" i="2"/>
  <c r="Y65" i="2" l="1"/>
  <c r="AE65" i="2"/>
  <c r="Y64" i="2"/>
  <c r="AE64" i="2"/>
  <c r="F39" i="2"/>
  <c r="H38" i="2"/>
  <c r="G38" i="2"/>
  <c r="L32" i="1"/>
  <c r="Y63" i="2"/>
  <c r="AE63" i="2"/>
  <c r="K32" i="1"/>
  <c r="G37" i="2"/>
  <c r="H37" i="2"/>
  <c r="F40" i="2" l="1"/>
  <c r="G39" i="2"/>
  <c r="H39" i="2"/>
  <c r="S6" i="1"/>
  <c r="I26" i="1"/>
  <c r="F4" i="1"/>
  <c r="P4" i="1" s="1"/>
  <c r="F41" i="2" l="1"/>
  <c r="H40" i="2"/>
  <c r="G40" i="2"/>
  <c r="P6" i="1"/>
  <c r="F5" i="1"/>
  <c r="P5" i="1" s="1"/>
  <c r="F3" i="1"/>
  <c r="P2" i="1"/>
  <c r="F42" i="2" l="1"/>
  <c r="G41" i="2"/>
  <c r="H41" i="2"/>
  <c r="P3" i="1"/>
  <c r="N21" i="1" a="1"/>
  <c r="N21" i="1" s="1"/>
  <c r="I31" i="1" s="1"/>
  <c r="F20" i="1"/>
  <c r="F21" i="1" s="1"/>
  <c r="K28" i="1"/>
  <c r="K21" i="1"/>
  <c r="G42" i="2" l="1"/>
  <c r="F43" i="2"/>
  <c r="H42" i="2"/>
  <c r="H43" i="2" l="1"/>
  <c r="F44" i="2"/>
  <c r="G43" i="2"/>
  <c r="H44" i="2" l="1"/>
  <c r="F45" i="2"/>
  <c r="G44" i="2"/>
  <c r="F46" i="2" l="1"/>
  <c r="G45" i="2"/>
  <c r="H45" i="2"/>
  <c r="G46" i="2" l="1"/>
  <c r="F47" i="2"/>
  <c r="H46" i="2"/>
  <c r="F48" i="2" l="1"/>
  <c r="G47" i="2"/>
  <c r="H47" i="2"/>
  <c r="G48" i="2" l="1"/>
  <c r="F49" i="2"/>
  <c r="H48" i="2"/>
  <c r="H49" i="2" l="1"/>
  <c r="G49" i="2"/>
  <c r="F50" i="2"/>
  <c r="F51" i="2" l="1"/>
  <c r="G50" i="2"/>
  <c r="H50" i="2"/>
  <c r="G51" i="2" l="1"/>
  <c r="F52" i="2"/>
  <c r="H51" i="2"/>
  <c r="G52" i="2" l="1"/>
  <c r="F53" i="2"/>
  <c r="H52" i="2"/>
  <c r="F54" i="2" l="1"/>
  <c r="G53" i="2"/>
  <c r="H53" i="2"/>
  <c r="F55" i="2" l="1"/>
  <c r="G54" i="2"/>
  <c r="H54" i="2"/>
  <c r="G55" i="2" l="1"/>
  <c r="F56" i="2"/>
  <c r="H55" i="2"/>
  <c r="G56" i="2" l="1"/>
  <c r="F57" i="2"/>
  <c r="H56" i="2"/>
  <c r="G57" i="2" l="1"/>
  <c r="F58" i="2"/>
  <c r="H57" i="2"/>
  <c r="F59" i="2" l="1"/>
  <c r="G58" i="2"/>
  <c r="H58" i="2"/>
  <c r="F60" i="2" l="1"/>
  <c r="G59" i="2"/>
  <c r="H59" i="2"/>
  <c r="G60" i="2" l="1"/>
  <c r="F61" i="2"/>
  <c r="H60" i="2"/>
  <c r="F62" i="2" l="1"/>
  <c r="G61" i="2"/>
  <c r="H61" i="2"/>
  <c r="F63" i="2" l="1"/>
  <c r="G62" i="2"/>
  <c r="H62" i="2"/>
  <c r="H63" i="2" l="1"/>
  <c r="L31" i="1" s="1"/>
  <c r="G63" i="2"/>
  <c r="K31" i="1" s="1"/>
</calcChain>
</file>

<file path=xl/sharedStrings.xml><?xml version="1.0" encoding="utf-8"?>
<sst xmlns="http://schemas.openxmlformats.org/spreadsheetml/2006/main" count="114" uniqueCount="85">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</sst>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194ca04fd7fa411b89ccdcaf03001557">
      <tp>
        <v>-7.5490689481631599E-3</v>
        <stp/>
        <stp>RWX</stp>
        <stp>change in percent</stp>
        <tr r="L6" s="1"/>
      </tp>
    </main>
    <main first="rtdsrv.194ca04fd7fa411b89ccdcaf03001557">
      <tp>
        <v>-8.9390142021721804E-3</v>
        <stp/>
        <stp>TLT</stp>
        <stp>change in percent</stp>
        <tr r="L5" s="1"/>
      </tp>
    </main>
    <main first="rtdsrv.194ca04fd7fa411b89ccdcaf03001557">
      <tp>
        <v>-7.5490830636461273E-3</v>
        <stp/>
        <stp>IEV</stp>
        <stp>change in percent</stp>
        <tr r="L9" s="1"/>
      </tp>
      <tp>
        <v>-1.0590228748939392E-3</v>
        <stp/>
        <stp>IVV</stp>
        <stp>change in percent</stp>
        <tr r="K24" s="1"/>
        <tr r="L3" s="1"/>
      </tp>
    </main>
    <main first="rtdsrv.194ca04fd7fa411b89ccdcaf03001557">
      <tp>
        <v>-3.8153846153846397E-3</v>
        <stp/>
        <stp>IYR</stp>
        <stp>change in percent</stp>
        <tr r="L4" s="1"/>
      </tp>
    </main>
    <main first="rtdsrv.194ca04fd7fa411b89ccdcaf03001557">
      <tp>
        <v>-9.6968345965225584E-3</v>
        <stp/>
        <stp>EEM</stp>
        <stp>change in percent</stp>
        <tr r="L10" s="1"/>
      </tp>
    </main>
    <main first="rtdsrv.194ca04fd7fa411b89ccdcaf03001557">
      <tp>
        <v>5.1084913719459928E-3</v>
        <stp/>
        <stp>EWJ</stp>
        <stp>change in percent</stp>
        <tr r="L7" s="1"/>
      </tp>
    </main>
    <main first="rtdsrv.194ca04fd7fa411b89ccdcaf03001557">
      <tp>
        <v>-4.7417880851797316E-3</v>
        <stp/>
        <stp>GLD</stp>
        <stp>change in percent</stp>
        <tr r="L8" s="1"/>
      </tp>
    </main>
    <main first="rtdsrv.194ca04fd7fa411b89ccdcaf03001557">
      <tp>
        <v>-9.4517958412092913E-4</v>
        <stp/>
        <stp>AGG</stp>
        <stp>change in percent</stp>
        <tr r="K23" s="1"/>
      </tp>
    </main>
    <main first="rtdsrv.194ca04fd7fa411b89ccdcaf03001557">
      <tp>
        <v>-4.5195519748477894E-3</v>
        <stp/>
        <stp>IEF</stp>
        <stp>change in percent</stp>
        <tr r="L11" s="1"/>
      </tp>
    </main>
    <main first="rtdsrv.194ca04fd7fa411b89ccdcaf03001557">
      <tp>
        <v>-1.4492753623188406E-2</v>
        <stp/>
        <stp>DBC</stp>
        <stp>change in percent</stp>
        <tr r="L2" s="1"/>
      </tp>
    </main>
    <main first="rtdsrv.194ca04fd7fa411b89ccdcaf03001557">
      <tp>
        <v>17.25</v>
        <stp/>
        <stp>DBC</stp>
        <stp>close</stp>
        <tr r="G2" s="1"/>
      </tp>
    </main>
    <main first="rtdsrv.194ca04fd7fa411b89ccdcaf03001557">
      <tp>
        <v>283.27999999999997</v>
        <stp/>
        <stp>IVV</stp>
        <stp>close</stp>
        <tr r="G3" s="1"/>
      </tp>
      <tp>
        <v>119.7</v>
        <stp/>
        <stp>TLT</stp>
        <stp>close</stp>
        <tr r="G5" s="1"/>
      </tp>
      <tp>
        <v>81.25</v>
        <stp/>
        <stp>IYR</stp>
        <stp>close</stp>
        <tr r="G4" s="1"/>
      </tp>
    </main>
    <main first="rtdsrv.194ca04fd7fa411b89ccdcaf03001557">
      <tp t="s">
        <v>--</v>
        <stp/>
        <stp>TLT</stp>
        <stp>dividend yield</stp>
        <tr r="M5" s="1"/>
      </tp>
      <tp>
        <v>3.64</v>
        <stp/>
        <stp>RWX</stp>
        <stp>dividend yield</stp>
        <tr r="M6" s="1"/>
      </tp>
      <tp>
        <v>0.49</v>
        <stp/>
        <stp>IYR</stp>
        <stp>dividend yield</stp>
        <tr r="M4" s="1"/>
      </tp>
      <tp>
        <v>1.81</v>
        <stp/>
        <stp>IVV</stp>
        <stp>dividend yield</stp>
        <tr r="M3" s="1"/>
      </tp>
      <tp>
        <v>4.59</v>
        <stp/>
        <stp>IEV</stp>
        <stp>dividend yield</stp>
        <tr r="M9" s="1"/>
      </tp>
      <tp t="s">
        <v>--</v>
        <stp/>
        <stp>IEF</stp>
        <stp>dividend yield</stp>
        <tr r="M11" s="1"/>
      </tp>
      <tp t="s">
        <v>--</v>
        <stp/>
        <stp>DBC</stp>
        <stp>dividend yield</stp>
        <tr r="M2" s="1"/>
      </tp>
      <tp>
        <v>1.56</v>
        <stp/>
        <stp>EWJ</stp>
        <stp>dividend yield</stp>
        <tr r="M7" s="1"/>
      </tp>
      <tp>
        <v>1.3</v>
        <stp/>
        <stp>EEM</stp>
        <stp>dividend yield</stp>
        <tr r="M10" s="1"/>
      </tp>
    </main>
    <main first="rtdsrv.194ca04fd7fa411b89ccdcaf03001557">
      <tp>
        <v>-8.6797752808989888E-3</v>
        <stp/>
        <stp>GYLD</stp>
        <stp>change in percent</stp>
        <tr r="K26" s="1"/>
      </tp>
    </main>
    <main first="rtdsrv.194ca04fd7fa411b89ccdcaf03001557">
      <tp>
        <v>-2.3192360163711051E-3</v>
        <stp/>
        <stp>ACWI</stp>
        <stp>change in percent</stp>
        <tr r="K22" s="1"/>
      </tp>
    </main>
    <main first="rtdsrv.194ca04fd7fa411b89ccdcaf03001557">
      <tp>
        <v>118.63</v>
        <stp/>
        <stp>TLT</stp>
        <stp>last</stp>
        <tr r="J5" s="1"/>
      </tp>
      <tp>
        <v>115.44</v>
        <stp/>
        <stp>GLD</stp>
        <stp>last</stp>
        <tr r="J8" s="1"/>
      </tp>
    </main>
    <main first="rtdsrv.194ca04fd7fa411b89ccdcaf03001557">
      <tp t="s">
        <v>7-10 Year Treas Bond Ishares ETF</v>
        <stp/>
        <stp>IEF</stp>
        <stp>description</stp>
        <tr r="B11" s="1"/>
      </tp>
      <tp t="s">
        <v>ISHARES TR-EUROPE ETF</v>
        <stp/>
        <stp>IEV</stp>
        <stp>description</stp>
        <tr r="B9" s="1"/>
      </tp>
      <tp t="s">
        <v>ISHARES TR-U.S. REAL ES ETF</v>
        <stp/>
        <stp>IYR</stp>
        <stp>description</stp>
        <tr r="B4" s="1"/>
      </tp>
      <tp t="s">
        <v>ISHARES TR-CORE S&amp;P500 ETF</v>
        <stp/>
        <stp>IVV</stp>
        <stp>description</stp>
        <tr r="B3" s="1"/>
      </tp>
    </main>
    <main first="rtdsrv.194ca04fd7fa411b89ccdcaf03001557">
      <tp t="s">
        <v>ARROW ETF TR-ARROW DJ GLB YLD</v>
        <stp/>
        <stp>GYLD</stp>
        <stp>description</stp>
        <tr r="L26" s="1"/>
      </tp>
    </main>
    <main first="rtdsrv.194ca04fd7fa411b89ccdcaf03001557">
      <tp t="s">
        <v>ISHARES TR-MSCI EMG MKT ETF</v>
        <stp/>
        <stp>EEM</stp>
        <stp>description</stp>
        <tr r="B10" s="1"/>
      </tp>
      <tp t="s">
        <v>ISHARES INC-MSCI JPN ETF NEW</v>
        <stp/>
        <stp>EWJ</stp>
        <stp>description</stp>
        <tr r="B7" s="1"/>
      </tp>
    </main>
    <main first="rtdsrv.194ca04fd7fa411b89ccdcaf03001557">
      <tp t="s">
        <v>INVESCO DB COMMDY INDX TRCK-UNIT</v>
        <stp/>
        <stp>DBC</stp>
        <stp>description</stp>
        <tr r="B2" s="1"/>
      </tp>
      <tp>
        <v>46.000100000000003</v>
        <stp/>
        <stp>IEV</stp>
        <stp>last</stp>
        <tr r="J9" s="1"/>
      </tp>
    </main>
    <main first="rtdsrv.194ca04fd7fa411b89ccdcaf03001557">
      <tp>
        <v>44.424999999999997</v>
        <stp/>
        <stp>EEM</stp>
        <stp>last</stp>
        <tr r="J10" s="1"/>
      </tp>
      <tp>
        <v>101.32</v>
        <stp/>
        <stp>IEF</stp>
        <stp>last</stp>
        <tr r="J11" s="1"/>
      </tp>
    </main>
    <main first="rtdsrv.194ca04fd7fa411b89ccdcaf03001557">
      <tp t="s">
        <v>SPDR GOLD TRUST-GOLD SHS</v>
        <stp/>
        <stp>GLD</stp>
        <stp>description</stp>
        <tr r="B8" s="1"/>
      </tp>
    </main>
    <main first="rtdsrv.194ca04fd7fa411b89ccdcaf03001557">
      <tp>
        <v>17</v>
        <stp/>
        <stp>DBC</stp>
        <stp>last</stp>
        <tr r="J2" s="1"/>
      </tp>
    </main>
    <main first="rtdsrv.194ca04fd7fa411b89ccdcaf03001557">
      <tp>
        <v>80.94</v>
        <stp/>
        <stp>IYR</stp>
        <stp>last</stp>
        <tr r="J4" s="1"/>
      </tp>
    </main>
    <main first="rtdsrv.194ca04fd7fa411b89ccdcaf03001557">
      <tp>
        <v>39.44</v>
        <stp/>
        <stp>RWX</stp>
        <stp>last</stp>
        <tr r="J6" s="1"/>
      </tp>
      <tp>
        <v>58.829000000000001</v>
        <stp/>
        <stp>EWJ</stp>
        <stp>last</stp>
        <tr r="J7" s="1"/>
      </tp>
    </main>
    <main first="rtdsrv.194ca04fd7fa411b89ccdcaf03001557">
      <tp>
        <v>282.98</v>
        <stp/>
        <stp>IVV</stp>
        <stp>last</stp>
        <tr r="J3" s="1"/>
      </tp>
      <tp t="s">
        <v>20+ Year Treas Bond Ishares ETF</v>
        <stp/>
        <stp>TLT</stp>
        <stp>description</stp>
        <tr r="B5" s="1"/>
      </tp>
    </main>
    <main first="rtdsrv.194ca04fd7fa411b89ccdcaf03001557">
      <tp t="s">
        <v>SPDR INDEX SHS FDS-DJ INTL RL ETF</v>
        <stp/>
        <stp>RWX</stp>
        <stp>description</stp>
        <tr r="B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6"/>
  <sheetViews>
    <sheetView tabSelected="1" topLeftCell="B1" zoomScale="90" zoomScaleNormal="90" workbookViewId="0">
      <selection activeCell="U13" sqref="U13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0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</row>
    <row r="2" spans="1:20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-3.2356918824730352E-2</v>
      </c>
      <c r="F2" s="5">
        <f>I2/$I$21</f>
        <v>0.15238301742466678</v>
      </c>
      <c r="G2" s="4">
        <f>_xll.RealtimeData(A2,"Close")</f>
        <v>17.25</v>
      </c>
      <c r="H2" s="4">
        <v>176</v>
      </c>
      <c r="I2" s="4">
        <f>H2*G2</f>
        <v>3036</v>
      </c>
      <c r="J2" s="4">
        <f>_xll.RealtimeData(A2,"Last")</f>
        <v>17</v>
      </c>
      <c r="K2" s="5">
        <f>J2/D2-1</f>
        <v>-4.6380731595386471E-2</v>
      </c>
      <c r="L2" s="8">
        <f>_xll.RealtimeData(A2,"Change in Percent")</f>
        <v>-1.4492753623188406E-2</v>
      </c>
      <c r="M2" s="29" t="str">
        <f>_xll.RealtimeData(A2,"Dividend Yield")</f>
        <v>--</v>
      </c>
      <c r="N2" s="4" t="str">
        <f t="shared" ref="N2:N11" si="0">A2</f>
        <v>DBC</v>
      </c>
      <c r="O2" s="5">
        <v>0.189</v>
      </c>
      <c r="P2" s="60">
        <f t="shared" ref="P2:P11" si="1">O2-F2</f>
        <v>3.6616982575333218E-2</v>
      </c>
      <c r="Q2" s="31">
        <f>O2*Daily!$D$66</f>
        <v>3765.5414999999998</v>
      </c>
      <c r="R2">
        <f t="shared" ref="R2:R11" si="2">ROUND(Q2/J2,0)</f>
        <v>222</v>
      </c>
      <c r="S2">
        <f t="shared" ref="S2:S11" si="3">R2-H2</f>
        <v>46</v>
      </c>
      <c r="T2" t="str">
        <f t="shared" ref="T2:T11" si="4">A2</f>
        <v>DBC</v>
      </c>
    </row>
    <row r="3" spans="1:20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6.3525047914566368E-2</v>
      </c>
      <c r="F3" s="5">
        <f>I3/$I$21</f>
        <v>0.41233358830886968</v>
      </c>
      <c r="G3" s="4">
        <f>_xll.RealtimeData(A3,"Close")</f>
        <v>283.27999999999997</v>
      </c>
      <c r="H3" s="4">
        <v>29</v>
      </c>
      <c r="I3" s="4">
        <f>H3*G3</f>
        <v>8215.119999999999</v>
      </c>
      <c r="J3" s="4">
        <f>_xll.RealtimeData(A3,"Last")</f>
        <v>282.98</v>
      </c>
      <c r="K3" s="5">
        <f>J3/D3-1</f>
        <v>6.239875056080213E-2</v>
      </c>
      <c r="L3" s="8">
        <f>_xll.RealtimeData(A3,"Change in Percent")</f>
        <v>-1.0590228748939392E-3</v>
      </c>
      <c r="M3" s="29">
        <f>_xll.RealtimeData(A3,"Dividend Yield")</f>
        <v>1.81</v>
      </c>
      <c r="N3" s="4" t="str">
        <f t="shared" si="0"/>
        <v>IVV</v>
      </c>
      <c r="O3" s="5">
        <v>0.33600000000000002</v>
      </c>
      <c r="P3" s="60">
        <f t="shared" si="1"/>
        <v>-7.633358830886966E-2</v>
      </c>
      <c r="Q3" s="31">
        <f>O3*Daily!$D$66</f>
        <v>6694.2960000000003</v>
      </c>
      <c r="R3">
        <f t="shared" si="2"/>
        <v>24</v>
      </c>
      <c r="S3">
        <f t="shared" si="3"/>
        <v>-5</v>
      </c>
      <c r="T3" t="str">
        <f t="shared" si="4"/>
        <v>IVV</v>
      </c>
    </row>
    <row r="4" spans="1:20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3.5955629223511254E-2</v>
      </c>
      <c r="F4" s="5">
        <f>I4/$I$21</f>
        <v>0.22021755235531143</v>
      </c>
      <c r="G4" s="4">
        <f>_xll.RealtimeData(A4,"Close")</f>
        <v>81.25</v>
      </c>
      <c r="H4" s="4">
        <v>54</v>
      </c>
      <c r="I4" s="4">
        <f>H4*G4</f>
        <v>4387.5</v>
      </c>
      <c r="J4" s="4">
        <f>_xll.RealtimeData(A4,"Last")</f>
        <v>80.94</v>
      </c>
      <c r="K4" s="5">
        <f>J4/D4-1</f>
        <v>3.2003060053550803E-2</v>
      </c>
      <c r="L4" s="8">
        <f t="array" ref="L4">_xll.RealtimeData(A4,"Change in Percent")</f>
        <v>-3.8153846153846397E-3</v>
      </c>
      <c r="M4" s="29">
        <f>_xll.RealtimeData(A4,"Dividend Yield")</f>
        <v>0.49</v>
      </c>
      <c r="N4" s="4" t="str">
        <f t="shared" si="0"/>
        <v>IYR</v>
      </c>
      <c r="O4" s="5">
        <v>0.314</v>
      </c>
      <c r="P4" s="60">
        <f t="shared" si="1"/>
        <v>9.3782447644688571E-2</v>
      </c>
      <c r="Q4" s="31">
        <f>O4*Daily!$D$66</f>
        <v>6255.9790000000003</v>
      </c>
      <c r="R4">
        <f t="shared" si="2"/>
        <v>77</v>
      </c>
      <c r="S4">
        <f t="shared" si="3"/>
        <v>23</v>
      </c>
      <c r="T4" t="str">
        <f t="shared" si="4"/>
        <v>IYR</v>
      </c>
    </row>
    <row r="5" spans="1:20" x14ac:dyDescent="0.25">
      <c r="A5" t="s">
        <v>21</v>
      </c>
      <c r="B5" t="str">
        <f>_xll.RealtimeData(A5,"Description")</f>
        <v>20+ Year Treas Bond Ishares ETF</v>
      </c>
      <c r="C5" s="3">
        <v>43286</v>
      </c>
      <c r="D5" s="31">
        <v>122.2938</v>
      </c>
      <c r="E5" s="5">
        <f>G5/D5-1</f>
        <v>-2.1209578899339165E-2</v>
      </c>
      <c r="F5" s="5">
        <f>I5/$I$21</f>
        <v>0.21027952947978967</v>
      </c>
      <c r="G5" s="4">
        <f>_xll.RealtimeData(A5,"Close")</f>
        <v>119.7</v>
      </c>
      <c r="H5" s="4">
        <v>35</v>
      </c>
      <c r="I5" s="4">
        <f>H5*G5</f>
        <v>4189.5</v>
      </c>
      <c r="J5" s="31">
        <f>_xll.RealtimeData(A5,"Last")</f>
        <v>118.63</v>
      </c>
      <c r="K5" s="5">
        <f>J5/D5-1</f>
        <v>-2.9959000374508049E-2</v>
      </c>
      <c r="L5" s="8">
        <f t="array" ref="L5">_xll.RealtimeData(A5,"Change in Percent")</f>
        <v>-8.9390142021721804E-3</v>
      </c>
      <c r="M5" s="29" t="str">
        <f>_xll.RealtimeData(A5,"Dividend Yield")</f>
        <v>--</v>
      </c>
      <c r="N5" s="4" t="str">
        <f t="shared" si="0"/>
        <v>TLT</v>
      </c>
      <c r="O5" s="5">
        <v>0</v>
      </c>
      <c r="P5" s="60">
        <f t="shared" si="1"/>
        <v>-0.21027952947978967</v>
      </c>
      <c r="Q5" s="31">
        <f>O5*Daily!$D$66</f>
        <v>0</v>
      </c>
      <c r="R5">
        <f t="shared" si="2"/>
        <v>0</v>
      </c>
      <c r="S5">
        <f t="shared" si="3"/>
        <v>-35</v>
      </c>
      <c r="T5" t="str">
        <f t="shared" si="4"/>
        <v>TLT</v>
      </c>
    </row>
    <row r="6" spans="1:20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39.44</v>
      </c>
      <c r="K6" s="5"/>
      <c r="L6" s="8">
        <f>_xll.RealtimeData(A6,"Change in Percent")</f>
        <v>-7.5490689481631599E-3</v>
      </c>
      <c r="M6" s="29">
        <f>_xll.RealtimeData(A6,"Dividend Yield")</f>
        <v>3.64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O6*Daily!$D$66</f>
        <v>0</v>
      </c>
      <c r="R6">
        <f t="shared" si="2"/>
        <v>0</v>
      </c>
      <c r="S6">
        <f t="shared" si="3"/>
        <v>0</v>
      </c>
      <c r="T6" t="str">
        <f t="shared" si="4"/>
        <v>RWX</v>
      </c>
    </row>
    <row r="7" spans="1:20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58.829000000000001</v>
      </c>
      <c r="K7" s="5"/>
      <c r="L7" s="8">
        <f>_xll.RealtimeData(A7,"Change in Percent")</f>
        <v>5.1084913719459928E-3</v>
      </c>
      <c r="M7" s="29">
        <f>_xll.RealtimeData(A7,"Dividend Yield")</f>
        <v>1.56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O7*Daily!$D$66</f>
        <v>0</v>
      </c>
      <c r="R7">
        <f t="shared" si="2"/>
        <v>0</v>
      </c>
      <c r="S7">
        <f t="shared" si="3"/>
        <v>0</v>
      </c>
      <c r="T7" t="str">
        <f t="shared" si="4"/>
        <v>EWJ</v>
      </c>
    </row>
    <row r="8" spans="1:20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115.44</v>
      </c>
      <c r="K8" s="5"/>
      <c r="L8" s="8">
        <f>_xll.RealtimeData(A8,"Change in Percent")</f>
        <v>-4.7417880851797316E-3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O8*Daily!$D$66</f>
        <v>0</v>
      </c>
      <c r="R8">
        <f t="shared" si="2"/>
        <v>0</v>
      </c>
      <c r="S8">
        <f t="shared" si="3"/>
        <v>0</v>
      </c>
      <c r="T8" t="str">
        <f t="shared" si="4"/>
        <v>GLD</v>
      </c>
    </row>
    <row r="9" spans="1:20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46.000100000000003</v>
      </c>
      <c r="K9" s="5"/>
      <c r="L9" s="8">
        <f>_xll.RealtimeData(A9,"Change in Percent")</f>
        <v>-7.5490830636461273E-3</v>
      </c>
      <c r="M9" s="29">
        <f>_xll.RealtimeData(A9,"Dividend Yield")</f>
        <v>4.59</v>
      </c>
      <c r="N9" s="4" t="str">
        <f t="shared" si="0"/>
        <v>IEV</v>
      </c>
      <c r="O9" s="5">
        <v>0.161</v>
      </c>
      <c r="P9" s="60">
        <f t="shared" si="1"/>
        <v>0.161</v>
      </c>
      <c r="Q9" s="31">
        <f>O9*Daily!$D$66</f>
        <v>3207.6835000000001</v>
      </c>
      <c r="R9">
        <f t="shared" si="2"/>
        <v>70</v>
      </c>
      <c r="S9">
        <f t="shared" si="3"/>
        <v>70</v>
      </c>
      <c r="T9" t="str">
        <f t="shared" si="4"/>
        <v>IEV</v>
      </c>
    </row>
    <row r="10" spans="1:20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44.424999999999997</v>
      </c>
      <c r="K10" s="5"/>
      <c r="L10" s="8">
        <f t="array" ref="L10">_xll.RealtimeData(A10,"Change in Percent")</f>
        <v>-9.6968345965225584E-3</v>
      </c>
      <c r="M10" s="29">
        <f>_xll.RealtimeData(A10,"Dividend Yield")</f>
        <v>1.3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O10*Daily!$D$66</f>
        <v>0</v>
      </c>
      <c r="R10">
        <f t="shared" si="2"/>
        <v>0</v>
      </c>
      <c r="S10">
        <f t="shared" si="3"/>
        <v>0</v>
      </c>
      <c r="T10" t="str">
        <f t="shared" si="4"/>
        <v>EEM</v>
      </c>
    </row>
    <row r="11" spans="1:20" x14ac:dyDescent="0.25">
      <c r="A11" t="s">
        <v>20</v>
      </c>
      <c r="B11" t="str">
        <f>_xll.RealtimeData(A11,"Description")</f>
        <v>7-10 Year Treas Bond Ishares ETF</v>
      </c>
      <c r="G11" s="4"/>
      <c r="J11" s="31">
        <f>_xll.RealtimeData(A11,"Last")</f>
        <v>101.32</v>
      </c>
      <c r="K11" s="5"/>
      <c r="L11" s="8">
        <f t="array" ref="L11">_xll.RealtimeData(A11,"Change in Percent")</f>
        <v>-4.5195519748477894E-3</v>
      </c>
      <c r="M11" s="29" t="str">
        <f>_xll.RealtimeData(A11,"Dividend Yield")</f>
        <v>--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O11*Daily!$D$66</f>
        <v>0</v>
      </c>
      <c r="R11">
        <f t="shared" si="2"/>
        <v>0</v>
      </c>
      <c r="S11">
        <f t="shared" si="3"/>
        <v>0</v>
      </c>
      <c r="T11" t="str">
        <f t="shared" si="4"/>
        <v>IEF</v>
      </c>
    </row>
    <row r="12" spans="1:20" x14ac:dyDescent="0.25">
      <c r="J12" s="31" t="str">
        <f>_xll.RealtimeData(A12,"Last")</f>
        <v>--</v>
      </c>
      <c r="M12" s="8"/>
    </row>
    <row r="13" spans="1:20" x14ac:dyDescent="0.25">
      <c r="J13" s="31" t="str">
        <f>_xll.RealtimeData(A13,"Last")</f>
        <v>--</v>
      </c>
      <c r="M13" s="8"/>
    </row>
    <row r="19" spans="5:15" s="1" customFormat="1" x14ac:dyDescent="0.25"/>
    <row r="20" spans="5:15" x14ac:dyDescent="0.25">
      <c r="E20" t="s">
        <v>70</v>
      </c>
      <c r="F20" s="11">
        <f>SUM(F2:F5)</f>
        <v>0.99521368756863748</v>
      </c>
      <c r="H20" s="2" t="s">
        <v>14</v>
      </c>
      <c r="I20" s="6">
        <v>95.36</v>
      </c>
      <c r="O20" s="11">
        <f>SUM(O2:O11)</f>
        <v>1</v>
      </c>
    </row>
    <row r="21" spans="5:15" x14ac:dyDescent="0.25">
      <c r="E21" t="s">
        <v>71</v>
      </c>
      <c r="F21" s="11">
        <f>1-F20</f>
        <v>4.7863124313625161E-3</v>
      </c>
      <c r="H21" s="2" t="s">
        <v>16</v>
      </c>
      <c r="I21" s="6">
        <f>SUM(I2:I20)</f>
        <v>19923.48</v>
      </c>
      <c r="J21" t="s">
        <v>33</v>
      </c>
      <c r="K21" s="8">
        <f>SUMPRODUCT(K2:K7,F2:F7)</f>
        <v>1.9409335944293671E-2</v>
      </c>
      <c r="M21" t="s">
        <v>34</v>
      </c>
      <c r="N21" s="8">
        <f t="array" ref="N21">MMULT(TRANSPOSE(F2:F5),L2:L5)</f>
        <v>-5.3650265917399549E-3</v>
      </c>
    </row>
    <row r="22" spans="5:15" x14ac:dyDescent="0.25">
      <c r="H22" t="s">
        <v>17</v>
      </c>
      <c r="I22">
        <v>20000</v>
      </c>
      <c r="J22" t="s">
        <v>24</v>
      </c>
      <c r="K22" s="8">
        <f>_xll.RealtimeData(J22,"Change in Percent")</f>
        <v>-2.3192360163711051E-3</v>
      </c>
      <c r="L22" s="12">
        <v>0.6</v>
      </c>
    </row>
    <row r="23" spans="5:15" x14ac:dyDescent="0.25">
      <c r="J23" t="s">
        <v>23</v>
      </c>
      <c r="K23" s="8">
        <f>_xll.RealtimeData(J23,"Change in Percent")</f>
        <v>-9.4517958412092913E-4</v>
      </c>
      <c r="L23" s="12">
        <v>0.4</v>
      </c>
    </row>
    <row r="24" spans="5:15" x14ac:dyDescent="0.25">
      <c r="J24" t="s">
        <v>9</v>
      </c>
      <c r="K24" s="8">
        <f>_xll.RealtimeData(J24,"Change in Percent")</f>
        <v>-1.0590228748939392E-3</v>
      </c>
    </row>
    <row r="25" spans="5:15" x14ac:dyDescent="0.25">
      <c r="J25" t="s">
        <v>57</v>
      </c>
      <c r="K25" s="8">
        <f t="array" ref="K25">SUMPRODUCT(K22:K23,L22:L23)</f>
        <v>-1.7696134434710348E-3</v>
      </c>
    </row>
    <row r="26" spans="5:15" x14ac:dyDescent="0.25">
      <c r="H26" t="s">
        <v>25</v>
      </c>
      <c r="I26" s="6">
        <f>SUM(I2:I18)</f>
        <v>19828.12</v>
      </c>
      <c r="J26" t="s">
        <v>56</v>
      </c>
      <c r="K26" s="8">
        <f>_xll.RealtimeData(J26,"Change in Percent")</f>
        <v>-8.6797752808989888E-3</v>
      </c>
      <c r="L26" t="str">
        <f>_xll.RealtimeData(J26,"Description")</f>
        <v>ARROW ETF TR-ARROW DJ GLB YLD</v>
      </c>
    </row>
    <row r="27" spans="5:15" x14ac:dyDescent="0.25">
      <c r="J27" t="s">
        <v>62</v>
      </c>
      <c r="K27" s="8">
        <f>AVERAGE(L2:L11)</f>
        <v>-5.7254010612052533E-3</v>
      </c>
    </row>
    <row r="28" spans="5:15" x14ac:dyDescent="0.25">
      <c r="J28" t="s">
        <v>64</v>
      </c>
      <c r="K28" s="8">
        <f>SUMPRODUCT(F2:F7,M2:M7)*0.01</f>
        <v>8.5423039549315672E-3</v>
      </c>
      <c r="L28" t="s">
        <v>65</v>
      </c>
      <c r="M28" s="8">
        <f>AVERAGE(M2:M11)*0.01</f>
        <v>1.9128571428571432E-2</v>
      </c>
    </row>
    <row r="29" spans="5:15" ht="15.75" thickBot="1" x14ac:dyDescent="0.3"/>
    <row r="30" spans="5:15" ht="15.75" thickBot="1" x14ac:dyDescent="0.3">
      <c r="H30" s="30">
        <v>43312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5" x14ac:dyDescent="0.25">
      <c r="H31" s="18" t="s">
        <v>58</v>
      </c>
      <c r="I31" s="21">
        <f>$N$21</f>
        <v>-5.3650265917399549E-3</v>
      </c>
      <c r="J31" s="21">
        <f>LOOKUP(2,1/(Daily!E:E&lt;&gt;""),Daily!E:E)</f>
        <v>6.2078989605356405E-3</v>
      </c>
      <c r="K31" s="22">
        <f>VLOOKUP($H$30,Daily!$A:$AF,7,0)</f>
        <v>3.7857032016752612E-3</v>
      </c>
      <c r="L31" s="23">
        <f>VLOOKUP($H$30,Daily!$A:$AF,8,0)</f>
        <v>-3.8250000000001894E-3</v>
      </c>
    </row>
    <row r="32" spans="5:15" x14ac:dyDescent="0.25">
      <c r="H32" s="19" t="s">
        <v>59</v>
      </c>
      <c r="I32" s="24">
        <f>$K$25</f>
        <v>-1.7696134434710348E-3</v>
      </c>
      <c r="J32" s="24">
        <f>LOOKUP(2,1/(Daily!M:M&lt;&gt;""),Daily!M:M)</f>
        <v>1.8990130025341224E-3</v>
      </c>
      <c r="K32" s="14">
        <f>VLOOKUP($H$30,Daily!$A:$AF,25,0)</f>
        <v>1.8243913577117965E-2</v>
      </c>
      <c r="L32" s="25">
        <f>VLOOKUP($H$30,Daily!$A:$AF,31,0)</f>
        <v>1.2398039169946085E-2</v>
      </c>
    </row>
    <row r="33" spans="8:18" x14ac:dyDescent="0.25">
      <c r="H33" s="19" t="s">
        <v>60</v>
      </c>
      <c r="I33" s="24">
        <f>$K$24</f>
        <v>-1.0590228748939392E-3</v>
      </c>
      <c r="J33" s="24">
        <f>LOOKUP(2,1/(Daily!L:L&lt;&gt;""),Daily!L:L)</f>
        <v>5.3589807289633473E-3</v>
      </c>
      <c r="K33" s="14">
        <f>VLOOKUP($H$30,Daily!$A:$AF,24,0)</f>
        <v>3.7465665629005329E-2</v>
      </c>
      <c r="L33" s="25">
        <f>VLOOKUP($H$30,Daily!$A:$AF,30,0)</f>
        <v>6.3818810365247947E-2</v>
      </c>
    </row>
    <row r="34" spans="8:18" ht="15.75" thickBot="1" x14ac:dyDescent="0.3">
      <c r="H34" s="20" t="s">
        <v>56</v>
      </c>
      <c r="I34" s="26">
        <f>$K$26</f>
        <v>-8.6797752808989888E-3</v>
      </c>
      <c r="J34" s="26">
        <f>LOOKUP(2,1/(Daily!N:N&lt;&gt;""),Daily!N:N)</f>
        <v>9.9863822060828333E-3</v>
      </c>
      <c r="K34" s="27">
        <f>VLOOKUP($H$30,Daily!$A:$AF,26,0)</f>
        <v>2.2988505747126853E-2</v>
      </c>
      <c r="L34" s="28">
        <f>VLOOKUP($H$30,Daily!$A:$AF,32,0)</f>
        <v>3.2317182280555024E-2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-4.6872319399454687E-5</v>
      </c>
      <c r="J37" s="44"/>
      <c r="K37" s="22"/>
      <c r="L37" s="39"/>
      <c r="M37" s="50"/>
      <c r="N37" s="38">
        <f>AVERAGE(Daily!J$3:J380)</f>
        <v>3.0150403310139344E-4</v>
      </c>
      <c r="O37" s="22">
        <f>AVERAGE(Daily!K$3:K380)</f>
        <v>4.5822163370923881E-5</v>
      </c>
      <c r="P37" s="22">
        <f>AVERAGE(Daily!L$3:L380)</f>
        <v>9.8504127565031039E-4</v>
      </c>
      <c r="Q37" s="22">
        <f>AVERAGE(Daily!M$3:M380)</f>
        <v>1.9923128520920558E-4</v>
      </c>
      <c r="R37" s="23">
        <f>AVERAGE(Daily!N$3:N380)</f>
        <v>5.3153540554503394E-4</v>
      </c>
    </row>
    <row r="38" spans="8:18" x14ac:dyDescent="0.25">
      <c r="H38" s="56" t="s">
        <v>73</v>
      </c>
      <c r="I38" s="47">
        <f>STDEV(Daily!E$3:E380)</f>
        <v>5.1385923318745608E-3</v>
      </c>
      <c r="J38" s="45"/>
      <c r="K38" s="14"/>
      <c r="L38" s="32"/>
      <c r="M38" s="51"/>
      <c r="N38" s="40">
        <f>STDEV(Daily!J$3:J380)</f>
        <v>6.3131389887279487E-3</v>
      </c>
      <c r="O38" s="14">
        <f>STDEV(Daily!K$3:K380)</f>
        <v>1.7731150536771641E-3</v>
      </c>
      <c r="P38" s="14">
        <f>STDEV(Daily!L$3:L380)</f>
        <v>6.0348242128998135E-3</v>
      </c>
      <c r="Q38" s="14">
        <f>STDEV(Daily!M$3:M380)</f>
        <v>3.683969677972472E-3</v>
      </c>
      <c r="R38" s="25">
        <f>STDEV(Daily!N$3:N380)</f>
        <v>8.3657105425102903E-3</v>
      </c>
    </row>
    <row r="39" spans="8:18" x14ac:dyDescent="0.25">
      <c r="H39" s="56" t="s">
        <v>74</v>
      </c>
      <c r="I39" s="48">
        <f>COUNTIF(Daily!E$3:E380,"&gt;0")</f>
        <v>36</v>
      </c>
      <c r="J39" s="45"/>
      <c r="K39" s="14"/>
      <c r="L39" s="32"/>
      <c r="M39" s="51"/>
      <c r="N39" s="41">
        <f>COUNTIF(Daily!J$3:J380,"&gt;0")</f>
        <v>33</v>
      </c>
      <c r="O39" s="33">
        <f>COUNTIF(Daily!K$3:K380,"&gt;0")</f>
        <v>32</v>
      </c>
      <c r="P39" s="33">
        <f>COUNTIF(Daily!L$3:L380,"&gt;0")</f>
        <v>37</v>
      </c>
      <c r="Q39" s="33">
        <f>COUNTIF(Daily!M$3:M380,"&gt;0")</f>
        <v>34</v>
      </c>
      <c r="R39" s="35">
        <f>COUNTIF(Daily!N$3:N380,"&gt;0")</f>
        <v>37</v>
      </c>
    </row>
    <row r="40" spans="8:18" x14ac:dyDescent="0.25">
      <c r="H40" s="56" t="s">
        <v>80</v>
      </c>
      <c r="I40" s="47">
        <f>SUMIF(Daily!E$3:E380,"&gt;0")</f>
        <v>0.11819891634974544</v>
      </c>
      <c r="J40" s="45"/>
      <c r="K40" s="14"/>
      <c r="L40" s="32"/>
      <c r="M40" s="51"/>
      <c r="N40" s="40">
        <f>SUMIF(Daily!J$3:J380,"&gt;0")</f>
        <v>0.16710167195084624</v>
      </c>
      <c r="O40" s="14">
        <f>SUMIF(Daily!K$3:K380,"&gt;0")</f>
        <v>4.4693357658627031E-2</v>
      </c>
      <c r="P40" s="14">
        <f>SUMIF(Daily!L$3:L380,"&gt;0")</f>
        <v>0.18553247359380592</v>
      </c>
      <c r="Q40" s="14">
        <f>SUMIF(Daily!M$3:M380,"&gt;0")</f>
        <v>9.7813344215165798E-2</v>
      </c>
      <c r="R40" s="25">
        <f>SUMIF(Daily!N$3:N380,"&gt;0")</f>
        <v>0.22827866651350739</v>
      </c>
    </row>
    <row r="41" spans="8:18" x14ac:dyDescent="0.25">
      <c r="H41" s="56" t="s">
        <v>81</v>
      </c>
      <c r="I41" s="47">
        <f>SUMIF(Daily!E$3:E380,"&lt;0")</f>
        <v>-0.12119874479131054</v>
      </c>
      <c r="J41" s="45"/>
      <c r="K41" s="14"/>
      <c r="L41" s="32"/>
      <c r="M41" s="51"/>
      <c r="N41" s="40">
        <f>SUMIF(Daily!J$3:J380,"&lt;0")</f>
        <v>-0.14780541383235707</v>
      </c>
      <c r="O41" s="14">
        <f>SUMIF(Daily!K$3:K380,"&lt;0")</f>
        <v>-4.1760739202887906E-2</v>
      </c>
      <c r="P41" s="14">
        <f>SUMIF(Daily!L$3:L380,"&lt;0")</f>
        <v>-0.12248983195218606</v>
      </c>
      <c r="Q41" s="14">
        <f>SUMIF(Daily!M$3:M380,"&lt;0")</f>
        <v>-8.5062541961776678E-2</v>
      </c>
      <c r="R41" s="25">
        <f>SUMIF(Daily!N$3:N380,"&lt;0")</f>
        <v>-0.1942604005586252</v>
      </c>
    </row>
    <row r="42" spans="8:18" x14ac:dyDescent="0.25">
      <c r="H42" s="56" t="s">
        <v>75</v>
      </c>
      <c r="I42" s="48">
        <f>COUNT(Daily!E$3:E380)</f>
        <v>64</v>
      </c>
      <c r="J42" s="45"/>
      <c r="K42" s="14"/>
      <c r="L42" s="32"/>
      <c r="M42" s="51"/>
      <c r="N42" s="41">
        <f>COUNT(Daily!J$3:J380)</f>
        <v>64</v>
      </c>
      <c r="O42" s="33">
        <f>COUNT(Daily!K$3:K380)</f>
        <v>64</v>
      </c>
      <c r="P42" s="33">
        <f>COUNT(Daily!L$3:L380)</f>
        <v>64</v>
      </c>
      <c r="Q42" s="33">
        <f>COUNT(Daily!M$3:M380)</f>
        <v>64</v>
      </c>
      <c r="R42" s="35">
        <f>COUNT(Daily!N$3:N380)</f>
        <v>64</v>
      </c>
    </row>
    <row r="43" spans="8:18" x14ac:dyDescent="0.25">
      <c r="H43" s="56" t="s">
        <v>76</v>
      </c>
      <c r="I43" s="48">
        <f>I42-I39</f>
        <v>28</v>
      </c>
      <c r="J43" s="45"/>
      <c r="K43" s="14"/>
      <c r="L43" s="32"/>
      <c r="M43" s="51"/>
      <c r="N43" s="41">
        <f>N42-N39</f>
        <v>31</v>
      </c>
      <c r="O43" s="33">
        <f>O42-O39</f>
        <v>32</v>
      </c>
      <c r="P43" s="33">
        <f>P42-P39</f>
        <v>27</v>
      </c>
      <c r="Q43" s="33">
        <f>Q42-Q39</f>
        <v>30</v>
      </c>
      <c r="R43" s="35">
        <f>R42-R39</f>
        <v>27</v>
      </c>
    </row>
    <row r="44" spans="8:18" x14ac:dyDescent="0.25">
      <c r="H44" s="56" t="s">
        <v>78</v>
      </c>
      <c r="I44" s="49">
        <f>(I40/I41)*(I39/I43)*-1</f>
        <v>1.2538911650321911</v>
      </c>
      <c r="J44" s="45"/>
      <c r="K44" s="14"/>
      <c r="L44" s="32"/>
      <c r="M44" s="51"/>
      <c r="N44" s="42">
        <f>(N40/N41)*(N39/N43)*-1</f>
        <v>1.2034905919054479</v>
      </c>
      <c r="O44" s="34">
        <f>(O40/O41)*(O39/O43)*-1</f>
        <v>1.0702242946776268</v>
      </c>
      <c r="P44" s="34">
        <f>(P40/P41)*(P39/P43)*-1</f>
        <v>2.0756678370962307</v>
      </c>
      <c r="Q44" s="34">
        <f>(Q40/Q41)*(Q39/Q43)*-1</f>
        <v>1.3032190302244664</v>
      </c>
      <c r="R44" s="36">
        <f>(R40/R41)*(R39/R43)*-1</f>
        <v>1.6103452884797413</v>
      </c>
    </row>
    <row r="45" spans="8:18" x14ac:dyDescent="0.25">
      <c r="H45" s="61" t="s">
        <v>77</v>
      </c>
      <c r="I45" s="62">
        <f>I39/I42</f>
        <v>0.5625</v>
      </c>
      <c r="J45" s="63"/>
      <c r="K45" s="64"/>
      <c r="L45" s="65"/>
      <c r="M45" s="66"/>
      <c r="N45" s="67">
        <f>N39/N42</f>
        <v>0.515625</v>
      </c>
      <c r="O45" s="64">
        <f>O39/O42</f>
        <v>0.5</v>
      </c>
      <c r="P45" s="64">
        <f>P39/P42</f>
        <v>0.578125</v>
      </c>
      <c r="Q45" s="64">
        <f>Q39/Q42</f>
        <v>0.53125</v>
      </c>
      <c r="R45" s="68">
        <f>R39/R42</f>
        <v>0.578125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2"/>
  <sheetViews>
    <sheetView zoomScale="80" zoomScaleNormal="80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D66" sqref="D66"/>
    </sheetView>
  </sheetViews>
  <sheetFormatPr defaultRowHeight="15" x14ac:dyDescent="0.25"/>
  <cols>
    <col min="1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2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66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/>
      <c r="B67" s="4"/>
      <c r="E67" s="5"/>
      <c r="F67" s="10"/>
      <c r="G67" s="5"/>
      <c r="H67" s="8"/>
      <c r="I67" s="8"/>
      <c r="J67" s="11"/>
      <c r="K67" s="11"/>
      <c r="L67" s="11"/>
      <c r="M67" s="11"/>
      <c r="N67" s="11"/>
      <c r="P67" s="10"/>
      <c r="Q67" s="10"/>
      <c r="R67" s="10"/>
      <c r="S67" s="10"/>
      <c r="T67" s="10"/>
      <c r="V67" s="5"/>
      <c r="W67" s="5"/>
      <c r="X67" s="5"/>
      <c r="Y67" s="5"/>
      <c r="Z67" s="5"/>
      <c r="AB67" s="8"/>
      <c r="AC67" s="8"/>
      <c r="AD67" s="8"/>
      <c r="AE67" s="8"/>
      <c r="AF67" s="8"/>
    </row>
    <row r="68" spans="1:40" x14ac:dyDescent="0.25">
      <c r="A68" s="9"/>
      <c r="B68" s="4"/>
      <c r="I68" s="8"/>
    </row>
    <row r="69" spans="1:40" x14ac:dyDescent="0.25">
      <c r="A69" s="9"/>
      <c r="B69" s="4"/>
    </row>
    <row r="70" spans="1:40" x14ac:dyDescent="0.25">
      <c r="B70" s="4"/>
    </row>
    <row r="71" spans="1:40" x14ac:dyDescent="0.25">
      <c r="B71" s="4"/>
    </row>
    <row r="72" spans="1:40" x14ac:dyDescent="0.25">
      <c r="B7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7"/>
  <sheetViews>
    <sheetView zoomScale="90" zoomScaleNormal="90" workbookViewId="0">
      <selection activeCell="Q49" sqref="Q49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Daily</vt:lpstr>
      <vt:lpstr>Prices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2018-08-01T15:58:26Z</dcterms:modified>
</cp:coreProperties>
</file>