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2" l="1"/>
  <c r="F76" i="2" s="1"/>
  <c r="J76" i="2"/>
  <c r="P76" i="2" s="1"/>
  <c r="K76" i="2"/>
  <c r="Q76" i="2" s="1"/>
  <c r="L76" i="2"/>
  <c r="R76" i="2" s="1"/>
  <c r="N76" i="2"/>
  <c r="T76" i="2" s="1"/>
  <c r="B76" i="2"/>
  <c r="D76" i="2"/>
  <c r="G76" i="2" l="1"/>
  <c r="AI76" i="2"/>
  <c r="H76" i="2"/>
  <c r="X76" i="2"/>
  <c r="AD76" i="2"/>
  <c r="AL76" i="2"/>
  <c r="Z76" i="2"/>
  <c r="AN76" i="2"/>
  <c r="AF76" i="2"/>
  <c r="AK76" i="2"/>
  <c r="AC76" i="2"/>
  <c r="W76" i="2"/>
  <c r="AJ76" i="2"/>
  <c r="AB76" i="2"/>
  <c r="V76" i="2"/>
  <c r="M76" i="2"/>
  <c r="S76" i="2" s="1"/>
  <c r="E75" i="2"/>
  <c r="F75" i="2"/>
  <c r="G75" i="2" s="1"/>
  <c r="J75" i="2"/>
  <c r="M75" i="2" s="1"/>
  <c r="K75" i="2"/>
  <c r="L75" i="2"/>
  <c r="N75" i="2"/>
  <c r="B75" i="2"/>
  <c r="D75" i="2"/>
  <c r="Y76" i="2" l="1"/>
  <c r="AM76" i="2"/>
  <c r="AE76" i="2"/>
  <c r="AI75" i="2"/>
  <c r="H75" i="2"/>
  <c r="E74" i="2"/>
  <c r="F74" i="2" s="1"/>
  <c r="J74" i="2"/>
  <c r="K74" i="2"/>
  <c r="L74" i="2"/>
  <c r="N74" i="2"/>
  <c r="B74" i="2"/>
  <c r="D74" i="2"/>
  <c r="M74" i="2" l="1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D78" i="3" a="1"/>
  <c r="E78" i="3" a="1"/>
  <c r="B78" i="3" a="1"/>
  <c r="C78" i="3" a="1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E75" i="3" l="1"/>
  <c r="C74" i="3"/>
  <c r="E73" i="3"/>
  <c r="C78" i="3"/>
  <c r="D77" i="3"/>
  <c r="B76" i="3"/>
  <c r="D75" i="3"/>
  <c r="B74" i="3"/>
  <c r="D73" i="3"/>
  <c r="E77" i="3"/>
  <c r="B78" i="3"/>
  <c r="E78" i="3"/>
  <c r="C77" i="3"/>
  <c r="C75" i="3"/>
  <c r="H75" i="3" s="1"/>
  <c r="C73" i="3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10" i="4"/>
  <c r="C37" i="4"/>
  <c r="C5" i="4"/>
  <c r="C38" i="4"/>
  <c r="C40" i="4"/>
  <c r="C20" i="4"/>
  <c r="C7" i="4"/>
  <c r="C9" i="4"/>
  <c r="C8" i="4"/>
  <c r="C21" i="4"/>
  <c r="C6" i="4"/>
  <c r="C39" i="4"/>
  <c r="J78" i="3" l="1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11" i="1"/>
  <c r="U3" i="1"/>
  <c r="U6" i="1"/>
  <c r="U4" i="1"/>
  <c r="U10" i="1"/>
  <c r="U9" i="1"/>
  <c r="U12" i="1"/>
  <c r="B12" i="1"/>
  <c r="M12" i="1"/>
  <c r="U5" i="1"/>
  <c r="U8" i="1"/>
  <c r="U7" i="1"/>
  <c r="U2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7" i="1"/>
  <c r="J8" i="1"/>
  <c r="J10" i="1"/>
  <c r="J5" i="1"/>
  <c r="J11" i="1"/>
  <c r="J12" i="1"/>
  <c r="J9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G4" i="1"/>
  <c r="L6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0" i="1"/>
  <c r="M4" i="1"/>
  <c r="M6" i="1"/>
  <c r="M2" i="1"/>
  <c r="M3" i="1"/>
  <c r="M5" i="1"/>
  <c r="M11" i="1"/>
  <c r="M7" i="1"/>
  <c r="M9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4" i="1" a="1"/>
  <c r="L10" i="1" a="1"/>
  <c r="L11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5" i="1"/>
  <c r="L11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L2" i="1"/>
  <c r="K26" i="1"/>
  <c r="L7" i="1"/>
  <c r="L3" i="1"/>
  <c r="L9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4" i="1"/>
  <c r="K23" i="1"/>
  <c r="K22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9" i="1"/>
  <c r="B3" i="1"/>
  <c r="B11" i="1"/>
  <c r="B8" i="1"/>
  <c r="B6" i="1"/>
  <c r="B7" i="1"/>
  <c r="J2" i="1"/>
  <c r="J6" i="1"/>
  <c r="B5" i="1"/>
  <c r="B4" i="1"/>
  <c r="B2" i="1"/>
  <c r="J3" i="1"/>
  <c r="B10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C33" i="2"/>
  <c r="W33" i="2"/>
  <c r="T25" i="2"/>
  <c r="Z24" i="2"/>
  <c r="AF24" i="2"/>
  <c r="S14" i="2"/>
  <c r="Y13" i="2"/>
  <c r="AE13" i="2"/>
  <c r="F14" i="2"/>
  <c r="G13" i="2"/>
  <c r="H13" i="2"/>
  <c r="X33" i="2" l="1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AD36" i="2"/>
  <c r="Q36" i="2"/>
  <c r="AK35" i="2"/>
  <c r="P37" i="2"/>
  <c r="AJ36" i="2"/>
  <c r="V36" i="2"/>
  <c r="R37" i="2"/>
  <c r="Z26" i="2"/>
  <c r="T27" i="2"/>
  <c r="AF26" i="2"/>
  <c r="S16" i="2"/>
  <c r="AE15" i="2"/>
  <c r="Y15" i="2"/>
  <c r="F16" i="2"/>
  <c r="G15" i="2"/>
  <c r="H15" i="2"/>
  <c r="AL36" i="2" l="1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X75" i="2" l="1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75" i="2" l="1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S57" i="2"/>
  <c r="AM56" i="2"/>
  <c r="Y56" i="2"/>
  <c r="AE56" i="2"/>
  <c r="AN66" i="2"/>
  <c r="Z66" i="2"/>
  <c r="AF66" i="2"/>
  <c r="F54" i="2"/>
  <c r="G53" i="2"/>
  <c r="H53" i="2"/>
  <c r="Z75" i="2" l="1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AM66" i="2"/>
  <c r="AE66" i="2"/>
  <c r="Y66" i="2"/>
  <c r="H63" i="2"/>
  <c r="L31" i="1" s="1"/>
  <c r="G63" i="2"/>
  <c r="K31" i="1" s="1"/>
  <c r="Y75" i="2" l="1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<sst xmlns="http://schemas.openxmlformats.org/spreadsheetml/2006/main" count="159" uniqueCount="112">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</sst>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43cb464522849aa99908e637eb2d0e9">
      <tp>
        <v>0</v>
        <stp/>
        <stp>GYLD</stp>
        <stp>change in percent</stp>
        <tr r="K26" s="1"/>
      </tp>
    </main>
    <main first="rtdsrv.243cb464522849aa99908e637eb2d0e9">
      <tp>
        <v>0</v>
        <stp/>
        <stp>ACWI</stp>
        <stp>change in percent</stp>
        <tr r="K22" s="1"/>
      </tp>
    </main>
    <main first="rtdsrv.243cb464522849aa99908e637eb2d0e9">
      <tp>
        <v>-0.11764706</v>
        <stp/>
        <stp>DBC</stp>
        <stp>mtd percent change</stp>
        <tr r="U2" s="1"/>
      </tp>
      <tp>
        <v>-2.5802071</v>
        <stp/>
        <stp>EWJ</stp>
        <stp>mtd percent change</stp>
        <tr r="U7" s="1"/>
      </tp>
      <tp>
        <v>-3.8686459700000002</v>
        <stp/>
        <stp>EEM</stp>
        <stp>mtd percent change</stp>
        <tr r="U10" s="1"/>
      </tp>
      <tp>
        <v>-1.7978113600000001</v>
        <stp/>
        <stp>GLD</stp>
        <stp>mtd percent change</stp>
        <tr r="U8" s="1"/>
      </tp>
      <tp>
        <v>-0.45387634999999998</v>
        <stp/>
        <stp>IYR</stp>
        <stp>mtd percent change</stp>
        <tr r="U4" s="1"/>
      </tp>
      <tp>
        <v>1.0781957</v>
        <stp/>
        <stp>IVV</stp>
        <stp>mtd percent change</stp>
        <tr r="U3" s="1"/>
      </tp>
      <tp>
        <v>-3.5652173899999999</v>
        <stp/>
        <stp>IEV</stp>
        <stp>mtd percent change</stp>
        <tr r="U9" s="1"/>
      </tp>
      <tp>
        <v>0.88809947</v>
        <stp/>
        <stp>IEF</stp>
        <stp>mtd percent change</stp>
        <tr r="U11" s="1"/>
      </tp>
    </main>
    <main first="rtdsrv.243cb464522849aa99908e637eb2d0e9">
      <tp>
        <v>-2.5569620300000002</v>
        <stp/>
        <stp>RWX</stp>
        <stp>mtd percent change</stp>
        <tr r="U6" s="1"/>
      </tp>
      <tp>
        <v>0.20467131999999999</v>
        <stp/>
        <stp>SHY</stp>
        <stp>mtd percent change</stp>
        <tr r="U12" s="1"/>
      </tp>
      <tp>
        <v>1.41820024</v>
        <stp/>
        <stp>TLT</stp>
        <stp>mtd percent change</stp>
        <tr r="U5" s="1"/>
      </tp>
    </main>
    <main first="rtdsrv.243cb464522849aa99908e637eb2d0e9">
      <tp>
        <v>0</v>
        <stp/>
        <stp>DBC</stp>
        <stp>change in percent</stp>
        <tr r="L2" s="1"/>
      </tp>
    </main>
    <main first="rtdsrv.243cb464522849aa99908e637eb2d0e9">
      <tp>
        <v>0</v>
        <stp/>
        <stp>AGG</stp>
        <stp>change in percent</stp>
        <tr r="K23" s="1"/>
      </tp>
      <tp>
        <v>0</v>
        <stp/>
        <stp>IEF</stp>
        <stp>change in percent</stp>
        <tr r="L11" s="1"/>
      </tp>
    </main>
    <main first="rtdsrv.243cb464522849aa99908e637eb2d0e9">
      <tp>
        <v>0</v>
        <stp/>
        <stp>GLD</stp>
        <stp>change in percent</stp>
        <tr r="L8" s="1"/>
      </tp>
    </main>
    <main first="rtdsrv.243cb464522849aa99908e637eb2d0e9">
      <tp>
        <v>0</v>
        <stp/>
        <stp>EWJ</stp>
        <stp>change in percent</stp>
        <tr r="L7" s="1"/>
      </tp>
      <tp>
        <v>0</v>
        <stp/>
        <stp>EEM</stp>
        <stp>change in percent</stp>
        <tr r="L10" s="1"/>
      </tp>
    </main>
    <main first="rtdsrv.243cb464522849aa99908e637eb2d0e9">
      <tp>
        <v>0</v>
        <stp/>
        <stp>IYR</stp>
        <stp>change in percent</stp>
        <tr r="L4" s="1"/>
      </tp>
    </main>
    <main first="rtdsrv.243cb464522849aa99908e637eb2d0e9">
      <tp>
        <v>0</v>
        <stp/>
        <stp>IEV</stp>
        <stp>change in percent</stp>
        <tr r="L9" s="1"/>
      </tp>
      <tp>
        <v>0</v>
        <stp/>
        <stp>IVV</stp>
        <stp>change in percent</stp>
        <tr r="K24" s="1"/>
        <tr r="L3" s="1"/>
      </tp>
    </main>
    <main first="rtdsrv.243cb464522849aa99908e637eb2d0e9">
      <tp>
        <v>0</v>
        <stp/>
        <stp>TLT</stp>
        <stp>change in percent</stp>
        <tr r="L5" s="1"/>
      </tp>
      <tp>
        <v>0</v>
        <stp/>
        <stp>SHY</stp>
        <stp>change in percent</stp>
        <tr r="L12" s="1"/>
      </tp>
      <tp>
        <v>0</v>
        <stp/>
        <stp>RWX</stp>
        <stp>change in percent</stp>
        <tr r="L6" s="1"/>
      </tp>
    </main>
    <main first="rtdsrv.243cb464522849aa99908e637eb2d0e9">
      <tp>
        <v>113.07</v>
        <stp/>
        <stp>GLD</stp>
        <stp>last</stp>
        <tr r="J8" s="1"/>
      </tp>
      <tp>
        <v>120.14</v>
        <stp/>
        <stp>TLT</stp>
        <stp>last</stp>
        <tr r="J5" s="1"/>
      </tp>
    </main>
    <main first="rtdsrv.243cb464522849aa99908e637eb2d0e9">
      <tp>
        <v>529</v>
        <stp/>
        <stp>ISRG</stp>
        <stp>last</stp>
        <tr r="C8" s="4"/>
      </tp>
    </main>
    <main first="rtdsrv.243cb464522849aa99908e637eb2d0e9">
      <tp t="s">
        <v>SPDR GOLD TRUST-GOLD SHS</v>
        <stp/>
        <stp>GLD</stp>
        <stp>description</stp>
        <tr r="B8" s="1"/>
      </tp>
    </main>
    <main first="rtdsrv.243cb464522849aa99908e637eb2d0e9">
      <tp>
        <v>83.23</v>
        <stp/>
        <stp>SHY</stp>
        <stp>last</stp>
        <tr r="J12" s="1"/>
        <tr r="C23" s="4"/>
      </tp>
    </main>
    <main first="rtdsrv.243cb464522849aa99908e637eb2d0e9">
      <tp t="s">
        <v>ISHARES TR-MSCI EMG MKT ETF</v>
        <stp/>
        <stp>EEM</stp>
        <stp>description</stp>
        <tr r="B10" s="1"/>
      </tp>
      <tp t="s">
        <v>ISHARES INC-MSCI JPN ETF NEW</v>
        <stp/>
        <stp>EWJ</stp>
        <stp>description</stp>
        <tr r="B7" s="1"/>
      </tp>
    </main>
    <main first="rtdsrv.243cb464522849aa99908e637eb2d0e9">
      <tp>
        <v>46.64</v>
        <stp/>
        <stp>QQQE</stp>
        <stp>last</stp>
        <tr r="C40" s="4"/>
      </tp>
    </main>
    <main first="rtdsrv.243cb464522849aa99908e637eb2d0e9">
      <tp>
        <v>3.73</v>
        <stp/>
        <stp>RWX</stp>
        <stp>dividend yield</stp>
        <tr r="M6" s="1"/>
      </tp>
      <tp>
        <v>1.87</v>
        <stp/>
        <stp>SHY</stp>
        <stp>dividend yield</stp>
        <tr r="M12" s="1"/>
      </tp>
      <tp>
        <v>2.75</v>
        <stp/>
        <stp>TLT</stp>
        <stp>dividend yield</stp>
        <tr r="M5" s="1"/>
      </tp>
      <tp t="s">
        <v>--</v>
        <stp/>
        <stp>DBC</stp>
        <stp>dividend yield</stp>
        <tr r="M2" s="1"/>
      </tp>
      <tp>
        <v>1.6</v>
        <stp/>
        <stp>EWJ</stp>
        <stp>dividend yield</stp>
        <tr r="M7" s="1"/>
      </tp>
      <tp>
        <v>1.36</v>
        <stp/>
        <stp>EEM</stp>
        <stp>dividend yield</stp>
        <tr r="M10" s="1"/>
      </tp>
      <tp>
        <v>0.49</v>
        <stp/>
        <stp>IYR</stp>
        <stp>dividend yield</stp>
        <tr r="M4" s="1"/>
      </tp>
      <tp>
        <v>1.79</v>
        <stp/>
        <stp>IVV</stp>
        <stp>dividend yield</stp>
        <tr r="M3" s="1"/>
      </tp>
      <tp>
        <v>2.23</v>
        <stp/>
        <stp>IEF</stp>
        <stp>dividend yield</stp>
        <tr r="M11" s="1"/>
      </tp>
      <tp>
        <v>4.7699999999999996</v>
        <stp/>
        <stp>IEV</stp>
        <stp>dividend yield</stp>
        <tr r="M9" s="1"/>
      </tp>
    </main>
    <main first="rtdsrv.243cb464522849aa99908e637eb2d0e9">
      <tp t="s">
        <v>INVESCO DB COMMDY INDX TRCK-UNIT</v>
        <stp/>
        <stp>DBC</stp>
        <stp>description</stp>
        <tr r="B2" s="1"/>
      </tp>
    </main>
    <main first="rtdsrv.243cb464522849aa99908e637eb2d0e9">
      <tp>
        <v>102.24</v>
        <stp/>
        <stp>IEF</stp>
        <stp>last</stp>
        <tr r="J11" s="1"/>
      </tp>
      <tp>
        <v>42.74</v>
        <stp/>
        <stp>EEM</stp>
        <stp>last</stp>
        <tr r="J10" s="1"/>
      </tp>
      <tp>
        <v>44.36</v>
        <stp/>
        <stp>IEV</stp>
        <stp>last</stp>
        <tr r="J9" s="1"/>
      </tp>
    </main>
    <main first="rtdsrv.243cb464522849aa99908e637eb2d0e9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243cb464522849aa99908e637eb2d0e9">
      <tp t="s">
        <v>ISHARES TR-U.S. REAL ES ETF</v>
        <stp/>
        <stp>IYR</stp>
        <stp>description</stp>
        <tr r="B4" s="1"/>
      </tp>
      <tp>
        <v>81.150000000000006</v>
        <stp/>
        <stp>IYR</stp>
        <stp>close</stp>
        <tr r="G4" s="1"/>
      </tp>
    </main>
    <main first="rtdsrv.243cb464522849aa99908e637eb2d0e9">
      <tp t="s">
        <v>ARROW ETF TR-ARROW DJ GLB YLD</v>
        <stp/>
        <stp>GYLD</stp>
        <stp>description</stp>
        <tr r="L26" s="1"/>
      </tp>
      <tp t="s">
        <v>ISHARES TR-CORE S&amp;P500 ETF</v>
        <stp/>
        <stp>IVV</stp>
        <stp>description</stp>
        <tr r="B3" s="1"/>
      </tp>
    </main>
    <main first="rtdsrv.243cb464522849aa99908e637eb2d0e9">
      <tp>
        <v>1919.65</v>
        <stp/>
        <stp>AMZN</stp>
        <stp>last</stp>
        <tr r="C6" s="4"/>
      </tp>
    </main>
    <main first="rtdsrv.243cb464522849aa99908e637eb2d0e9">
      <tp>
        <v>38.14</v>
        <stp/>
        <stp>GAL</stp>
        <stp>last</stp>
        <tr r="C37" s="4"/>
      </tp>
      <tp>
        <v>120.14</v>
        <stp/>
        <stp>TLT</stp>
        <stp>close</stp>
        <tr r="G5" s="1"/>
      </tp>
    </main>
    <main first="rtdsrv.243cb464522849aa99908e637eb2d0e9">
      <tp>
        <v>285.93</v>
        <stp/>
        <stp>IVV</stp>
        <stp>close</stp>
        <tr r="G3" s="1"/>
      </tp>
      <tp>
        <v>16.98</v>
        <stp/>
        <stp>DBC</stp>
        <stp>last</stp>
        <tr r="J2" s="1"/>
        <tr r="C20" s="4"/>
      </tp>
    </main>
    <main first="rtdsrv.243cb464522849aa99908e637eb2d0e9">
      <tp t="s">
        <v>ISHARES TR-1 3 YR TREAS BD</v>
        <stp/>
        <stp>SHY</stp>
        <stp>description</stp>
        <tr r="B12" s="1"/>
      </tp>
      <tp>
        <v>50.62</v>
        <stp/>
        <stp>MU</stp>
        <stp>last</stp>
        <tr r="C9" s="4"/>
      </tp>
      <tp>
        <v>368.66</v>
        <stp/>
        <stp>ALGN</stp>
        <stp>last</stp>
        <tr r="C5" s="4"/>
      </tp>
      <tp t="s">
        <v>SPDR INDEX SHS FDS-DJ INTL RL ETF</v>
        <stp/>
        <stp>RWX</stp>
        <stp>description</stp>
        <tr r="B6" s="1"/>
      </tp>
    </main>
    <main first="rtdsrv.243cb464522849aa99908e637eb2d0e9">
      <tp>
        <v>81.150000000000006</v>
        <stp/>
        <stp>IYR</stp>
        <stp>last</stp>
        <tr r="J4" s="1"/>
        <tr r="C22" s="4"/>
      </tp>
      <tp>
        <v>44</v>
        <stp/>
        <stp>CSCO</stp>
        <stp>last</stp>
        <tr r="C7" s="4"/>
      </tp>
    </main>
    <main first="rtdsrv.243cb464522849aa99908e637eb2d0e9">
      <tp t="s">
        <v>ISHARES TR-20 YR TR BD ETF</v>
        <stp/>
        <stp>TLT</stp>
        <stp>description</stp>
        <tr r="B5" s="1"/>
      </tp>
    </main>
    <main first="rtdsrv.243cb464522849aa99908e637eb2d0e9">
      <tp>
        <v>53.23</v>
        <stp/>
        <stp>STX</stp>
        <stp>last</stp>
        <tr r="C10" s="4"/>
      </tp>
    </main>
    <main first="rtdsrv.243cb464522849aa99908e637eb2d0e9">
      <tp>
        <v>57.39</v>
        <stp/>
        <stp>EWJ</stp>
        <stp>last</stp>
        <tr r="J7" s="1"/>
      </tp>
      <tp>
        <v>38.49</v>
        <stp/>
        <stp>RWX</stp>
        <stp>last</stp>
        <tr r="J6" s="1"/>
      </tp>
      <tp>
        <v>285.93</v>
        <stp/>
        <stp>IVV</stp>
        <stp>last</stp>
        <tr r="J3" s="1"/>
        <tr r="C21" s="4"/>
        <tr r="C38" s="4"/>
      </tp>
      <tp>
        <v>16.98</v>
        <stp/>
        <stp>DBC</stp>
        <stp>close</stp>
        <tr r="G2" s="1"/>
      </tp>
    </main>
    <main first="rtdsrv.243cb464522849aa99908e637eb2d0e9">
      <tp>
        <v>181.45</v>
        <stp/>
        <stp>QQQ</stp>
        <stp>last</stp>
        <tr r="C39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zoomScale="90" zoomScaleNormal="90" workbookViewId="0">
      <selection activeCell="D37" sqref="D37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-4.7502636617038907E-2</v>
      </c>
      <c r="F2" s="5">
        <f>I2/$I$21</f>
        <v>0.14963221322470219</v>
      </c>
      <c r="G2" s="4">
        <f>_xll.RealtimeData(A2,"Close")</f>
        <v>16.98</v>
      </c>
      <c r="H2" s="4">
        <v>176</v>
      </c>
      <c r="I2" s="4">
        <f>H2*G2</f>
        <v>2988.48</v>
      </c>
      <c r="J2" s="4">
        <f>_xll.RealtimeData(A2,"Last")</f>
        <v>16.98</v>
      </c>
      <c r="K2" s="5">
        <f>J2/D2-1</f>
        <v>-4.7502636617038907E-2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-7.6322132247022001E-3</v>
      </c>
      <c r="Q2" s="31">
        <f>O2*Daily!$D$68</f>
        <v>2823.9823999999999</v>
      </c>
      <c r="R2">
        <f t="shared" ref="R2:R11" si="2">ROUND(Q2/J2,0)</f>
        <v>166</v>
      </c>
      <c r="S2">
        <f t="shared" ref="S2:S11" si="3">R2-H2</f>
        <v>-10</v>
      </c>
      <c r="T2" t="str">
        <f t="shared" ref="T2:T12" si="4">A2</f>
        <v>DBC</v>
      </c>
      <c r="U2">
        <f>_xll.RealtimeData(T2,"MTD Percent Change")</f>
        <v>-0.11764706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7.3474007872818436E-2</v>
      </c>
      <c r="F3" s="5">
        <f>I3/$I$21</f>
        <v>0.41517621770693919</v>
      </c>
      <c r="G3" s="4">
        <f>_xll.RealtimeData(A3,"Close")</f>
        <v>285.93</v>
      </c>
      <c r="H3" s="4">
        <v>29</v>
      </c>
      <c r="I3" s="4">
        <f>H3*G3</f>
        <v>8291.9699999999993</v>
      </c>
      <c r="J3" s="4">
        <f>_xll.RealtimeData(A3,"Last")</f>
        <v>285.93</v>
      </c>
      <c r="K3" s="5">
        <f>J3/D3-1</f>
        <v>7.3474007872818436E-2</v>
      </c>
      <c r="L3" s="8">
        <f>_xll.RealtimeData(A3,"Change in Percent")</f>
        <v>0</v>
      </c>
      <c r="M3" s="29">
        <f>_xll.RealtimeData(A3,"Dividend Yield")</f>
        <v>1.79</v>
      </c>
      <c r="N3" s="4" t="str">
        <f t="shared" si="0"/>
        <v>IVV</v>
      </c>
      <c r="O3" s="5">
        <v>0.36599999999999999</v>
      </c>
      <c r="P3" s="60">
        <f t="shared" si="1"/>
        <v>-4.9176217706939196E-2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1.0781957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3.4680606910620915E-2</v>
      </c>
      <c r="F4" s="5">
        <f>I4/$I$21</f>
        <v>0.21941030944559359</v>
      </c>
      <c r="G4" s="4">
        <f>_xll.RealtimeData(A4,"Close")</f>
        <v>81.150000000000006</v>
      </c>
      <c r="H4" s="4">
        <v>54</v>
      </c>
      <c r="I4" s="4">
        <f>H4*G4</f>
        <v>4382.1000000000004</v>
      </c>
      <c r="J4" s="4">
        <f>_xll.RealtimeData(A4,"Last")</f>
        <v>81.150000000000006</v>
      </c>
      <c r="K4" s="5">
        <f>J4/D4-1</f>
        <v>3.4680606910620915E-2</v>
      </c>
      <c r="L4" s="8">
        <f t="array" ref="L4">_xll.RealtimeData(A4,"Change in Percent")</f>
        <v>0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0.17358969055440643</v>
      </c>
      <c r="Q4" s="31">
        <f>O4*Daily!$D$68</f>
        <v>7815.6696000000002</v>
      </c>
      <c r="R4">
        <f t="shared" si="2"/>
        <v>96</v>
      </c>
      <c r="S4">
        <f t="shared" si="3"/>
        <v>42</v>
      </c>
      <c r="T4" t="str">
        <f t="shared" si="4"/>
        <v>IYR</v>
      </c>
      <c r="U4">
        <f>_xll.RealtimeData(T4,"MTD Percent Change")</f>
        <v>-0.45387634999999998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-1.7611685956279044E-2</v>
      </c>
      <c r="F5" s="5">
        <f>I5/$I$21</f>
        <v>0.21053796357631643</v>
      </c>
      <c r="G5" s="4">
        <f>_xll.RealtimeData(A5,"Close")</f>
        <v>120.14</v>
      </c>
      <c r="H5" s="4">
        <v>35</v>
      </c>
      <c r="I5" s="4">
        <f>H5*G5</f>
        <v>4204.8999999999996</v>
      </c>
      <c r="J5" s="31">
        <f>_xll.RealtimeData(A5,"Last")</f>
        <v>120.14</v>
      </c>
      <c r="K5" s="5">
        <f>J5/D5-1</f>
        <v>-1.7611685956279044E-2</v>
      </c>
      <c r="L5" s="8">
        <f t="array" ref="L5">_xll.RealtimeData(A5,"Change in Percent")</f>
        <v>0</v>
      </c>
      <c r="M5" s="29">
        <f>_xll.RealtimeData(A5,"Dividend Yield")</f>
        <v>2.75</v>
      </c>
      <c r="N5" s="4" t="str">
        <f t="shared" si="0"/>
        <v>TLT</v>
      </c>
      <c r="O5" s="5">
        <v>0</v>
      </c>
      <c r="P5" s="60">
        <f t="shared" si="1"/>
        <v>-0.21053796357631643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1.41820024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38.49</v>
      </c>
      <c r="K6" s="5"/>
      <c r="L6" s="8">
        <f>_xll.RealtimeData(A6,"Change in Percent")</f>
        <v>0</v>
      </c>
      <c r="M6" s="29">
        <f>_xll.RealtimeData(A6,"Dividend Yield")</f>
        <v>3.73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-2.5569620300000002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57.39</v>
      </c>
      <c r="K7" s="5"/>
      <c r="L7" s="8">
        <f>_xll.RealtimeData(A7,"Change in Percent")</f>
        <v>0</v>
      </c>
      <c r="M7" s="29">
        <f>_xll.RealtimeData(A7,"Dividend Yield")</f>
        <v>1.6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-2.5802071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113.07</v>
      </c>
      <c r="K8" s="5"/>
      <c r="L8" s="8">
        <f>_xll.RealtimeData(A8,"Change in Percent")</f>
        <v>0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-1.7978113600000001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44.36</v>
      </c>
      <c r="K9" s="5"/>
      <c r="L9" s="8">
        <f>_xll.RealtimeData(A9,"Change in Percent")</f>
        <v>0</v>
      </c>
      <c r="M9" s="29">
        <f>_xll.RealtimeData(A9,"Dividend Yield")</f>
        <v>4.7699999999999996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-3.5652173899999999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42.74</v>
      </c>
      <c r="K10" s="5"/>
      <c r="L10" s="8">
        <f t="array" ref="L10">_xll.RealtimeData(A10,"Change in Percent")</f>
        <v>0</v>
      </c>
      <c r="M10" s="29">
        <f>_xll.RealtimeData(A10,"Dividend Yield")</f>
        <v>1.36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-3.8686459700000002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102.24</v>
      </c>
      <c r="K11" s="5"/>
      <c r="L11" s="8">
        <f t="array" ref="L11">_xll.RealtimeData(A11,"Change in Percent")</f>
        <v>0</v>
      </c>
      <c r="M11" s="29">
        <f>_xll.RealtimeData(A11,"Dividend Yield")</f>
        <v>2.23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0.88809947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83.23</v>
      </c>
      <c r="L12" s="8">
        <f t="array" ref="L12">_xll.RealtimeData(A12,"Change in Percent")</f>
        <v>0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0.20467131999999999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0.21980279880999998</v>
      </c>
      <c r="V14" s="8">
        <f>U14*0.01</f>
        <v>2.1980279880999998E-3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0.99475670395355142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5.2432960464485756E-3</v>
      </c>
      <c r="H21" s="2" t="s">
        <v>16</v>
      </c>
      <c r="I21" s="6">
        <f>SUM(I2:I20)</f>
        <v>19972.169999999998</v>
      </c>
      <c r="J21" t="s">
        <v>33</v>
      </c>
      <c r="K21" s="8">
        <f>SUMPRODUCT(K2:K7,F2:F7)</f>
        <v>2.7298090235030041E-2</v>
      </c>
      <c r="M21" t="s">
        <v>34</v>
      </c>
      <c r="N21" s="8">
        <f t="array" ref="N21">MMULT(TRANSPOSE(F2:F5),L2:L5)</f>
        <v>0</v>
      </c>
      <c r="P21" s="8">
        <f t="array" ref="P21"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0</v>
      </c>
    </row>
    <row r="26" spans="5:16" x14ac:dyDescent="0.25">
      <c r="H26" t="s">
        <v>25</v>
      </c>
      <c r="I26" s="6">
        <f>SUM(I2:I18)</f>
        <v>19867.449999999997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0</v>
      </c>
    </row>
    <row r="28" spans="5:16" x14ac:dyDescent="0.25">
      <c r="J28" t="s">
        <v>64</v>
      </c>
      <c r="K28" s="8">
        <f>SUMPRODUCT(F2:F7,M2:M7)*0.01</f>
        <v>1.4296558811586322E-2</v>
      </c>
      <c r="L28" t="s">
        <v>65</v>
      </c>
      <c r="M28" s="8">
        <f>AVERAGE(M2:M11)*0.01</f>
        <v>2.0800000000000003E-2</v>
      </c>
    </row>
    <row r="29" spans="5:16" ht="15.75" thickBot="1" x14ac:dyDescent="0.3"/>
    <row r="30" spans="5:16" ht="15.75" thickBot="1" x14ac:dyDescent="0.3">
      <c r="H30" s="30">
        <v>43326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0</v>
      </c>
      <c r="J31" s="21">
        <f>LOOKUP(2,1/(Daily!E:E&lt;&gt;""),Daily!E:E)</f>
        <v>3.6367181395198234E-3</v>
      </c>
      <c r="K31" s="22">
        <f>VLOOKUP($H$30,Daily!$A:$AF,7,0)</f>
        <v>6.2382987813609514E-3</v>
      </c>
      <c r="L31" s="23">
        <f>VLOOKUP($H$30,Daily!$A:$AF,8,0)</f>
        <v>-1.390999999999698E-3</v>
      </c>
    </row>
    <row r="32" spans="5:16" x14ac:dyDescent="0.25">
      <c r="H32" s="19" t="s">
        <v>59</v>
      </c>
      <c r="I32" s="24">
        <f>$K$25</f>
        <v>0</v>
      </c>
      <c r="J32" s="24">
        <f>LOOKUP(2,1/(Daily!M:M&lt;&gt;""),Daily!M:M)</f>
        <v>2.3652939076950208E-3</v>
      </c>
      <c r="K32" s="14">
        <f>VLOOKUP($H$30,Daily!$A:$AF,25,0)</f>
        <v>1.2516359494932461E-2</v>
      </c>
      <c r="L32" s="25">
        <f>VLOOKUP($H$30,Daily!$A:$AF,31,0)</f>
        <v>6.7033677412959847E-3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6.405969518848309E-3</v>
      </c>
      <c r="K33" s="14">
        <f>VLOOKUP($H$30,Daily!$A:$AF,24,0)</f>
        <v>4.7170847830067641E-2</v>
      </c>
      <c r="L33" s="25">
        <f>VLOOKUP($H$30,Daily!$A:$AF,30,0)</f>
        <v>7.3770518383703187E-2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4.025301897642386E-3</v>
      </c>
      <c r="K34" s="27">
        <f>VLOOKUP($H$30,Daily!$A:$AF,26,0)</f>
        <v>3.4482758620693055E-3</v>
      </c>
      <c r="L34" s="28">
        <f>VLOOKUP($H$30,Daily!$A:$AF,32,0)</f>
        <v>1.2598764192050194E-2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-6.8136707994704329E-6</v>
      </c>
      <c r="J37" s="44"/>
      <c r="K37" s="22"/>
      <c r="L37" s="39"/>
      <c r="M37" s="50"/>
      <c r="N37" s="38">
        <f>AVERAGE(Daily!J$3:J380)</f>
        <v>1.2342687266188359E-4</v>
      </c>
      <c r="O37" s="22">
        <f>AVERAGE(Daily!K$3:K380)</f>
        <v>5.637267544424104E-5</v>
      </c>
      <c r="P37" s="22">
        <f>AVERAGE(Daily!L$3:L380)</f>
        <v>9.789242038162622E-4</v>
      </c>
      <c r="Q37" s="22">
        <f>AVERAGE(Daily!M$3:M380)</f>
        <v>9.6605193774826548E-5</v>
      </c>
      <c r="R37" s="23">
        <f>AVERAGE(Daily!N$3:N380)</f>
        <v>2.005768074073959E-4</v>
      </c>
    </row>
    <row r="38" spans="8:18" x14ac:dyDescent="0.25">
      <c r="H38" s="56" t="s">
        <v>73</v>
      </c>
      <c r="I38" s="47">
        <f>STDEV(Daily!E$3:E380)</f>
        <v>4.9299817027662757E-3</v>
      </c>
      <c r="J38" s="45"/>
      <c r="K38" s="14"/>
      <c r="L38" s="32"/>
      <c r="M38" s="51"/>
      <c r="N38" s="40">
        <f>STDEV(Daily!J$3:J380)</f>
        <v>6.1470700080726364E-3</v>
      </c>
      <c r="O38" s="14">
        <f>STDEV(Daily!K$3:K380)</f>
        <v>1.7592427005061857E-3</v>
      </c>
      <c r="P38" s="14">
        <f>STDEV(Daily!L$3:L380)</f>
        <v>5.8035783690337057E-3</v>
      </c>
      <c r="Q38" s="14">
        <f>STDEV(Daily!M$3:M380)</f>
        <v>3.5774916037359314E-3</v>
      </c>
      <c r="R38" s="25">
        <f>STDEV(Daily!N$3:N380)</f>
        <v>7.9759063304714016E-3</v>
      </c>
    </row>
    <row r="39" spans="8:18" x14ac:dyDescent="0.25">
      <c r="H39" s="56" t="s">
        <v>74</v>
      </c>
      <c r="I39" s="48">
        <f>COUNTIF(Daily!E$3:E380,"&gt;0")</f>
        <v>42</v>
      </c>
      <c r="J39" s="45"/>
      <c r="K39" s="14"/>
      <c r="L39" s="32"/>
      <c r="M39" s="51"/>
      <c r="N39" s="41">
        <f>COUNTIF(Daily!J$3:J380,"&gt;0")</f>
        <v>37</v>
      </c>
      <c r="O39" s="33">
        <f>COUNTIF(Daily!K$3:K380,"&gt;0")</f>
        <v>38</v>
      </c>
      <c r="P39" s="33">
        <f>COUNTIF(Daily!L$3:L380,"&gt;0")</f>
        <v>42</v>
      </c>
      <c r="Q39" s="33">
        <f>COUNTIF(Daily!M$3:M380,"&gt;0")</f>
        <v>39</v>
      </c>
      <c r="R39" s="35">
        <f>COUNTIF(Daily!N$3:N380,"&gt;0")</f>
        <v>42</v>
      </c>
    </row>
    <row r="40" spans="8:18" x14ac:dyDescent="0.25">
      <c r="H40" s="56" t="s">
        <v>80</v>
      </c>
      <c r="I40" s="47">
        <f>SUMIF(Daily!E$3:E380,"&gt;0")</f>
        <v>0.13443649426554072</v>
      </c>
      <c r="J40" s="45"/>
      <c r="K40" s="14"/>
      <c r="L40" s="32"/>
      <c r="M40" s="51"/>
      <c r="N40" s="40">
        <f>SUMIF(Daily!J$3:J380,"&gt;0")</f>
        <v>0.18013497727666805</v>
      </c>
      <c r="O40" s="14">
        <f>SUMIF(Daily!K$3:K380,"&gt;0")</f>
        <v>5.2059221262790611E-2</v>
      </c>
      <c r="P40" s="14">
        <f>SUMIF(Daily!L$3:L380,"&gt;0")</f>
        <v>0.20806775743310729</v>
      </c>
      <c r="Q40" s="14">
        <f>SUMIF(Daily!M$3:M380,"&gt;0")</f>
        <v>0.10559279488944957</v>
      </c>
      <c r="R40" s="25">
        <f>SUMIF(Daily!N$3:N380,"&gt;0")</f>
        <v>0.23739702873543292</v>
      </c>
    </row>
    <row r="41" spans="8:18" x14ac:dyDescent="0.25">
      <c r="H41" s="56" t="s">
        <v>81</v>
      </c>
      <c r="I41" s="47">
        <f>SUMIF(Daily!E$3:E380,"&lt;0")</f>
        <v>-0.13494070590470153</v>
      </c>
      <c r="J41" s="45"/>
      <c r="K41" s="14"/>
      <c r="L41" s="32"/>
      <c r="M41" s="51"/>
      <c r="N41" s="40">
        <f>SUMIF(Daily!J$3:J380,"&lt;0")</f>
        <v>-0.17100138869968867</v>
      </c>
      <c r="O41" s="14">
        <f>SUMIF(Daily!K$3:K380,"&lt;0")</f>
        <v>-4.7887643279916778E-2</v>
      </c>
      <c r="P41" s="14">
        <f>SUMIF(Daily!L$3:L380,"&lt;0")</f>
        <v>-0.13562736635070388</v>
      </c>
      <c r="Q41" s="14">
        <f>SUMIF(Daily!M$3:M380,"&lt;0")</f>
        <v>-9.844401055011244E-2</v>
      </c>
      <c r="R41" s="25">
        <f>SUMIF(Daily!N$3:N380,"&lt;0")</f>
        <v>-0.2225543449872856</v>
      </c>
    </row>
    <row r="42" spans="8:18" x14ac:dyDescent="0.25">
      <c r="H42" s="56" t="s">
        <v>75</v>
      </c>
      <c r="I42" s="48">
        <f>COUNT(Daily!E$3:E380)</f>
        <v>74</v>
      </c>
      <c r="J42" s="45"/>
      <c r="K42" s="14"/>
      <c r="L42" s="32"/>
      <c r="M42" s="51"/>
      <c r="N42" s="41">
        <f>COUNT(Daily!J$3:J380)</f>
        <v>74</v>
      </c>
      <c r="O42" s="33">
        <f>COUNT(Daily!K$3:K380)</f>
        <v>74</v>
      </c>
      <c r="P42" s="33">
        <f>COUNT(Daily!L$3:L380)</f>
        <v>74</v>
      </c>
      <c r="Q42" s="33">
        <f>COUNT(Daily!M$3:M380)</f>
        <v>74</v>
      </c>
      <c r="R42" s="35">
        <f>COUNT(Daily!N$3:N380)</f>
        <v>74</v>
      </c>
    </row>
    <row r="43" spans="8:18" x14ac:dyDescent="0.25">
      <c r="H43" s="56" t="s">
        <v>76</v>
      </c>
      <c r="I43" s="48">
        <f>I42-I39</f>
        <v>32</v>
      </c>
      <c r="J43" s="45"/>
      <c r="K43" s="14"/>
      <c r="L43" s="32"/>
      <c r="M43" s="51"/>
      <c r="N43" s="41">
        <f>N42-N39</f>
        <v>37</v>
      </c>
      <c r="O43" s="33">
        <f>O42-O39</f>
        <v>36</v>
      </c>
      <c r="P43" s="33">
        <f>P42-P39</f>
        <v>32</v>
      </c>
      <c r="Q43" s="33">
        <f>Q42-Q39</f>
        <v>35</v>
      </c>
      <c r="R43" s="35">
        <f>R42-R39</f>
        <v>32</v>
      </c>
    </row>
    <row r="44" spans="8:18" x14ac:dyDescent="0.25">
      <c r="H44" s="56" t="s">
        <v>78</v>
      </c>
      <c r="I44" s="49">
        <f>(I40/I41)*(I39/I43)*-1</f>
        <v>1.3075957883911922</v>
      </c>
      <c r="J44" s="45"/>
      <c r="K44" s="14"/>
      <c r="L44" s="32"/>
      <c r="M44" s="51"/>
      <c r="N44" s="42">
        <f>(N40/N41)*(N39/N43)*-1</f>
        <v>1.0534123649312563</v>
      </c>
      <c r="O44" s="34">
        <f>(O40/O41)*(O39/O43)*-1</f>
        <v>1.1475068819032941</v>
      </c>
      <c r="P44" s="34">
        <f>(P40/P41)*(P39/P43)*-1</f>
        <v>2.0135238114467451</v>
      </c>
      <c r="Q44" s="34">
        <f>(Q40/Q41)*(Q39/Q43)*-1</f>
        <v>1.1952026560002929</v>
      </c>
      <c r="R44" s="36">
        <f>(R40/R41)*(R39/R43)*-1</f>
        <v>1.4000337770671534</v>
      </c>
    </row>
    <row r="45" spans="8:18" x14ac:dyDescent="0.25">
      <c r="H45" s="61" t="s">
        <v>77</v>
      </c>
      <c r="I45" s="62">
        <f>I39/I42</f>
        <v>0.56756756756756754</v>
      </c>
      <c r="J45" s="63"/>
      <c r="K45" s="64"/>
      <c r="L45" s="65"/>
      <c r="M45" s="66"/>
      <c r="N45" s="67">
        <f>N39/N42</f>
        <v>0.5</v>
      </c>
      <c r="O45" s="64">
        <f>O39/O42</f>
        <v>0.51351351351351349</v>
      </c>
      <c r="P45" s="64">
        <f>P39/P42</f>
        <v>0.56756756756756754</v>
      </c>
      <c r="Q45" s="64">
        <f>Q39/Q42</f>
        <v>0.52702702702702697</v>
      </c>
      <c r="R45" s="68">
        <f>R39/R42</f>
        <v>0.56756756756756754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6"/>
  <sheetViews>
    <sheetView zoomScale="80" zoomScaleNormal="80" workbookViewId="0">
      <pane xSplit="1" ySplit="1" topLeftCell="L49" activePane="bottomRight" state="frozen"/>
      <selection pane="topRight" activeCell="B1" sqref="B1"/>
      <selection pane="bottomLeft" activeCell="A2" sqref="A2"/>
      <selection pane="bottomRight" activeCell="AJ82" sqref="AJ82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6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 t="shared" si="812"/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C85" sqref="C85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O17" sqref="O17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0.99277601057624842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368.66</v>
      </c>
      <c r="D5">
        <f>ROUNDDOWN(($C$2/6)/B5,0)</f>
        <v>35</v>
      </c>
      <c r="E5" s="8">
        <f>C5/B5-1</f>
        <v>0.11058894411809028</v>
      </c>
      <c r="F5">
        <f>C5*D5</f>
        <v>12903.1</v>
      </c>
      <c r="G5" s="73">
        <f>F5/$F$13</f>
        <v>0.17569573432908456</v>
      </c>
      <c r="H5" s="8">
        <f>F5/$F$31</f>
        <v>0.12466329673557248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1919.65</v>
      </c>
      <c r="D6">
        <f t="shared" ref="D6:D10" si="0">ROUNDDOWN(($C$2/6)/B6,0)</f>
        <v>7</v>
      </c>
      <c r="E6" s="8">
        <f t="shared" ref="E6:E10" si="1">C6/B6-1</f>
        <v>0.17797400621003678</v>
      </c>
      <c r="F6">
        <f t="shared" ref="F6:F9" si="2">C6*D6</f>
        <v>13437.550000000001</v>
      </c>
      <c r="G6" s="73">
        <f t="shared" ref="G6:G10" si="3">F6/$F$13</f>
        <v>0.18297310063734998</v>
      </c>
      <c r="H6" s="8">
        <f t="shared" ref="H6:H10" si="4">F6/$F$31</f>
        <v>0.1298268852484358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44</v>
      </c>
      <c r="D7">
        <f t="shared" si="0"/>
        <v>275</v>
      </c>
      <c r="E7" s="8">
        <f t="shared" si="1"/>
        <v>3.8225578102878632E-2</v>
      </c>
      <c r="F7">
        <f t="shared" si="2"/>
        <v>12100</v>
      </c>
      <c r="G7" s="73">
        <f t="shared" si="3"/>
        <v>0.16476028127984152</v>
      </c>
      <c r="H7" s="8">
        <f t="shared" si="4"/>
        <v>0.1169041463292098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529</v>
      </c>
      <c r="D8">
        <f t="shared" si="0"/>
        <v>25</v>
      </c>
      <c r="E8" s="8">
        <f t="shared" si="1"/>
        <v>0.1508255922727173</v>
      </c>
      <c r="F8">
        <f t="shared" si="2"/>
        <v>13225</v>
      </c>
      <c r="G8" s="73">
        <f t="shared" si="3"/>
        <v>0.18007890247321523</v>
      </c>
      <c r="H8" s="8">
        <f t="shared" si="4"/>
        <v>0.12777333348791733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50.62</v>
      </c>
      <c r="D9">
        <f t="shared" si="0"/>
        <v>202</v>
      </c>
      <c r="E9" s="8">
        <f t="shared" si="1"/>
        <v>-0.12102795624240326</v>
      </c>
      <c r="F9">
        <f t="shared" si="2"/>
        <v>10225.24</v>
      </c>
      <c r="G9" s="73">
        <f t="shared" si="3"/>
        <v>0.1392325139300733</v>
      </c>
      <c r="H9" s="8">
        <f t="shared" si="4"/>
        <v>9.8791153157957778E-2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53.23</v>
      </c>
      <c r="D10">
        <f t="shared" si="0"/>
        <v>207</v>
      </c>
      <c r="E10" s="8">
        <f t="shared" si="1"/>
        <v>-5.5368234250221859E-2</v>
      </c>
      <c r="F10">
        <f>C10*D10</f>
        <v>11018.609999999999</v>
      </c>
      <c r="G10" s="73">
        <f t="shared" si="3"/>
        <v>0.15003547792668384</v>
      </c>
      <c r="H10" s="8">
        <f t="shared" si="4"/>
        <v>0.10645629717227226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73440.03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4.9143285714285723E-2</v>
      </c>
    </row>
    <row r="15" spans="1:23" x14ac:dyDescent="0.25">
      <c r="E15" t="s">
        <v>108</v>
      </c>
    </row>
    <row r="17" spans="1:10" x14ac:dyDescent="0.25">
      <c r="H17" s="11">
        <f>SUM(H20:H23)</f>
        <v>0.98820565887550937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16.98</v>
      </c>
      <c r="D20">
        <f>ROUNDDOWN(($C$3*E20)/B20,0)</f>
        <v>250</v>
      </c>
      <c r="E20" s="11">
        <v>0.14199999999999999</v>
      </c>
      <c r="F20" s="8">
        <f>C20/B20-1</f>
        <v>-1.1764705882352233E-3</v>
      </c>
      <c r="G20">
        <f>D20*C20</f>
        <v>4245</v>
      </c>
      <c r="H20" s="8">
        <f>G20/$G$27</f>
        <v>0.14120079551430517</v>
      </c>
      <c r="I20" s="8">
        <f>G20/$F$31</f>
        <v>4.1013066212189718E-2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285.93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1.0781957013574761E-2</v>
      </c>
      <c r="G21">
        <f t="shared" ref="G21:G22" si="8">D21*C21</f>
        <v>10865.34</v>
      </c>
      <c r="H21" s="8">
        <f t="shared" ref="H21:H23" si="9">G21/$G$27</f>
        <v>0.36141216761681993</v>
      </c>
      <c r="I21" s="8">
        <f t="shared" ref="I21:I23" si="10">G21/$F$31</f>
        <v>0.10497547911376995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81.150000000000006</v>
      </c>
      <c r="D22">
        <f t="shared" si="6"/>
        <v>144</v>
      </c>
      <c r="E22" s="11">
        <v>0.39300000000000002</v>
      </c>
      <c r="F22" s="8">
        <f t="shared" si="7"/>
        <v>-4.5387634936210342E-3</v>
      </c>
      <c r="G22">
        <f t="shared" si="8"/>
        <v>11685.6</v>
      </c>
      <c r="H22" s="8">
        <f t="shared" si="9"/>
        <v>0.38869635242920247</v>
      </c>
      <c r="I22" s="8">
        <f t="shared" si="10"/>
        <v>0.11290042085492678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83.23</v>
      </c>
      <c r="D23">
        <f>ROUNDDOWN(($C$3*E23)/B23,0)</f>
        <v>35</v>
      </c>
      <c r="E23" s="11">
        <v>9.9000000000000005E-2</v>
      </c>
      <c r="F23" s="8">
        <f t="shared" si="7"/>
        <v>2.0467132193595639E-3</v>
      </c>
      <c r="G23">
        <f>D23*C23</f>
        <v>2913.05</v>
      </c>
      <c r="H23" s="8">
        <f t="shared" si="9"/>
        <v>9.6896343315181793E-2</v>
      </c>
      <c r="I23" s="8">
        <f t="shared" si="10"/>
        <v>2.8144431691264845E-2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30063.570000000003</v>
      </c>
      <c r="J27">
        <f>SUM(J20:J23)</f>
        <v>29645.42</v>
      </c>
    </row>
    <row r="28" spans="1:10" x14ac:dyDescent="0.25">
      <c r="F28" t="s">
        <v>106</v>
      </c>
      <c r="G28" s="8">
        <f>G27/J27-1</f>
        <v>1.4105045568590491E-2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103503.6</v>
      </c>
    </row>
    <row r="33" spans="1:9" x14ac:dyDescent="0.25">
      <c r="E33" t="s">
        <v>105</v>
      </c>
      <c r="F33" s="8">
        <f>F31/B1-1</f>
        <v>3.5036000000000067E-2</v>
      </c>
      <c r="H33" s="11">
        <f>F33-F37</f>
        <v>5.5966172765875254E-3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38.14</v>
      </c>
      <c r="D37" s="8">
        <f>C37/B37-1</f>
        <v>-3.136434918975417E-3</v>
      </c>
      <c r="E37" s="11"/>
      <c r="F37" s="8">
        <f>D37*$B$3+D40*$B$2</f>
        <v>2.9439382723412542E-2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285.93</v>
      </c>
      <c r="D38" s="8">
        <f t="shared" ref="D38:D39" si="12">C38/B38-1</f>
        <v>4.8399516004839827E-2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181.45</v>
      </c>
      <c r="D39" s="8">
        <f t="shared" si="12"/>
        <v>6.6913623801963862E-2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46.64</v>
      </c>
      <c r="D40" s="8">
        <f>C40/B40-1</f>
        <v>4.3400447427293098E-2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2018-08-15T11:47:35Z</dcterms:modified>
</cp:coreProperties>
</file>