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" i="4" l="1"/>
  <c r="D40" i="4"/>
  <c r="F37" i="4"/>
  <c r="B3" i="4"/>
  <c r="B37" i="4" l="1"/>
  <c r="B40" i="4"/>
  <c r="B38" i="4"/>
  <c r="B39" i="4"/>
  <c r="B6" i="4"/>
  <c r="B10" i="4"/>
  <c r="B7" i="4"/>
  <c r="B8" i="4"/>
  <c r="B9" i="4"/>
  <c r="B5" i="4"/>
  <c r="C20" i="4"/>
  <c r="C37" i="4"/>
  <c r="C5" i="4"/>
  <c r="C8" i="4"/>
  <c r="C7" i="4"/>
  <c r="C39" i="4"/>
  <c r="C40" i="4"/>
  <c r="C6" i="4"/>
  <c r="C38" i="4"/>
  <c r="C10" i="4"/>
  <c r="C21" i="4"/>
  <c r="C9" i="4"/>
  <c r="F20" i="4" l="1"/>
  <c r="D39" i="4"/>
  <c r="D38" i="4"/>
  <c r="E69" i="2"/>
  <c r="F69" i="2"/>
  <c r="G69" i="2" s="1"/>
  <c r="J69" i="2"/>
  <c r="P69" i="2" s="1"/>
  <c r="K69" i="2"/>
  <c r="Q69" i="2" s="1"/>
  <c r="L69" i="2"/>
  <c r="R69" i="2" s="1"/>
  <c r="N69" i="2"/>
  <c r="T69" i="2" s="1"/>
  <c r="B69" i="2"/>
  <c r="D69" i="2"/>
  <c r="B21" i="4"/>
  <c r="B22" i="4"/>
  <c r="B23" i="4"/>
  <c r="B20" i="4"/>
  <c r="Z69" i="2" l="1"/>
  <c r="AN69" i="2"/>
  <c r="AF69" i="2"/>
  <c r="AD69" i="2"/>
  <c r="AL69" i="2"/>
  <c r="X69" i="2"/>
  <c r="AB69" i="2"/>
  <c r="V69" i="2"/>
  <c r="AJ69" i="2"/>
  <c r="AK69" i="2"/>
  <c r="AC69" i="2"/>
  <c r="W69" i="2"/>
  <c r="M69" i="2"/>
  <c r="S69" i="2" s="1"/>
  <c r="AI69" i="2"/>
  <c r="H69" i="2"/>
  <c r="AM69" i="2" l="1"/>
  <c r="AE69" i="2"/>
  <c r="Y69" i="2"/>
  <c r="C3" i="4"/>
  <c r="C2" i="4"/>
  <c r="W1" i="4" a="1"/>
  <c r="C22" i="4"/>
  <c r="C23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P21" i="1" a="1"/>
  <c r="F14" i="4" l="1"/>
  <c r="G9" i="4"/>
  <c r="G7" i="4"/>
  <c r="G5" i="4"/>
  <c r="G8" i="4"/>
  <c r="G6" i="4"/>
  <c r="G10" i="4"/>
  <c r="H21" i="4"/>
  <c r="H20" i="4"/>
  <c r="H22" i="4"/>
  <c r="H23" i="4"/>
  <c r="F31" i="4"/>
  <c r="F33" i="4" s="1"/>
  <c r="O20" i="1"/>
  <c r="P12" i="1"/>
  <c r="N12" i="1"/>
  <c r="T12" i="1"/>
  <c r="L13" i="1" a="1"/>
  <c r="U2" i="1"/>
  <c r="U12" i="1"/>
  <c r="B12" i="1"/>
  <c r="L12" i="1" a="1"/>
  <c r="U6" i="1"/>
  <c r="U9" i="1"/>
  <c r="U5" i="1"/>
  <c r="U11" i="1"/>
  <c r="U4" i="1"/>
  <c r="U3" i="1"/>
  <c r="U7" i="1"/>
  <c r="M12" i="1"/>
  <c r="U8" i="1"/>
  <c r="U10" i="1"/>
  <c r="G2" i="4" l="1"/>
  <c r="H17" i="4"/>
  <c r="I20" i="4"/>
  <c r="H6" i="4"/>
  <c r="H10" i="4"/>
  <c r="H9" i="4"/>
  <c r="H8" i="4"/>
  <c r="H5" i="4"/>
  <c r="I23" i="4"/>
  <c r="I22" i="4"/>
  <c r="H7" i="4"/>
  <c r="I21" i="4"/>
  <c r="L13" i="1"/>
  <c r="U14" i="1" a="1"/>
  <c r="U14" i="1" s="1"/>
  <c r="V14" i="1" s="1"/>
  <c r="E67" i="2"/>
  <c r="F67" i="2" s="1"/>
  <c r="J67" i="2"/>
  <c r="K67" i="2"/>
  <c r="L67" i="2"/>
  <c r="N67" i="2"/>
  <c r="B67" i="2"/>
  <c r="D67" i="2"/>
  <c r="E68" i="3" a="1"/>
  <c r="B71" i="3" a="1"/>
  <c r="E72" i="3" a="1"/>
  <c r="C68" i="3" a="1"/>
  <c r="E71" i="3" a="1"/>
  <c r="C72" i="3" a="1"/>
  <c r="D68" i="3" a="1"/>
  <c r="B68" i="3" a="1"/>
  <c r="D71" i="3" a="1"/>
  <c r="B72" i="3" a="1"/>
  <c r="D72" i="3" a="1"/>
  <c r="C71" i="3" a="1"/>
  <c r="B69" i="3" a="1"/>
  <c r="C69" i="3" a="1"/>
  <c r="E69" i="3" a="1"/>
  <c r="D69" i="3" a="1"/>
  <c r="D70" i="3" a="1"/>
  <c r="C70" i="3" a="1"/>
  <c r="E70" i="3" a="1"/>
  <c r="B70" i="3" a="1"/>
  <c r="L12" i="1"/>
  <c r="G67" i="2" l="1"/>
  <c r="H67" i="2"/>
  <c r="AI67" i="2"/>
  <c r="M67" i="2"/>
  <c r="C71" i="3"/>
  <c r="D72" i="3"/>
  <c r="B72" i="3"/>
  <c r="G72" i="3" s="1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H72" i="3" s="1"/>
  <c r="E71" i="3"/>
  <c r="J71" i="3" s="1"/>
  <c r="C70" i="3"/>
  <c r="H70" i="3" s="1"/>
  <c r="E69" i="3"/>
  <c r="J69" i="3" s="1"/>
  <c r="N68" i="2" s="1"/>
  <c r="C68" i="3"/>
  <c r="H68" i="3" s="1"/>
  <c r="E72" i="3"/>
  <c r="J72" i="3" s="1"/>
  <c r="B71" i="3"/>
  <c r="E68" i="3"/>
  <c r="J68" i="3" s="1"/>
  <c r="D69" i="3"/>
  <c r="I69" i="3" s="1"/>
  <c r="L68" i="2" s="1"/>
  <c r="G71" i="3" l="1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0" i="1"/>
  <c r="J8" i="1"/>
  <c r="J11" i="1"/>
  <c r="J12" i="1"/>
  <c r="J9" i="1"/>
  <c r="J7" i="1"/>
  <c r="J5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6" i="1"/>
  <c r="M11" i="1"/>
  <c r="M9" i="1"/>
  <c r="M10" i="1"/>
  <c r="M4" i="1"/>
  <c r="M5" i="1"/>
  <c r="M7" i="1"/>
  <c r="M2" i="1"/>
  <c r="M3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5" i="1" a="1"/>
  <c r="L11" i="1" a="1"/>
  <c r="L4" i="1" a="1"/>
  <c r="L10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0" i="1"/>
  <c r="L4" i="1"/>
  <c r="L5" i="1"/>
  <c r="L11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3" i="1"/>
  <c r="L8" i="1"/>
  <c r="L9" i="1"/>
  <c r="L2" i="1"/>
  <c r="L7" i="1"/>
  <c r="K26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4" i="1"/>
  <c r="K22" i="1"/>
  <c r="K23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10" i="1"/>
  <c r="J6" i="1"/>
  <c r="B8" i="1"/>
  <c r="J2" i="1"/>
  <c r="B9" i="1"/>
  <c r="B3" i="1"/>
  <c r="B2" i="1"/>
  <c r="B6" i="1"/>
  <c r="B4" i="1"/>
  <c r="B7" i="1"/>
  <c r="B11" i="1"/>
  <c r="B5" i="1"/>
  <c r="J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I21" i="1" s="1"/>
  <c r="F2" i="1" s="1"/>
  <c r="E3" i="1"/>
  <c r="T18" i="2" l="1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Q33" i="2"/>
  <c r="R33" i="2"/>
  <c r="AD32" i="2"/>
  <c r="P33" i="2"/>
  <c r="AB32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AC32" i="2" l="1"/>
  <c r="W32" i="2"/>
  <c r="X32" i="2"/>
  <c r="R34" i="2"/>
  <c r="AL34" i="2" s="1"/>
  <c r="AL33" i="2"/>
  <c r="V32" i="2"/>
  <c r="Q34" i="2"/>
  <c r="AK34" i="2" s="1"/>
  <c r="AK33" i="2"/>
  <c r="P34" i="2"/>
  <c r="AJ34" i="2" s="1"/>
  <c r="AJ33" i="2"/>
  <c r="AC34" i="2"/>
  <c r="R35" i="2"/>
  <c r="AD34" i="2"/>
  <c r="AB33" i="2"/>
  <c r="V33" i="2"/>
  <c r="AD33" i="2"/>
  <c r="X33" i="2"/>
  <c r="AC33" i="2"/>
  <c r="W33" i="2"/>
  <c r="T25" i="2"/>
  <c r="Z24" i="2"/>
  <c r="AF24" i="2"/>
  <c r="S14" i="2"/>
  <c r="Y13" i="2"/>
  <c r="AE13" i="2"/>
  <c r="F14" i="2"/>
  <c r="G13" i="2"/>
  <c r="H13" i="2"/>
  <c r="W34" i="2" l="1"/>
  <c r="V34" i="2"/>
  <c r="P35" i="2"/>
  <c r="AJ35" i="2" s="1"/>
  <c r="AB34" i="2"/>
  <c r="R36" i="2"/>
  <c r="X36" i="2" s="1"/>
  <c r="AL35" i="2"/>
  <c r="P36" i="2"/>
  <c r="AB36" i="2" s="1"/>
  <c r="X34" i="2"/>
  <c r="Q35" i="2"/>
  <c r="AC35" i="2" s="1"/>
  <c r="X35" i="2"/>
  <c r="AD35" i="2"/>
  <c r="W35" i="2"/>
  <c r="AB35" i="2"/>
  <c r="Z25" i="2"/>
  <c r="T26" i="2"/>
  <c r="AF25" i="2"/>
  <c r="S15" i="2"/>
  <c r="Y14" i="2"/>
  <c r="AE14" i="2"/>
  <c r="G14" i="2"/>
  <c r="F15" i="2"/>
  <c r="H14" i="2"/>
  <c r="V35" i="2" l="1"/>
  <c r="AD36" i="2"/>
  <c r="Q36" i="2"/>
  <c r="AK35" i="2"/>
  <c r="P37" i="2"/>
  <c r="AJ36" i="2"/>
  <c r="V36" i="2"/>
  <c r="R37" i="2"/>
  <c r="AL36" i="2"/>
  <c r="Z26" i="2"/>
  <c r="T27" i="2"/>
  <c r="AF26" i="2"/>
  <c r="S16" i="2"/>
  <c r="AE15" i="2"/>
  <c r="Y15" i="2"/>
  <c r="F16" i="2"/>
  <c r="G15" i="2"/>
  <c r="H15" i="2"/>
  <c r="R38" i="2" l="1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T35" i="2"/>
  <c r="Z34" i="2"/>
  <c r="AF34" i="2"/>
  <c r="Z33" i="2"/>
  <c r="AF33" i="2"/>
  <c r="AE19" i="2"/>
  <c r="S20" i="2"/>
  <c r="Y19" i="2"/>
  <c r="F20" i="2"/>
  <c r="G19" i="2"/>
  <c r="H19" i="2"/>
  <c r="Q41" i="2" l="1"/>
  <c r="AK40" i="2"/>
  <c r="AC40" i="2"/>
  <c r="W40" i="2"/>
  <c r="T36" i="2"/>
  <c r="AN35" i="2"/>
  <c r="P42" i="2"/>
  <c r="AJ41" i="2"/>
  <c r="AB41" i="2"/>
  <c r="V41" i="2"/>
  <c r="R42" i="2"/>
  <c r="AL41" i="2"/>
  <c r="X41" i="2"/>
  <c r="AD41" i="2"/>
  <c r="AF36" i="2"/>
  <c r="Z36" i="2"/>
  <c r="Z35" i="2"/>
  <c r="AF35" i="2"/>
  <c r="S21" i="2"/>
  <c r="Y20" i="2"/>
  <c r="AE20" i="2"/>
  <c r="F21" i="2"/>
  <c r="F22" i="2" s="1"/>
  <c r="G20" i="2"/>
  <c r="H20" i="2"/>
  <c r="P43" i="2" l="1"/>
  <c r="AJ42" i="2"/>
  <c r="AB42" i="2"/>
  <c r="V42" i="2"/>
  <c r="R43" i="2"/>
  <c r="AL42" i="2"/>
  <c r="X42" i="2"/>
  <c r="AD42" i="2"/>
  <c r="T37" i="2"/>
  <c r="AN36" i="2"/>
  <c r="Q42" i="2"/>
  <c r="AK41" i="2"/>
  <c r="W41" i="2"/>
  <c r="AC41" i="2"/>
  <c r="F23" i="2"/>
  <c r="G22" i="2"/>
  <c r="H22" i="2"/>
  <c r="Y21" i="2"/>
  <c r="AE21" i="2"/>
  <c r="S22" i="2"/>
  <c r="G21" i="2"/>
  <c r="H21" i="2"/>
  <c r="R44" i="2" l="1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S34" i="2"/>
  <c r="AM34" i="2" s="1"/>
  <c r="AM33" i="2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Y34" i="2"/>
  <c r="Y33" i="2"/>
  <c r="AE33" i="2"/>
  <c r="S35" i="2" l="1"/>
  <c r="AE34" i="2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S36" i="2"/>
  <c r="Y36" i="2" s="1"/>
  <c r="AM35" i="2"/>
  <c r="F32" i="2"/>
  <c r="H31" i="2"/>
  <c r="G31" i="2"/>
  <c r="Y35" i="2"/>
  <c r="AE35" i="2"/>
  <c r="AN46" i="2" l="1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I2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AL67" i="2"/>
  <c r="AD67" i="2"/>
  <c r="X67" i="2"/>
  <c r="R68" i="2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L33" i="1" l="1"/>
  <c r="K33" i="1"/>
  <c r="X68" i="2"/>
  <c r="AD68" i="2"/>
  <c r="AL68" i="2"/>
  <c r="P46" i="1"/>
  <c r="V68" i="2"/>
  <c r="AB68" i="2"/>
  <c r="AJ68" i="2"/>
  <c r="N46" i="1" s="1"/>
  <c r="AK67" i="2"/>
  <c r="AC67" i="2"/>
  <c r="W67" i="2"/>
  <c r="Q68" i="2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K68" i="2" l="1"/>
  <c r="O46" i="1" s="1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T64" i="2" l="1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S57" i="2"/>
  <c r="AM56" i="2"/>
  <c r="Y56" i="2"/>
  <c r="AE56" i="2"/>
  <c r="AN66" i="2"/>
  <c r="Z66" i="2"/>
  <c r="AF66" i="2"/>
  <c r="F54" i="2"/>
  <c r="G53" i="2"/>
  <c r="H53" i="2"/>
  <c r="L34" i="1" l="1"/>
  <c r="K34" i="1"/>
  <c r="AN68" i="2"/>
  <c r="R46" i="1" s="1"/>
  <c r="Z68" i="2"/>
  <c r="AF68" i="2"/>
  <c r="S58" i="2"/>
  <c r="AM57" i="2"/>
  <c r="AE57" i="2"/>
  <c r="Y57" i="2"/>
  <c r="F55" i="2"/>
  <c r="G54" i="2"/>
  <c r="H54" i="2"/>
  <c r="S59" i="2" l="1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AM66" i="2"/>
  <c r="AE66" i="2"/>
  <c r="Y66" i="2"/>
  <c r="H63" i="2"/>
  <c r="L31" i="1" s="1"/>
  <c r="G63" i="2"/>
  <c r="K31" i="1" s="1"/>
  <c r="AM68" i="2" l="1"/>
  <c r="Q46" i="1" s="1"/>
  <c r="Y68" i="2"/>
  <c r="K32" i="1" s="1"/>
  <c r="AE68" i="2"/>
  <c r="L32" i="1" s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<sst xmlns="http://schemas.openxmlformats.org/spreadsheetml/2006/main" count="159" uniqueCount="112">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</sst>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b680f398aee849e8bbd7e44ce06d14f2">
      <tp>
        <v>-1.362954886193962E-4</v>
        <stp/>
        <stp>ACWI</stp>
        <stp>change in percent</stp>
        <tr r="K22" s="1"/>
      </tp>
    </main>
    <main first="rtdsrv.b680f398aee849e8bbd7e44ce06d14f2">
      <tp>
        <v>0.81968596999999999</v>
        <stp/>
        <stp>TLT</stp>
        <stp>mtd percent change</stp>
        <tr r="U5" s="1"/>
      </tp>
      <tp>
        <v>9.6315919999999999E-2</v>
        <stp/>
        <stp>SHY</stp>
        <stp>mtd percent change</stp>
        <tr r="U12" s="1"/>
      </tp>
      <tp>
        <v>-0.37974683999999997</v>
        <stp/>
        <stp>RWX</stp>
        <stp>mtd percent change</stp>
        <tr r="U6" s="1"/>
      </tp>
      <tp>
        <v>1.3009049800000001</v>
        <stp/>
        <stp>IVV</stp>
        <stp>mtd percent change</stp>
        <tr r="U3" s="1"/>
      </tp>
      <tp>
        <v>0.50294406000000003</v>
        <stp/>
        <stp>IYR</stp>
        <stp>mtd percent change</stp>
        <tr r="U4" s="1"/>
      </tp>
      <tp>
        <v>-1.19565217</v>
        <stp/>
        <stp>IEV</stp>
        <stp>mtd percent change</stp>
        <tr r="U9" s="1"/>
      </tp>
      <tp>
        <v>0.47858694000000002</v>
        <stp/>
        <stp>IEF</stp>
        <stp>mtd percent change</stp>
        <tr r="U11" s="1"/>
      </tp>
      <tp>
        <v>-0.71955880000000005</v>
        <stp/>
        <stp>GLD</stp>
        <stp>mtd percent change</stp>
        <tr r="U8" s="1"/>
      </tp>
    </main>
    <main first="rtdsrv.b680f398aee849e8bbd7e44ce06d14f2">
      <tp>
        <v>-1.3155661199999999</v>
        <stp/>
        <stp>EWJ</stp>
        <stp>mtd percent change</stp>
        <tr r="U7" s="1"/>
      </tp>
      <tp>
        <v>-1.2145748999999999</v>
        <stp/>
        <stp>EEM</stp>
        <stp>mtd percent change</stp>
        <tr r="U10" s="1"/>
      </tp>
      <tp>
        <v>1.14705882</v>
        <stp/>
        <stp>DBC</stp>
        <stp>mtd percent change</stp>
        <tr r="U2" s="1"/>
      </tp>
    </main>
    <main first="rtdsrv.b680f398aee849e8bbd7e44ce06d14f2">
      <tp>
        <v>2.8328611898017393E-3</v>
        <stp/>
        <stp>GYLD</stp>
        <stp>change in percent</stp>
        <tr r="K26" s="1"/>
      </tp>
    </main>
    <main first="rtdsrv.b680f398aee849e8bbd7e44ce06d14f2">
      <tp t="s">
        <v>ISHARES TR-20 YR TR BD ETF</v>
        <stp/>
        <stp>TLT</stp>
        <stp>description</stp>
        <tr r="B5" s="1"/>
      </tp>
    </main>
    <main first="rtdsrv.b680f398aee849e8bbd7e44ce06d14f2">
      <tp t="s">
        <v>SPDR INDEX SHS FDS-DJ INTL RL ETF</v>
        <stp/>
        <stp>RWX</stp>
        <stp>description</stp>
        <tr r="B6" s="1"/>
      </tp>
    </main>
    <main first="rtdsrv.b680f398aee849e8bbd7e44ce06d14f2">
      <tp>
        <v>52.79</v>
        <stp/>
        <stp>MU</stp>
        <stp>last</stp>
        <tr r="C9" s="4"/>
      </tp>
    </main>
    <main first="rtdsrv.b680f398aee849e8bbd7e44ce06d14f2">
      <tp t="s">
        <v>ISHARES TR-1 3 YR TREAS BD</v>
        <stp/>
        <stp>SHY</stp>
        <stp>description</stp>
        <tr r="B12" s="1"/>
      </tp>
    </main>
    <main first="rtdsrv.b680f398aee849e8bbd7e44ce06d14f2">
      <tp t="s">
        <v>ISHARES TR-EUROPE ETF</v>
        <stp/>
        <stp>IEV</stp>
        <stp>description</stp>
        <tr r="B9" s="1"/>
      </tp>
      <tp t="s">
        <v>ISHARES TR-BARCLAYS 7 10 YR</v>
        <stp/>
        <stp>IEF</stp>
        <stp>description</stp>
        <tr r="B11" s="1"/>
      </tp>
    </main>
    <main first="rtdsrv.b680f398aee849e8bbd7e44ce06d14f2">
      <tp t="s">
        <v>ISHARES TR-CORE S&amp;P500 ETF</v>
        <stp/>
        <stp>IVV</stp>
        <stp>description</stp>
        <tr r="B3" s="1"/>
      </tp>
      <tp t="s">
        <v>ISHARES TR-U.S. REAL ES ETF</v>
        <stp/>
        <stp>IYR</stp>
        <stp>description</stp>
        <tr r="B4" s="1"/>
      </tp>
    </main>
    <main first="rtdsrv.b680f398aee849e8bbd7e44ce06d14f2">
      <tp t="s">
        <v>INVESCO DB COMMDY INDX TRCK-UNIT</v>
        <stp/>
        <stp>DBC</stp>
        <stp>description</stp>
        <tr r="B2" s="1"/>
      </tp>
    </main>
    <main first="rtdsrv.b680f398aee849e8bbd7e44ce06d14f2">
      <tp t="s">
        <v>ISHARES TR-MSCI EMG MKT ETF</v>
        <stp/>
        <stp>EEM</stp>
        <stp>description</stp>
        <tr r="B10" s="1"/>
      </tp>
    </main>
    <main first="rtdsrv.b680f398aee849e8bbd7e44ce06d14f2">
      <tp t="s">
        <v>ISHARES INC-MSCI JPN ETF NEW</v>
        <stp/>
        <stp>EWJ</stp>
        <stp>description</stp>
        <tr r="B7" s="1"/>
      </tp>
    </main>
    <main first="rtdsrv.b680f398aee849e8bbd7e44ce06d14f2">
      <tp t="s">
        <v>SPDR GOLD TRUST-GOLD SHS</v>
        <stp/>
        <stp>GLD</stp>
        <stp>description</stp>
        <tr r="B8" s="1"/>
      </tp>
    </main>
    <main first="rtdsrv.b680f398aee849e8bbd7e44ce06d14f2">
      <tp>
        <v>2.0396270396270456E-3</v>
        <stp/>
        <stp>DBC</stp>
        <stp>change in percent</stp>
        <tr r="L2" s="1"/>
      </tp>
    </main>
    <main first="rtdsrv.b680f398aee849e8bbd7e44ce06d14f2">
      <tp>
        <v>1.0322453794731027E-3</v>
        <stp/>
        <stp>IEF</stp>
        <stp>change in percent</stp>
        <tr r="L11" s="1"/>
      </tp>
    </main>
    <main first="rtdsrv.b680f398aee849e8bbd7e44ce06d14f2">
      <tp>
        <v>9.4366330093417295E-4</v>
        <stp/>
        <stp>AGG</stp>
        <stp>change in percent</stp>
        <tr r="K23" s="1"/>
      </tp>
    </main>
    <main first="rtdsrv.b680f398aee849e8bbd7e44ce06d14f2">
      <tp>
        <v>-5.2949878176123044E-3</v>
        <stp/>
        <stp>GLD</stp>
        <stp>change in percent</stp>
        <tr r="L8" s="1"/>
      </tp>
    </main>
    <main first="rtdsrv.b680f398aee849e8bbd7e44ce06d14f2">
      <tp>
        <v>-7.3416424790848558E-3</v>
        <stp/>
        <stp>EWJ</stp>
        <stp>change in percent</stp>
        <tr r="L7" s="1"/>
      </tp>
    </main>
    <main first="rtdsrv.b680f398aee849e8bbd7e44ce06d14f2">
      <tp>
        <v>-6.6726984845058126E-3</v>
        <stp/>
        <stp>EEM</stp>
        <stp>change in percent</stp>
        <tr r="L10" s="1"/>
      </tp>
    </main>
    <main first="rtdsrv.b680f398aee849e8bbd7e44ce06d14f2">
      <tp>
        <v>-3.4059116895753193E-3</v>
        <stp/>
        <stp>IYR</stp>
        <stp>change in percent</stp>
        <tr r="L4" s="1"/>
      </tp>
    </main>
    <main first="rtdsrv.b680f398aee849e8bbd7e44ce06d14f2">
      <tp>
        <v>-4.8171666301729584E-3</v>
        <stp/>
        <stp>IEV</stp>
        <stp>change in percent</stp>
        <tr r="L9" s="1"/>
      </tp>
      <tp>
        <v>3.5370337944317632E-3</v>
        <stp/>
        <stp>IVV</stp>
        <stp>change in percent</stp>
        <tr r="K24" s="1"/>
        <tr r="L3" s="1"/>
      </tp>
    </main>
    <main first="rtdsrv.b680f398aee849e8bbd7e44ce06d14f2">
      <tp>
        <v>1.7698372756248866E-3</v>
        <stp/>
        <stp>TLT</stp>
        <stp>change in percent</stp>
        <tr r="L5" s="1"/>
      </tp>
    </main>
    <main first="rtdsrv.b680f398aee849e8bbd7e44ce06d14f2">
      <tp>
        <v>-5.056890012642124E-3</v>
        <stp/>
        <stp>RWX</stp>
        <stp>change in percent</stp>
        <tr r="L6" s="1"/>
      </tp>
    </main>
    <main first="rtdsrv.b680f398aee849e8bbd7e44ce06d14f2">
      <tp>
        <v>2.4061597690081809E-4</v>
        <stp/>
        <stp>SHY</stp>
        <stp>change in percent</stp>
        <tr r="L12" s="1"/>
      </tp>
    </main>
    <main first="rtdsrv.b680f398aee849e8bbd7e44ce06d14f2">
      <tp>
        <v>38.406599999999997</v>
        <stp/>
        <stp>GAL</stp>
        <stp>last</stp>
        <tr r="C37" s="4"/>
      </tp>
    </main>
    <main first="rtdsrv.b680f398aee849e8bbd7e44ce06d14f2">
      <tp>
        <v>17.195</v>
        <stp/>
        <stp>DBC</stp>
        <stp>last</stp>
        <tr r="J2" s="1"/>
        <tr r="C20" s="4"/>
      </tp>
    </main>
    <main first="rtdsrv.b680f398aee849e8bbd7e44ce06d14f2">
      <tp>
        <v>101.825</v>
        <stp/>
        <stp>IEF</stp>
        <stp>last</stp>
        <tr r="J11" s="1"/>
      </tp>
    </main>
    <main first="rtdsrv.b680f398aee849e8bbd7e44ce06d14f2">
      <tp>
        <v>43.914999999999999</v>
        <stp/>
        <stp>EEM</stp>
        <stp>last</stp>
        <tr r="J10" s="1"/>
      </tp>
      <tp>
        <v>45.45</v>
        <stp/>
        <stp>IEV</stp>
        <stp>last</stp>
        <tr r="J9" s="1"/>
      </tp>
    </main>
    <main first="rtdsrv.b680f398aee849e8bbd7e44ce06d14f2">
      <tp>
        <v>518.92499999999995</v>
        <stp/>
        <stp>ISRG</stp>
        <stp>last</stp>
        <tr r="C8" s="4"/>
      </tp>
    </main>
    <main first="rtdsrv.b680f398aee849e8bbd7e44ce06d14f2">
      <tp>
        <v>47.04</v>
        <stp/>
        <stp>QQQE</stp>
        <stp>last</stp>
        <tr r="C40" s="4"/>
      </tp>
    </main>
    <main first="rtdsrv.b680f398aee849e8bbd7e44ce06d14f2">
      <tp t="s">
        <v>ARROW ETF TR-ARROW DJ GLB YLD</v>
        <stp/>
        <stp>GYLD</stp>
        <stp>description</stp>
        <tr r="L26" s="1"/>
      </tp>
    </main>
    <main first="rtdsrv.b680f398aee849e8bbd7e44ce06d14f2">
      <tp>
        <v>83.14</v>
        <stp/>
        <stp>SHY</stp>
        <stp>last</stp>
        <tr r="J12" s="1"/>
        <tr r="C23" s="4"/>
      </tp>
    </main>
    <main first="rtdsrv.b680f398aee849e8bbd7e44ce06d14f2">
      <tp>
        <v>82.21</v>
        <stp/>
        <stp>IYR</stp>
        <stp>close</stp>
        <tr r="G4" s="1"/>
      </tp>
    </main>
    <main first="rtdsrv.b680f398aee849e8bbd7e44ce06d14f2">
      <tp>
        <v>1845.2989</v>
        <stp/>
        <stp>AMZN</stp>
        <stp>last</stp>
        <tr r="C6" s="4"/>
      </tp>
    </main>
    <main first="rtdsrv.b680f398aee849e8bbd7e44ce06d14f2">
      <tp>
        <v>114.3115</v>
        <stp/>
        <stp>GLD</stp>
        <stp>last</stp>
        <tr r="J8" s="1"/>
      </tp>
    </main>
    <main first="rtdsrv.b680f398aee849e8bbd7e44ce06d14f2">
      <tp>
        <v>119.431</v>
        <stp/>
        <stp>TLT</stp>
        <stp>last</stp>
        <tr r="J5" s="1"/>
      </tp>
    </main>
    <main first="rtdsrv.b680f398aee849e8bbd7e44ce06d14f2">
      <tp>
        <v>119.22</v>
        <stp/>
        <stp>TLT</stp>
        <stp>close</stp>
        <tr r="G5" s="1"/>
      </tp>
      <tp>
        <v>1.79</v>
        <stp/>
        <stp>IVV</stp>
        <stp>dividend yield</stp>
        <tr r="M3" s="1"/>
      </tp>
      <tp>
        <v>0.49</v>
        <stp/>
        <stp>IYR</stp>
        <stp>dividend yield</stp>
        <tr r="M4" s="1"/>
      </tp>
      <tp>
        <v>2.36</v>
        <stp/>
        <stp>IEF</stp>
        <stp>dividend yield</stp>
        <tr r="M11" s="1"/>
      </tp>
      <tp>
        <v>4.67</v>
        <stp/>
        <stp>IEV</stp>
        <stp>dividend yield</stp>
        <tr r="M9" s="1"/>
      </tp>
      <tp>
        <v>1.57</v>
        <stp/>
        <stp>EWJ</stp>
        <stp>dividend yield</stp>
        <tr r="M7" s="1"/>
      </tp>
      <tp>
        <v>1.32</v>
        <stp/>
        <stp>EEM</stp>
        <stp>dividend yield</stp>
        <tr r="M10" s="1"/>
      </tp>
      <tp t="s">
        <v>--</v>
        <stp/>
        <stp>DBC</stp>
        <stp>dividend yield</stp>
        <tr r="M2" s="1"/>
      </tp>
    </main>
    <main first="rtdsrv.b680f398aee849e8bbd7e44ce06d14f2">
      <tp>
        <v>2.68</v>
        <stp/>
        <stp>TLT</stp>
        <stp>dividend yield</stp>
        <tr r="M5" s="1"/>
      </tp>
      <tp>
        <v>1.99</v>
        <stp/>
        <stp>SHY</stp>
        <stp>dividend yield</stp>
        <tr r="M12" s="1"/>
      </tp>
      <tp>
        <v>3.65</v>
        <stp/>
        <stp>RWX</stp>
        <stp>dividend yield</stp>
        <tr r="M6" s="1"/>
      </tp>
    </main>
    <main first="rtdsrv.b680f398aee849e8bbd7e44ce06d14f2">
      <tp>
        <v>285.55</v>
        <stp/>
        <stp>IVV</stp>
        <stp>close</stp>
        <tr r="G3" s="1"/>
      </tp>
    </main>
    <main first="rtdsrv.b680f398aee849e8bbd7e44ce06d14f2">
      <tp>
        <v>368.15</v>
        <stp/>
        <stp>ALGN</stp>
        <stp>last</stp>
        <tr r="C5" s="4"/>
      </tp>
    </main>
    <main first="rtdsrv.b680f398aee849e8bbd7e44ce06d14f2">
      <tp>
        <v>181.07</v>
        <stp/>
        <stp>QQQ</stp>
        <stp>last</stp>
        <tr r="C39" s="4"/>
      </tp>
    </main>
    <main first="rtdsrv.b680f398aee849e8bbd7e44ce06d14f2">
      <tp>
        <v>43.365000000000002</v>
        <stp/>
        <stp>CSCO</stp>
        <stp>last</stp>
        <tr r="C7" s="4"/>
      </tp>
    </main>
    <main first="rtdsrv.b680f398aee849e8bbd7e44ce06d14f2">
      <tp>
        <v>54.024999999999999</v>
        <stp/>
        <stp>STX</stp>
        <stp>last</stp>
        <tr r="C10" s="4"/>
      </tp>
    </main>
    <main first="rtdsrv.b680f398aee849e8bbd7e44ce06d14f2">
      <tp>
        <v>58.14</v>
        <stp/>
        <stp>EWJ</stp>
        <stp>last</stp>
        <tr r="J7" s="1"/>
      </tp>
    </main>
    <main first="rtdsrv.b680f398aee849e8bbd7e44ce06d14f2">
      <tp>
        <v>39.35</v>
        <stp/>
        <stp>RWX</stp>
        <stp>last</stp>
        <tr r="J6" s="1"/>
      </tp>
    </main>
    <main first="rtdsrv.b680f398aee849e8bbd7e44ce06d14f2">
      <tp>
        <v>286.56</v>
        <stp/>
        <stp>IVV</stp>
        <stp>last</stp>
        <tr r="J3" s="1"/>
        <tr r="C21" s="4"/>
        <tr r="C38" s="4"/>
      </tp>
    </main>
    <main first="rtdsrv.b680f398aee849e8bbd7e44ce06d14f2">
      <tp>
        <v>81.93</v>
        <stp/>
        <stp>IYR</stp>
        <stp>last</stp>
        <tr r="J4" s="1"/>
        <tr r="C22" s="4"/>
      </tp>
    </main>
    <main first="rtdsrv.b680f398aee849e8bbd7e44ce06d14f2">
      <tp>
        <v>17.16</v>
        <stp/>
        <stp>DBC</stp>
        <stp>close</stp>
        <tr r="G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abSelected="1" zoomScale="90" zoomScaleNormal="90" workbookViewId="0">
      <selection activeCell="S23" sqref="S23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-3.7405491422166537E-2</v>
      </c>
      <c r="F2" s="5">
        <f>I2/$I$21</f>
        <v>0.1509437734244079</v>
      </c>
      <c r="G2" s="4">
        <f>_xll.RealtimeData(A2,"Close")</f>
        <v>17.16</v>
      </c>
      <c r="H2" s="4">
        <v>176</v>
      </c>
      <c r="I2" s="4">
        <f>H2*G2</f>
        <v>3020.16</v>
      </c>
      <c r="J2" s="4">
        <f>_xll.RealtimeData(A2,"Last")</f>
        <v>17.195</v>
      </c>
      <c r="K2" s="5">
        <f>J2/D2-1</f>
        <v>-3.5442157634274718E-2</v>
      </c>
      <c r="L2" s="8">
        <f>_xll.RealtimeData(A2,"Change in Percent")</f>
        <v>2.0396270396270456E-3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-8.9437734244079137E-3</v>
      </c>
      <c r="Q2" s="31">
        <f>O2*Daily!$D$68</f>
        <v>2823.9823999999999</v>
      </c>
      <c r="R2">
        <f t="shared" ref="R2:R11" si="2">ROUND(Q2/J2,0)</f>
        <v>164</v>
      </c>
      <c r="S2">
        <f t="shared" ref="S2:S11" si="3">R2-H2</f>
        <v>-12</v>
      </c>
      <c r="T2" t="str">
        <f t="shared" ref="T2:T12" si="4">A2</f>
        <v>DBC</v>
      </c>
      <c r="U2">
        <f>_xll.RealtimeData(T2,"MTD Percent Change")</f>
        <v>1.14705882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7.2047364558050164E-2</v>
      </c>
      <c r="F3" s="5">
        <f>I3/$I$21</f>
        <v>0.41387139772027004</v>
      </c>
      <c r="G3" s="4">
        <f>_xll.RealtimeData(A3,"Close")</f>
        <v>285.55</v>
      </c>
      <c r="H3" s="4">
        <v>29</v>
      </c>
      <c r="I3" s="4">
        <f>H3*G3</f>
        <v>8280.9500000000007</v>
      </c>
      <c r="J3" s="4">
        <f>_xll.RealtimeData(A3,"Last")</f>
        <v>286.56</v>
      </c>
      <c r="K3" s="5">
        <f>J3/D3-1</f>
        <v>7.5839232315723537E-2</v>
      </c>
      <c r="L3" s="8">
        <f>_xll.RealtimeData(A3,"Change in Percent")</f>
        <v>3.5370337944317632E-3</v>
      </c>
      <c r="M3" s="29">
        <f>_xll.RealtimeData(A3,"Dividend Yield")</f>
        <v>1.79</v>
      </c>
      <c r="N3" s="4" t="str">
        <f t="shared" si="0"/>
        <v>IVV</v>
      </c>
      <c r="O3" s="5">
        <v>0.36599999999999999</v>
      </c>
      <c r="P3" s="60">
        <f t="shared" si="1"/>
        <v>-4.7871397720270048E-2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1.3009049800000001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4.8195843427259799E-2</v>
      </c>
      <c r="F4" s="5">
        <f>I4/$I$21</f>
        <v>0.22187259321158842</v>
      </c>
      <c r="G4" s="4">
        <f>_xll.RealtimeData(A4,"Close")</f>
        <v>82.21</v>
      </c>
      <c r="H4" s="4">
        <v>54</v>
      </c>
      <c r="I4" s="4">
        <f>H4*G4</f>
        <v>4439.3399999999992</v>
      </c>
      <c r="J4" s="4">
        <f>_xll.RealtimeData(A4,"Last")</f>
        <v>81.93</v>
      </c>
      <c r="K4" s="5">
        <f>J4/D4-1</f>
        <v>4.4625780951166538E-2</v>
      </c>
      <c r="L4" s="8">
        <f t="array" ref="L4">_xll.RealtimeData(A4,"Change in Percent")</f>
        <v>-3.4059116895753193E-3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0.1711274067884116</v>
      </c>
      <c r="Q4" s="31">
        <f>O4*Daily!$D$68</f>
        <v>7815.6696000000002</v>
      </c>
      <c r="R4">
        <f t="shared" si="2"/>
        <v>95</v>
      </c>
      <c r="S4">
        <f t="shared" si="3"/>
        <v>41</v>
      </c>
      <c r="T4" t="str">
        <f t="shared" si="4"/>
        <v>IYR</v>
      </c>
      <c r="U4">
        <f>_xll.RealtimeData(T4,"MTD Percent Change")</f>
        <v>0.50294406000000003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-2.5134553019041106E-2</v>
      </c>
      <c r="F5" s="5">
        <f>I5/$I$21</f>
        <v>0.20854626356485312</v>
      </c>
      <c r="G5" s="4">
        <f>_xll.RealtimeData(A5,"Close")</f>
        <v>119.22</v>
      </c>
      <c r="H5" s="4">
        <v>35</v>
      </c>
      <c r="I5" s="4">
        <f>H5*G5</f>
        <v>4172.7</v>
      </c>
      <c r="J5" s="31">
        <f>_xll.RealtimeData(A5,"Last")</f>
        <v>119.431</v>
      </c>
      <c r="K5" s="5">
        <f>J5/D5-1</f>
        <v>-2.3409199812255421E-2</v>
      </c>
      <c r="L5" s="8">
        <f t="array" ref="L5">_xll.RealtimeData(A5,"Change in Percent")</f>
        <v>1.7698372756248866E-3</v>
      </c>
      <c r="M5" s="29">
        <f>_xll.RealtimeData(A5,"Dividend Yield")</f>
        <v>2.68</v>
      </c>
      <c r="N5" s="4" t="str">
        <f t="shared" si="0"/>
        <v>TLT</v>
      </c>
      <c r="O5" s="5">
        <v>0</v>
      </c>
      <c r="P5" s="60">
        <f t="shared" si="1"/>
        <v>-0.20854626356485312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0.81968596999999999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39.35</v>
      </c>
      <c r="K6" s="5"/>
      <c r="L6" s="8">
        <f>_xll.RealtimeData(A6,"Change in Percent")</f>
        <v>-5.056890012642124E-3</v>
      </c>
      <c r="M6" s="29">
        <f>_xll.RealtimeData(A6,"Dividend Yield")</f>
        <v>3.65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-0.37974683999999997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58.14</v>
      </c>
      <c r="K7" s="5"/>
      <c r="L7" s="8">
        <f>_xll.RealtimeData(A7,"Change in Percent")</f>
        <v>-7.3416424790848558E-3</v>
      </c>
      <c r="M7" s="29">
        <f>_xll.RealtimeData(A7,"Dividend Yield")</f>
        <v>1.57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-1.3155661199999999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114.3115</v>
      </c>
      <c r="K8" s="5"/>
      <c r="L8" s="8">
        <f>_xll.RealtimeData(A8,"Change in Percent")</f>
        <v>-5.2949878176123044E-3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-0.71955880000000005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45.45</v>
      </c>
      <c r="K9" s="5"/>
      <c r="L9" s="8">
        <f>_xll.RealtimeData(A9,"Change in Percent")</f>
        <v>-4.8171666301729584E-3</v>
      </c>
      <c r="M9" s="29">
        <f>_xll.RealtimeData(A9,"Dividend Yield")</f>
        <v>4.67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-1.19565217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43.914999999999999</v>
      </c>
      <c r="K10" s="5"/>
      <c r="L10" s="8">
        <f t="array" ref="L10">_xll.RealtimeData(A10,"Change in Percent")</f>
        <v>-6.6726984845058126E-3</v>
      </c>
      <c r="M10" s="29">
        <f>_xll.RealtimeData(A10,"Dividend Yield")</f>
        <v>1.32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-1.2145748999999999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101.825</v>
      </c>
      <c r="K11" s="5"/>
      <c r="L11" s="8">
        <f t="array" ref="L11">_xll.RealtimeData(A11,"Change in Percent")</f>
        <v>1.0322453794731027E-3</v>
      </c>
      <c r="M11" s="29">
        <f>_xll.RealtimeData(A11,"Dividend Yield")</f>
        <v>2.36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0.47858694000000002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83.14</v>
      </c>
      <c r="L12" s="8">
        <f t="array" ref="L12">_xll.RealtimeData(A12,"Change in Percent")</f>
        <v>2.4061597690081809E-4</v>
      </c>
      <c r="M12" s="29">
        <f>_xll.RealtimeData(A12,"Dividend Yield")</f>
        <v>1.99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9.6315919999999999E-2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0.84620586678000009</v>
      </c>
      <c r="V14" s="8">
        <f>U14*0.01</f>
        <v>8.4620586678000008E-3</v>
      </c>
    </row>
    <row r="19" spans="5:16" s="1" customFormat="1" x14ac:dyDescent="0.25"/>
    <row r="20" spans="5:16" x14ac:dyDescent="0.25">
      <c r="E20" t="s">
        <v>70</v>
      </c>
      <c r="F20" s="11">
        <f>SUM(F2:F5)</f>
        <v>0.99523402792111959</v>
      </c>
      <c r="H20" s="2" t="s">
        <v>14</v>
      </c>
      <c r="I20" s="6">
        <v>95.36</v>
      </c>
      <c r="O20" s="11">
        <f>SUM(O2:O12)</f>
        <v>1</v>
      </c>
    </row>
    <row r="21" spans="5:16" x14ac:dyDescent="0.25">
      <c r="E21" t="s">
        <v>71</v>
      </c>
      <c r="F21" s="11">
        <f>1-F20</f>
        <v>4.7659720788804094E-3</v>
      </c>
      <c r="H21" s="2" t="s">
        <v>16</v>
      </c>
      <c r="I21" s="6">
        <f>SUM(I2:I20)</f>
        <v>20008.510000000002</v>
      </c>
      <c r="J21" t="s">
        <v>33</v>
      </c>
      <c r="K21" s="8">
        <f>SUMPRODUCT(K2:K7,F2:F7)</f>
        <v>3.1057252658759353E-2</v>
      </c>
      <c r="M21" t="s">
        <v>34</v>
      </c>
      <c r="N21" s="8">
        <f t="array" ref="N21">MMULT(TRANSPOSE(F2:F5),L2:L5)</f>
        <v>1.3851606141586956E-3</v>
      </c>
      <c r="P21" s="8">
        <f t="array" ref="P21">SUMPRODUCT(L2:L12,O2:O12)</f>
        <v>2.6947909609914604E-4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-1.362954886193962E-4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9.4366330093417295E-4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3.5370337944317632E-3</v>
      </c>
    </row>
    <row r="25" spans="5:16" x14ac:dyDescent="0.25">
      <c r="J25" t="s">
        <v>57</v>
      </c>
      <c r="K25" s="8">
        <f t="array" ref="K25">SUMPRODUCT(K22:K23,L22:L23)</f>
        <v>2.9568802720203149E-4</v>
      </c>
    </row>
    <row r="26" spans="5:16" x14ac:dyDescent="0.25">
      <c r="H26" t="s">
        <v>25</v>
      </c>
      <c r="I26" s="6">
        <f>SUM(I2:I18)</f>
        <v>19913.150000000001</v>
      </c>
      <c r="J26" t="s">
        <v>56</v>
      </c>
      <c r="K26" s="8">
        <f>_xll.RealtimeData(J26,"Change in Percent")</f>
        <v>2.8328611898017393E-3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-2.4210553624436576E-3</v>
      </c>
    </row>
    <row r="28" spans="5:16" x14ac:dyDescent="0.25">
      <c r="J28" t="s">
        <v>64</v>
      </c>
      <c r="K28" s="8">
        <f>SUMPRODUCT(F2:F7,M2:M7)*0.01</f>
        <v>1.4084513589467679E-2</v>
      </c>
      <c r="L28" t="s">
        <v>65</v>
      </c>
      <c r="M28" s="8">
        <f>AVERAGE(M2:M11)*0.01</f>
        <v>2.0588888888888893E-2</v>
      </c>
    </row>
    <row r="29" spans="5:16" ht="15.75" thickBot="1" x14ac:dyDescent="0.3"/>
    <row r="30" spans="5:16" ht="15.75" thickBot="1" x14ac:dyDescent="0.3">
      <c r="H30" s="30">
        <v>43315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1.3851606141586956E-3</v>
      </c>
      <c r="J31" s="21">
        <f>LOOKUP(2,1/(Daily!E:E&lt;&gt;""),Daily!E:E)</f>
        <v>6.1009091274790705E-3</v>
      </c>
      <c r="K31" s="22">
        <f>VLOOKUP($H$30,Daily!$A:$AF,7,0)</f>
        <v>8.0696843467171764E-3</v>
      </c>
      <c r="L31" s="23">
        <f>VLOOKUP($H$30,Daily!$A:$AF,8,0)</f>
        <v>4.2650000000010735E-4</v>
      </c>
    </row>
    <row r="32" spans="5:16" x14ac:dyDescent="0.25">
      <c r="H32" s="19" t="s">
        <v>59</v>
      </c>
      <c r="I32" s="24">
        <f>$K$25</f>
        <v>2.9568802720203149E-4</v>
      </c>
      <c r="J32" s="24">
        <f>LOOKUP(2,1/(Daily!M:M&lt;&gt;""),Daily!M:M)</f>
        <v>3.0862009052481376E-3</v>
      </c>
      <c r="K32" s="14">
        <f>VLOOKUP($H$30,Daily!$A:$AF,25,0)</f>
        <v>1.8481899477520214E-2</v>
      </c>
      <c r="L32" s="25">
        <f>VLOOKUP($H$30,Daily!$A:$AF,31,0)</f>
        <v>1.2634658761484729E-2</v>
      </c>
    </row>
    <row r="33" spans="8:18" x14ac:dyDescent="0.25">
      <c r="H33" s="19" t="s">
        <v>60</v>
      </c>
      <c r="I33" s="24">
        <f>$K$24</f>
        <v>3.5370337944317632E-3</v>
      </c>
      <c r="J33" s="24">
        <f>LOOKUP(2,1/(Daily!L:L&lt;&gt;""),Daily!L:L)</f>
        <v>4.6441262357950208E-3</v>
      </c>
      <c r="K33" s="14">
        <f>VLOOKUP($H$30,Daily!$A:$AF,24,0)</f>
        <v>4.5779161325764317E-2</v>
      </c>
      <c r="L33" s="25">
        <f>VLOOKUP($H$30,Daily!$A:$AF,30,0)</f>
        <v>7.2343481007471899E-2</v>
      </c>
    </row>
    <row r="34" spans="8:18" ht="15.75" thickBot="1" x14ac:dyDescent="0.3">
      <c r="H34" s="20" t="s">
        <v>56</v>
      </c>
      <c r="I34" s="26">
        <f>$K$26</f>
        <v>2.8328611898017393E-3</v>
      </c>
      <c r="J34" s="26">
        <f>LOOKUP(2,1/(Daily!N:N&lt;&gt;""),Daily!N:N)</f>
        <v>-1.6968325791856254E-3</v>
      </c>
      <c r="K34" s="27">
        <f>VLOOKUP($H$30,Daily!$A:$AF,26,0)</f>
        <v>1.4367816091954255E-2</v>
      </c>
      <c r="L34" s="28">
        <f>VLOOKUP($H$30,Daily!$A:$AF,32,0)</f>
        <v>2.361788018268518E-2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1.9244612943873453E-5</v>
      </c>
      <c r="J37" s="44"/>
      <c r="K37" s="22"/>
      <c r="L37" s="39"/>
      <c r="M37" s="50"/>
      <c r="N37" s="38">
        <f>AVERAGE(Daily!J$3:J380)</f>
        <v>3.0238987818562873E-4</v>
      </c>
      <c r="O37" s="22">
        <f>AVERAGE(Daily!K$3:K380)</f>
        <v>3.1222230580478587E-5</v>
      </c>
      <c r="P37" s="22">
        <f>AVERAGE(Daily!L$3:L380)</f>
        <v>1.0604041642763508E-3</v>
      </c>
      <c r="Q37" s="22">
        <f>AVERAGE(Daily!M$3:M380)</f>
        <v>1.9392281914356864E-4</v>
      </c>
      <c r="R37" s="23">
        <f>AVERAGE(Daily!N$3:N380)</f>
        <v>3.8185064993437291E-4</v>
      </c>
    </row>
    <row r="38" spans="8:18" x14ac:dyDescent="0.25">
      <c r="H38" s="56" t="s">
        <v>73</v>
      </c>
      <c r="I38" s="47">
        <f>STDEV(Daily!E$3:E380)</f>
        <v>5.1119248616554851E-3</v>
      </c>
      <c r="J38" s="45"/>
      <c r="K38" s="14"/>
      <c r="L38" s="32"/>
      <c r="M38" s="51"/>
      <c r="N38" s="40">
        <f>STDEV(Daily!J$3:J380)</f>
        <v>6.1905454163445998E-3</v>
      </c>
      <c r="O38" s="14">
        <f>STDEV(Daily!K$3:K380)</f>
        <v>1.8029137814250227E-3</v>
      </c>
      <c r="P38" s="14">
        <f>STDEV(Daily!L$3:L380)</f>
        <v>5.9384487766776378E-3</v>
      </c>
      <c r="Q38" s="14">
        <f>STDEV(Daily!M$3:M380)</f>
        <v>3.6342323495953503E-3</v>
      </c>
      <c r="R38" s="25">
        <f>STDEV(Daily!N$3:N380)</f>
        <v>8.2332598787320851E-3</v>
      </c>
    </row>
    <row r="39" spans="8:18" x14ac:dyDescent="0.25">
      <c r="H39" s="56" t="s">
        <v>74</v>
      </c>
      <c r="I39" s="48">
        <f>COUNTIF(Daily!E$3:E380,"&gt;0")</f>
        <v>38</v>
      </c>
      <c r="J39" s="45"/>
      <c r="K39" s="14"/>
      <c r="L39" s="32"/>
      <c r="M39" s="51"/>
      <c r="N39" s="41">
        <f>COUNTIF(Daily!J$3:J380,"&gt;0")</f>
        <v>34</v>
      </c>
      <c r="O39" s="33">
        <f>COUNTIF(Daily!K$3:K380,"&gt;0")</f>
        <v>34</v>
      </c>
      <c r="P39" s="33">
        <f>COUNTIF(Daily!L$3:L380,"&gt;0")</f>
        <v>39</v>
      </c>
      <c r="Q39" s="33">
        <f>COUNTIF(Daily!M$3:M380,"&gt;0")</f>
        <v>35</v>
      </c>
      <c r="R39" s="35">
        <f>COUNTIF(Daily!N$3:N380,"&gt;0")</f>
        <v>38</v>
      </c>
    </row>
    <row r="40" spans="8:18" x14ac:dyDescent="0.25">
      <c r="H40" s="56" t="s">
        <v>80</v>
      </c>
      <c r="I40" s="47">
        <f>SUMIF(Daily!E$3:E380,"&gt;0")</f>
        <v>0.12672534117654144</v>
      </c>
      <c r="J40" s="45"/>
      <c r="K40" s="14"/>
      <c r="L40" s="32"/>
      <c r="M40" s="51"/>
      <c r="N40" s="40">
        <f>SUMIF(Daily!J$3:J380,"&gt;0")</f>
        <v>0.17079524240228272</v>
      </c>
      <c r="O40" s="14">
        <f>SUMIF(Daily!K$3:K380,"&gt;0")</f>
        <v>4.7246933762094878E-2</v>
      </c>
      <c r="P40" s="14">
        <f>SUMIF(Daily!L$3:L380,"&gt;0")</f>
        <v>0.19494894145856029</v>
      </c>
      <c r="Q40" s="14">
        <f>SUMIF(Daily!M$3:M380,"&gt;0")</f>
        <v>0.10089954512041394</v>
      </c>
      <c r="R40" s="25">
        <f>SUMIF(Daily!N$3:N380,"&gt;0")</f>
        <v>0.22884459746993061</v>
      </c>
    </row>
    <row r="41" spans="8:18" x14ac:dyDescent="0.25">
      <c r="H41" s="56" t="s">
        <v>81</v>
      </c>
      <c r="I41" s="47">
        <f>SUMIF(Daily!E$3:E380,"&lt;0")</f>
        <v>-0.12543595210930192</v>
      </c>
      <c r="J41" s="45"/>
      <c r="K41" s="14"/>
      <c r="L41" s="32"/>
      <c r="M41" s="51"/>
      <c r="N41" s="40">
        <f>SUMIF(Daily!J$3:J380,"&lt;0")</f>
        <v>-0.1505351205638456</v>
      </c>
      <c r="O41" s="14">
        <f>SUMIF(Daily!K$3:K380,"&lt;0")</f>
        <v>-4.5155044313202816E-2</v>
      </c>
      <c r="P41" s="14">
        <f>SUMIF(Daily!L$3:L380,"&lt;0")</f>
        <v>-0.12390186245204478</v>
      </c>
      <c r="Q41" s="14">
        <f>SUMIF(Daily!M$3:M380,"&lt;0")</f>
        <v>-8.7906716237794877E-2</v>
      </c>
      <c r="R41" s="25">
        <f>SUMIF(Daily!N$3:N380,"&lt;0")</f>
        <v>-0.2032606039243276</v>
      </c>
    </row>
    <row r="42" spans="8:18" x14ac:dyDescent="0.25">
      <c r="H42" s="56" t="s">
        <v>75</v>
      </c>
      <c r="I42" s="48">
        <f>COUNT(Daily!E$3:E380)</f>
        <v>67</v>
      </c>
      <c r="J42" s="45"/>
      <c r="K42" s="14"/>
      <c r="L42" s="32"/>
      <c r="M42" s="51"/>
      <c r="N42" s="41">
        <f>COUNT(Daily!J$3:J380)</f>
        <v>67</v>
      </c>
      <c r="O42" s="33">
        <f>COUNT(Daily!K$3:K380)</f>
        <v>67</v>
      </c>
      <c r="P42" s="33">
        <f>COUNT(Daily!L$3:L380)</f>
        <v>67</v>
      </c>
      <c r="Q42" s="33">
        <f>COUNT(Daily!M$3:M380)</f>
        <v>67</v>
      </c>
      <c r="R42" s="35">
        <f>COUNT(Daily!N$3:N380)</f>
        <v>67</v>
      </c>
    </row>
    <row r="43" spans="8:18" x14ac:dyDescent="0.25">
      <c r="H43" s="56" t="s">
        <v>76</v>
      </c>
      <c r="I43" s="48">
        <f>I42-I39</f>
        <v>29</v>
      </c>
      <c r="J43" s="45"/>
      <c r="K43" s="14"/>
      <c r="L43" s="32"/>
      <c r="M43" s="51"/>
      <c r="N43" s="41">
        <f>N42-N39</f>
        <v>33</v>
      </c>
      <c r="O43" s="33">
        <f>O42-O39</f>
        <v>33</v>
      </c>
      <c r="P43" s="33">
        <f>P42-P39</f>
        <v>28</v>
      </c>
      <c r="Q43" s="33">
        <f>Q42-Q39</f>
        <v>32</v>
      </c>
      <c r="R43" s="35">
        <f>R42-R39</f>
        <v>29</v>
      </c>
    </row>
    <row r="44" spans="8:18" x14ac:dyDescent="0.25">
      <c r="H44" s="56" t="s">
        <v>78</v>
      </c>
      <c r="I44" s="49">
        <f>(I40/I41)*(I39/I43)*-1</f>
        <v>1.3238142059150872</v>
      </c>
      <c r="J44" s="45"/>
      <c r="K44" s="14"/>
      <c r="L44" s="32"/>
      <c r="M44" s="51"/>
      <c r="N44" s="42">
        <f>(N40/N41)*(N39/N43)*-1</f>
        <v>1.168968777181661</v>
      </c>
      <c r="O44" s="34">
        <f>(O40/O41)*(O39/O43)*-1</f>
        <v>1.0780336896575655</v>
      </c>
      <c r="P44" s="34">
        <f>(P40/P41)*(P39/P43)*-1</f>
        <v>2.1915411135009411</v>
      </c>
      <c r="Q44" s="34">
        <f>(Q40/Q41)*(Q39/Q43)*-1</f>
        <v>1.2554089402784985</v>
      </c>
      <c r="R44" s="36">
        <f>(R40/R41)*(R39/R43)*-1</f>
        <v>1.475275232023854</v>
      </c>
    </row>
    <row r="45" spans="8:18" x14ac:dyDescent="0.25">
      <c r="H45" s="61" t="s">
        <v>77</v>
      </c>
      <c r="I45" s="62">
        <f>I39/I42</f>
        <v>0.56716417910447758</v>
      </c>
      <c r="J45" s="63"/>
      <c r="K45" s="64"/>
      <c r="L45" s="65"/>
      <c r="M45" s="66"/>
      <c r="N45" s="67">
        <f>N39/N42</f>
        <v>0.5074626865671642</v>
      </c>
      <c r="O45" s="64">
        <f>O39/O42</f>
        <v>0.5074626865671642</v>
      </c>
      <c r="P45" s="64">
        <f>P39/P42</f>
        <v>0.58208955223880599</v>
      </c>
      <c r="Q45" s="64">
        <f>Q39/Q42</f>
        <v>0.52238805970149249</v>
      </c>
      <c r="R45" s="68">
        <f>R39/R42</f>
        <v>0.56716417910447758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-2.8089887640449493E-2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72"/>
  <sheetViews>
    <sheetView zoomScale="80" zoomScaleNormal="80" workbookViewId="0">
      <pane xSplit="1" ySplit="1" topLeftCell="L49" activePane="bottomRight" state="frozen"/>
      <selection pane="topRight" activeCell="B1" sqref="B1"/>
      <selection pane="bottomLeft" activeCell="A2" sqref="A2"/>
      <selection pane="bottomRight" activeCell="Y81" sqref="Y81"/>
    </sheetView>
  </sheetViews>
  <sheetFormatPr defaultRowHeight="15" x14ac:dyDescent="0.25"/>
  <cols>
    <col min="1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2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69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B70" s="4"/>
    </row>
    <row r="71" spans="1:40" x14ac:dyDescent="0.25">
      <c r="B71" s="4"/>
    </row>
    <row r="72" spans="1:40" x14ac:dyDescent="0.25">
      <c r="B7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2"/>
  <sheetViews>
    <sheetView topLeftCell="A51" zoomScale="90" zoomScaleNormal="90" workbookViewId="0">
      <selection activeCell="D80" sqref="D80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B71" t="str">
        <f t="array" ref="B71">_xll.HistoricalData(B$1,"Adj. Close",$A71,$A71,"Daily","RemoveHeaders = True","ReverseOrder =True","RemoveDates =""True")</f>
        <v>--</v>
      </c>
      <c r="C71" t="str">
        <f t="array" ref="C71">_xll.HistoricalData(C$1,"Adj. Close",$A71,$A71,"Daily","RemoveHeaders = True","ReverseOrder =True","RemoveDates =""True")</f>
        <v>--</v>
      </c>
      <c r="D71" t="str">
        <f t="array" ref="D71">_xll.HistoricalData(D$1,"Adj. Close",$A71,$A71,"Daily","RemoveHeaders = True","ReverseOrder =True","RemoveDates =""True")</f>
        <v>--</v>
      </c>
      <c r="E71" t="str">
        <f t="array" ref="E71">_xll.HistoricalData(E$1,"Adj. Close",$A71,$A71,"Daily","RemoveHeaders = True","ReverseOrder =True","RemoveDates =""True")</f>
        <v>--</v>
      </c>
      <c r="G71" s="5" t="e">
        <f t="shared" si="216"/>
        <v>#VALUE!</v>
      </c>
      <c r="H71" s="5" t="e">
        <f t="shared" si="217"/>
        <v>#VALUE!</v>
      </c>
      <c r="I71" s="5" t="e">
        <f t="shared" si="218"/>
        <v>#VALUE!</v>
      </c>
      <c r="J71" s="5" t="e">
        <f t="shared" si="219"/>
        <v>#VALUE!</v>
      </c>
    </row>
    <row r="72" spans="1:10" x14ac:dyDescent="0.25">
      <c r="B72" t="str">
        <f t="array" ref="B72">_xll.HistoricalData(B$1,"Adj. Close",$A72,$A72,"Daily","RemoveHeaders = True","ReverseOrder =True","RemoveDates =""True")</f>
        <v>--</v>
      </c>
      <c r="C72" t="str">
        <f t="array" ref="C72">_xll.HistoricalData(C$1,"Adj. Close",$A72,$A72,"Daily","RemoveHeaders = True","ReverseOrder =True","RemoveDates =""True")</f>
        <v>--</v>
      </c>
      <c r="D72" t="str">
        <f t="array" ref="D72">_xll.HistoricalData(D$1,"Adj. Close",$A72,$A72,"Daily","RemoveHeaders = True","ReverseOrder =True","RemoveDates =""True")</f>
        <v>--</v>
      </c>
      <c r="E72" t="str">
        <f t="array" ref="E72">_xll.HistoricalData(E$1,"Adj. Close",$A72,$A72,"Daily","RemoveHeaders = True","ReverseOrder =True","RemoveDates =""True")</f>
        <v>--</v>
      </c>
      <c r="G72" s="5" t="e">
        <f t="shared" si="216"/>
        <v>#VALUE!</v>
      </c>
      <c r="H72" s="5" t="e">
        <f t="shared" si="217"/>
        <v>#VALUE!</v>
      </c>
      <c r="I72" s="5" t="e">
        <f t="shared" si="218"/>
        <v>#VALUE!</v>
      </c>
      <c r="J72" s="5" t="e">
        <f t="shared" si="219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P31" sqref="P31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0.99274023542198764</v>
      </c>
    </row>
    <row r="3" spans="1:23" x14ac:dyDescent="0.25">
      <c r="A3" t="s">
        <v>94</v>
      </c>
      <c r="B3" s="71">
        <f>1-B2</f>
        <v>0.30000000000000004</v>
      </c>
      <c r="C3">
        <f>B3*B1</f>
        <v>30000.000000000004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368.15</v>
      </c>
      <c r="D5">
        <f>ROUNDDOWN(($C$2/6)/B5,0)</f>
        <v>35</v>
      </c>
      <c r="E5" s="8">
        <f>C5/B5-1</f>
        <v>0.10905256815785513</v>
      </c>
      <c r="F5">
        <f>C5*D5</f>
        <v>12885.25</v>
      </c>
      <c r="G5" s="73">
        <f>F5/$F$13</f>
        <v>0.17632156810892988</v>
      </c>
      <c r="H5" s="8">
        <f>F5/$F$31</f>
        <v>0.12470173141573514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1845.2989</v>
      </c>
      <c r="D6">
        <f t="shared" ref="D6:D10" si="0">ROUNDDOWN(($C$2/6)/B6,0)</f>
        <v>7</v>
      </c>
      <c r="E6" s="8">
        <f t="shared" ref="E6:E10" si="1">C6/B6-1</f>
        <v>0.13234919797253353</v>
      </c>
      <c r="F6">
        <f t="shared" ref="F6:F9" si="2">C6*D6</f>
        <v>12917.0923</v>
      </c>
      <c r="G6" s="73">
        <f t="shared" ref="G6:G10" si="3">F6/$F$13</f>
        <v>0.17675729766545342</v>
      </c>
      <c r="H6" s="8">
        <f t="shared" ref="H6:H10" si="4">F6/$F$31</f>
        <v>0.12500989694936929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43.365000000000002</v>
      </c>
      <c r="D7">
        <f t="shared" si="0"/>
        <v>275</v>
      </c>
      <c r="E7" s="8">
        <f t="shared" si="1"/>
        <v>2.3242095327984824E-2</v>
      </c>
      <c r="F7">
        <f t="shared" si="2"/>
        <v>11925.375</v>
      </c>
      <c r="G7" s="73">
        <f t="shared" si="3"/>
        <v>0.16318665297817503</v>
      </c>
      <c r="H7" s="8">
        <f t="shared" si="4"/>
        <v>0.11541218915286257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518.92499999999995</v>
      </c>
      <c r="D8">
        <f t="shared" si="0"/>
        <v>25</v>
      </c>
      <c r="E8" s="8">
        <f t="shared" si="1"/>
        <v>0.12890769465051011</v>
      </c>
      <c r="F8">
        <f t="shared" si="2"/>
        <v>12973.124999999998</v>
      </c>
      <c r="G8" s="73">
        <f t="shared" si="3"/>
        <v>0.17752404829344876</v>
      </c>
      <c r="H8" s="8">
        <f t="shared" si="4"/>
        <v>0.12555217394872112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52.79</v>
      </c>
      <c r="D9">
        <f t="shared" si="0"/>
        <v>202</v>
      </c>
      <c r="E9" s="8">
        <f t="shared" si="1"/>
        <v>-8.3347803438097001E-2</v>
      </c>
      <c r="F9">
        <f t="shared" si="2"/>
        <v>10663.58</v>
      </c>
      <c r="G9" s="73">
        <f t="shared" si="3"/>
        <v>0.14592026908713626</v>
      </c>
      <c r="H9" s="8">
        <f t="shared" si="4"/>
        <v>0.1032007053871834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54.024999999999999</v>
      </c>
      <c r="D10">
        <f t="shared" si="0"/>
        <v>207</v>
      </c>
      <c r="E10" s="8">
        <f t="shared" si="1"/>
        <v>-4.1259982253771144E-2</v>
      </c>
      <c r="F10">
        <f>C10*D10</f>
        <v>11183.174999999999</v>
      </c>
      <c r="G10" s="73">
        <f t="shared" si="3"/>
        <v>0.15303039928884438</v>
      </c>
      <c r="H10" s="8">
        <f t="shared" si="4"/>
        <v>0.10822927651579625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73078.127300000007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4.397324714285733E-2</v>
      </c>
    </row>
    <row r="15" spans="1:23" x14ac:dyDescent="0.25">
      <c r="E15" t="s">
        <v>108</v>
      </c>
    </row>
    <row r="17" spans="1:10" x14ac:dyDescent="0.25">
      <c r="H17" s="11">
        <f>SUM(H20:H23)</f>
        <v>0.988278513726912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17.195</v>
      </c>
      <c r="D20">
        <f>ROUNDDOWN(($C$3*E20)/B20,0)</f>
        <v>250</v>
      </c>
      <c r="E20" s="11">
        <v>0.14199999999999999</v>
      </c>
      <c r="F20" s="8">
        <f>C20/B20-1</f>
        <v>1.1470588235294121E-2</v>
      </c>
      <c r="G20">
        <f>D20*C20</f>
        <v>4298.75</v>
      </c>
      <c r="H20" s="8">
        <f>G20/$G$27</f>
        <v>0.14210541800562829</v>
      </c>
      <c r="I20" s="8">
        <f>G20/$F$31</f>
        <v>4.1602729316341666E-2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286.56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1.300904977375561E-2</v>
      </c>
      <c r="G21">
        <f t="shared" ref="G21:G22" si="8">D21*C21</f>
        <v>10889.28</v>
      </c>
      <c r="H21" s="8">
        <f t="shared" ref="H21:H23" si="9">G21/$G$27</f>
        <v>0.3599710814028097</v>
      </c>
      <c r="I21" s="8">
        <f t="shared" ref="I21:I23" si="10">G21/$F$31</f>
        <v>0.10538499989295795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81.93</v>
      </c>
      <c r="D22">
        <f t="shared" si="6"/>
        <v>144</v>
      </c>
      <c r="E22" s="11">
        <v>0.39300000000000002</v>
      </c>
      <c r="F22" s="8">
        <f t="shared" si="7"/>
        <v>5.0294406280668724E-3</v>
      </c>
      <c r="G22">
        <f t="shared" si="8"/>
        <v>11797.920000000002</v>
      </c>
      <c r="H22" s="8">
        <f t="shared" si="9"/>
        <v>0.39000834037731025</v>
      </c>
      <c r="I22" s="8">
        <f t="shared" si="10"/>
        <v>0.11417869665736638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83.14</v>
      </c>
      <c r="D23">
        <f>ROUNDDOWN(($C$3*E23)/B23,0)</f>
        <v>35</v>
      </c>
      <c r="E23" s="11">
        <v>9.9000000000000005E-2</v>
      </c>
      <c r="F23" s="8">
        <f t="shared" si="7"/>
        <v>9.6315916205158558E-4</v>
      </c>
      <c r="G23">
        <f>D23*C23</f>
        <v>2909.9</v>
      </c>
      <c r="H23" s="8">
        <f t="shared" si="9"/>
        <v>9.6193673941163779E-2</v>
      </c>
      <c r="I23" s="8">
        <f t="shared" si="10"/>
        <v>2.8161624201831371E-2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30250.430000000011</v>
      </c>
      <c r="J27">
        <f>SUM(J20:J23)</f>
        <v>29645.42</v>
      </c>
    </row>
    <row r="28" spans="1:10" x14ac:dyDescent="0.25">
      <c r="F28" t="s">
        <v>106</v>
      </c>
      <c r="G28" s="8">
        <f>G27/J27-1</f>
        <v>2.0408211453911473E-2</v>
      </c>
      <c r="I28" t="s">
        <v>26</v>
      </c>
      <c r="J28">
        <f>C3-J27</f>
        <v>354.58000000000538</v>
      </c>
    </row>
    <row r="31" spans="1:10" x14ac:dyDescent="0.25">
      <c r="E31" t="s">
        <v>101</v>
      </c>
      <c r="F31">
        <f>SUM(F13,G27)</f>
        <v>103328.55730000001</v>
      </c>
    </row>
    <row r="33" spans="1:9" x14ac:dyDescent="0.25">
      <c r="E33" t="s">
        <v>105</v>
      </c>
      <c r="F33" s="8">
        <f>F31/B1-1</f>
        <v>3.3285573000000124E-2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38.406599999999997</v>
      </c>
      <c r="D37" s="8">
        <f>C37/B37-1</f>
        <v>3.8316779926816924E-3</v>
      </c>
      <c r="E37" s="11"/>
      <c r="F37" s="8">
        <f>D37*$B$3+D40*$B$2</f>
        <v>3.7793798699817888E-2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286.56</v>
      </c>
      <c r="D38" s="8">
        <f t="shared" ref="D38:D40" si="12">C38/B38-1</f>
        <v>5.0709492905070874E-2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181.07</v>
      </c>
      <c r="D39" s="8">
        <f t="shared" si="12"/>
        <v>6.4679249720703158E-2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47.04</v>
      </c>
      <c r="D40" s="8">
        <f>C40/B40-1</f>
        <v>5.2348993288590551E-2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2018-08-06T19:19:23Z</dcterms:modified>
</cp:coreProperties>
</file>