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E35" i="1"/>
  <c r="E34" i="1"/>
  <c r="E25" i="2"/>
  <c r="F25" i="2"/>
  <c r="G25" i="2" s="1"/>
  <c r="J25" i="2"/>
  <c r="P25" i="2" s="1"/>
  <c r="K25" i="2"/>
  <c r="Q25" i="2" s="1"/>
  <c r="L25" i="2"/>
  <c r="R25" i="2" s="1"/>
  <c r="N25" i="2"/>
  <c r="T25" i="2" s="1"/>
  <c r="L5" i="1"/>
  <c r="G4" i="1"/>
  <c r="I4" i="1" l="1"/>
  <c r="E4" i="1"/>
  <c r="E36" i="1"/>
  <c r="E37" i="1"/>
  <c r="Z25" i="2"/>
  <c r="AF25" i="2"/>
  <c r="X25" i="2"/>
  <c r="AD25" i="2"/>
  <c r="AC25" i="2"/>
  <c r="W25" i="2"/>
  <c r="AB25" i="2"/>
  <c r="V25" i="2"/>
  <c r="M25" i="2"/>
  <c r="S25" i="2" s="1"/>
  <c r="H25" i="2"/>
  <c r="Q2" i="1"/>
  <c r="C26" i="3" a="1"/>
  <c r="E26" i="3" a="1"/>
  <c r="D26" i="3" a="1"/>
  <c r="B26" i="3" a="1"/>
  <c r="Y25" i="2" l="1"/>
  <c r="AE25" i="2"/>
  <c r="B26" i="3"/>
  <c r="G26" i="3" s="1"/>
  <c r="D26" i="3"/>
  <c r="I26" i="3" s="1"/>
  <c r="E26" i="3"/>
  <c r="J26" i="3" s="1"/>
  <c r="C26" i="3"/>
  <c r="H26" i="3" s="1"/>
  <c r="T6" i="1"/>
  <c r="T7" i="1"/>
  <c r="T8" i="1"/>
  <c r="T3" i="1"/>
  <c r="T5" i="1"/>
  <c r="T9" i="1"/>
  <c r="T4" i="1"/>
  <c r="T10" i="1"/>
  <c r="T11" i="1"/>
  <c r="T2" i="1"/>
  <c r="Q6" i="1"/>
  <c r="Q7" i="1"/>
  <c r="Q8" i="1"/>
  <c r="Q3" i="1"/>
  <c r="Q5" i="1"/>
  <c r="Q9" i="1"/>
  <c r="Q4" i="1"/>
  <c r="Q10" i="1"/>
  <c r="Q11" i="1"/>
  <c r="P9" i="1"/>
  <c r="P10" i="1"/>
  <c r="P11" i="1"/>
  <c r="J4" i="1"/>
  <c r="K4" i="1" l="1"/>
  <c r="R11" i="1"/>
  <c r="S11" i="1" s="1"/>
  <c r="R4" i="1"/>
  <c r="S4" i="1" s="1"/>
  <c r="R9" i="1"/>
  <c r="S9" i="1" s="1"/>
  <c r="R10" i="1"/>
  <c r="S10" i="1" s="1"/>
  <c r="E24" i="2"/>
  <c r="F24" i="2"/>
  <c r="G24" i="2" s="1"/>
  <c r="D24" i="2"/>
  <c r="C25" i="3" a="1"/>
  <c r="B25" i="3" a="1"/>
  <c r="D25" i="3" a="1"/>
  <c r="E25" i="3" a="1"/>
  <c r="E25" i="3" l="1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H24" i="2"/>
  <c r="E22" i="2"/>
  <c r="F22" i="2" s="1"/>
  <c r="E23" i="2"/>
  <c r="D22" i="2"/>
  <c r="D23" i="2"/>
  <c r="B24" i="3" a="1"/>
  <c r="C24" i="3" a="1"/>
  <c r="E24" i="3" a="1"/>
  <c r="D24" i="3" a="1"/>
  <c r="B23" i="3" a="1"/>
  <c r="C23" i="3" a="1"/>
  <c r="D23" i="3" a="1"/>
  <c r="E23" i="3" a="1"/>
  <c r="G2" i="1"/>
  <c r="G5" i="1"/>
  <c r="G3" i="1"/>
  <c r="M24" i="2" l="1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F23" i="2"/>
  <c r="G22" i="2"/>
  <c r="H22" i="2"/>
  <c r="M23" i="2" l="1"/>
  <c r="M22" i="2"/>
  <c r="G23" i="2"/>
  <c r="H23" i="2"/>
  <c r="E21" i="2"/>
  <c r="J21" i="2"/>
  <c r="K21" i="2"/>
  <c r="L21" i="2"/>
  <c r="N21" i="2"/>
  <c r="M21" i="2" l="1"/>
  <c r="E20" i="2"/>
  <c r="D20" i="2"/>
  <c r="B21" i="3" a="1"/>
  <c r="E21" i="3" a="1"/>
  <c r="C21" i="3" a="1"/>
  <c r="D21" i="3" a="1"/>
  <c r="D22" i="3" a="1"/>
  <c r="C22" i="3" a="1"/>
  <c r="E22" i="3" a="1"/>
  <c r="B22" i="3" a="1"/>
  <c r="B22" i="3" l="1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31" i="1"/>
  <c r="J20" i="3"/>
  <c r="I20" i="3"/>
  <c r="H20" i="3"/>
  <c r="E19" i="2"/>
  <c r="B20" i="3" a="1"/>
  <c r="C20" i="3" a="1"/>
  <c r="D20" i="3" a="1"/>
  <c r="E20" i="3" a="1"/>
  <c r="M4" i="1"/>
  <c r="M2" i="1"/>
  <c r="M6" i="1"/>
  <c r="M10" i="1"/>
  <c r="M9" i="1"/>
  <c r="M3" i="1"/>
  <c r="M5" i="1"/>
  <c r="M11" i="1"/>
  <c r="M8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J34" i="1" s="1"/>
  <c r="H17" i="3"/>
  <c r="K16" i="2" s="1"/>
  <c r="I17" i="3"/>
  <c r="L16" i="2" s="1"/>
  <c r="J33" i="1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J32" i="1" s="1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9" i="1" a="1"/>
  <c r="L10" i="1" a="1"/>
  <c r="L11" i="1" a="1"/>
  <c r="L4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9" i="1"/>
  <c r="L11" i="1"/>
  <c r="L10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AF4" i="2"/>
  <c r="Q3" i="2"/>
  <c r="W3" i="2" s="1"/>
  <c r="R2" i="2"/>
  <c r="S2" i="2" s="1"/>
  <c r="T2" i="2" s="1"/>
  <c r="T3" i="2" s="1"/>
  <c r="T4" i="2" s="1"/>
  <c r="Q2" i="2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S3" i="2"/>
  <c r="M3" i="2"/>
  <c r="AC3" i="2"/>
  <c r="R3" i="2"/>
  <c r="X3" i="2" s="1"/>
  <c r="P3" i="2"/>
  <c r="V3" i="2" s="1"/>
  <c r="D3" i="2"/>
  <c r="D4" i="2"/>
  <c r="L2" i="1"/>
  <c r="K26" i="1"/>
  <c r="L8" i="1"/>
  <c r="L3" i="1"/>
  <c r="L6" i="1"/>
  <c r="L7" i="1"/>
  <c r="K27" i="1" l="1"/>
  <c r="J6" i="3"/>
  <c r="N5" i="2" s="1"/>
  <c r="T5" i="2" s="1"/>
  <c r="T6" i="2" s="1"/>
  <c r="T7" i="2" s="1"/>
  <c r="T8" i="2" s="1"/>
  <c r="T9" i="2" s="1"/>
  <c r="T10" i="2" s="1"/>
  <c r="Z10" i="2" s="1"/>
  <c r="G5" i="3"/>
  <c r="G6" i="3"/>
  <c r="J5" i="2" s="1"/>
  <c r="M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F3" i="2" s="1"/>
  <c r="F4" i="2" l="1"/>
  <c r="G4" i="2" s="1"/>
  <c r="AF10" i="2"/>
  <c r="T11" i="2"/>
  <c r="T12" i="2" s="1"/>
  <c r="T13" i="2" s="1"/>
  <c r="T14" i="2" s="1"/>
  <c r="T15" i="2" s="1"/>
  <c r="T16" i="2" s="1"/>
  <c r="AF16" i="2" s="1"/>
  <c r="AF5" i="2"/>
  <c r="AF6" i="2"/>
  <c r="Z6" i="2"/>
  <c r="Z5" i="2"/>
  <c r="Z7" i="2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AF7" i="2"/>
  <c r="Z9" i="2"/>
  <c r="Z8" i="2"/>
  <c r="AF8" i="2"/>
  <c r="AF9" i="2"/>
  <c r="Z16" i="2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G3" i="2"/>
  <c r="H3" i="2"/>
  <c r="H4" i="2"/>
  <c r="Y4" i="2"/>
  <c r="S5" i="2"/>
  <c r="AD4" i="2"/>
  <c r="AC4" i="2"/>
  <c r="K23" i="1"/>
  <c r="K24" i="1"/>
  <c r="K22" i="1"/>
  <c r="T17" i="2" l="1"/>
  <c r="T18" i="2" s="1"/>
  <c r="Z11" i="2"/>
  <c r="Z12" i="2"/>
  <c r="S6" i="2"/>
  <c r="S7" i="2" s="1"/>
  <c r="F5" i="2"/>
  <c r="AF12" i="2"/>
  <c r="AF13" i="2"/>
  <c r="Z18" i="2"/>
  <c r="T19" i="2"/>
  <c r="T20" i="2" s="1"/>
  <c r="T21" i="2" s="1"/>
  <c r="AF18" i="2"/>
  <c r="Z13" i="2"/>
  <c r="AF14" i="2"/>
  <c r="Z14" i="2"/>
  <c r="AF11" i="2"/>
  <c r="AF15" i="2"/>
  <c r="AB9" i="2"/>
  <c r="V9" i="2"/>
  <c r="V6" i="2"/>
  <c r="V5" i="2"/>
  <c r="AB6" i="2"/>
  <c r="AB5" i="2"/>
  <c r="V7" i="2"/>
  <c r="AB10" i="2"/>
  <c r="AB7" i="2"/>
  <c r="AB8" i="2"/>
  <c r="V10" i="2"/>
  <c r="V8" i="2"/>
  <c r="Z15" i="2"/>
  <c r="P17" i="2"/>
  <c r="P18" i="2" s="1"/>
  <c r="AB16" i="2"/>
  <c r="V16" i="2"/>
  <c r="Z17" i="2"/>
  <c r="AF17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Y6" i="2"/>
  <c r="Y5" i="2"/>
  <c r="AE5" i="2"/>
  <c r="AC5" i="2"/>
  <c r="W5" i="2"/>
  <c r="X5" i="2"/>
  <c r="AD5" i="2"/>
  <c r="K25" i="1" a="1"/>
  <c r="K25" i="1" s="1"/>
  <c r="I32" i="1" s="1"/>
  <c r="I33" i="1"/>
  <c r="J5" i="1"/>
  <c r="B4" i="1"/>
  <c r="B2" i="1"/>
  <c r="B7" i="1"/>
  <c r="B5" i="1"/>
  <c r="B10" i="1"/>
  <c r="B8" i="1"/>
  <c r="B9" i="1"/>
  <c r="J2" i="1"/>
  <c r="J3" i="1"/>
  <c r="B3" i="1"/>
  <c r="B11" i="1"/>
  <c r="B6" i="1"/>
  <c r="R2" i="1" l="1"/>
  <c r="S2" i="1" s="1"/>
  <c r="R5" i="1"/>
  <c r="S5" i="1" s="1"/>
  <c r="R7" i="1"/>
  <c r="S7" i="1" s="1"/>
  <c r="R8" i="1"/>
  <c r="S8" i="1" s="1"/>
  <c r="R6" i="1"/>
  <c r="S6" i="1" s="1"/>
  <c r="R3" i="1"/>
  <c r="S3" i="1" s="1"/>
  <c r="AE6" i="2"/>
  <c r="S8" i="2"/>
  <c r="AE7" i="2"/>
  <c r="Y7" i="2"/>
  <c r="T22" i="2"/>
  <c r="Z21" i="2"/>
  <c r="AF21" i="2"/>
  <c r="F6" i="2"/>
  <c r="H5" i="2"/>
  <c r="G5" i="2"/>
  <c r="AF20" i="2"/>
  <c r="Z20" i="2"/>
  <c r="P19" i="2"/>
  <c r="P20" i="2" s="1"/>
  <c r="P21" i="2" s="1"/>
  <c r="AB18" i="2"/>
  <c r="V18" i="2"/>
  <c r="Z19" i="2"/>
  <c r="AF19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K5" i="1"/>
  <c r="I5" i="1"/>
  <c r="E5" i="1"/>
  <c r="E2" i="1"/>
  <c r="I2" i="1"/>
  <c r="E3" i="1"/>
  <c r="I3" i="1"/>
  <c r="I26" i="1" l="1"/>
  <c r="I21" i="1"/>
  <c r="AF22" i="2"/>
  <c r="Z22" i="2"/>
  <c r="T23" i="2"/>
  <c r="T24" i="2" s="1"/>
  <c r="P22" i="2"/>
  <c r="AB21" i="2"/>
  <c r="V21" i="2"/>
  <c r="S9" i="2"/>
  <c r="AE8" i="2"/>
  <c r="Y8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F2" i="1" l="1"/>
  <c r="P2" i="1" s="1"/>
  <c r="F4" i="1"/>
  <c r="P4" i="1" s="1"/>
  <c r="Z24" i="2"/>
  <c r="AF24" i="2"/>
  <c r="V22" i="2"/>
  <c r="P23" i="2"/>
  <c r="P24" i="2" s="1"/>
  <c r="AB22" i="2"/>
  <c r="S10" i="2"/>
  <c r="Y9" i="2"/>
  <c r="AE9" i="2"/>
  <c r="Z23" i="2"/>
  <c r="K34" i="1" s="1"/>
  <c r="AF23" i="2"/>
  <c r="L34" i="1" s="1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8" i="1"/>
  <c r="P6" i="1"/>
  <c r="F5" i="1"/>
  <c r="P5" i="1" s="1"/>
  <c r="F3" i="1"/>
  <c r="P3" i="1" s="1"/>
  <c r="K28" i="1" l="1"/>
  <c r="P7" i="1"/>
  <c r="AB24" i="2"/>
  <c r="V24" i="2"/>
  <c r="R23" i="2"/>
  <c r="R24" i="2" s="1"/>
  <c r="AD22" i="2"/>
  <c r="X22" i="2"/>
  <c r="Y10" i="2"/>
  <c r="AE10" i="2"/>
  <c r="S11" i="2"/>
  <c r="AB23" i="2"/>
  <c r="V23" i="2"/>
  <c r="Q23" i="2"/>
  <c r="Q24" i="2" s="1"/>
  <c r="AC22" i="2"/>
  <c r="W22" i="2"/>
  <c r="F9" i="2"/>
  <c r="H8" i="2"/>
  <c r="G8" i="2"/>
  <c r="N21" i="1"/>
  <c r="I31" i="1" s="1"/>
  <c r="K21" i="1"/>
  <c r="AC24" i="2" l="1"/>
  <c r="W24" i="2"/>
  <c r="AD24" i="2"/>
  <c r="X24" i="2"/>
  <c r="S12" i="2"/>
  <c r="AE11" i="2"/>
  <c r="Y11" i="2"/>
  <c r="AC23" i="2"/>
  <c r="W23" i="2"/>
  <c r="AD23" i="2"/>
  <c r="L33" i="1" s="1"/>
  <c r="X23" i="2"/>
  <c r="K33" i="1" s="1"/>
  <c r="F10" i="2"/>
  <c r="H9" i="2"/>
  <c r="G9" i="2"/>
  <c r="S13" i="2" l="1"/>
  <c r="AE12" i="2"/>
  <c r="Y12" i="2"/>
  <c r="F11" i="2"/>
  <c r="G10" i="2"/>
  <c r="H10" i="2"/>
  <c r="S14" i="2" l="1"/>
  <c r="AE13" i="2"/>
  <c r="Y13" i="2"/>
  <c r="F12" i="2"/>
  <c r="H11" i="2"/>
  <c r="G11" i="2"/>
  <c r="S15" i="2" l="1"/>
  <c r="Y14" i="2"/>
  <c r="AE14" i="2"/>
  <c r="F13" i="2"/>
  <c r="G12" i="2"/>
  <c r="H12" i="2"/>
  <c r="S16" i="2" l="1"/>
  <c r="Y15" i="2"/>
  <c r="AE15" i="2"/>
  <c r="F14" i="2"/>
  <c r="G13" i="2"/>
  <c r="H13" i="2"/>
  <c r="S17" i="2" l="1"/>
  <c r="Y16" i="2"/>
  <c r="AE16" i="2"/>
  <c r="G14" i="2"/>
  <c r="F15" i="2"/>
  <c r="H14" i="2"/>
  <c r="S18" i="2" l="1"/>
  <c r="AE17" i="2"/>
  <c r="Y17" i="2"/>
  <c r="F16" i="2"/>
  <c r="G15" i="2"/>
  <c r="H15" i="2"/>
  <c r="S19" i="2" l="1"/>
  <c r="Y18" i="2"/>
  <c r="AE18" i="2"/>
  <c r="F17" i="2"/>
  <c r="H16" i="2"/>
  <c r="G16" i="2"/>
  <c r="S20" i="2" l="1"/>
  <c r="AE19" i="2"/>
  <c r="Y19" i="2"/>
  <c r="G17" i="2"/>
  <c r="F18" i="2"/>
  <c r="H17" i="2"/>
  <c r="S21" i="2" l="1"/>
  <c r="AE20" i="2"/>
  <c r="Y20" i="2"/>
  <c r="G18" i="2"/>
  <c r="F19" i="2"/>
  <c r="H18" i="2"/>
  <c r="S22" i="2" l="1"/>
  <c r="Y21" i="2"/>
  <c r="AE21" i="2"/>
  <c r="F20" i="2"/>
  <c r="G19" i="2"/>
  <c r="H19" i="2"/>
  <c r="Y22" i="2" l="1"/>
  <c r="AE22" i="2"/>
  <c r="S23" i="2"/>
  <c r="S24" i="2" s="1"/>
  <c r="F21" i="2"/>
  <c r="G20" i="2"/>
  <c r="H20" i="2"/>
  <c r="AE24" i="2" l="1"/>
  <c r="Y24" i="2"/>
  <c r="Y23" i="2"/>
  <c r="K32" i="1" s="1"/>
  <c r="AE23" i="2"/>
  <c r="L32" i="1" s="1"/>
  <c r="G21" i="2"/>
  <c r="K31" i="1" s="1"/>
  <c r="H21" i="2"/>
  <c r="L31" i="1" s="1"/>
</calcChain>
</file>

<file path=xl/sharedStrings.xml><?xml version="1.0" encoding="utf-8"?>
<sst xmlns="http://schemas.openxmlformats.org/spreadsheetml/2006/main" count="90" uniqueCount="72">
  <si>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</si>
  <si>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</si>
  <si>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</si>
  <si>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</si>
  <si>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</si>
  <si>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</si>
  <si>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</si>
  <si>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</si>
  <si>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</si>
  <si>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</si>
  <si>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</si>
  <si>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</si>
  <si>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</si>
  <si>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</si>
  <si>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</si>
  <si>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</si>
  <si>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</si>
  <si>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</si>
  <si>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</si>
  <si>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</si>
  <si>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</si>
  <si>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</si>
  <si>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</si>
  <si>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Realtime +/-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</si>
  <si>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</si>
  <si>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</si>
  <si>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</si>
  <si>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</si>
  <si>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</si>
  <si>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</si>
  <si>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</si>
  <si>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</si>
  <si>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</si>
  <si>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</si>
  <si>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</si>
  <si>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</si>
  <si>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</si>
  <si>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</si>
  <si>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</si>
  <si>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</si>
  <si>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</si>
  <si>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</si>
  <si>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</si>
  <si>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</si>
  <si>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</si>
  <si>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</si>
  <si>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</si>
  <si>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</si>
  <si>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</si>
  <si>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</si>
  <si>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</si>
  <si>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</si>
  <si>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</si>
  <si>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</si>
  <si>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</si>
  <si>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</si>
  <si>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</si>
  <si>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</si>
  <si>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</si>
  <si>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</si>
  <si>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</si>
  <si>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</si>
  <si>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</si>
  <si>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</si>
  <si>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</si>
  <si>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</si>
  <si>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</si>
  <si>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</si>
  <si>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</si>
  <si>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Shares</t>
  </si>
  <si>
    <t>$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</si>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</sst>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befb89e286f4ee994950062144d3069">
      <tp>
        <v>-7.0280898876404485E-3</v>
        <stp/>
        <stp>GYLD</stp>
        <stp>change in percent</stp>
        <tr r="K26" s="1"/>
      </tp>
    </main>
    <main first="rtdsrv.bbefb89e286f4ee994950062144d3069">
      <tp>
        <v>4.5155993431855229E-3</v>
        <stp/>
        <stp>ACWI</stp>
        <stp>change in percent</stp>
        <tr r="K22" s="1"/>
      </tp>
    </main>
    <main first="rtdsrv.bbefb89e286f4ee994950062144d3069">
      <tp t="s">
        <v>ISHARES TR-20 YR TR BD ETF</v>
        <stp/>
        <stp>TLT</stp>
        <stp>description</stp>
        <tr r="B11" s="1"/>
      </tp>
    </main>
    <main first="rtdsrv.bbefb89e286f4ee994950062144d3069">
      <tp t="s">
        <v>SPDR INDEX SHS FDS-DJ INTL RL ETF</v>
        <stp/>
        <stp>RWX</stp>
        <stp>description</stp>
        <tr r="B5" s="1"/>
      </tp>
    </main>
    <main first="rtdsrv.bbefb89e286f4ee994950062144d3069">
      <tp t="s">
        <v>ISHARES TR-EUROPE ETF</v>
        <stp/>
        <stp>IEV</stp>
        <stp>description</stp>
        <tr r="B8" s="1"/>
      </tp>
      <tp t="s">
        <v>ISHARES TR-BARCLAYS 7 10 YR</v>
        <stp/>
        <stp>IEF</stp>
        <stp>description</stp>
        <tr r="B10" s="1"/>
      </tp>
    </main>
    <main first="rtdsrv.bbefb89e286f4ee994950062144d3069">
      <tp t="s">
        <v>ISHARES TR-U.S. REAL ES ETF</v>
        <stp/>
        <stp>IYR</stp>
        <stp>description</stp>
        <tr r="B4" s="1"/>
      </tp>
      <tp t="s">
        <v>ISHARES TR-CORE S&amp;P500 ETF</v>
        <stp/>
        <stp>IVV</stp>
        <stp>description</stp>
        <tr r="B3" s="1"/>
      </tp>
    </main>
    <main first="rtdsrv.bbefb89e286f4ee994950062144d3069">
      <tp t="s">
        <v>SPDR GOLD TRUST-GOLD SHS</v>
        <stp/>
        <stp>GLD</stp>
        <stp>description</stp>
        <tr r="B7" s="1"/>
      </tp>
    </main>
    <main first="rtdsrv.bbefb89e286f4ee994950062144d3069">
      <tp t="s">
        <v>ISHARES TR-MSCI EMG MKT ETF</v>
        <stp/>
        <stp>EEM</stp>
        <stp>description</stp>
        <tr r="B9" s="1"/>
      </tp>
      <tp t="s">
        <v>ISHARES INC-MSCI JPN ETF NEW</v>
        <stp/>
        <stp>EWJ</stp>
        <stp>description</stp>
        <tr r="B6" s="1"/>
      </tp>
    </main>
    <main first="rtdsrv.bbefb89e286f4ee994950062144d3069">
      <tp t="s">
        <v>POWERSHARES DB CMDTY IDX TRA-UNIT BEN INT</v>
        <stp/>
        <stp>DBC</stp>
        <stp>description</stp>
        <tr r="B2" s="1"/>
      </tp>
    </main>
    <main first="rtdsrv.bbefb89e286f4ee994950062144d3069">
      <tp>
        <v>1.0576300453270062E-2</v>
        <stp/>
        <stp>EEM</stp>
        <stp>change in percent</stp>
        <tr r="L9" s="1"/>
      </tp>
    </main>
    <main first="rtdsrv.bbefb89e286f4ee994950062144d3069">
      <tp>
        <v>8.3125519534497094E-3</v>
        <stp/>
        <stp>EWJ</stp>
        <stp>change in percent</stp>
        <tr r="L6" s="1"/>
      </tp>
    </main>
    <main first="rtdsrv.bbefb89e286f4ee994950062144d3069">
      <tp>
        <v>2.3675402073639151E-3</v>
        <stp/>
        <stp>GLD</stp>
        <stp>change in percent</stp>
        <tr r="L7" s="1"/>
      </tp>
    </main>
    <main first="rtdsrv.bbefb89e286f4ee994950062144d3069">
      <tp>
        <v>-8.4841628959279219E-4</v>
        <stp/>
        <stp>AGG</stp>
        <stp>change in percent</stp>
        <tr r="K23" s="1"/>
      </tp>
    </main>
    <main first="rtdsrv.bbefb89e286f4ee994950062144d3069">
      <tp>
        <v>-1.373491611890523E-3</v>
        <stp/>
        <stp>IEF</stp>
        <stp>change in percent</stp>
        <tr r="L10" s="1"/>
      </tp>
    </main>
    <main first="rtdsrv.bbefb89e286f4ee994950062144d3069">
      <tp>
        <v>-5.5834729201563937E-3</v>
        <stp/>
        <stp>DBC</stp>
        <stp>change in percent</stp>
        <tr r="L2" s="1"/>
      </tp>
    </main>
    <main first="rtdsrv.bbefb89e286f4ee994950062144d3069">
      <tp>
        <v>1.1008256192144059E-2</v>
        <stp/>
        <stp>RWX</stp>
        <stp>change in percent</stp>
        <tr r="L5" s="1"/>
      </tp>
    </main>
    <main first="rtdsrv.bbefb89e286f4ee994950062144d3069">
      <tp>
        <v>-2.4937655860348879E-3</v>
        <stp/>
        <stp>TLT</stp>
        <stp>change in percent</stp>
        <tr r="L11" s="1"/>
      </tp>
    </main>
    <main first="rtdsrv.bbefb89e286f4ee994950062144d3069">
      <tp>
        <v>4.0667808219177655E-3</v>
        <stp/>
        <stp>IEV</stp>
        <stp>change in percent</stp>
        <tr r="L8" s="1"/>
      </tp>
      <tp>
        <v>3.4841940986463766E-3</v>
        <stp/>
        <stp>IVV</stp>
        <stp>change in percent</stp>
        <tr r="K24" s="1"/>
        <tr r="L3" s="1"/>
      </tp>
    </main>
    <main first="rtdsrv.bbefb89e286f4ee994950062144d3069">
      <tp>
        <v>7.6472087687996825E-4</v>
        <stp/>
        <stp>IYR</stp>
        <stp>change in percent</stp>
        <tr r="L4" s="1"/>
      </tp>
    </main>
    <main first="rtdsrv.bbefb89e286f4ee994950062144d3069">
      <tp>
        <v>275.52999999999997</v>
        <stp/>
        <stp>IVV</stp>
        <stp>close</stp>
        <tr r="G3" s="1"/>
      </tp>
    </main>
    <main first="rtdsrv.bbefb89e286f4ee994950062144d3069">
      <tp>
        <v>3.15</v>
        <stp/>
        <stp>IYR</stp>
        <stp>dividend yield</stp>
        <tr r="M4" s="1"/>
      </tp>
      <tp>
        <v>1.78</v>
        <stp/>
        <stp>IVV</stp>
        <stp>dividend yield</stp>
        <tr r="M3" s="1"/>
      </tp>
      <tp>
        <v>2.38</v>
        <stp/>
        <stp>IEF</stp>
        <stp>dividend yield</stp>
        <tr r="M10" s="1"/>
      </tp>
      <tp>
        <v>1.3</v>
        <stp/>
        <stp>IEV</stp>
        <stp>dividend yield</stp>
        <tr r="M8" s="1"/>
      </tp>
      <tp>
        <v>0</v>
        <stp/>
        <stp>DBC</stp>
        <stp>dividend yield</stp>
        <tr r="M2" s="1"/>
      </tp>
      <tp>
        <v>1.33</v>
        <stp/>
        <stp>EWJ</stp>
        <stp>dividend yield</stp>
        <tr r="M6" s="1"/>
      </tp>
      <tp>
        <v>2.98</v>
        <stp/>
        <stp>EEM</stp>
        <stp>dividend yield</stp>
        <tr r="M9" s="1"/>
      </tp>
    </main>
    <main first="rtdsrv.bbefb89e286f4ee994950062144d3069">
      <tp>
        <v>2.8</v>
        <stp/>
        <stp>TLT</stp>
        <stp>dividend yield</stp>
        <tr r="M11" s="1"/>
      </tp>
      <tp>
        <v>1.99</v>
        <stp/>
        <stp>RWX</stp>
        <stp>dividend yield</stp>
        <tr r="M5" s="1"/>
      </tp>
    </main>
    <main first="rtdsrv.bbefb89e286f4ee994950062144d3069">
      <tp>
        <v>78.459999999999994</v>
        <stp/>
        <stp>IYR</stp>
        <stp>close</stp>
        <tr r="G4" s="1"/>
      </tp>
    </main>
    <main first="rtdsrv.bbefb89e286f4ee994950062144d3069">
      <tp t="s">
        <v>ARROW ETF TR-ARROW DJ GLB YLD</v>
        <stp/>
        <stp>GYLD</stp>
        <stp>description</stp>
        <tr r="L26" s="1"/>
      </tp>
    </main>
    <main first="rtdsrv.bbefb89e286f4ee994950062144d3069">
      <tp>
        <v>39.97</v>
        <stp/>
        <stp>RWX</stp>
        <stp>close</stp>
        <tr r="G5" s="1"/>
      </tp>
    </main>
    <main first="rtdsrv.bbefb89e286f4ee994950062144d3069">
      <tp>
        <v>17.809999999999999</v>
        <stp/>
        <stp>DBC</stp>
        <stp>last</stp>
        <tr r="J2" s="1"/>
      </tp>
    </main>
    <main first="rtdsrv.bbefb89e286f4ee994950062144d3069">
      <tp>
        <v>78.52</v>
        <stp/>
        <stp>IYR</stp>
        <stp>last</stp>
        <tr r="J4" s="1"/>
      </tp>
    </main>
    <main first="rtdsrv.bbefb89e286f4ee994950062144d3069">
      <tp>
        <v>17.91</v>
        <stp/>
        <stp>DBC</stp>
        <stp>close</stp>
        <tr r="G2" s="1"/>
      </tp>
    </main>
    <main first="rtdsrv.bbefb89e286f4ee994950062144d3069">
      <tp>
        <v>40.409999999999997</v>
        <stp/>
        <stp>RWX</stp>
        <stp>last</stp>
        <tr r="J5" s="1"/>
      </tp>
    </main>
    <main first="rtdsrv.bbefb89e286f4ee994950062144d3069">
      <tp>
        <v>276.49</v>
        <stp/>
        <stp>IVV</stp>
        <stp>last</stp>
        <tr r="J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7"/>
  <sheetViews>
    <sheetView tabSelected="1" zoomScale="90" zoomScaleNormal="90" workbookViewId="0">
      <selection activeCell="I13" sqref="I13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4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9" max="19" width="11.42578125" bestFit="1" customWidth="1"/>
  </cols>
  <sheetData>
    <row r="1" spans="1:20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23</v>
      </c>
      <c r="L1" s="7" t="s">
        <v>36</v>
      </c>
      <c r="M1" s="7" t="s">
        <v>65</v>
      </c>
      <c r="O1" s="7" t="s">
        <v>67</v>
      </c>
      <c r="P1" s="7" t="s">
        <v>68</v>
      </c>
      <c r="Q1" s="7" t="s">
        <v>70</v>
      </c>
      <c r="R1" s="7" t="s">
        <v>69</v>
      </c>
      <c r="S1" s="7" t="s">
        <v>71</v>
      </c>
    </row>
    <row r="2" spans="1:20" x14ac:dyDescent="0.25">
      <c r="A2" t="s">
        <v>8</v>
      </c>
      <c r="B2" t="str">
        <f>_xll.RealtimeData(A2,"Description")</f>
        <v>POWERSHARES DB CMDTY IDX TRA-UNIT BEN INT</v>
      </c>
      <c r="C2" s="3">
        <v>43221</v>
      </c>
      <c r="D2" s="31">
        <v>17.826820999999999</v>
      </c>
      <c r="E2" s="5">
        <f>G2/D2-1</f>
        <v>4.6659468898015977E-3</v>
      </c>
      <c r="F2" s="5">
        <f>I2/$I$21</f>
        <v>0.56812011221056624</v>
      </c>
      <c r="G2" s="4">
        <f>_xll.RealtimeData(A2,"Close")</f>
        <v>17.91</v>
      </c>
      <c r="H2" s="4">
        <v>633</v>
      </c>
      <c r="I2" s="4">
        <f>H2*G2</f>
        <v>11337.03</v>
      </c>
      <c r="J2" s="4">
        <f>_xll.RealtimeData(A2,"Last")</f>
        <v>17.809999999999999</v>
      </c>
      <c r="K2" s="5">
        <f>J2/D2-1</f>
        <v>-9.4357821846080547E-4</v>
      </c>
      <c r="L2" s="8">
        <f>_xll.RealtimeData(A2,"Change in Percent")</f>
        <v>-5.5834729201563937E-3</v>
      </c>
      <c r="M2" s="29">
        <f>_xll.RealtimeData(A2,"Dividend Yield")</f>
        <v>0</v>
      </c>
      <c r="O2">
        <v>0.56899999999999995</v>
      </c>
      <c r="P2" s="11">
        <f t="shared" ref="P2:P11" si="0">O2-F2</f>
        <v>8.7988778943370871E-4</v>
      </c>
      <c r="Q2">
        <f>O2*Daily!$D$24</f>
        <v>11354.810369999999</v>
      </c>
      <c r="R2">
        <f t="shared" ref="R2:R11" si="1">ROUND(Q2/J2,0)</f>
        <v>638</v>
      </c>
      <c r="S2">
        <f t="shared" ref="S2:S11" si="2">R2-H2</f>
        <v>5</v>
      </c>
      <c r="T2" t="str">
        <f t="shared" ref="T2:T11" si="3">A2</f>
        <v>DBC</v>
      </c>
    </row>
    <row r="3" spans="1:20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3.4429032942320248E-2</v>
      </c>
      <c r="F3" s="5">
        <f>I3/$I$21</f>
        <v>0.13807331771846532</v>
      </c>
      <c r="G3" s="4">
        <f>_xll.RealtimeData(A3,"Close")</f>
        <v>275.52999999999997</v>
      </c>
      <c r="H3" s="4">
        <v>10</v>
      </c>
      <c r="I3" s="4">
        <f>H3*G3</f>
        <v>2755.2999999999997</v>
      </c>
      <c r="J3" s="4">
        <f>_xll.RealtimeData(A3,"Last")</f>
        <v>276.49</v>
      </c>
      <c r="K3" s="5">
        <f>J3/D3-1</f>
        <v>3.8033184474366433E-2</v>
      </c>
      <c r="L3" s="8">
        <f>_xll.RealtimeData(A3,"Change in Percent")</f>
        <v>3.4841940986463766E-3</v>
      </c>
      <c r="M3" s="29">
        <f>_xll.RealtimeData(A3,"Dividend Yield")</f>
        <v>1.78</v>
      </c>
      <c r="O3">
        <v>0.13300000000000001</v>
      </c>
      <c r="P3" s="11">
        <f t="shared" si="0"/>
        <v>-5.0733177184653089E-3</v>
      </c>
      <c r="Q3">
        <f>O3*Daily!$D$24</f>
        <v>2654.1120900000001</v>
      </c>
      <c r="R3">
        <f t="shared" si="1"/>
        <v>10</v>
      </c>
      <c r="S3">
        <f t="shared" si="2"/>
        <v>0</v>
      </c>
      <c r="T3" t="str">
        <f t="shared" si="3"/>
        <v>IVV</v>
      </c>
    </row>
    <row r="4" spans="1:20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3.8250669386696856E-4</v>
      </c>
      <c r="F4" s="5">
        <f>I4/$I$21</f>
        <v>0.1690665255515566</v>
      </c>
      <c r="G4" s="4">
        <f>_xll.RealtimeData(A4,"Close")</f>
        <v>78.459999999999994</v>
      </c>
      <c r="H4" s="4">
        <v>43</v>
      </c>
      <c r="I4" s="4">
        <f>H4*G4</f>
        <v>3373.7799999999997</v>
      </c>
      <c r="J4" s="4">
        <f>_xll.RealtimeData(A4,"Last")</f>
        <v>78.52</v>
      </c>
      <c r="K4" s="5">
        <f>J4/D4-1</f>
        <v>1.1475200816013498E-3</v>
      </c>
      <c r="L4" s="8">
        <f t="array" ref="L4">_xll.RealtimeData(A4,"Change in Percent")</f>
        <v>7.6472087687996825E-4</v>
      </c>
      <c r="M4" s="29">
        <f>_xll.RealtimeData(A4,"Dividend Yield")</f>
        <v>3.15</v>
      </c>
      <c r="O4">
        <v>0.16800000000000001</v>
      </c>
      <c r="P4" s="11">
        <f t="shared" si="0"/>
        <v>-1.0665255515565908E-3</v>
      </c>
      <c r="Q4">
        <f>O4*Daily!$D$24</f>
        <v>3352.5626400000001</v>
      </c>
      <c r="R4">
        <f t="shared" si="1"/>
        <v>43</v>
      </c>
      <c r="S4">
        <f t="shared" si="2"/>
        <v>0</v>
      </c>
      <c r="T4" t="str">
        <f t="shared" si="3"/>
        <v>IYR</v>
      </c>
    </row>
    <row r="5" spans="1:20" x14ac:dyDescent="0.25">
      <c r="A5" t="s">
        <v>12</v>
      </c>
      <c r="B5" t="str">
        <f>_xll.RealtimeData(A5,"Description")</f>
        <v>SPDR INDEX SHS FDS-DJ INTL RL ETF</v>
      </c>
      <c r="C5" s="3">
        <v>43221</v>
      </c>
      <c r="D5" s="31">
        <v>40.432963999999998</v>
      </c>
      <c r="E5" s="5">
        <f>G5/D5-1</f>
        <v>-1.1450162298267341E-2</v>
      </c>
      <c r="F5" s="5">
        <f>I5/$I$21</f>
        <v>0.11817538563612547</v>
      </c>
      <c r="G5" s="4">
        <f>_xll.RealtimeData(A5,"Close")</f>
        <v>39.97</v>
      </c>
      <c r="H5" s="4">
        <v>59</v>
      </c>
      <c r="I5" s="4">
        <f>H5*G5</f>
        <v>2358.23</v>
      </c>
      <c r="J5" s="31">
        <f>_xll.RealtimeData(A5,"Last")</f>
        <v>40.409999999999997</v>
      </c>
      <c r="K5" s="5">
        <f>J5/D5-1</f>
        <v>-5.6795242614426922E-4</v>
      </c>
      <c r="L5" s="8">
        <f>_xll.RealtimeData(A5,"Change in Percent")</f>
        <v>1.1008256192144059E-2</v>
      </c>
      <c r="M5" s="29">
        <f>_xll.RealtimeData(A5,"Dividend Yield")</f>
        <v>1.99</v>
      </c>
      <c r="O5">
        <v>0.13100000000000001</v>
      </c>
      <c r="P5" s="11">
        <f t="shared" si="0"/>
        <v>1.282461436387454E-2</v>
      </c>
      <c r="Q5">
        <f>O5*Daily!$D$24</f>
        <v>2614.2006300000003</v>
      </c>
      <c r="R5">
        <f t="shared" si="1"/>
        <v>65</v>
      </c>
      <c r="S5">
        <f t="shared" si="2"/>
        <v>6</v>
      </c>
      <c r="T5" t="str">
        <f t="shared" si="3"/>
        <v>RWX</v>
      </c>
    </row>
    <row r="6" spans="1:20" x14ac:dyDescent="0.25">
      <c r="A6" t="s">
        <v>13</v>
      </c>
      <c r="B6" t="str">
        <f>_xll.RealtimeData(A6,"Description")</f>
        <v>ISHARES INC-MSCI JPN ETF NEW</v>
      </c>
      <c r="C6" s="3"/>
      <c r="D6" s="4"/>
      <c r="E6" s="5"/>
      <c r="F6" s="5"/>
      <c r="G6" s="4"/>
      <c r="H6" s="4"/>
      <c r="I6" s="4"/>
      <c r="K6" s="5"/>
      <c r="L6" s="8">
        <f>_xll.RealtimeData(A6,"Change in Percent")</f>
        <v>8.3125519534497094E-3</v>
      </c>
      <c r="M6" s="29">
        <f>_xll.RealtimeData(A6,"Dividend Yield")</f>
        <v>1.33</v>
      </c>
      <c r="O6">
        <v>0</v>
      </c>
      <c r="P6" s="11">
        <f t="shared" si="0"/>
        <v>0</v>
      </c>
      <c r="Q6">
        <f>O6*Daily!$D$24</f>
        <v>0</v>
      </c>
      <c r="R6" t="e">
        <f t="shared" si="1"/>
        <v>#DIV/0!</v>
      </c>
      <c r="S6" t="e">
        <f t="shared" si="2"/>
        <v>#DIV/0!</v>
      </c>
      <c r="T6" t="str">
        <f t="shared" si="3"/>
        <v>EWJ</v>
      </c>
    </row>
    <row r="7" spans="1:20" x14ac:dyDescent="0.25">
      <c r="A7" t="s">
        <v>10</v>
      </c>
      <c r="B7" t="str">
        <f>_xll.RealtimeData(A7,"Description")</f>
        <v>SPDR GOLD TRUST-GOLD SHS</v>
      </c>
      <c r="C7" s="3"/>
      <c r="D7" s="4"/>
      <c r="E7" s="5"/>
      <c r="F7" s="5"/>
      <c r="G7" s="4"/>
      <c r="H7" s="4"/>
      <c r="I7" s="4"/>
      <c r="K7" s="5"/>
      <c r="L7" s="8">
        <f>_xll.RealtimeData(A7,"Change in Percent")</f>
        <v>2.3675402073639151E-3</v>
      </c>
      <c r="M7" s="29">
        <v>0</v>
      </c>
      <c r="O7">
        <v>0</v>
      </c>
      <c r="P7" s="11">
        <f t="shared" si="0"/>
        <v>0</v>
      </c>
      <c r="Q7">
        <f>O7*Daily!$D$24</f>
        <v>0</v>
      </c>
      <c r="R7" t="e">
        <f t="shared" si="1"/>
        <v>#DIV/0!</v>
      </c>
      <c r="S7" t="e">
        <f t="shared" si="2"/>
        <v>#DIV/0!</v>
      </c>
      <c r="T7" t="str">
        <f t="shared" si="3"/>
        <v>GLD</v>
      </c>
    </row>
    <row r="8" spans="1:20" x14ac:dyDescent="0.25">
      <c r="A8" t="s">
        <v>11</v>
      </c>
      <c r="B8" t="str">
        <f>_xll.RealtimeData(A8,"Description")</f>
        <v>ISHARES TR-EUROPE ETF</v>
      </c>
      <c r="C8" s="3"/>
      <c r="D8" s="4"/>
      <c r="E8" s="5"/>
      <c r="F8" s="5"/>
      <c r="G8" s="4"/>
      <c r="H8" s="4"/>
      <c r="I8" s="4"/>
      <c r="K8" s="5"/>
      <c r="L8" s="8">
        <f>_xll.RealtimeData(A8,"Change in Percent")</f>
        <v>4.0667808219177655E-3</v>
      </c>
      <c r="M8" s="29">
        <f>_xll.RealtimeData(A8,"Dividend Yield")</f>
        <v>1.3</v>
      </c>
      <c r="O8">
        <v>0</v>
      </c>
      <c r="P8" s="11">
        <f t="shared" si="0"/>
        <v>0</v>
      </c>
      <c r="Q8">
        <f>O8*Daily!$D$24</f>
        <v>0</v>
      </c>
      <c r="R8" t="e">
        <f t="shared" si="1"/>
        <v>#DIV/0!</v>
      </c>
      <c r="S8" t="e">
        <f t="shared" si="2"/>
        <v>#DIV/0!</v>
      </c>
      <c r="T8" t="str">
        <f t="shared" si="3"/>
        <v>IEV</v>
      </c>
    </row>
    <row r="9" spans="1:20" x14ac:dyDescent="0.25">
      <c r="A9" t="s">
        <v>18</v>
      </c>
      <c r="B9" t="str">
        <f>_xll.RealtimeData(A9,"Description")</f>
        <v>ISHARES TR-MSCI EMG MKT ETF</v>
      </c>
      <c r="G9" s="4"/>
      <c r="K9" s="5"/>
      <c r="L9" s="8">
        <f t="array" ref="L9">_xll.RealtimeData(A9,"Change in Percent")</f>
        <v>1.0576300453270062E-2</v>
      </c>
      <c r="M9" s="29">
        <f>_xll.RealtimeData(A9,"Dividend Yield")</f>
        <v>2.98</v>
      </c>
      <c r="O9">
        <v>0</v>
      </c>
      <c r="P9" s="11">
        <f t="shared" si="0"/>
        <v>0</v>
      </c>
      <c r="Q9">
        <f>O9*Daily!$D$24</f>
        <v>0</v>
      </c>
      <c r="R9" t="e">
        <f t="shared" si="1"/>
        <v>#DIV/0!</v>
      </c>
      <c r="S9" t="e">
        <f t="shared" si="2"/>
        <v>#DIV/0!</v>
      </c>
      <c r="T9" t="str">
        <f t="shared" si="3"/>
        <v>EEM</v>
      </c>
    </row>
    <row r="10" spans="1:20" x14ac:dyDescent="0.25">
      <c r="A10" t="s">
        <v>20</v>
      </c>
      <c r="B10" t="str">
        <f>_xll.RealtimeData(A10,"Description")</f>
        <v>ISHARES TR-BARCLAYS 7 10 YR</v>
      </c>
      <c r="G10" s="4"/>
      <c r="K10" s="5"/>
      <c r="L10" s="8">
        <f t="array" ref="L10">_xll.RealtimeData(A10,"Change in Percent")</f>
        <v>-1.373491611890523E-3</v>
      </c>
      <c r="M10" s="29">
        <f>_xll.RealtimeData(A10,"Dividend Yield")</f>
        <v>2.38</v>
      </c>
      <c r="O10">
        <v>0</v>
      </c>
      <c r="P10" s="11">
        <f t="shared" si="0"/>
        <v>0</v>
      </c>
      <c r="Q10">
        <f>O10*Daily!$D$24</f>
        <v>0</v>
      </c>
      <c r="R10" t="e">
        <f t="shared" si="1"/>
        <v>#DIV/0!</v>
      </c>
      <c r="S10" t="e">
        <f t="shared" si="2"/>
        <v>#DIV/0!</v>
      </c>
      <c r="T10" t="str">
        <f t="shared" si="3"/>
        <v>IEF</v>
      </c>
    </row>
    <row r="11" spans="1:20" x14ac:dyDescent="0.25">
      <c r="A11" t="s">
        <v>21</v>
      </c>
      <c r="B11" t="str">
        <f>_xll.RealtimeData(A11,"Description")</f>
        <v>ISHARES TR-20 YR TR BD ETF</v>
      </c>
      <c r="K11" s="5"/>
      <c r="L11" s="8">
        <f t="array" ref="L11">_xll.RealtimeData(A11,"Change in Percent")</f>
        <v>-2.4937655860348879E-3</v>
      </c>
      <c r="M11" s="29">
        <f>_xll.RealtimeData(A11,"Dividend Yield")</f>
        <v>2.8</v>
      </c>
      <c r="O11">
        <v>0</v>
      </c>
      <c r="P11" s="11">
        <f t="shared" si="0"/>
        <v>0</v>
      </c>
      <c r="Q11">
        <f>O11*Daily!$D$24</f>
        <v>0</v>
      </c>
      <c r="R11" t="e">
        <f t="shared" si="1"/>
        <v>#DIV/0!</v>
      </c>
      <c r="S11" t="e">
        <f t="shared" si="2"/>
        <v>#DIV/0!</v>
      </c>
      <c r="T11" t="str">
        <f t="shared" si="3"/>
        <v>TLT</v>
      </c>
    </row>
    <row r="12" spans="1:20" x14ac:dyDescent="0.25">
      <c r="M12" s="8"/>
    </row>
    <row r="13" spans="1:20" x14ac:dyDescent="0.25">
      <c r="M13" s="8"/>
    </row>
    <row r="19" spans="8:14" s="1" customFormat="1" x14ac:dyDescent="0.25"/>
    <row r="20" spans="8:14" x14ac:dyDescent="0.25">
      <c r="H20" s="2" t="s">
        <v>14</v>
      </c>
      <c r="I20" s="6">
        <v>131</v>
      </c>
    </row>
    <row r="21" spans="8:14" x14ac:dyDescent="0.25">
      <c r="H21" s="2" t="s">
        <v>16</v>
      </c>
      <c r="I21" s="6">
        <f>SUM(I2:I20)</f>
        <v>19955.34</v>
      </c>
      <c r="J21" t="s">
        <v>34</v>
      </c>
      <c r="K21" s="8">
        <f>SUMPRODUCT(K2:K7,F2:F7)</f>
        <v>4.8421914366372056E-3</v>
      </c>
      <c r="M21" t="s">
        <v>35</v>
      </c>
      <c r="N21" s="8">
        <f>SUMPRODUCT(F2:F7,L2:L7)</f>
        <v>-1.2608154007899793E-3</v>
      </c>
    </row>
    <row r="22" spans="8:14" x14ac:dyDescent="0.25">
      <c r="H22" t="s">
        <v>17</v>
      </c>
      <c r="I22">
        <v>20000</v>
      </c>
      <c r="J22" t="s">
        <v>25</v>
      </c>
      <c r="K22" s="8">
        <f>_xll.RealtimeData(J22,"Change in Percent")</f>
        <v>4.5155993431855229E-3</v>
      </c>
      <c r="L22" s="12">
        <v>0.6</v>
      </c>
    </row>
    <row r="23" spans="8:14" x14ac:dyDescent="0.25">
      <c r="J23" t="s">
        <v>24</v>
      </c>
      <c r="K23" s="8">
        <f>_xll.RealtimeData(J23,"Change in Percent")</f>
        <v>-8.4841628959279219E-4</v>
      </c>
      <c r="L23" s="12">
        <v>0.4</v>
      </c>
    </row>
    <row r="24" spans="8:14" x14ac:dyDescent="0.25">
      <c r="J24" t="s">
        <v>9</v>
      </c>
      <c r="K24" s="8">
        <f>_xll.RealtimeData(J24,"Change in Percent")</f>
        <v>3.4841940986463766E-3</v>
      </c>
    </row>
    <row r="25" spans="8:14" x14ac:dyDescent="0.25">
      <c r="J25" t="s">
        <v>58</v>
      </c>
      <c r="K25" s="8">
        <f t="array" ref="K25">SUMPRODUCT(K22:K23,L22:L23)</f>
        <v>2.3699930900741967E-3</v>
      </c>
    </row>
    <row r="26" spans="8:14" x14ac:dyDescent="0.25">
      <c r="H26" t="s">
        <v>26</v>
      </c>
      <c r="I26" s="6">
        <f>SUM(I2:I18)</f>
        <v>19824.34</v>
      </c>
      <c r="J26" t="s">
        <v>57</v>
      </c>
      <c r="K26" s="8">
        <f>_xll.RealtimeData(J26,"Change in Percent")</f>
        <v>-7.0280898876404485E-3</v>
      </c>
      <c r="L26" t="str">
        <f>_xll.RealtimeData(J26,"Description")</f>
        <v>ARROW ETF TR-ARROW DJ GLB YLD</v>
      </c>
    </row>
    <row r="27" spans="8:14" x14ac:dyDescent="0.25">
      <c r="J27" t="s">
        <v>63</v>
      </c>
      <c r="K27" s="8">
        <f>AVERAGE(L2:L11)</f>
        <v>3.1129614485590055E-3</v>
      </c>
    </row>
    <row r="28" spans="8:14" x14ac:dyDescent="0.25">
      <c r="J28" t="s">
        <v>65</v>
      </c>
      <c r="K28" s="8">
        <f>SUMPRODUCT(F2:F7,M2:M7)*0.01</f>
        <v>1.0134990784421611E-2</v>
      </c>
      <c r="L28" t="s">
        <v>66</v>
      </c>
      <c r="M28" s="8">
        <f>AVERAGE(M2:M11)*0.01</f>
        <v>1.771E-2</v>
      </c>
    </row>
    <row r="29" spans="8:14" ht="15.75" thickBot="1" x14ac:dyDescent="0.3"/>
    <row r="30" spans="8:14" ht="15.75" thickBot="1" x14ac:dyDescent="0.3">
      <c r="H30" s="30">
        <v>43252</v>
      </c>
      <c r="I30" s="15" t="s">
        <v>62</v>
      </c>
      <c r="J30" s="15" t="s">
        <v>64</v>
      </c>
      <c r="K30" s="16" t="s">
        <v>32</v>
      </c>
      <c r="L30" s="17" t="s">
        <v>33</v>
      </c>
    </row>
    <row r="31" spans="8:14" x14ac:dyDescent="0.25">
      <c r="H31" s="18" t="s">
        <v>59</v>
      </c>
      <c r="I31" s="21">
        <f>$N$21</f>
        <v>-1.2608154007899793E-3</v>
      </c>
      <c r="J31" s="21">
        <f>LOOKUP(2,1/(Daily!E:E&lt;&gt;""),Daily!E:E)</f>
        <v>-1.9042149798642605E-5</v>
      </c>
      <c r="K31" s="22">
        <f>VLOOKUP($H$30,Daily!$A:$AF,7,0)</f>
        <v>-2.2325000000001927E-3</v>
      </c>
      <c r="L31" s="23">
        <f>VLOOKUP($H$30,Daily!$A:$AF,8,0)</f>
        <v>-2.2325000000001927E-3</v>
      </c>
    </row>
    <row r="32" spans="8:14" x14ac:dyDescent="0.25">
      <c r="H32" s="19" t="s">
        <v>60</v>
      </c>
      <c r="I32" s="24">
        <f>$K$25</f>
        <v>2.3699930900741967E-3</v>
      </c>
      <c r="J32" s="24">
        <f>LOOKUP(2,1/(Daily!M:M&lt;&gt;""),Daily!M:M)</f>
        <v>5.7292557353628036E-3</v>
      </c>
      <c r="K32" s="14">
        <f>VLOOKUP($H$30,Daily!$A:$AF,25,0)</f>
        <v>1.0434995246007217E-2</v>
      </c>
      <c r="L32" s="25">
        <f>VLOOKUP($H$30,Daily!$A:$AF,31,0)</f>
        <v>1.0434995246007217E-2</v>
      </c>
    </row>
    <row r="33" spans="3:12" x14ac:dyDescent="0.25">
      <c r="H33" s="19" t="s">
        <v>61</v>
      </c>
      <c r="I33" s="24">
        <f>$K$24</f>
        <v>3.4841940986463766E-3</v>
      </c>
      <c r="J33" s="24">
        <f>LOOKUP(2,1/(Daily!L:L&lt;&gt;""),Daily!L:L)</f>
        <v>1.0266564001026435E-2</v>
      </c>
      <c r="K33" s="14">
        <f>VLOOKUP($H$30,Daily!$A:$AF,24,0)</f>
        <v>3.4714758613163088E-2</v>
      </c>
      <c r="L33" s="25">
        <f>VLOOKUP($H$30,Daily!$A:$AF,30,0)</f>
        <v>3.4714758613163088E-2</v>
      </c>
    </row>
    <row r="34" spans="3:12" ht="15.75" thickBot="1" x14ac:dyDescent="0.3">
      <c r="C34">
        <v>23</v>
      </c>
      <c r="D34">
        <v>39.999499999999998</v>
      </c>
      <c r="E34">
        <f>D34*C34</f>
        <v>919.98849999999993</v>
      </c>
      <c r="H34" s="20" t="s">
        <v>57</v>
      </c>
      <c r="I34" s="26">
        <f>$K$26</f>
        <v>-7.0280898876404485E-3</v>
      </c>
      <c r="J34" s="26">
        <f>LOOKUP(2,1/(Daily!N:N&lt;&gt;""),Daily!N:N)</f>
        <v>1.7724413950829243E-2</v>
      </c>
      <c r="K34" s="27">
        <f>VLOOKUP($H$30,Daily!$A:$AF,26,0)</f>
        <v>3.2317182280554801E-2</v>
      </c>
      <c r="L34" s="28">
        <f>VLOOKUP($H$30,Daily!$A:$AF,32,0)</f>
        <v>3.2317182280554801E-2</v>
      </c>
    </row>
    <row r="35" spans="3:12" x14ac:dyDescent="0.25">
      <c r="C35">
        <v>36</v>
      </c>
      <c r="D35">
        <v>40.709899999999998</v>
      </c>
      <c r="E35">
        <f>D35*C35</f>
        <v>1465.5563999999999</v>
      </c>
    </row>
    <row r="36" spans="3:12" x14ac:dyDescent="0.25">
      <c r="E36">
        <f>SUM(E34:E35)</f>
        <v>2385.5448999999999</v>
      </c>
    </row>
    <row r="37" spans="3:12" x14ac:dyDescent="0.25">
      <c r="C37">
        <f>SUM(C34:C35)</f>
        <v>59</v>
      </c>
      <c r="E37">
        <f>E36/C37</f>
        <v>40.432964406779661</v>
      </c>
    </row>
  </sheetData>
  <sortState ref="A2:T5">
    <sortCondition ref="A2: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50"/>
  <sheetViews>
    <sheetView zoomScale="80" zoomScaleNormal="80" workbookViewId="0">
      <selection activeCell="C25" sqref="C25"/>
    </sheetView>
  </sheetViews>
  <sheetFormatPr defaultRowHeight="15" x14ac:dyDescent="0.25"/>
  <cols>
    <col min="1" max="4" width="18.85546875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2" width="10.85546875" bestFit="1" customWidth="1"/>
    <col min="23" max="23" width="9.85546875" bestFit="1" customWidth="1"/>
    <col min="25" max="25" width="10.85546875" bestFit="1" customWidth="1"/>
    <col min="26" max="26" width="10.85546875" customWidth="1"/>
  </cols>
  <sheetData>
    <row r="1" spans="1:32" x14ac:dyDescent="0.25">
      <c r="A1" s="2" t="s">
        <v>1</v>
      </c>
      <c r="B1" s="2" t="s">
        <v>29</v>
      </c>
      <c r="C1" s="2" t="s">
        <v>27</v>
      </c>
      <c r="D1" s="2" t="s">
        <v>28</v>
      </c>
      <c r="E1" s="7" t="s">
        <v>31</v>
      </c>
      <c r="F1" s="7" t="s">
        <v>30</v>
      </c>
      <c r="G1" s="2" t="s">
        <v>32</v>
      </c>
      <c r="H1" s="2" t="s">
        <v>33</v>
      </c>
      <c r="J1" t="s">
        <v>40</v>
      </c>
      <c r="K1" t="s">
        <v>41</v>
      </c>
      <c r="L1" t="s">
        <v>42</v>
      </c>
      <c r="M1" t="s">
        <v>43</v>
      </c>
      <c r="N1" t="s">
        <v>53</v>
      </c>
      <c r="P1" t="s">
        <v>37</v>
      </c>
      <c r="Q1" t="s">
        <v>38</v>
      </c>
      <c r="R1" t="s">
        <v>39</v>
      </c>
      <c r="S1" t="s">
        <v>44</v>
      </c>
      <c r="T1" t="s">
        <v>54</v>
      </c>
      <c r="V1" t="s">
        <v>45</v>
      </c>
      <c r="W1" t="s">
        <v>46</v>
      </c>
      <c r="X1" t="s">
        <v>47</v>
      </c>
      <c r="Y1" t="s">
        <v>48</v>
      </c>
      <c r="Z1" t="s">
        <v>55</v>
      </c>
      <c r="AB1" t="s">
        <v>49</v>
      </c>
      <c r="AC1" t="s">
        <v>50</v>
      </c>
      <c r="AD1" t="s">
        <v>51</v>
      </c>
      <c r="AE1" t="s">
        <v>52</v>
      </c>
      <c r="AF1" t="s">
        <v>56</v>
      </c>
    </row>
    <row r="2" spans="1:32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32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32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32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32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32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32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32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32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32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32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32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32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32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32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32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32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32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32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32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32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32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 t="shared" ref="G24" si="327">F24/$F$2-1</f>
        <v>-2.2135000000002014E-3</v>
      </c>
      <c r="H24" s="8">
        <f t="shared" ref="H24" si="328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9">0.6*J24 + 0.4*K24</f>
        <v>-4.6556763500221086E-3</v>
      </c>
      <c r="N24" s="11">
        <f>VLOOKUP($A24,Prices!$A:$J,MATCH(N$1,Prices!$1:$1,0),0)</f>
        <v>-1.2979683972911937E-2</v>
      </c>
      <c r="P24" s="10">
        <f t="shared" ref="P24" si="330">P23*(1+J24)</f>
        <v>100.47260493488486</v>
      </c>
      <c r="Q24" s="10">
        <f t="shared" ref="Q24" si="331">Q23*(1+K24)</f>
        <v>100.42625239424623</v>
      </c>
      <c r="R24" s="10">
        <f t="shared" ref="R24" si="332">R23*(1+L24)</f>
        <v>102.41997463672487</v>
      </c>
      <c r="S24" s="10">
        <f t="shared" ref="S24" si="333">S23*(1+M24)</f>
        <v>100.46789327085884</v>
      </c>
      <c r="T24" s="10">
        <f t="shared" ref="T24" si="334">T23*(1+N24)</f>
        <v>101.43386246116236</v>
      </c>
      <c r="V24" s="5">
        <f t="shared" ref="V24" si="335">P24/$P$2-1</f>
        <v>4.7260493488485711E-3</v>
      </c>
      <c r="W24" s="5">
        <f t="shared" ref="W24" si="336">Q24/$Q$2-1</f>
        <v>4.2625239424622929E-3</v>
      </c>
      <c r="X24" s="5">
        <f t="shared" ref="X24" si="337">R24/$R$2-1</f>
        <v>2.4199746367248753E-2</v>
      </c>
      <c r="Y24" s="5">
        <f t="shared" ref="Y24" si="338">S24/$S$2-1</f>
        <v>4.6789327085883237E-3</v>
      </c>
      <c r="Z24" s="5">
        <f t="shared" ref="Z24" si="339">T24/$T$2-1</f>
        <v>1.4338624611623718E-2</v>
      </c>
      <c r="AB24" s="8">
        <f t="shared" ref="AB24" si="340">P24/$P$2-1</f>
        <v>4.7260493488485711E-3</v>
      </c>
      <c r="AC24" s="8">
        <f t="shared" ref="AC24" si="341">Q24/$P$2-1</f>
        <v>4.2625239424622929E-3</v>
      </c>
      <c r="AD24" s="8">
        <f t="shared" ref="AD24" si="342">R24/$P$2-1</f>
        <v>2.4199746367248753E-2</v>
      </c>
      <c r="AE24" s="8">
        <f t="shared" ref="AE24" si="343">S24/$P$2-1</f>
        <v>4.6789327085883237E-3</v>
      </c>
      <c r="AF24" s="8">
        <f t="shared" ref="AF24" si="344">T24/$T$2-1</f>
        <v>1.4338624611623718E-2</v>
      </c>
    </row>
    <row r="25" spans="1:32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5">D25/D24-1</f>
        <v>-1.9042149798642605E-5</v>
      </c>
      <c r="F25" s="10">
        <f t="shared" ref="F25" si="346">F24*(1+E25)</f>
        <v>99.776749999999979</v>
      </c>
      <c r="G25" s="5">
        <f t="shared" ref="G25" si="347">F25/$F$2-1</f>
        <v>-2.2325000000001927E-3</v>
      </c>
      <c r="H25" s="8">
        <f t="shared" ref="H25" si="348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9">0.6*J25 + 0.4*K25</f>
        <v>5.7292557353628036E-3</v>
      </c>
      <c r="N25" s="11">
        <f>VLOOKUP($A25,Prices!$A:$J,MATCH(N$1,Prices!$1:$1,0),0)</f>
        <v>1.7724413950829243E-2</v>
      </c>
      <c r="P25" s="10">
        <f t="shared" ref="P25" si="350">P24*(1+J25)</f>
        <v>101.51441958580652</v>
      </c>
      <c r="Q25" s="10">
        <f t="shared" ref="Q25" si="351">Q24*(1+K25)</f>
        <v>100.30267057821519</v>
      </c>
      <c r="R25" s="10">
        <f t="shared" ref="R25" si="352">R24*(1+L25)</f>
        <v>103.47147586131631</v>
      </c>
      <c r="S25" s="10">
        <f t="shared" ref="S25" si="353">S24*(1+M25)</f>
        <v>101.04349952460072</v>
      </c>
      <c r="T25" s="10">
        <f t="shared" ref="T25" si="354">T24*(1+N25)</f>
        <v>103.23171822805548</v>
      </c>
      <c r="V25" s="5">
        <f t="shared" ref="V25" si="355">P25/$P$2-1</f>
        <v>1.5144195858065146E-2</v>
      </c>
      <c r="W25" s="5">
        <f t="shared" ref="W25" si="356">Q25/$Q$2-1</f>
        <v>3.0267057821518062E-3</v>
      </c>
      <c r="X25" s="5">
        <f t="shared" ref="X25" si="357">R25/$R$2-1</f>
        <v>3.4714758613163088E-2</v>
      </c>
      <c r="Y25" s="5">
        <f t="shared" ref="Y25" si="358">S25/$S$2-1</f>
        <v>1.0434995246007217E-2</v>
      </c>
      <c r="Z25" s="5">
        <f t="shared" ref="Z25" si="359">T25/$T$2-1</f>
        <v>3.2317182280554801E-2</v>
      </c>
      <c r="AB25" s="8">
        <f t="shared" ref="AB25" si="360">P25/$P$2-1</f>
        <v>1.5144195858065146E-2</v>
      </c>
      <c r="AC25" s="8">
        <f t="shared" ref="AC25" si="361">Q25/$P$2-1</f>
        <v>3.0267057821518062E-3</v>
      </c>
      <c r="AD25" s="8">
        <f t="shared" ref="AD25" si="362">R25/$P$2-1</f>
        <v>3.4714758613163088E-2</v>
      </c>
      <c r="AE25" s="8">
        <f t="shared" ref="AE25" si="363">S25/$P$2-1</f>
        <v>1.0434995246007217E-2</v>
      </c>
      <c r="AF25" s="8">
        <f t="shared" ref="AF25" si="364">T25/$T$2-1</f>
        <v>3.2317182280554801E-2</v>
      </c>
    </row>
    <row r="26" spans="1:32" x14ac:dyDescent="0.25">
      <c r="A26" s="9"/>
      <c r="B26" s="4"/>
      <c r="C26" s="4"/>
      <c r="D26" s="4"/>
      <c r="E26" s="5"/>
      <c r="F26" s="10"/>
      <c r="G26" s="5"/>
      <c r="H26" s="8"/>
      <c r="J26" s="11"/>
      <c r="K26" s="11"/>
      <c r="L26" s="11"/>
      <c r="M26" s="11"/>
      <c r="N26" s="11"/>
    </row>
    <row r="27" spans="1:32" x14ac:dyDescent="0.25">
      <c r="A27" s="9"/>
      <c r="B27" s="4"/>
      <c r="C27" s="4"/>
      <c r="D27" s="4"/>
      <c r="E27" s="5"/>
      <c r="F27" s="10"/>
      <c r="G27" s="5"/>
      <c r="H27" s="8"/>
      <c r="J27" s="11"/>
      <c r="K27" s="11"/>
      <c r="L27" s="11"/>
      <c r="M27" s="11"/>
      <c r="N27" s="11"/>
    </row>
    <row r="28" spans="1:32" x14ac:dyDescent="0.25">
      <c r="A28" s="9"/>
      <c r="B28" s="4"/>
      <c r="C28" s="4"/>
      <c r="D28" s="4"/>
      <c r="E28" s="5"/>
      <c r="F28" s="10"/>
      <c r="G28" s="5"/>
      <c r="H28" s="8"/>
      <c r="J28" s="11"/>
      <c r="K28" s="11"/>
      <c r="L28" s="11"/>
      <c r="M28" s="11"/>
      <c r="N28" s="11"/>
    </row>
    <row r="29" spans="1:32" x14ac:dyDescent="0.25">
      <c r="A29" s="9"/>
      <c r="B29" s="4"/>
      <c r="C29" s="4"/>
      <c r="D29" s="4"/>
      <c r="E29" s="5"/>
      <c r="F29" s="10"/>
      <c r="G29" s="5"/>
      <c r="H29" s="8"/>
      <c r="J29" s="11"/>
      <c r="K29" s="11"/>
      <c r="L29" s="11"/>
      <c r="M29" s="11"/>
      <c r="N29" s="11"/>
    </row>
    <row r="30" spans="1:32" x14ac:dyDescent="0.25">
      <c r="A30" s="9"/>
      <c r="B30" s="4"/>
      <c r="C30" s="4"/>
      <c r="D30" s="4"/>
      <c r="E30" s="5"/>
      <c r="F30" s="10"/>
      <c r="G30" s="5"/>
      <c r="H30" s="8"/>
      <c r="J30" s="11"/>
      <c r="K30" s="11"/>
      <c r="L30" s="11"/>
      <c r="M30" s="11"/>
      <c r="N30" s="11"/>
    </row>
    <row r="31" spans="1:32" x14ac:dyDescent="0.25">
      <c r="A31" s="9"/>
      <c r="B31" s="4"/>
      <c r="C31" s="4"/>
      <c r="D31" s="4"/>
      <c r="E31" s="5"/>
      <c r="F31" s="10"/>
      <c r="G31" s="5"/>
      <c r="H31" s="8"/>
      <c r="J31" s="5"/>
      <c r="K31" s="5"/>
      <c r="L31" s="5"/>
      <c r="M31" s="5"/>
      <c r="N31" s="5"/>
    </row>
    <row r="32" spans="1:32" x14ac:dyDescent="0.25">
      <c r="A32" s="9"/>
      <c r="B32" s="4"/>
      <c r="C32" s="4"/>
      <c r="D32" s="4"/>
      <c r="E32" s="5"/>
      <c r="F32" s="10"/>
      <c r="G32" s="5"/>
      <c r="H32" s="8"/>
      <c r="J32" s="11"/>
      <c r="K32" s="11"/>
      <c r="L32" s="11"/>
      <c r="M32" s="11"/>
      <c r="N32" s="11"/>
    </row>
    <row r="33" spans="1:8" x14ac:dyDescent="0.25">
      <c r="A33" s="9"/>
      <c r="B33" s="4"/>
      <c r="C33" s="4"/>
      <c r="D33" s="4"/>
      <c r="E33" s="5"/>
      <c r="F33" s="10"/>
      <c r="G33" s="5"/>
      <c r="H33" s="8"/>
    </row>
    <row r="34" spans="1:8" x14ac:dyDescent="0.25">
      <c r="A34" s="9"/>
      <c r="B34" s="4"/>
      <c r="C34" s="4"/>
      <c r="D34" s="4"/>
      <c r="E34" s="5"/>
      <c r="F34" s="10"/>
      <c r="G34" s="5"/>
      <c r="H34" s="8"/>
    </row>
    <row r="35" spans="1:8" x14ac:dyDescent="0.25">
      <c r="A35" s="9"/>
      <c r="B35" s="4"/>
      <c r="C35" s="4"/>
      <c r="D35" s="4"/>
      <c r="E35" s="5"/>
      <c r="F35" s="10"/>
      <c r="G35" s="5"/>
      <c r="H35" s="8"/>
    </row>
    <row r="36" spans="1:8" x14ac:dyDescent="0.25">
      <c r="A36" s="9"/>
      <c r="B36" s="4"/>
      <c r="C36" s="4"/>
      <c r="D36" s="4"/>
      <c r="E36" s="5"/>
      <c r="F36" s="10"/>
      <c r="G36" s="5"/>
      <c r="H36" s="8"/>
    </row>
    <row r="37" spans="1:8" x14ac:dyDescent="0.25">
      <c r="A37" s="9"/>
      <c r="B37" s="4"/>
      <c r="C37" s="4"/>
      <c r="D37" s="4"/>
      <c r="E37" s="5"/>
      <c r="F37" s="10"/>
      <c r="G37" s="5"/>
      <c r="H37" s="8"/>
    </row>
    <row r="38" spans="1:8" x14ac:dyDescent="0.25">
      <c r="A38" s="9"/>
      <c r="B38" s="4"/>
      <c r="C38" s="4"/>
      <c r="D38" s="4"/>
      <c r="E38" s="5"/>
      <c r="F38" s="10"/>
      <c r="G38" s="5"/>
      <c r="H38" s="8"/>
    </row>
    <row r="39" spans="1:8" x14ac:dyDescent="0.25">
      <c r="A39" s="9"/>
      <c r="B39" s="4"/>
      <c r="C39" s="4"/>
      <c r="D39" s="4"/>
      <c r="E39" s="5"/>
      <c r="F39" s="10"/>
      <c r="G39" s="5"/>
      <c r="H39" s="8"/>
    </row>
    <row r="40" spans="1:8" x14ac:dyDescent="0.25">
      <c r="A40" s="9"/>
      <c r="B40" s="4"/>
      <c r="C40" s="4"/>
      <c r="D40" s="4"/>
      <c r="E40" s="5"/>
      <c r="F40" s="10"/>
      <c r="G40" s="5"/>
      <c r="H40" s="8"/>
    </row>
    <row r="41" spans="1:8" x14ac:dyDescent="0.25">
      <c r="A41" s="9"/>
      <c r="B41" s="4"/>
      <c r="C41" s="4"/>
      <c r="D41" s="4"/>
      <c r="E41" s="5"/>
      <c r="F41" s="10"/>
      <c r="G41" s="5"/>
      <c r="H41" s="8"/>
    </row>
    <row r="42" spans="1:8" x14ac:dyDescent="0.25">
      <c r="A42" s="9"/>
      <c r="B42" s="4"/>
      <c r="C42" s="4"/>
      <c r="D42" s="4"/>
      <c r="E42" s="5"/>
      <c r="F42" s="10"/>
      <c r="G42" s="5"/>
      <c r="H42" s="8"/>
    </row>
    <row r="43" spans="1:8" x14ac:dyDescent="0.25">
      <c r="A43" s="9"/>
      <c r="B43" s="4"/>
      <c r="C43" s="4"/>
      <c r="D43" s="4"/>
      <c r="E43" s="5"/>
      <c r="F43" s="10"/>
      <c r="G43" s="5"/>
      <c r="H43" s="8"/>
    </row>
    <row r="44" spans="1:8" x14ac:dyDescent="0.25">
      <c r="A44" s="9"/>
      <c r="B44" s="4"/>
      <c r="C44" s="4"/>
      <c r="D44" s="4"/>
      <c r="E44" s="5"/>
      <c r="F44" s="10"/>
      <c r="G44" s="5"/>
      <c r="H44" s="8"/>
    </row>
    <row r="45" spans="1:8" x14ac:dyDescent="0.25">
      <c r="A45" s="9"/>
      <c r="B45" s="4"/>
      <c r="C45" s="4"/>
      <c r="D45" s="4"/>
      <c r="E45" s="5"/>
      <c r="F45" s="10"/>
      <c r="G45" s="5"/>
      <c r="H45" s="8"/>
    </row>
    <row r="46" spans="1:8" x14ac:dyDescent="0.25">
      <c r="A46" s="9"/>
      <c r="B46" s="4"/>
      <c r="C46" s="4"/>
      <c r="D46" s="4"/>
      <c r="E46" s="5"/>
      <c r="F46" s="10"/>
      <c r="G46" s="5"/>
      <c r="H46" s="8"/>
    </row>
    <row r="47" spans="1:8" x14ac:dyDescent="0.25">
      <c r="A47" s="9"/>
      <c r="B47" s="4"/>
      <c r="C47" s="4"/>
      <c r="D47" s="4"/>
      <c r="E47" s="5"/>
      <c r="F47" s="10"/>
      <c r="G47" s="5"/>
      <c r="H47" s="8"/>
    </row>
    <row r="48" spans="1:8" x14ac:dyDescent="0.25">
      <c r="A48" s="9"/>
      <c r="B48" s="4"/>
      <c r="C48" s="4"/>
      <c r="D48" s="4"/>
      <c r="E48" s="5"/>
      <c r="F48" s="10"/>
      <c r="G48" s="5"/>
      <c r="H48" s="8"/>
    </row>
    <row r="49" spans="1:8" x14ac:dyDescent="0.25">
      <c r="A49" s="9"/>
      <c r="B49" s="4"/>
      <c r="C49" s="4"/>
      <c r="D49" s="4"/>
      <c r="E49" s="5"/>
      <c r="F49" s="10"/>
      <c r="G49" s="5"/>
      <c r="H49" s="8"/>
    </row>
    <row r="50" spans="1:8" x14ac:dyDescent="0.25">
      <c r="A50" s="9"/>
      <c r="B50" s="4"/>
      <c r="C50" s="4"/>
      <c r="D50" s="4"/>
      <c r="E50" s="5"/>
      <c r="F50" s="10"/>
      <c r="G50" s="5"/>
      <c r="H5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6"/>
  <sheetViews>
    <sheetView workbookViewId="0">
      <selection activeCell="D30" sqref="D30"/>
    </sheetView>
  </sheetViews>
  <sheetFormatPr defaultRowHeight="15" x14ac:dyDescent="0.25"/>
  <cols>
    <col min="1" max="1" width="9.7109375" bestFit="1" customWidth="1"/>
    <col min="2" max="5" width="14.85546875" customWidth="1"/>
    <col min="7" max="10" width="17.140625" customWidth="1"/>
  </cols>
  <sheetData>
    <row r="1" spans="1:10" x14ac:dyDescent="0.25">
      <c r="B1" t="s">
        <v>25</v>
      </c>
      <c r="C1" t="s">
        <v>24</v>
      </c>
      <c r="D1" t="s">
        <v>9</v>
      </c>
      <c r="E1" t="s">
        <v>57</v>
      </c>
      <c r="G1" t="s">
        <v>40</v>
      </c>
      <c r="H1" t="s">
        <v>41</v>
      </c>
      <c r="I1" t="s">
        <v>42</v>
      </c>
      <c r="J1" t="s">
        <v>53</v>
      </c>
    </row>
    <row r="2" spans="1:10" x14ac:dyDescent="0.25">
      <c r="B2" t="s">
        <v>40</v>
      </c>
      <c r="C2" t="s">
        <v>41</v>
      </c>
      <c r="D2" t="s">
        <v>42</v>
      </c>
      <c r="E2" t="s">
        <v>53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Daily</vt:lpstr>
      <vt:lpstr>Prices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2018-06-04T14:48:45Z</dcterms:modified>
</cp:coreProperties>
</file>