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 activeTab="3"/>
  </bookViews>
  <sheets>
    <sheet name="Portfolio" sheetId="1" r:id="rId1"/>
    <sheet name="Daily" sheetId="2" r:id="rId2"/>
    <sheet name="Prices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4" l="1"/>
  <c r="F33" i="4"/>
  <c r="F14" i="4"/>
  <c r="B37" i="4"/>
  <c r="B40" i="4"/>
  <c r="B38" i="4"/>
  <c r="B39" i="4"/>
  <c r="C37" i="4"/>
  <c r="C40" i="4"/>
  <c r="C39" i="4"/>
  <c r="C38" i="4"/>
  <c r="D39" i="4" l="1"/>
  <c r="D38" i="4"/>
  <c r="D40" i="4"/>
  <c r="D37" i="4"/>
  <c r="E69" i="2"/>
  <c r="F69" i="2"/>
  <c r="G69" i="2" s="1"/>
  <c r="J69" i="2"/>
  <c r="P69" i="2" s="1"/>
  <c r="K69" i="2"/>
  <c r="Q69" i="2" s="1"/>
  <c r="L69" i="2"/>
  <c r="R69" i="2" s="1"/>
  <c r="N69" i="2"/>
  <c r="T69" i="2" s="1"/>
  <c r="B69" i="2"/>
  <c r="D69" i="2"/>
  <c r="B21" i="4"/>
  <c r="B22" i="4"/>
  <c r="B23" i="4"/>
  <c r="B20" i="4"/>
  <c r="D21" i="4" l="1"/>
  <c r="D20" i="4"/>
  <c r="Z69" i="2"/>
  <c r="AN69" i="2"/>
  <c r="AF69" i="2"/>
  <c r="AD69" i="2"/>
  <c r="AL69" i="2"/>
  <c r="X69" i="2"/>
  <c r="AB69" i="2"/>
  <c r="V69" i="2"/>
  <c r="AJ69" i="2"/>
  <c r="AK69" i="2"/>
  <c r="AC69" i="2"/>
  <c r="W69" i="2"/>
  <c r="M69" i="2"/>
  <c r="S69" i="2" s="1"/>
  <c r="AI69" i="2"/>
  <c r="H69" i="2"/>
  <c r="D22" i="4"/>
  <c r="D23" i="4"/>
  <c r="D6" i="4"/>
  <c r="D7" i="4"/>
  <c r="D8" i="4"/>
  <c r="D9" i="4"/>
  <c r="D10" i="4"/>
  <c r="D5" i="4"/>
  <c r="AM69" i="2" l="1"/>
  <c r="AE69" i="2"/>
  <c r="Y69" i="2"/>
  <c r="C3" i="4"/>
  <c r="C2" i="4"/>
  <c r="B3" i="4"/>
  <c r="W1" i="4" a="1"/>
  <c r="C8" i="4"/>
  <c r="C22" i="4"/>
  <c r="C5" i="4"/>
  <c r="C10" i="4"/>
  <c r="C9" i="4"/>
  <c r="C7" i="4"/>
  <c r="C20" i="4"/>
  <c r="C21" i="4"/>
  <c r="C23" i="4"/>
  <c r="C6" i="4"/>
  <c r="F5" i="4" l="1"/>
  <c r="E5" i="4"/>
  <c r="W1" i="4"/>
  <c r="E8" i="4"/>
  <c r="F23" i="4"/>
  <c r="F20" i="4"/>
  <c r="F22" i="4"/>
  <c r="F21" i="4"/>
  <c r="E7" i="4"/>
  <c r="E9" i="4"/>
  <c r="E10" i="4"/>
  <c r="E6" i="4"/>
  <c r="F8" i="4"/>
  <c r="G23" i="4"/>
  <c r="G20" i="4"/>
  <c r="G21" i="4"/>
  <c r="G22" i="4"/>
  <c r="F9" i="4"/>
  <c r="F6" i="4"/>
  <c r="F10" i="4"/>
  <c r="F7" i="4"/>
  <c r="Q3" i="1"/>
  <c r="Q4" i="1"/>
  <c r="Q5" i="1"/>
  <c r="Q6" i="1"/>
  <c r="Q7" i="1"/>
  <c r="Q8" i="1"/>
  <c r="Q9" i="1"/>
  <c r="Q10" i="1"/>
  <c r="Q11" i="1"/>
  <c r="Q12" i="1"/>
  <c r="Q2" i="1"/>
  <c r="G27" i="4" l="1"/>
  <c r="F13" i="4"/>
  <c r="E68" i="2"/>
  <c r="F68" i="2" s="1"/>
  <c r="B68" i="2"/>
  <c r="D68" i="2"/>
  <c r="G28" i="4" l="1"/>
  <c r="G9" i="4"/>
  <c r="H20" i="4"/>
  <c r="H23" i="4"/>
  <c r="H22" i="4"/>
  <c r="H21" i="4"/>
  <c r="G7" i="4"/>
  <c r="G5" i="4"/>
  <c r="G8" i="4"/>
  <c r="G6" i="4"/>
  <c r="G10" i="4"/>
  <c r="G68" i="2"/>
  <c r="H68" i="2"/>
  <c r="AI68" i="2"/>
  <c r="P21" i="1" a="1"/>
  <c r="I20" i="4" l="1"/>
  <c r="I21" i="4"/>
  <c r="I22" i="4"/>
  <c r="I23" i="4"/>
  <c r="H5" i="4"/>
  <c r="H8" i="4"/>
  <c r="H9" i="4"/>
  <c r="H10" i="4"/>
  <c r="H6" i="4"/>
  <c r="H7" i="4"/>
  <c r="O20" i="1"/>
  <c r="P12" i="1"/>
  <c r="N12" i="1"/>
  <c r="T12" i="1"/>
  <c r="L13" i="1" a="1"/>
  <c r="L12" i="1" a="1"/>
  <c r="M12" i="1"/>
  <c r="U8" i="1"/>
  <c r="B12" i="1"/>
  <c r="U2" i="1"/>
  <c r="U4" i="1"/>
  <c r="U3" i="1"/>
  <c r="U11" i="1"/>
  <c r="U10" i="1"/>
  <c r="U9" i="1"/>
  <c r="U5" i="1"/>
  <c r="U7" i="1"/>
  <c r="U6" i="1"/>
  <c r="U12" i="1"/>
  <c r="L13" i="1" l="1"/>
  <c r="U14" i="1" a="1"/>
  <c r="U14" i="1" s="1"/>
  <c r="V14" i="1" s="1"/>
  <c r="E67" i="2"/>
  <c r="F67" i="2" s="1"/>
  <c r="J67" i="2"/>
  <c r="K67" i="2"/>
  <c r="L67" i="2"/>
  <c r="N67" i="2"/>
  <c r="B67" i="2"/>
  <c r="D67" i="2"/>
  <c r="E68" i="3" a="1"/>
  <c r="B71" i="3" a="1"/>
  <c r="E72" i="3" a="1"/>
  <c r="C68" i="3" a="1"/>
  <c r="E71" i="3" a="1"/>
  <c r="C72" i="3" a="1"/>
  <c r="D68" i="3" a="1"/>
  <c r="B68" i="3" a="1"/>
  <c r="D71" i="3" a="1"/>
  <c r="B72" i="3" a="1"/>
  <c r="D72" i="3" a="1"/>
  <c r="C71" i="3" a="1"/>
  <c r="B69" i="3" a="1"/>
  <c r="C69" i="3" a="1"/>
  <c r="E69" i="3" a="1"/>
  <c r="D69" i="3" a="1"/>
  <c r="D70" i="3" a="1"/>
  <c r="C70" i="3" a="1"/>
  <c r="E70" i="3" a="1"/>
  <c r="B70" i="3" a="1"/>
  <c r="L12" i="1"/>
  <c r="G67" i="2" l="1"/>
  <c r="H67" i="2"/>
  <c r="AI67" i="2"/>
  <c r="M67" i="2"/>
  <c r="C71" i="3"/>
  <c r="D72" i="3"/>
  <c r="B72" i="3"/>
  <c r="G72" i="3" s="1"/>
  <c r="D71" i="3"/>
  <c r="I71" i="3" s="1"/>
  <c r="B70" i="3"/>
  <c r="G70" i="3" s="1"/>
  <c r="B68" i="3"/>
  <c r="G68" i="3" s="1"/>
  <c r="E70" i="3"/>
  <c r="D68" i="3"/>
  <c r="I68" i="3" s="1"/>
  <c r="D70" i="3"/>
  <c r="I70" i="3" s="1"/>
  <c r="C69" i="3"/>
  <c r="H69" i="3" s="1"/>
  <c r="K68" i="2" s="1"/>
  <c r="B69" i="3"/>
  <c r="G69" i="3" s="1"/>
  <c r="J68" i="2" s="1"/>
  <c r="C72" i="3"/>
  <c r="H72" i="3" s="1"/>
  <c r="E71" i="3"/>
  <c r="J71" i="3" s="1"/>
  <c r="C70" i="3"/>
  <c r="H70" i="3" s="1"/>
  <c r="E69" i="3"/>
  <c r="J69" i="3" s="1"/>
  <c r="N68" i="2" s="1"/>
  <c r="C68" i="3"/>
  <c r="H68" i="3" s="1"/>
  <c r="E72" i="3"/>
  <c r="J72" i="3" s="1"/>
  <c r="B71" i="3"/>
  <c r="E68" i="3"/>
  <c r="J68" i="3" s="1"/>
  <c r="D69" i="3"/>
  <c r="I69" i="3" s="1"/>
  <c r="L68" i="2" s="1"/>
  <c r="G71" i="3" l="1"/>
  <c r="H71" i="3"/>
  <c r="M68" i="2"/>
  <c r="J70" i="3"/>
  <c r="I72" i="3"/>
  <c r="I46" i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K66" i="2"/>
  <c r="L66" i="2"/>
  <c r="N66" i="2"/>
  <c r="B66" i="2"/>
  <c r="D66" i="2"/>
  <c r="C67" i="3" a="1"/>
  <c r="D67" i="3" a="1"/>
  <c r="E67" i="3" a="1"/>
  <c r="B67" i="3" a="1"/>
  <c r="G66" i="2" l="1"/>
  <c r="H66" i="2"/>
  <c r="M66" i="2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G65" i="2" l="1"/>
  <c r="H65" i="2"/>
  <c r="M65" i="2"/>
  <c r="E64" i="2"/>
  <c r="F64" i="2" s="1"/>
  <c r="J64" i="2"/>
  <c r="K64" i="2"/>
  <c r="L64" i="2"/>
  <c r="N64" i="2"/>
  <c r="B64" i="2"/>
  <c r="D64" i="2"/>
  <c r="M64" i="2" l="1"/>
  <c r="G64" i="2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E62" i="2"/>
  <c r="J62" i="2"/>
  <c r="K62" i="2"/>
  <c r="L62" i="2"/>
  <c r="N62" i="2"/>
  <c r="D62" i="2"/>
  <c r="M63" i="2" l="1"/>
  <c r="M62" i="2"/>
  <c r="E61" i="2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3" i="1"/>
  <c r="J9" i="1"/>
  <c r="J7" i="1"/>
  <c r="J10" i="1"/>
  <c r="J12" i="1"/>
  <c r="J5" i="1"/>
  <c r="J8" i="1"/>
  <c r="J11" i="1"/>
  <c r="R12" i="1" l="1"/>
  <c r="S12" i="1" s="1"/>
  <c r="M47" i="2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L6" i="1"/>
  <c r="G4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2" i="1"/>
  <c r="G3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10" i="1"/>
  <c r="M7" i="1"/>
  <c r="M9" i="1"/>
  <c r="M6" i="1"/>
  <c r="M4" i="1"/>
  <c r="M11" i="1"/>
  <c r="M5" i="1"/>
  <c r="M3" i="1"/>
  <c r="M2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5" i="1" a="1"/>
  <c r="L10" i="1" a="1"/>
  <c r="L4" i="1" a="1"/>
  <c r="L11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0" i="1"/>
  <c r="L4" i="1"/>
  <c r="L5" i="1"/>
  <c r="L11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L8" i="1"/>
  <c r="K26" i="1"/>
  <c r="L3" i="1"/>
  <c r="L7" i="1"/>
  <c r="L2" i="1"/>
  <c r="L9" i="1"/>
  <c r="P21" i="1" l="1"/>
  <c r="O38" i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3" i="1"/>
  <c r="K24" i="1"/>
  <c r="K22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B4" i="1"/>
  <c r="B6" i="1"/>
  <c r="J3" i="1"/>
  <c r="B5" i="1"/>
  <c r="B11" i="1"/>
  <c r="J2" i="1"/>
  <c r="B9" i="1"/>
  <c r="B7" i="1"/>
  <c r="B10" i="1"/>
  <c r="B2" i="1"/>
  <c r="B8" i="1"/>
  <c r="J6" i="1"/>
  <c r="B3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I21" i="1" s="1"/>
  <c r="F2" i="1" s="1"/>
  <c r="E3" i="1"/>
  <c r="T18" i="2" l="1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AB30" i="2"/>
  <c r="V30" i="2"/>
  <c r="R31" i="2"/>
  <c r="AD30" i="2"/>
  <c r="X30" i="2"/>
  <c r="Q31" i="2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P32" i="2" l="1"/>
  <c r="AJ32" i="2" s="1"/>
  <c r="AJ31" i="2"/>
  <c r="Q32" i="2"/>
  <c r="AK32" i="2" s="1"/>
  <c r="AK31" i="2"/>
  <c r="R32" i="2"/>
  <c r="AL32" i="2" s="1"/>
  <c r="AL31" i="2"/>
  <c r="Q33" i="2"/>
  <c r="R33" i="2"/>
  <c r="AD32" i="2"/>
  <c r="P33" i="2"/>
  <c r="AB32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AC32" i="2" l="1"/>
  <c r="W32" i="2"/>
  <c r="X32" i="2"/>
  <c r="R34" i="2"/>
  <c r="AL34" i="2" s="1"/>
  <c r="AL33" i="2"/>
  <c r="V32" i="2"/>
  <c r="Q34" i="2"/>
  <c r="AK34" i="2" s="1"/>
  <c r="AK33" i="2"/>
  <c r="P34" i="2"/>
  <c r="AJ34" i="2" s="1"/>
  <c r="AJ33" i="2"/>
  <c r="AC34" i="2"/>
  <c r="R35" i="2"/>
  <c r="AD34" i="2"/>
  <c r="AB33" i="2"/>
  <c r="V33" i="2"/>
  <c r="AD33" i="2"/>
  <c r="X33" i="2"/>
  <c r="AC33" i="2"/>
  <c r="W33" i="2"/>
  <c r="T25" i="2"/>
  <c r="Z24" i="2"/>
  <c r="AF24" i="2"/>
  <c r="S14" i="2"/>
  <c r="Y13" i="2"/>
  <c r="AE13" i="2"/>
  <c r="F14" i="2"/>
  <c r="G13" i="2"/>
  <c r="H13" i="2"/>
  <c r="W34" i="2" l="1"/>
  <c r="V34" i="2"/>
  <c r="P35" i="2"/>
  <c r="AJ35" i="2" s="1"/>
  <c r="AB34" i="2"/>
  <c r="R36" i="2"/>
  <c r="X36" i="2" s="1"/>
  <c r="AL35" i="2"/>
  <c r="P36" i="2"/>
  <c r="AB36" i="2" s="1"/>
  <c r="X34" i="2"/>
  <c r="Q35" i="2"/>
  <c r="AC35" i="2" s="1"/>
  <c r="X35" i="2"/>
  <c r="AD35" i="2"/>
  <c r="W35" i="2"/>
  <c r="AB35" i="2"/>
  <c r="Z25" i="2"/>
  <c r="T26" i="2"/>
  <c r="AF25" i="2"/>
  <c r="S15" i="2"/>
  <c r="Y14" i="2"/>
  <c r="AE14" i="2"/>
  <c r="G14" i="2"/>
  <c r="F15" i="2"/>
  <c r="H14" i="2"/>
  <c r="V35" i="2" l="1"/>
  <c r="AD36" i="2"/>
  <c r="Q36" i="2"/>
  <c r="AK35" i="2"/>
  <c r="P37" i="2"/>
  <c r="AJ36" i="2"/>
  <c r="V36" i="2"/>
  <c r="R37" i="2"/>
  <c r="AL36" i="2"/>
  <c r="Z26" i="2"/>
  <c r="T27" i="2"/>
  <c r="AF26" i="2"/>
  <c r="S16" i="2"/>
  <c r="AE15" i="2"/>
  <c r="Y15" i="2"/>
  <c r="F16" i="2"/>
  <c r="G15" i="2"/>
  <c r="H15" i="2"/>
  <c r="R38" i="2" l="1"/>
  <c r="AL37" i="2"/>
  <c r="X37" i="2"/>
  <c r="AD37" i="2"/>
  <c r="P38" i="2"/>
  <c r="AJ37" i="2"/>
  <c r="V37" i="2"/>
  <c r="AB37" i="2"/>
  <c r="Q37" i="2"/>
  <c r="AK36" i="2"/>
  <c r="W36" i="2"/>
  <c r="AC36" i="2"/>
  <c r="T28" i="2"/>
  <c r="T29" i="2" s="1"/>
  <c r="T30" i="2" s="1"/>
  <c r="AF27" i="2"/>
  <c r="Z27" i="2"/>
  <c r="S17" i="2"/>
  <c r="Y16" i="2"/>
  <c r="AE16" i="2"/>
  <c r="F17" i="2"/>
  <c r="H16" i="2"/>
  <c r="G16" i="2"/>
  <c r="AJ38" i="2" l="1"/>
  <c r="P39" i="2"/>
  <c r="AB38" i="2"/>
  <c r="V38" i="2"/>
  <c r="Q38" i="2"/>
  <c r="AK37" i="2"/>
  <c r="AC37" i="2"/>
  <c r="W37" i="2"/>
  <c r="AL38" i="2"/>
  <c r="R39" i="2"/>
  <c r="X38" i="2"/>
  <c r="AD38" i="2"/>
  <c r="T31" i="2"/>
  <c r="AF30" i="2"/>
  <c r="Z30" i="2"/>
  <c r="AF29" i="2"/>
  <c r="Z29" i="2"/>
  <c r="Z28" i="2"/>
  <c r="AF28" i="2"/>
  <c r="AE17" i="2"/>
  <c r="Y17" i="2"/>
  <c r="S18" i="2"/>
  <c r="G17" i="2"/>
  <c r="F18" i="2"/>
  <c r="H17" i="2"/>
  <c r="AK38" i="2" l="1"/>
  <c r="W38" i="2"/>
  <c r="AC38" i="2"/>
  <c r="Q39" i="2"/>
  <c r="T32" i="2"/>
  <c r="AN32" i="2" s="1"/>
  <c r="AN31" i="2"/>
  <c r="R40" i="2"/>
  <c r="AL39" i="2"/>
  <c r="AD39" i="2"/>
  <c r="X39" i="2"/>
  <c r="P40" i="2"/>
  <c r="AJ39" i="2"/>
  <c r="V39" i="2"/>
  <c r="AB39" i="2"/>
  <c r="T33" i="2"/>
  <c r="AF32" i="2"/>
  <c r="Z31" i="2"/>
  <c r="AF31" i="2"/>
  <c r="Y18" i="2"/>
  <c r="S19" i="2"/>
  <c r="AE18" i="2"/>
  <c r="G18" i="2"/>
  <c r="F19" i="2"/>
  <c r="H18" i="2"/>
  <c r="Z32" i="2" l="1"/>
  <c r="T34" i="2"/>
  <c r="AN34" i="2" s="1"/>
  <c r="AN33" i="2"/>
  <c r="R41" i="2"/>
  <c r="AL40" i="2"/>
  <c r="AD40" i="2"/>
  <c r="X40" i="2"/>
  <c r="Q40" i="2"/>
  <c r="AK39" i="2"/>
  <c r="AC39" i="2"/>
  <c r="W39" i="2"/>
  <c r="P41" i="2"/>
  <c r="AJ40" i="2"/>
  <c r="AB40" i="2"/>
  <c r="V40" i="2"/>
  <c r="T35" i="2"/>
  <c r="Z34" i="2"/>
  <c r="AF34" i="2"/>
  <c r="Z33" i="2"/>
  <c r="AF33" i="2"/>
  <c r="AE19" i="2"/>
  <c r="S20" i="2"/>
  <c r="Y19" i="2"/>
  <c r="F20" i="2"/>
  <c r="G19" i="2"/>
  <c r="H19" i="2"/>
  <c r="Q41" i="2" l="1"/>
  <c r="AK40" i="2"/>
  <c r="AC40" i="2"/>
  <c r="W40" i="2"/>
  <c r="T36" i="2"/>
  <c r="AN35" i="2"/>
  <c r="P42" i="2"/>
  <c r="AJ41" i="2"/>
  <c r="AB41" i="2"/>
  <c r="V41" i="2"/>
  <c r="R42" i="2"/>
  <c r="AL41" i="2"/>
  <c r="X41" i="2"/>
  <c r="AD41" i="2"/>
  <c r="AF36" i="2"/>
  <c r="Z36" i="2"/>
  <c r="Z35" i="2"/>
  <c r="AF35" i="2"/>
  <c r="S21" i="2"/>
  <c r="Y20" i="2"/>
  <c r="AE20" i="2"/>
  <c r="F21" i="2"/>
  <c r="F22" i="2" s="1"/>
  <c r="G20" i="2"/>
  <c r="H20" i="2"/>
  <c r="P43" i="2" l="1"/>
  <c r="AJ42" i="2"/>
  <c r="AB42" i="2"/>
  <c r="V42" i="2"/>
  <c r="R43" i="2"/>
  <c r="AL42" i="2"/>
  <c r="X42" i="2"/>
  <c r="AD42" i="2"/>
  <c r="T37" i="2"/>
  <c r="AN36" i="2"/>
  <c r="Q42" i="2"/>
  <c r="AK41" i="2"/>
  <c r="W41" i="2"/>
  <c r="AC41" i="2"/>
  <c r="F23" i="2"/>
  <c r="G22" i="2"/>
  <c r="H22" i="2"/>
  <c r="Y21" i="2"/>
  <c r="AE21" i="2"/>
  <c r="S22" i="2"/>
  <c r="G21" i="2"/>
  <c r="H21" i="2"/>
  <c r="R44" i="2" l="1"/>
  <c r="AL43" i="2"/>
  <c r="AD43" i="2"/>
  <c r="X43" i="2"/>
  <c r="Q43" i="2"/>
  <c r="AK42" i="2"/>
  <c r="AC42" i="2"/>
  <c r="W42" i="2"/>
  <c r="T38" i="2"/>
  <c r="AN37" i="2"/>
  <c r="Z37" i="2"/>
  <c r="AF37" i="2"/>
  <c r="P44" i="2"/>
  <c r="AJ43" i="2"/>
  <c r="AB43" i="2"/>
  <c r="V43" i="2"/>
  <c r="F24" i="2"/>
  <c r="G24" i="2" s="1"/>
  <c r="G23" i="2"/>
  <c r="H23" i="2"/>
  <c r="Y22" i="2"/>
  <c r="S23" i="2"/>
  <c r="AE22" i="2"/>
  <c r="Q44" i="2" l="1"/>
  <c r="AK43" i="2"/>
  <c r="W43" i="2"/>
  <c r="AC43" i="2"/>
  <c r="P45" i="2"/>
  <c r="AJ44" i="2"/>
  <c r="AB44" i="2"/>
  <c r="V44" i="2"/>
  <c r="AN38" i="2"/>
  <c r="T39" i="2"/>
  <c r="Z38" i="2"/>
  <c r="AF38" i="2"/>
  <c r="R45" i="2"/>
  <c r="AL44" i="2"/>
  <c r="AD44" i="2"/>
  <c r="X44" i="2"/>
  <c r="F25" i="2"/>
  <c r="G25" i="2" s="1"/>
  <c r="H24" i="2"/>
  <c r="S24" i="2"/>
  <c r="Y23" i="2"/>
  <c r="AE23" i="2"/>
  <c r="AL45" i="2" l="1"/>
  <c r="AD45" i="2"/>
  <c r="R46" i="2"/>
  <c r="X45" i="2"/>
  <c r="AJ45" i="2"/>
  <c r="V45" i="2"/>
  <c r="P46" i="2"/>
  <c r="AB45" i="2"/>
  <c r="T40" i="2"/>
  <c r="AN39" i="2"/>
  <c r="AF39" i="2"/>
  <c r="Z39" i="2"/>
  <c r="Q45" i="2"/>
  <c r="AK44" i="2"/>
  <c r="AC44" i="2"/>
  <c r="W44" i="2"/>
  <c r="F26" i="2"/>
  <c r="H25" i="2"/>
  <c r="S25" i="2"/>
  <c r="AE24" i="2"/>
  <c r="Y24" i="2"/>
  <c r="AJ46" i="2" l="1"/>
  <c r="P47" i="2"/>
  <c r="AB46" i="2"/>
  <c r="V46" i="2"/>
  <c r="AK45" i="2"/>
  <c r="Q46" i="2"/>
  <c r="W45" i="2"/>
  <c r="AC45" i="2"/>
  <c r="AL46" i="2"/>
  <c r="R47" i="2"/>
  <c r="X46" i="2"/>
  <c r="AD46" i="2"/>
  <c r="T41" i="2"/>
  <c r="AN40" i="2"/>
  <c r="AF40" i="2"/>
  <c r="Z40" i="2"/>
  <c r="F27" i="2"/>
  <c r="G26" i="2"/>
  <c r="H26" i="2"/>
  <c r="Y25" i="2"/>
  <c r="S26" i="2"/>
  <c r="AE25" i="2"/>
  <c r="T42" i="2" l="1"/>
  <c r="AN41" i="2"/>
  <c r="Z41" i="2"/>
  <c r="AF41" i="2"/>
  <c r="AK46" i="2"/>
  <c r="W46" i="2"/>
  <c r="Q47" i="2"/>
  <c r="AC46" i="2"/>
  <c r="R48" i="2"/>
  <c r="AL47" i="2"/>
  <c r="X47" i="2"/>
  <c r="AD47" i="2"/>
  <c r="P48" i="2"/>
  <c r="AJ47" i="2"/>
  <c r="V47" i="2"/>
  <c r="AB47" i="2"/>
  <c r="F28" i="2"/>
  <c r="G27" i="2"/>
  <c r="H27" i="2"/>
  <c r="S27" i="2"/>
  <c r="S28" i="2" s="1"/>
  <c r="S29" i="2" s="1"/>
  <c r="S30" i="2" s="1"/>
  <c r="Y26" i="2"/>
  <c r="AE26" i="2"/>
  <c r="Q48" i="2" l="1"/>
  <c r="AK47" i="2"/>
  <c r="W47" i="2"/>
  <c r="AC47" i="2"/>
  <c r="P49" i="2"/>
  <c r="AJ48" i="2"/>
  <c r="AB48" i="2"/>
  <c r="V48" i="2"/>
  <c r="R49" i="2"/>
  <c r="AL48" i="2"/>
  <c r="AD48" i="2"/>
  <c r="X48" i="2"/>
  <c r="T43" i="2"/>
  <c r="AN42" i="2"/>
  <c r="AF42" i="2"/>
  <c r="Z42" i="2"/>
  <c r="F29" i="2"/>
  <c r="G28" i="2"/>
  <c r="H28" i="2"/>
  <c r="S31" i="2"/>
  <c r="Y30" i="2"/>
  <c r="AE30" i="2"/>
  <c r="AE29" i="2"/>
  <c r="Y29" i="2"/>
  <c r="Y28" i="2"/>
  <c r="AE28" i="2"/>
  <c r="Y27" i="2"/>
  <c r="AE27" i="2"/>
  <c r="S32" i="2" l="1"/>
  <c r="AM32" i="2" s="1"/>
  <c r="AM31" i="2"/>
  <c r="P50" i="2"/>
  <c r="AJ49" i="2"/>
  <c r="V49" i="2"/>
  <c r="AB49" i="2"/>
  <c r="T44" i="2"/>
  <c r="AN43" i="2"/>
  <c r="AF43" i="2"/>
  <c r="Z43" i="2"/>
  <c r="R50" i="2"/>
  <c r="AL49" i="2"/>
  <c r="X49" i="2"/>
  <c r="AD49" i="2"/>
  <c r="Q49" i="2"/>
  <c r="AK48" i="2"/>
  <c r="W48" i="2"/>
  <c r="AC48" i="2"/>
  <c r="F30" i="2"/>
  <c r="H29" i="2"/>
  <c r="G29" i="2"/>
  <c r="Y31" i="2"/>
  <c r="AE31" i="2"/>
  <c r="AE32" i="2" l="1"/>
  <c r="Y32" i="2"/>
  <c r="S33" i="2"/>
  <c r="S34" i="2"/>
  <c r="AM34" i="2" s="1"/>
  <c r="AM33" i="2"/>
  <c r="T45" i="2"/>
  <c r="AN44" i="2"/>
  <c r="AF44" i="2"/>
  <c r="Z44" i="2"/>
  <c r="AL50" i="2"/>
  <c r="AD50" i="2"/>
  <c r="X50" i="2"/>
  <c r="R51" i="2"/>
  <c r="AJ50" i="2"/>
  <c r="V50" i="2"/>
  <c r="AB50" i="2"/>
  <c r="P51" i="2"/>
  <c r="Q50" i="2"/>
  <c r="AK49" i="2"/>
  <c r="AC49" i="2"/>
  <c r="W49" i="2"/>
  <c r="F31" i="2"/>
  <c r="H30" i="2"/>
  <c r="G30" i="2"/>
  <c r="Y34" i="2"/>
  <c r="Y33" i="2"/>
  <c r="AE33" i="2"/>
  <c r="S35" i="2" l="1"/>
  <c r="AE34" i="2"/>
  <c r="P52" i="2"/>
  <c r="AJ51" i="2"/>
  <c r="V51" i="2"/>
  <c r="AB51" i="2"/>
  <c r="AN45" i="2"/>
  <c r="Z45" i="2"/>
  <c r="T46" i="2"/>
  <c r="AF45" i="2"/>
  <c r="AK50" i="2"/>
  <c r="AC50" i="2"/>
  <c r="Q51" i="2"/>
  <c r="W50" i="2"/>
  <c r="R52" i="2"/>
  <c r="AL51" i="2"/>
  <c r="X51" i="2"/>
  <c r="AD51" i="2"/>
  <c r="S36" i="2"/>
  <c r="Y36" i="2" s="1"/>
  <c r="AM35" i="2"/>
  <c r="F32" i="2"/>
  <c r="H31" i="2"/>
  <c r="G31" i="2"/>
  <c r="Y35" i="2"/>
  <c r="AE35" i="2"/>
  <c r="AN46" i="2" l="1"/>
  <c r="Z46" i="2"/>
  <c r="T47" i="2"/>
  <c r="AF46" i="2"/>
  <c r="AE36" i="2"/>
  <c r="R53" i="2"/>
  <c r="AL52" i="2"/>
  <c r="AD52" i="2"/>
  <c r="X52" i="2"/>
  <c r="Q52" i="2"/>
  <c r="AK51" i="2"/>
  <c r="W51" i="2"/>
  <c r="AC51" i="2"/>
  <c r="S37" i="2"/>
  <c r="AM36" i="2"/>
  <c r="P53" i="2"/>
  <c r="AJ52" i="2"/>
  <c r="AB52" i="2"/>
  <c r="V52" i="2"/>
  <c r="G32" i="2"/>
  <c r="F33" i="2"/>
  <c r="H32" i="2"/>
  <c r="S38" i="2" l="1"/>
  <c r="AM37" i="2"/>
  <c r="Y37" i="2"/>
  <c r="AE37" i="2"/>
  <c r="R54" i="2"/>
  <c r="AL53" i="2"/>
  <c r="X53" i="2"/>
  <c r="AD53" i="2"/>
  <c r="T48" i="2"/>
  <c r="AN47" i="2"/>
  <c r="AF47" i="2"/>
  <c r="Z47" i="2"/>
  <c r="Q53" i="2"/>
  <c r="AK52" i="2"/>
  <c r="W52" i="2"/>
  <c r="AC52" i="2"/>
  <c r="P54" i="2"/>
  <c r="AJ53" i="2"/>
  <c r="AB53" i="2"/>
  <c r="V53" i="2"/>
  <c r="F34" i="2"/>
  <c r="G33" i="2"/>
  <c r="H33" i="2"/>
  <c r="Q54" i="2" l="1"/>
  <c r="AK53" i="2"/>
  <c r="W53" i="2"/>
  <c r="AC53" i="2"/>
  <c r="R55" i="2"/>
  <c r="AL54" i="2"/>
  <c r="AD54" i="2"/>
  <c r="X54" i="2"/>
  <c r="P55" i="2"/>
  <c r="AJ54" i="2"/>
  <c r="AB54" i="2"/>
  <c r="V54" i="2"/>
  <c r="T49" i="2"/>
  <c r="AN48" i="2"/>
  <c r="AF48" i="2"/>
  <c r="Z48" i="2"/>
  <c r="AM38" i="2"/>
  <c r="S39" i="2"/>
  <c r="Y38" i="2"/>
  <c r="AE38" i="2"/>
  <c r="G34" i="2"/>
  <c r="F35" i="2"/>
  <c r="H34" i="2"/>
  <c r="AL55" i="2" l="1"/>
  <c r="X55" i="2"/>
  <c r="R56" i="2"/>
  <c r="AD55" i="2"/>
  <c r="T50" i="2"/>
  <c r="AN49" i="2"/>
  <c r="AF49" i="2"/>
  <c r="Z49" i="2"/>
  <c r="S40" i="2"/>
  <c r="AM39" i="2"/>
  <c r="Y39" i="2"/>
  <c r="AE39" i="2"/>
  <c r="AJ55" i="2"/>
  <c r="P56" i="2"/>
  <c r="V55" i="2"/>
  <c r="AB55" i="2"/>
  <c r="Q55" i="2"/>
  <c r="AK54" i="2"/>
  <c r="W54" i="2"/>
  <c r="AC54" i="2"/>
  <c r="F36" i="2"/>
  <c r="G35" i="2"/>
  <c r="H35" i="2"/>
  <c r="AN50" i="2" l="1"/>
  <c r="Z50" i="2"/>
  <c r="AF50" i="2"/>
  <c r="T51" i="2"/>
  <c r="R57" i="2"/>
  <c r="AL56" i="2"/>
  <c r="X56" i="2"/>
  <c r="AD56" i="2"/>
  <c r="P57" i="2"/>
  <c r="AJ56" i="2"/>
  <c r="V56" i="2"/>
  <c r="AB56" i="2"/>
  <c r="AK55" i="2"/>
  <c r="Q56" i="2"/>
  <c r="AC55" i="2"/>
  <c r="W55" i="2"/>
  <c r="S41" i="2"/>
  <c r="AM40" i="2"/>
  <c r="AE40" i="2"/>
  <c r="Y40" i="2"/>
  <c r="G36" i="2"/>
  <c r="F37" i="2"/>
  <c r="F38" i="2" s="1"/>
  <c r="H36" i="2"/>
  <c r="R58" i="2" l="1"/>
  <c r="AL57" i="2"/>
  <c r="X57" i="2"/>
  <c r="AD57" i="2"/>
  <c r="T52" i="2"/>
  <c r="AN51" i="2"/>
  <c r="Z51" i="2"/>
  <c r="AF51" i="2"/>
  <c r="Q57" i="2"/>
  <c r="AK56" i="2"/>
  <c r="W56" i="2"/>
  <c r="AC56" i="2"/>
  <c r="S42" i="2"/>
  <c r="AM41" i="2"/>
  <c r="AE41" i="2"/>
  <c r="Y41" i="2"/>
  <c r="P58" i="2"/>
  <c r="AJ57" i="2"/>
  <c r="V57" i="2"/>
  <c r="AB57" i="2"/>
  <c r="F39" i="2"/>
  <c r="H38" i="2"/>
  <c r="G38" i="2"/>
  <c r="G37" i="2"/>
  <c r="H37" i="2"/>
  <c r="T53" i="2" l="1"/>
  <c r="AN52" i="2"/>
  <c r="AF52" i="2"/>
  <c r="Z52" i="2"/>
  <c r="S43" i="2"/>
  <c r="AM42" i="2"/>
  <c r="Y42" i="2"/>
  <c r="AE42" i="2"/>
  <c r="P59" i="2"/>
  <c r="AJ58" i="2"/>
  <c r="V58" i="2"/>
  <c r="AB58" i="2"/>
  <c r="Q58" i="2"/>
  <c r="AK57" i="2"/>
  <c r="AC57" i="2"/>
  <c r="W57" i="2"/>
  <c r="R59" i="2"/>
  <c r="AL58" i="2"/>
  <c r="X58" i="2"/>
  <c r="AD58" i="2"/>
  <c r="F40" i="2"/>
  <c r="G39" i="2"/>
  <c r="H39" i="2"/>
  <c r="S6" i="1"/>
  <c r="I26" i="1"/>
  <c r="F4" i="1"/>
  <c r="P4" i="1" s="1"/>
  <c r="Q59" i="2" l="1"/>
  <c r="AK58" i="2"/>
  <c r="AC58" i="2"/>
  <c r="W58" i="2"/>
  <c r="S44" i="2"/>
  <c r="AM43" i="2"/>
  <c r="Y43" i="2"/>
  <c r="AE43" i="2"/>
  <c r="R60" i="2"/>
  <c r="AL59" i="2"/>
  <c r="AD59" i="2"/>
  <c r="X59" i="2"/>
  <c r="P60" i="2"/>
  <c r="AJ59" i="2"/>
  <c r="AB59" i="2"/>
  <c r="V59" i="2"/>
  <c r="T54" i="2"/>
  <c r="AN53" i="2"/>
  <c r="Z53" i="2"/>
  <c r="AF53" i="2"/>
  <c r="F41" i="2"/>
  <c r="H40" i="2"/>
  <c r="G40" i="2"/>
  <c r="P6" i="1"/>
  <c r="F5" i="1"/>
  <c r="P5" i="1" s="1"/>
  <c r="F3" i="1"/>
  <c r="P2" i="1"/>
  <c r="P61" i="2" l="1"/>
  <c r="AJ60" i="2"/>
  <c r="AB60" i="2"/>
  <c r="V60" i="2"/>
  <c r="S45" i="2"/>
  <c r="AM44" i="2"/>
  <c r="AE44" i="2"/>
  <c r="Y44" i="2"/>
  <c r="T55" i="2"/>
  <c r="AN54" i="2"/>
  <c r="Z54" i="2"/>
  <c r="AF54" i="2"/>
  <c r="R61" i="2"/>
  <c r="AL60" i="2"/>
  <c r="X60" i="2"/>
  <c r="AD60" i="2"/>
  <c r="Q60" i="2"/>
  <c r="AK59" i="2"/>
  <c r="W59" i="2"/>
  <c r="AC59" i="2"/>
  <c r="F42" i="2"/>
  <c r="G41" i="2"/>
  <c r="H41" i="2"/>
  <c r="P3" i="1"/>
  <c r="N21" i="1" a="1"/>
  <c r="N21" i="1" s="1"/>
  <c r="I31" i="1" s="1"/>
  <c r="F20" i="1"/>
  <c r="F21" i="1" s="1"/>
  <c r="K28" i="1"/>
  <c r="K21" i="1"/>
  <c r="AM45" i="2" l="1"/>
  <c r="Y45" i="2"/>
  <c r="S46" i="2"/>
  <c r="AE45" i="2"/>
  <c r="R62" i="2"/>
  <c r="AL61" i="2"/>
  <c r="AD61" i="2"/>
  <c r="X61" i="2"/>
  <c r="Q61" i="2"/>
  <c r="AK60" i="2"/>
  <c r="AC60" i="2"/>
  <c r="W60" i="2"/>
  <c r="AN55" i="2"/>
  <c r="T56" i="2"/>
  <c r="Z55" i="2"/>
  <c r="AF55" i="2"/>
  <c r="P62" i="2"/>
  <c r="AJ61" i="2"/>
  <c r="AB61" i="2"/>
  <c r="V61" i="2"/>
  <c r="G42" i="2"/>
  <c r="F43" i="2"/>
  <c r="H42" i="2"/>
  <c r="T57" i="2" l="1"/>
  <c r="AN56" i="2"/>
  <c r="AF56" i="2"/>
  <c r="Z56" i="2"/>
  <c r="AM46" i="2"/>
  <c r="AE46" i="2"/>
  <c r="S47" i="2"/>
  <c r="Y46" i="2"/>
  <c r="AL62" i="2"/>
  <c r="AD62" i="2"/>
  <c r="X62" i="2"/>
  <c r="R63" i="2"/>
  <c r="AJ62" i="2"/>
  <c r="P63" i="2"/>
  <c r="AB62" i="2"/>
  <c r="V62" i="2"/>
  <c r="Q62" i="2"/>
  <c r="AK61" i="2"/>
  <c r="AC61" i="2"/>
  <c r="W61" i="2"/>
  <c r="H43" i="2"/>
  <c r="F44" i="2"/>
  <c r="G43" i="2"/>
  <c r="P64" i="2" l="1"/>
  <c r="AJ63" i="2"/>
  <c r="V63" i="2"/>
  <c r="AB63" i="2"/>
  <c r="S48" i="2"/>
  <c r="AM47" i="2"/>
  <c r="Y47" i="2"/>
  <c r="AE47" i="2"/>
  <c r="R64" i="2"/>
  <c r="AL63" i="2"/>
  <c r="X63" i="2"/>
  <c r="AD63" i="2"/>
  <c r="AK62" i="2"/>
  <c r="AC62" i="2"/>
  <c r="W62" i="2"/>
  <c r="Q63" i="2"/>
  <c r="T58" i="2"/>
  <c r="AN57" i="2"/>
  <c r="Z57" i="2"/>
  <c r="AF57" i="2"/>
  <c r="H44" i="2"/>
  <c r="F45" i="2"/>
  <c r="G44" i="2"/>
  <c r="Q64" i="2" l="1"/>
  <c r="AK63" i="2"/>
  <c r="W63" i="2"/>
  <c r="AC63" i="2"/>
  <c r="S49" i="2"/>
  <c r="AM48" i="2"/>
  <c r="Y48" i="2"/>
  <c r="AE48" i="2"/>
  <c r="T59" i="2"/>
  <c r="AN58" i="2"/>
  <c r="Z58" i="2"/>
  <c r="AF58" i="2"/>
  <c r="R65" i="2"/>
  <c r="AL64" i="2"/>
  <c r="X64" i="2"/>
  <c r="AD64" i="2"/>
  <c r="P65" i="2"/>
  <c r="AJ64" i="2"/>
  <c r="V64" i="2"/>
  <c r="AB64" i="2"/>
  <c r="F46" i="2"/>
  <c r="G45" i="2"/>
  <c r="H45" i="2"/>
  <c r="AL65" i="2" l="1"/>
  <c r="R66" i="2"/>
  <c r="R67" i="2" s="1"/>
  <c r="X65" i="2"/>
  <c r="AD65" i="2"/>
  <c r="AJ65" i="2"/>
  <c r="P66" i="2"/>
  <c r="P67" i="2" s="1"/>
  <c r="AB65" i="2"/>
  <c r="V65" i="2"/>
  <c r="T60" i="2"/>
  <c r="AN59" i="2"/>
  <c r="AF59" i="2"/>
  <c r="Z59" i="2"/>
  <c r="S50" i="2"/>
  <c r="AM49" i="2"/>
  <c r="AE49" i="2"/>
  <c r="Y49" i="2"/>
  <c r="Q65" i="2"/>
  <c r="AK64" i="2"/>
  <c r="AC64" i="2"/>
  <c r="W64" i="2"/>
  <c r="G46" i="2"/>
  <c r="F47" i="2"/>
  <c r="H46" i="2"/>
  <c r="AJ67" i="2" l="1"/>
  <c r="AB67" i="2"/>
  <c r="V67" i="2"/>
  <c r="P68" i="2"/>
  <c r="AL67" i="2"/>
  <c r="AD67" i="2"/>
  <c r="X67" i="2"/>
  <c r="R68" i="2"/>
  <c r="AM50" i="2"/>
  <c r="Y50" i="2"/>
  <c r="AE50" i="2"/>
  <c r="S51" i="2"/>
  <c r="AJ66" i="2"/>
  <c r="AB66" i="2"/>
  <c r="V66" i="2"/>
  <c r="AL66" i="2"/>
  <c r="AD66" i="2"/>
  <c r="X66" i="2"/>
  <c r="AK65" i="2"/>
  <c r="Q66" i="2"/>
  <c r="Q67" i="2" s="1"/>
  <c r="W65" i="2"/>
  <c r="AC65" i="2"/>
  <c r="T61" i="2"/>
  <c r="AN60" i="2"/>
  <c r="Z60" i="2"/>
  <c r="AF60" i="2"/>
  <c r="F48" i="2"/>
  <c r="G47" i="2"/>
  <c r="H47" i="2"/>
  <c r="L33" i="1" l="1"/>
  <c r="K33" i="1"/>
  <c r="X68" i="2"/>
  <c r="AD68" i="2"/>
  <c r="AL68" i="2"/>
  <c r="P46" i="1"/>
  <c r="V68" i="2"/>
  <c r="AB68" i="2"/>
  <c r="AJ68" i="2"/>
  <c r="N46" i="1" s="1"/>
  <c r="AK67" i="2"/>
  <c r="AC67" i="2"/>
  <c r="W67" i="2"/>
  <c r="Q68" i="2"/>
  <c r="T62" i="2"/>
  <c r="AN61" i="2"/>
  <c r="AF61" i="2"/>
  <c r="Z61" i="2"/>
  <c r="AK66" i="2"/>
  <c r="AC66" i="2"/>
  <c r="W66" i="2"/>
  <c r="S52" i="2"/>
  <c r="AM51" i="2"/>
  <c r="Y51" i="2"/>
  <c r="AE51" i="2"/>
  <c r="G48" i="2"/>
  <c r="F49" i="2"/>
  <c r="H48" i="2"/>
  <c r="AK68" i="2" l="1"/>
  <c r="O46" i="1" s="1"/>
  <c r="AC68" i="2"/>
  <c r="W68" i="2"/>
  <c r="AN62" i="2"/>
  <c r="T63" i="2"/>
  <c r="AF62" i="2"/>
  <c r="Z62" i="2"/>
  <c r="S53" i="2"/>
  <c r="AM52" i="2"/>
  <c r="Y52" i="2"/>
  <c r="AE52" i="2"/>
  <c r="H49" i="2"/>
  <c r="G49" i="2"/>
  <c r="F50" i="2"/>
  <c r="T64" i="2" l="1"/>
  <c r="AN63" i="2"/>
  <c r="Z63" i="2"/>
  <c r="AF63" i="2"/>
  <c r="S54" i="2"/>
  <c r="AM53" i="2"/>
  <c r="Y53" i="2"/>
  <c r="AE53" i="2"/>
  <c r="F51" i="2"/>
  <c r="G50" i="2"/>
  <c r="H50" i="2"/>
  <c r="S55" i="2" l="1"/>
  <c r="AM54" i="2"/>
  <c r="AE54" i="2"/>
  <c r="Y54" i="2"/>
  <c r="T65" i="2"/>
  <c r="AN64" i="2"/>
  <c r="Z64" i="2"/>
  <c r="AF64" i="2"/>
  <c r="G51" i="2"/>
  <c r="F52" i="2"/>
  <c r="H51" i="2"/>
  <c r="AN65" i="2" l="1"/>
  <c r="T66" i="2"/>
  <c r="T67" i="2" s="1"/>
  <c r="AF65" i="2"/>
  <c r="Z65" i="2"/>
  <c r="AM55" i="2"/>
  <c r="S56" i="2"/>
  <c r="AE55" i="2"/>
  <c r="Y55" i="2"/>
  <c r="G52" i="2"/>
  <c r="F53" i="2"/>
  <c r="H52" i="2"/>
  <c r="Z67" i="2" l="1"/>
  <c r="AN67" i="2"/>
  <c r="AF67" i="2"/>
  <c r="T68" i="2"/>
  <c r="S57" i="2"/>
  <c r="AM56" i="2"/>
  <c r="Y56" i="2"/>
  <c r="AE56" i="2"/>
  <c r="AN66" i="2"/>
  <c r="Z66" i="2"/>
  <c r="AF66" i="2"/>
  <c r="F54" i="2"/>
  <c r="G53" i="2"/>
  <c r="H53" i="2"/>
  <c r="L34" i="1" l="1"/>
  <c r="K34" i="1"/>
  <c r="AN68" i="2"/>
  <c r="R46" i="1" s="1"/>
  <c r="Z68" i="2"/>
  <c r="AF68" i="2"/>
  <c r="S58" i="2"/>
  <c r="AM57" i="2"/>
  <c r="AE57" i="2"/>
  <c r="Y57" i="2"/>
  <c r="F55" i="2"/>
  <c r="G54" i="2"/>
  <c r="H54" i="2"/>
  <c r="S59" i="2" l="1"/>
  <c r="AM58" i="2"/>
  <c r="AE58" i="2"/>
  <c r="Y58" i="2"/>
  <c r="G55" i="2"/>
  <c r="F56" i="2"/>
  <c r="H55" i="2"/>
  <c r="S60" i="2" l="1"/>
  <c r="AM59" i="2"/>
  <c r="Y59" i="2"/>
  <c r="AE59" i="2"/>
  <c r="G56" i="2"/>
  <c r="F57" i="2"/>
  <c r="H56" i="2"/>
  <c r="S61" i="2" l="1"/>
  <c r="AM60" i="2"/>
  <c r="AE60" i="2"/>
  <c r="Y60" i="2"/>
  <c r="G57" i="2"/>
  <c r="F58" i="2"/>
  <c r="H57" i="2"/>
  <c r="S62" i="2" l="1"/>
  <c r="AM61" i="2"/>
  <c r="Y61" i="2"/>
  <c r="AE61" i="2"/>
  <c r="F59" i="2"/>
  <c r="G58" i="2"/>
  <c r="H58" i="2"/>
  <c r="AM62" i="2" l="1"/>
  <c r="AE62" i="2"/>
  <c r="S63" i="2"/>
  <c r="Y62" i="2"/>
  <c r="F60" i="2"/>
  <c r="G59" i="2"/>
  <c r="H59" i="2"/>
  <c r="S64" i="2" l="1"/>
  <c r="AM63" i="2"/>
  <c r="Y63" i="2"/>
  <c r="AE63" i="2"/>
  <c r="G60" i="2"/>
  <c r="F61" i="2"/>
  <c r="H60" i="2"/>
  <c r="S65" i="2" l="1"/>
  <c r="AM64" i="2"/>
  <c r="Y64" i="2"/>
  <c r="AE64" i="2"/>
  <c r="F62" i="2"/>
  <c r="G61" i="2"/>
  <c r="H61" i="2"/>
  <c r="AM65" i="2" l="1"/>
  <c r="S66" i="2"/>
  <c r="S67" i="2" s="1"/>
  <c r="Y65" i="2"/>
  <c r="AE65" i="2"/>
  <c r="F63" i="2"/>
  <c r="G62" i="2"/>
  <c r="H62" i="2"/>
  <c r="Y67" i="2" l="1"/>
  <c r="AM67" i="2"/>
  <c r="AE67" i="2"/>
  <c r="S68" i="2"/>
  <c r="AM66" i="2"/>
  <c r="AE66" i="2"/>
  <c r="Y66" i="2"/>
  <c r="H63" i="2"/>
  <c r="L31" i="1" s="1"/>
  <c r="G63" i="2"/>
  <c r="K31" i="1" s="1"/>
  <c r="AM68" i="2" l="1"/>
  <c r="Q46" i="1" s="1"/>
  <c r="Y68" i="2"/>
  <c r="K32" i="1" s="1"/>
  <c r="AE68" i="2"/>
  <c r="L32" i="1" s="1"/>
</calcChain>
</file>

<file path=xl/sharedStrings.xml><?xml version="1.0" encoding="utf-8"?>
<sst xmlns="http://schemas.openxmlformats.org/spreadsheetml/2006/main" count="155" uniqueCount="111">
  <si>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</si>
  <si>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</si>
  <si>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</si>
  <si>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</si>
  <si>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</si>
  <si>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</si>
  <si>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</si>
  <si>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</si>
  <si>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</si>
  <si>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</si>
  <si>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</si>
  <si>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</si>
  <si>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</si>
  <si>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</si>
  <si>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</si>
  <si>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</si>
  <si>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</si>
  <si>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</si>
  <si>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</si>
  <si>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</si>
  <si>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</si>
  <si>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</si>
  <si>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</si>
  <si>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</si>
  <si>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</si>
  <si>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</si>
  <si>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</si>
  <si>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</si>
  <si>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</si>
  <si>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</si>
  <si>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</si>
  <si>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</si>
  <si>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</si>
  <si>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</si>
  <si>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</si>
  <si>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</si>
  <si>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</si>
  <si>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</si>
  <si>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</si>
  <si>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</si>
  <si>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</si>
  <si>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</si>
  <si>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</si>
  <si>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</si>
  <si>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</si>
  <si>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</si>
  <si>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</si>
  <si>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</si>
  <si>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</si>
  <si>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</si>
  <si>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</si>
  <si>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</si>
  <si>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</si>
  <si>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</si>
  <si>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</si>
  <si>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</si>
  <si>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</si>
  <si>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</si>
  <si>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</si>
  <si>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</si>
  <si>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</si>
  <si>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</si>
  <si>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</si>
  <si>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</si>
  <si>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</si>
  <si>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</si>
  <si>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</si>
  <si>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</si>
  <si>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</si>
  <si>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</si>
  <si>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</si>
  <si>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</si>
  <si>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</si>
  <si>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</si>
  <si>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</si>
  <si>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</si>
  <si>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</si>
  <si>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</si>
  <si>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</si>
  <si>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</si>
  <si>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</si>
  <si>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</si>
  <si>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</si>
  <si>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</si>
  <si>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</si>
  <si>
    <t>SHY</t>
  </si>
  <si>
    <t>ALGN</t>
  </si>
  <si>
    <t>AMZN</t>
  </si>
  <si>
    <t>CSCO</t>
  </si>
  <si>
    <t>ISRG</t>
  </si>
  <si>
    <t>MU</t>
  </si>
  <si>
    <t>STX</t>
  </si>
  <si>
    <t>Beg Value</t>
  </si>
  <si>
    <t>Equity</t>
  </si>
  <si>
    <t>GTAA</t>
  </si>
  <si>
    <t>Ex Px</t>
  </si>
  <si>
    <t>Weights</t>
  </si>
  <si>
    <t>Shares</t>
  </si>
  <si>
    <t>PnL</t>
  </si>
  <si>
    <t>Pnl</t>
  </si>
  <si>
    <t>GTAA MV</t>
  </si>
  <si>
    <t>Total Portfolio</t>
  </si>
  <si>
    <t>Current Wt</t>
  </si>
  <si>
    <t>current wt</t>
  </si>
  <si>
    <t>Tot Wt</t>
  </si>
  <si>
    <t>Total Ret</t>
  </si>
  <si>
    <t>Return</t>
  </si>
  <si>
    <t>return</t>
  </si>
  <si>
    <t>QQQE</t>
  </si>
  <si>
    <t>GAL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</si>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</sst>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Font="1"/>
    <xf numFmtId="165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b680f398aee849e8bbd7e44ce06d14f2">
      <tp>
        <v>0</v>
        <stp/>
        <stp>ACWI</stp>
        <stp>change in percent</stp>
        <tr r="K22" s="1"/>
      </tp>
    </main>
    <main first="rtdsrv.b680f398aee849e8bbd7e44ce06d14f2">
      <tp>
        <v>0.64156676999999995</v>
        <stp/>
        <stp>TLT</stp>
        <stp>mtd percent change</stp>
        <tr r="U5" s="1"/>
      </tp>
      <tp>
        <v>7.2236939999999999E-2</v>
        <stp/>
        <stp>SHY</stp>
        <stp>mtd percent change</stp>
        <tr r="U12" s="1"/>
      </tp>
      <tp>
        <v>0.12658227999999999</v>
        <stp/>
        <stp>RWX</stp>
        <stp>mtd percent change</stp>
        <tr r="U6" s="1"/>
      </tp>
      <tp>
        <v>0.94386312000000006</v>
        <stp/>
        <stp>IVV</stp>
        <stp>mtd percent change</stp>
        <tr r="U3" s="1"/>
      </tp>
      <tp>
        <v>0.84641805999999997</v>
        <stp/>
        <stp>IYR</stp>
        <stp>mtd percent change</stp>
        <tr r="U4" s="1"/>
      </tp>
      <tp>
        <v>-0.71739129999999995</v>
        <stp/>
        <stp>IEV</stp>
        <stp>mtd percent change</stp>
        <tr r="U9" s="1"/>
      </tp>
      <tp>
        <v>0.37497533</v>
        <stp/>
        <stp>IEF</stp>
        <stp>mtd percent change</stp>
        <tr r="U11" s="1"/>
      </tp>
      <tp>
        <v>-0.19107173999999999</v>
        <stp/>
        <stp>GLD</stp>
        <stp>mtd percent change</stp>
        <tr r="U8" s="1"/>
      </tp>
    </main>
    <main first="rtdsrv.b680f398aee849e8bbd7e44ce06d14f2">
      <tp>
        <v>-0.57715159000000005</v>
        <stp/>
        <stp>EWJ</stp>
        <stp>mtd percent change</stp>
        <tr r="U7" s="1"/>
      </tp>
      <tp>
        <v>-0.56230318999999995</v>
        <stp/>
        <stp>EEM</stp>
        <stp>mtd percent change</stp>
        <tr r="U10" s="1"/>
      </tp>
      <tp>
        <v>0.94117647000000004</v>
        <stp/>
        <stp>DBC</stp>
        <stp>mtd percent change</stp>
        <tr r="U2" s="1"/>
      </tp>
    </main>
    <main first="rtdsrv.b680f398aee849e8bbd7e44ce06d14f2">
      <tp>
        <v>0</v>
        <stp/>
        <stp>GYLD</stp>
        <stp>change in percent</stp>
        <tr r="K26" s="1"/>
      </tp>
    </main>
    <main first="rtdsrv.b680f398aee849e8bbd7e44ce06d14f2">
      <tp t="s">
        <v>ISHARES TR-20 YR TR BD ETF</v>
        <stp/>
        <stp>TLT</stp>
        <stp>description</stp>
        <tr r="B5" s="1"/>
      </tp>
    </main>
    <main first="rtdsrv.b680f398aee849e8bbd7e44ce06d14f2">
      <tp t="s">
        <v>SPDR INDEX SHS FDS-DJ INTL RL ETF</v>
        <stp/>
        <stp>RWX</stp>
        <stp>description</stp>
        <tr r="B6" s="1"/>
      </tp>
    </main>
    <main first="rtdsrv.b680f398aee849e8bbd7e44ce06d14f2">
      <tp>
        <v>52.81</v>
        <stp/>
        <stp>MU</stp>
        <stp>last</stp>
        <tr r="C9" s="4"/>
      </tp>
    </main>
    <main first="rtdsrv.b680f398aee849e8bbd7e44ce06d14f2">
      <tp t="s">
        <v>ISHARES TR-1 3 YR TREAS BD</v>
        <stp/>
        <stp>SHY</stp>
        <stp>description</stp>
        <tr r="B12" s="1"/>
      </tp>
    </main>
    <main first="rtdsrv.b680f398aee849e8bbd7e44ce06d14f2">
      <tp t="s">
        <v>ISHARES TR-EUROPE ETF</v>
        <stp/>
        <stp>IEV</stp>
        <stp>description</stp>
        <tr r="B9" s="1"/>
      </tp>
      <tp t="s">
        <v>ISHARES TR-BARCLAYS 7 10 YR</v>
        <stp/>
        <stp>IEF</stp>
        <stp>description</stp>
        <tr r="B11" s="1"/>
      </tp>
    </main>
    <main first="rtdsrv.b680f398aee849e8bbd7e44ce06d14f2">
      <tp t="s">
        <v>ISHARES TR-CORE S&amp;P500 ETF</v>
        <stp/>
        <stp>IVV</stp>
        <stp>description</stp>
        <tr r="B3" s="1"/>
      </tp>
      <tp t="s">
        <v>ISHARES TR-U.S. REAL ES ETF</v>
        <stp/>
        <stp>IYR</stp>
        <stp>description</stp>
        <tr r="B4" s="1"/>
      </tp>
    </main>
    <main first="rtdsrv.b680f398aee849e8bbd7e44ce06d14f2">
      <tp t="s">
        <v>INVESCO DB COMMDY INDX TRCK-UNIT</v>
        <stp/>
        <stp>DBC</stp>
        <stp>description</stp>
        <tr r="B2" s="1"/>
      </tp>
    </main>
    <main first="rtdsrv.b680f398aee849e8bbd7e44ce06d14f2">
      <tp t="s">
        <v>ISHARES TR-MSCI EMG MKT ETF</v>
        <stp/>
        <stp>EEM</stp>
        <stp>description</stp>
        <tr r="B10" s="1"/>
      </tp>
    </main>
    <main first="rtdsrv.b680f398aee849e8bbd7e44ce06d14f2">
      <tp t="s">
        <v>ISHARES INC-MSCI JPN ETF NEW</v>
        <stp/>
        <stp>EWJ</stp>
        <stp>description</stp>
        <tr r="B7" s="1"/>
      </tp>
    </main>
    <main first="rtdsrv.b680f398aee849e8bbd7e44ce06d14f2">
      <tp t="s">
        <v>SPDR GOLD TRUST-GOLD SHS</v>
        <stp/>
        <stp>GLD</stp>
        <stp>description</stp>
        <tr r="B8" s="1"/>
      </tp>
    </main>
    <main first="rtdsrv.b680f398aee849e8bbd7e44ce06d14f2">
      <tp>
        <v>0</v>
        <stp/>
        <stp>DBC</stp>
        <stp>change in percent</stp>
        <tr r="L2" s="1"/>
      </tp>
    </main>
    <main first="rtdsrv.b680f398aee849e8bbd7e44ce06d14f2">
      <tp>
        <v>0</v>
        <stp/>
        <stp>IEF</stp>
        <stp>change in percent</stp>
        <tr r="L11" s="1"/>
      </tp>
    </main>
    <main first="rtdsrv.b680f398aee849e8bbd7e44ce06d14f2">
      <tp>
        <v>0</v>
        <stp/>
        <stp>AGG</stp>
        <stp>change in percent</stp>
        <tr r="K23" s="1"/>
      </tp>
    </main>
    <main first="rtdsrv.b680f398aee849e8bbd7e44ce06d14f2">
      <tp>
        <v>0</v>
        <stp/>
        <stp>GLD</stp>
        <stp>change in percent</stp>
        <tr r="L8" s="1"/>
      </tp>
    </main>
    <main first="rtdsrv.b680f398aee849e8bbd7e44ce06d14f2">
      <tp>
        <v>0</v>
        <stp/>
        <stp>EWJ</stp>
        <stp>change in percent</stp>
        <tr r="L7" s="1"/>
      </tp>
    </main>
    <main first="rtdsrv.b680f398aee849e8bbd7e44ce06d14f2">
      <tp>
        <v>0</v>
        <stp/>
        <stp>EEM</stp>
        <stp>change in percent</stp>
        <tr r="L10" s="1"/>
      </tp>
    </main>
    <main first="rtdsrv.b680f398aee849e8bbd7e44ce06d14f2">
      <tp>
        <v>0</v>
        <stp/>
        <stp>IYR</stp>
        <stp>change in percent</stp>
        <tr r="L4" s="1"/>
      </tp>
    </main>
    <main first="rtdsrv.b680f398aee849e8bbd7e44ce06d14f2">
      <tp>
        <v>0</v>
        <stp/>
        <stp>IEV</stp>
        <stp>change in percent</stp>
        <tr r="L9" s="1"/>
      </tp>
      <tp>
        <v>0</v>
        <stp/>
        <stp>IVV</stp>
        <stp>change in percent</stp>
        <tr r="K24" s="1"/>
        <tr r="L3" s="1"/>
      </tp>
    </main>
    <main first="rtdsrv.b680f398aee849e8bbd7e44ce06d14f2">
      <tp>
        <v>0</v>
        <stp/>
        <stp>TLT</stp>
        <stp>change in percent</stp>
        <tr r="L5" s="1"/>
      </tp>
    </main>
    <main first="rtdsrv.b680f398aee849e8bbd7e44ce06d14f2">
      <tp>
        <v>0</v>
        <stp/>
        <stp>RWX</stp>
        <stp>change in percent</stp>
        <tr r="L6" s="1"/>
      </tp>
    </main>
    <main first="rtdsrv.b680f398aee849e8bbd7e44ce06d14f2">
      <tp>
        <v>0</v>
        <stp/>
        <stp>SHY</stp>
        <stp>change in percent</stp>
        <tr r="L12" s="1"/>
      </tp>
    </main>
    <main first="rtdsrv.b680f398aee849e8bbd7e44ce06d14f2">
      <tp>
        <v>38.303100000000001</v>
        <stp/>
        <stp>GAL</stp>
        <stp>last</stp>
        <tr r="C37" s="4"/>
      </tp>
    </main>
    <main first="rtdsrv.b680f398aee849e8bbd7e44ce06d14f2">
      <tp>
        <v>17.16</v>
        <stp/>
        <stp>DBC</stp>
        <stp>last</stp>
        <tr r="J2" s="1"/>
        <tr r="C20" s="4"/>
      </tp>
    </main>
    <main first="rtdsrv.b680f398aee849e8bbd7e44ce06d14f2">
      <tp>
        <v>101.72</v>
        <stp/>
        <stp>IEF</stp>
        <stp>last</stp>
        <tr r="J11" s="1"/>
      </tp>
    </main>
    <main first="rtdsrv.b680f398aee849e8bbd7e44ce06d14f2">
      <tp>
        <v>44.21</v>
        <stp/>
        <stp>EEM</stp>
        <stp>last</stp>
        <tr r="J10" s="1"/>
      </tp>
      <tp>
        <v>45.67</v>
        <stp/>
        <stp>IEV</stp>
        <stp>last</stp>
        <tr r="J9" s="1"/>
      </tp>
    </main>
    <main first="rtdsrv.b680f398aee849e8bbd7e44ce06d14f2">
      <tp>
        <v>522.6</v>
        <stp/>
        <stp>ISRG</stp>
        <stp>last</stp>
        <tr r="C8" s="4"/>
      </tp>
    </main>
    <main first="rtdsrv.b680f398aee849e8bbd7e44ce06d14f2">
      <tp>
        <v>46.82</v>
        <stp/>
        <stp>QQQE</stp>
        <stp>last</stp>
        <tr r="C40" s="4"/>
      </tp>
    </main>
    <main first="rtdsrv.b680f398aee849e8bbd7e44ce06d14f2">
      <tp t="s">
        <v>ARROW ETF TR-ARROW DJ GLB YLD</v>
        <stp/>
        <stp>GYLD</stp>
        <stp>description</stp>
        <tr r="L26" s="1"/>
      </tp>
    </main>
    <main first="rtdsrv.b680f398aee849e8bbd7e44ce06d14f2">
      <tp>
        <v>83.12</v>
        <stp/>
        <stp>SHY</stp>
        <stp>last</stp>
        <tr r="J12" s="1"/>
        <tr r="C23" s="4"/>
      </tp>
    </main>
    <main first="rtdsrv.b680f398aee849e8bbd7e44ce06d14f2">
      <tp>
        <v>82.21</v>
        <stp/>
        <stp>IYR</stp>
        <stp>close</stp>
        <tr r="G4" s="1"/>
      </tp>
    </main>
    <main first="rtdsrv.b680f398aee849e8bbd7e44ce06d14f2">
      <tp>
        <v>1823.29</v>
        <stp/>
        <stp>AMZN</stp>
        <stp>last</stp>
        <tr r="C6" s="4"/>
      </tp>
    </main>
    <main first="rtdsrv.b680f398aee849e8bbd7e44ce06d14f2">
      <tp>
        <v>114.92</v>
        <stp/>
        <stp>GLD</stp>
        <stp>last</stp>
        <tr r="J8" s="1"/>
      </tp>
    </main>
    <main first="rtdsrv.b680f398aee849e8bbd7e44ce06d14f2">
      <tp>
        <v>119.22</v>
        <stp/>
        <stp>TLT</stp>
        <stp>last</stp>
        <tr r="J5" s="1"/>
      </tp>
    </main>
    <main first="rtdsrv.b680f398aee849e8bbd7e44ce06d14f2">
      <tp>
        <v>119.22</v>
        <stp/>
        <stp>TLT</stp>
        <stp>close</stp>
        <tr r="G5" s="1"/>
      </tp>
      <tp>
        <v>1.79</v>
        <stp/>
        <stp>IVV</stp>
        <stp>dividend yield</stp>
        <tr r="M3" s="1"/>
      </tp>
      <tp>
        <v>0.49</v>
        <stp/>
        <stp>IYR</stp>
        <stp>dividend yield</stp>
        <tr r="M4" s="1"/>
      </tp>
      <tp>
        <v>2.36</v>
        <stp/>
        <stp>IEF</stp>
        <stp>dividend yield</stp>
        <tr r="M11" s="1"/>
      </tp>
      <tp>
        <v>4.63</v>
        <stp/>
        <stp>IEV</stp>
        <stp>dividend yield</stp>
        <tr r="M9" s="1"/>
      </tp>
      <tp>
        <v>1.57</v>
        <stp/>
        <stp>EWJ</stp>
        <stp>dividend yield</stp>
        <tr r="M7" s="1"/>
      </tp>
      <tp>
        <v>1.31</v>
        <stp/>
        <stp>EEM</stp>
        <stp>dividend yield</stp>
        <tr r="M10" s="1"/>
      </tp>
      <tp t="s">
        <v>--</v>
        <stp/>
        <stp>DBC</stp>
        <stp>dividend yield</stp>
        <tr r="M2" s="1"/>
      </tp>
    </main>
    <main first="rtdsrv.b680f398aee849e8bbd7e44ce06d14f2">
      <tp>
        <v>2.69</v>
        <stp/>
        <stp>TLT</stp>
        <stp>dividend yield</stp>
        <tr r="M5" s="1"/>
      </tp>
      <tp>
        <v>1.99</v>
        <stp/>
        <stp>SHY</stp>
        <stp>dividend yield</stp>
        <tr r="M12" s="1"/>
      </tp>
      <tp>
        <v>3.63</v>
        <stp/>
        <stp>RWX</stp>
        <stp>dividend yield</stp>
        <tr r="M6" s="1"/>
      </tp>
    </main>
    <main first="rtdsrv.b680f398aee849e8bbd7e44ce06d14f2">
      <tp>
        <v>285.55</v>
        <stp/>
        <stp>IVV</stp>
        <stp>close</stp>
        <tr r="G3" s="1"/>
      </tp>
    </main>
    <main first="rtdsrv.b680f398aee849e8bbd7e44ce06d14f2">
      <tp>
        <v>363.51</v>
        <stp/>
        <stp>ALGN</stp>
        <stp>last</stp>
        <tr r="C5" s="4"/>
      </tp>
    </main>
    <main first="rtdsrv.b680f398aee849e8bbd7e44ce06d14f2">
      <tp>
        <v>180.08</v>
        <stp/>
        <stp>QQQ</stp>
        <stp>last</stp>
        <tr r="C39" s="4"/>
      </tp>
    </main>
    <main first="rtdsrv.b680f398aee849e8bbd7e44ce06d14f2">
      <tp>
        <v>42.83</v>
        <stp/>
        <stp>CSCO</stp>
        <stp>last</stp>
        <tr r="C7" s="4"/>
      </tp>
    </main>
    <main first="rtdsrv.b680f398aee849e8bbd7e44ce06d14f2">
      <tp>
        <v>53.88</v>
        <stp/>
        <stp>STX</stp>
        <stp>last</stp>
        <tr r="C10" s="4"/>
      </tp>
    </main>
    <main first="rtdsrv.b680f398aee849e8bbd7e44ce06d14f2">
      <tp>
        <v>58.57</v>
        <stp/>
        <stp>EWJ</stp>
        <stp>last</stp>
        <tr r="J7" s="1"/>
      </tp>
    </main>
    <main first="rtdsrv.b680f398aee849e8bbd7e44ce06d14f2">
      <tp>
        <v>39.549999999999997</v>
        <stp/>
        <stp>RWX</stp>
        <stp>last</stp>
        <tr r="J6" s="1"/>
      </tp>
    </main>
    <main first="rtdsrv.b680f398aee849e8bbd7e44ce06d14f2">
      <tp>
        <v>285.55</v>
        <stp/>
        <stp>IVV</stp>
        <stp>last</stp>
        <tr r="C38" s="4"/>
        <tr r="J3" s="1"/>
        <tr r="C21" s="4"/>
      </tp>
    </main>
    <main first="rtdsrv.b680f398aee849e8bbd7e44ce06d14f2">
      <tp>
        <v>82.21</v>
        <stp/>
        <stp>IYR</stp>
        <stp>last</stp>
        <tr r="J4" s="1"/>
        <tr r="C22" s="4"/>
      </tp>
    </main>
    <main first="rtdsrv.b680f398aee849e8bbd7e44ce06d14f2">
      <tp>
        <v>17.16</v>
        <stp/>
        <stp>DBC</stp>
        <stp>close</stp>
        <tr r="G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zoomScale="90" zoomScaleNormal="90" workbookViewId="0">
      <selection activeCell="O30" sqref="O30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  <c r="U1" s="7" t="s">
        <v>31</v>
      </c>
    </row>
    <row r="2" spans="1:22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-3.7405491422166537E-2</v>
      </c>
      <c r="F2" s="5">
        <f>I2/$I$21</f>
        <v>0.1509437734244079</v>
      </c>
      <c r="G2" s="4">
        <f>_xll.RealtimeData(A2,"Close")</f>
        <v>17.16</v>
      </c>
      <c r="H2" s="4">
        <v>176</v>
      </c>
      <c r="I2" s="4">
        <f>H2*G2</f>
        <v>3020.16</v>
      </c>
      <c r="J2" s="4">
        <f>_xll.RealtimeData(A2,"Last")</f>
        <v>17.16</v>
      </c>
      <c r="K2" s="5">
        <f>J2/D2-1</f>
        <v>-3.7405491422166537E-2</v>
      </c>
      <c r="L2" s="8">
        <f>_xll.RealtimeData(A2,"Change in Percent")</f>
        <v>0</v>
      </c>
      <c r="M2" s="29" t="str">
        <f>_xll.RealtimeData(A2,"Dividend Yield")</f>
        <v>--</v>
      </c>
      <c r="N2" s="4" t="str">
        <f t="shared" ref="N2:N12" si="0">A2</f>
        <v>DBC</v>
      </c>
      <c r="O2" s="5">
        <v>0.14199999999999999</v>
      </c>
      <c r="P2" s="60">
        <f t="shared" ref="P2:P12" si="1">O2-F2</f>
        <v>-8.9437734244079137E-3</v>
      </c>
      <c r="Q2" s="31">
        <f>O2*Daily!$D$68</f>
        <v>2823.9823999999999</v>
      </c>
      <c r="R2">
        <f t="shared" ref="R2:R11" si="2">ROUND(Q2/J2,0)</f>
        <v>165</v>
      </c>
      <c r="S2">
        <f t="shared" ref="S2:S11" si="3">R2-H2</f>
        <v>-11</v>
      </c>
      <c r="T2" t="str">
        <f t="shared" ref="T2:T12" si="4">A2</f>
        <v>DBC</v>
      </c>
      <c r="U2">
        <f>_xll.RealtimeData(T2,"MTD Percent Change")</f>
        <v>0.94117647000000004</v>
      </c>
    </row>
    <row r="3" spans="1:22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7.2047364558050164E-2</v>
      </c>
      <c r="F3" s="5">
        <f>I3/$I$21</f>
        <v>0.41387139772027004</v>
      </c>
      <c r="G3" s="4">
        <f>_xll.RealtimeData(A3,"Close")</f>
        <v>285.55</v>
      </c>
      <c r="H3" s="4">
        <v>29</v>
      </c>
      <c r="I3" s="4">
        <f>H3*G3</f>
        <v>8280.9500000000007</v>
      </c>
      <c r="J3" s="4">
        <f>_xll.RealtimeData(A3,"Last")</f>
        <v>285.55</v>
      </c>
      <c r="K3" s="5">
        <f>J3/D3-1</f>
        <v>7.2047364558050164E-2</v>
      </c>
      <c r="L3" s="8">
        <f>_xll.RealtimeData(A3,"Change in Percent")</f>
        <v>0</v>
      </c>
      <c r="M3" s="29">
        <f>_xll.RealtimeData(A3,"Dividend Yield")</f>
        <v>1.79</v>
      </c>
      <c r="N3" s="4" t="str">
        <f t="shared" si="0"/>
        <v>IVV</v>
      </c>
      <c r="O3" s="5">
        <v>0.36599999999999999</v>
      </c>
      <c r="P3" s="60">
        <f t="shared" si="1"/>
        <v>-4.7871397720270048E-2</v>
      </c>
      <c r="Q3" s="31">
        <f>O3*Daily!$D$68</f>
        <v>7278.7152000000006</v>
      </c>
      <c r="R3">
        <f t="shared" si="2"/>
        <v>25</v>
      </c>
      <c r="S3">
        <f t="shared" si="3"/>
        <v>-4</v>
      </c>
      <c r="T3" t="str">
        <f t="shared" si="4"/>
        <v>IVV</v>
      </c>
      <c r="U3">
        <f>_xll.RealtimeData(T3,"MTD Percent Change")</f>
        <v>0.94386312000000006</v>
      </c>
    </row>
    <row r="4" spans="1:22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4.8195843427259799E-2</v>
      </c>
      <c r="F4" s="5">
        <f>I4/$I$21</f>
        <v>0.22187259321158842</v>
      </c>
      <c r="G4" s="4">
        <f>_xll.RealtimeData(A4,"Close")</f>
        <v>82.21</v>
      </c>
      <c r="H4" s="4">
        <v>54</v>
      </c>
      <c r="I4" s="4">
        <f>H4*G4</f>
        <v>4439.3399999999992</v>
      </c>
      <c r="J4" s="4">
        <f>_xll.RealtimeData(A4,"Last")</f>
        <v>82.21</v>
      </c>
      <c r="K4" s="5">
        <f>J4/D4-1</f>
        <v>4.8195843427259799E-2</v>
      </c>
      <c r="L4" s="8">
        <f t="array" ref="L4">_xll.RealtimeData(A4,"Change in Percent")</f>
        <v>0</v>
      </c>
      <c r="M4" s="29">
        <f>_xll.RealtimeData(A4,"Dividend Yield")</f>
        <v>0.49</v>
      </c>
      <c r="N4" s="4" t="str">
        <f t="shared" si="0"/>
        <v>IYR</v>
      </c>
      <c r="O4" s="5">
        <v>0.39300000000000002</v>
      </c>
      <c r="P4" s="60">
        <f t="shared" si="1"/>
        <v>0.1711274067884116</v>
      </c>
      <c r="Q4" s="31">
        <f>O4*Daily!$D$68</f>
        <v>7815.6696000000002</v>
      </c>
      <c r="R4">
        <f t="shared" si="2"/>
        <v>95</v>
      </c>
      <c r="S4">
        <f t="shared" si="3"/>
        <v>41</v>
      </c>
      <c r="T4" t="str">
        <f t="shared" si="4"/>
        <v>IYR</v>
      </c>
      <c r="U4">
        <f>_xll.RealtimeData(T4,"MTD Percent Change")</f>
        <v>0.84641805999999997</v>
      </c>
    </row>
    <row r="5" spans="1:22" x14ac:dyDescent="0.25">
      <c r="A5" t="s">
        <v>21</v>
      </c>
      <c r="B5" t="str">
        <f>_xll.RealtimeData(A5,"Description")</f>
        <v>ISHARES TR-20 YR TR BD ETF</v>
      </c>
      <c r="C5" s="3">
        <v>43286</v>
      </c>
      <c r="D5" s="31">
        <v>122.2938</v>
      </c>
      <c r="E5" s="5">
        <f>G5/D5-1</f>
        <v>-2.5134553019041106E-2</v>
      </c>
      <c r="F5" s="5">
        <f>I5/$I$21</f>
        <v>0.20854626356485312</v>
      </c>
      <c r="G5" s="4">
        <f>_xll.RealtimeData(A5,"Close")</f>
        <v>119.22</v>
      </c>
      <c r="H5" s="4">
        <v>35</v>
      </c>
      <c r="I5" s="4">
        <f>H5*G5</f>
        <v>4172.7</v>
      </c>
      <c r="J5" s="31">
        <f>_xll.RealtimeData(A5,"Last")</f>
        <v>119.22</v>
      </c>
      <c r="K5" s="5">
        <f>J5/D5-1</f>
        <v>-2.5134553019041106E-2</v>
      </c>
      <c r="L5" s="8">
        <f t="array" ref="L5">_xll.RealtimeData(A5,"Change in Percent")</f>
        <v>0</v>
      </c>
      <c r="M5" s="29">
        <f>_xll.RealtimeData(A5,"Dividend Yield")</f>
        <v>2.69</v>
      </c>
      <c r="N5" s="4" t="str">
        <f t="shared" si="0"/>
        <v>TLT</v>
      </c>
      <c r="O5" s="5">
        <v>0</v>
      </c>
      <c r="P5" s="60">
        <f t="shared" si="1"/>
        <v>-0.20854626356485312</v>
      </c>
      <c r="Q5" s="31">
        <f>O5*Daily!$D$68</f>
        <v>0</v>
      </c>
      <c r="R5">
        <f t="shared" si="2"/>
        <v>0</v>
      </c>
      <c r="S5">
        <f t="shared" si="3"/>
        <v>-35</v>
      </c>
      <c r="T5" t="str">
        <f t="shared" si="4"/>
        <v>TLT</v>
      </c>
      <c r="U5">
        <f>_xll.RealtimeData(T5,"MTD Percent Change")</f>
        <v>0.64156676999999995</v>
      </c>
    </row>
    <row r="6" spans="1:22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39.549999999999997</v>
      </c>
      <c r="K6" s="5"/>
      <c r="L6" s="8">
        <f>_xll.RealtimeData(A6,"Change in Percent")</f>
        <v>0</v>
      </c>
      <c r="M6" s="29">
        <f>_xll.RealtimeData(A6,"Dividend Yield")</f>
        <v>3.63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O6*Daily!$D$68</f>
        <v>0</v>
      </c>
      <c r="R6">
        <f t="shared" si="2"/>
        <v>0</v>
      </c>
      <c r="S6">
        <f t="shared" si="3"/>
        <v>0</v>
      </c>
      <c r="T6" t="str">
        <f t="shared" si="4"/>
        <v>RWX</v>
      </c>
      <c r="U6">
        <f>_xll.RealtimeData(T6,"MTD Percent Change")</f>
        <v>0.12658227999999999</v>
      </c>
    </row>
    <row r="7" spans="1:22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58.57</v>
      </c>
      <c r="K7" s="5"/>
      <c r="L7" s="8">
        <f>_xll.RealtimeData(A7,"Change in Percent")</f>
        <v>0</v>
      </c>
      <c r="M7" s="29">
        <f>_xll.RealtimeData(A7,"Dividend Yield")</f>
        <v>1.57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O7*Daily!$D$68</f>
        <v>0</v>
      </c>
      <c r="R7">
        <f t="shared" si="2"/>
        <v>0</v>
      </c>
      <c r="S7">
        <f t="shared" si="3"/>
        <v>0</v>
      </c>
      <c r="T7" t="str">
        <f t="shared" si="4"/>
        <v>EWJ</v>
      </c>
      <c r="U7">
        <f>_xll.RealtimeData(T7,"MTD Percent Change")</f>
        <v>-0.57715159000000005</v>
      </c>
    </row>
    <row r="8" spans="1:22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114.92</v>
      </c>
      <c r="K8" s="5"/>
      <c r="L8" s="8">
        <f>_xll.RealtimeData(A8,"Change in Percent")</f>
        <v>0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O8*Daily!$D$68</f>
        <v>0</v>
      </c>
      <c r="R8">
        <f t="shared" si="2"/>
        <v>0</v>
      </c>
      <c r="S8">
        <f t="shared" si="3"/>
        <v>0</v>
      </c>
      <c r="T8" t="str">
        <f t="shared" si="4"/>
        <v>GLD</v>
      </c>
      <c r="U8">
        <f>_xll.RealtimeData(T8,"MTD Percent Change")</f>
        <v>-0.19107173999999999</v>
      </c>
    </row>
    <row r="9" spans="1:22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45.67</v>
      </c>
      <c r="K9" s="5"/>
      <c r="L9" s="8">
        <f>_xll.RealtimeData(A9,"Change in Percent")</f>
        <v>0</v>
      </c>
      <c r="M9" s="29">
        <f>_xll.RealtimeData(A9,"Dividend Yield")</f>
        <v>4.63</v>
      </c>
      <c r="N9" s="4" t="str">
        <f t="shared" si="0"/>
        <v>IEV</v>
      </c>
      <c r="O9" s="5">
        <v>0</v>
      </c>
      <c r="P9" s="60">
        <f t="shared" si="1"/>
        <v>0</v>
      </c>
      <c r="Q9" s="31">
        <f>O9*Daily!$D$68</f>
        <v>0</v>
      </c>
      <c r="R9">
        <f t="shared" si="2"/>
        <v>0</v>
      </c>
      <c r="S9">
        <f t="shared" si="3"/>
        <v>0</v>
      </c>
      <c r="T9" t="str">
        <f t="shared" si="4"/>
        <v>IEV</v>
      </c>
      <c r="U9">
        <f>_xll.RealtimeData(T9,"MTD Percent Change")</f>
        <v>-0.71739129999999995</v>
      </c>
    </row>
    <row r="10" spans="1:22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44.21</v>
      </c>
      <c r="K10" s="5"/>
      <c r="L10" s="8">
        <f t="array" ref="L10">_xll.RealtimeData(A10,"Change in Percent")</f>
        <v>0</v>
      </c>
      <c r="M10" s="29">
        <f>_xll.RealtimeData(A10,"Dividend Yield")</f>
        <v>1.31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O10*Daily!$D$68</f>
        <v>0</v>
      </c>
      <c r="R10">
        <f t="shared" si="2"/>
        <v>0</v>
      </c>
      <c r="S10">
        <f t="shared" si="3"/>
        <v>0</v>
      </c>
      <c r="T10" t="str">
        <f t="shared" si="4"/>
        <v>EEM</v>
      </c>
      <c r="U10">
        <f>_xll.RealtimeData(T10,"MTD Percent Change")</f>
        <v>-0.56230318999999995</v>
      </c>
    </row>
    <row r="11" spans="1:22" x14ac:dyDescent="0.25">
      <c r="A11" t="s">
        <v>20</v>
      </c>
      <c r="B11" t="str">
        <f>_xll.RealtimeData(A11,"Description")</f>
        <v>ISHARES TR-BARCLAYS 7 10 YR</v>
      </c>
      <c r="G11" s="4"/>
      <c r="J11" s="31">
        <f>_xll.RealtimeData(A11,"Last")</f>
        <v>101.72</v>
      </c>
      <c r="K11" s="5"/>
      <c r="L11" s="8">
        <f t="array" ref="L11">_xll.RealtimeData(A11,"Change in Percent")</f>
        <v>0</v>
      </c>
      <c r="M11" s="29">
        <f>_xll.RealtimeData(A11,"Dividend Yield")</f>
        <v>2.36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O11*Daily!$D$68</f>
        <v>0</v>
      </c>
      <c r="R11">
        <f t="shared" si="2"/>
        <v>0</v>
      </c>
      <c r="S11">
        <f t="shared" si="3"/>
        <v>0</v>
      </c>
      <c r="T11" t="str">
        <f t="shared" si="4"/>
        <v>IEF</v>
      </c>
      <c r="U11">
        <f>_xll.RealtimeData(T11,"MTD Percent Change")</f>
        <v>0.37497533</v>
      </c>
    </row>
    <row r="12" spans="1:22" x14ac:dyDescent="0.25">
      <c r="A12" t="s">
        <v>85</v>
      </c>
      <c r="B12" t="str">
        <f>_xll.RealtimeData(A12,"Description")</f>
        <v>ISHARES TR-1 3 YR TREAS BD</v>
      </c>
      <c r="J12" s="31">
        <f>_xll.RealtimeData(A12,"Last")</f>
        <v>83.12</v>
      </c>
      <c r="L12" s="8">
        <f t="array" ref="L12">_xll.RealtimeData(A12,"Change in Percent")</f>
        <v>0</v>
      </c>
      <c r="M12" s="29">
        <f>_xll.RealtimeData(A12,"Dividend Yield")</f>
        <v>1.99</v>
      </c>
      <c r="N12" s="4" t="str">
        <f t="shared" si="0"/>
        <v>SHY</v>
      </c>
      <c r="O12" s="5">
        <v>9.9000000000000005E-2</v>
      </c>
      <c r="P12" s="60">
        <f t="shared" si="1"/>
        <v>9.9000000000000005E-2</v>
      </c>
      <c r="Q12" s="31">
        <f>O12*Daily!$D$68</f>
        <v>1968.8328000000001</v>
      </c>
      <c r="R12">
        <f t="shared" ref="R12" si="5">ROUND(Q12/J12,0)</f>
        <v>24</v>
      </c>
      <c r="S12">
        <f t="shared" ref="S12" si="6">R12-H12</f>
        <v>24</v>
      </c>
      <c r="T12" t="str">
        <f t="shared" si="4"/>
        <v>SHY</v>
      </c>
      <c r="U12">
        <f>_xll.RealtimeData(T12,"MTD Percent Change")</f>
        <v>7.2236939999999999E-2</v>
      </c>
    </row>
    <row r="13" spans="1:22" x14ac:dyDescent="0.25">
      <c r="J13" s="31" t="str">
        <f>_xll.RealtimeData(A13,"Last")</f>
        <v>--</v>
      </c>
      <c r="L13" s="8" t="str">
        <f t="array" ref="L13">_xll.RealtimeData(A13,"Change in Percent")</f>
        <v>--</v>
      </c>
      <c r="M13" s="8"/>
    </row>
    <row r="14" spans="1:22" x14ac:dyDescent="0.25">
      <c r="U14" s="29">
        <f t="array" ref="U14">MMULT(TRANSPOSE(O2:O12),U2:U12)</f>
        <v>0.81889471530000002</v>
      </c>
      <c r="V14" s="8">
        <f>U14*0.01</f>
        <v>8.1889471530000001E-3</v>
      </c>
    </row>
    <row r="19" spans="5:16" s="1" customFormat="1" x14ac:dyDescent="0.25"/>
    <row r="20" spans="5:16" x14ac:dyDescent="0.25">
      <c r="E20" t="s">
        <v>70</v>
      </c>
      <c r="F20" s="11">
        <f>SUM(F2:F5)</f>
        <v>0.99523402792111959</v>
      </c>
      <c r="H20" s="2" t="s">
        <v>14</v>
      </c>
      <c r="I20" s="6">
        <v>95.36</v>
      </c>
      <c r="O20" s="11">
        <f>SUM(O2:O12)</f>
        <v>1</v>
      </c>
    </row>
    <row r="21" spans="5:16" x14ac:dyDescent="0.25">
      <c r="E21" t="s">
        <v>71</v>
      </c>
      <c r="F21" s="11">
        <f>1-F20</f>
        <v>4.7659720788804094E-3</v>
      </c>
      <c r="H21" s="2" t="s">
        <v>16</v>
      </c>
      <c r="I21" s="6">
        <f>SUM(I2:I20)</f>
        <v>20008.510000000002</v>
      </c>
      <c r="J21" t="s">
        <v>33</v>
      </c>
      <c r="K21" s="8">
        <f>SUMPRODUCT(K2:K7,F2:F7)</f>
        <v>2.9623837094378026E-2</v>
      </c>
      <c r="M21" t="s">
        <v>34</v>
      </c>
      <c r="N21" s="8">
        <f t="array" ref="N21">MMULT(TRANSPOSE(F2:F5),L2:L5)</f>
        <v>0</v>
      </c>
      <c r="P21" s="8">
        <f t="array" ref="P21">SUMPRODUCT(L2:L12,O2:O12)</f>
        <v>0</v>
      </c>
    </row>
    <row r="22" spans="5:16" x14ac:dyDescent="0.25">
      <c r="H22" t="s">
        <v>17</v>
      </c>
      <c r="I22">
        <v>20000</v>
      </c>
      <c r="J22" t="s">
        <v>24</v>
      </c>
      <c r="K22" s="8">
        <f>_xll.RealtimeData(J22,"Change in Percent")</f>
        <v>0</v>
      </c>
      <c r="L22" s="12">
        <v>0.6</v>
      </c>
    </row>
    <row r="23" spans="5:16" x14ac:dyDescent="0.25">
      <c r="J23" t="s">
        <v>23</v>
      </c>
      <c r="K23" s="8">
        <f>_xll.RealtimeData(J23,"Change in Percent")</f>
        <v>0</v>
      </c>
      <c r="L23" s="12">
        <v>0.4</v>
      </c>
    </row>
    <row r="24" spans="5:16" x14ac:dyDescent="0.25">
      <c r="J24" t="s">
        <v>9</v>
      </c>
      <c r="K24" s="8">
        <f>_xll.RealtimeData(J24,"Change in Percent")</f>
        <v>0</v>
      </c>
    </row>
    <row r="25" spans="5:16" x14ac:dyDescent="0.25">
      <c r="J25" t="s">
        <v>57</v>
      </c>
      <c r="K25" s="8">
        <f t="array" ref="K25">SUMPRODUCT(K22:K23,L22:L23)</f>
        <v>0</v>
      </c>
    </row>
    <row r="26" spans="5:16" x14ac:dyDescent="0.25">
      <c r="H26" t="s">
        <v>25</v>
      </c>
      <c r="I26" s="6">
        <f>SUM(I2:I18)</f>
        <v>19913.150000000001</v>
      </c>
      <c r="J26" t="s">
        <v>56</v>
      </c>
      <c r="K26" s="8">
        <f>_xll.RealtimeData(J26,"Change in Percent")</f>
        <v>0</v>
      </c>
      <c r="L26" t="str">
        <f>_xll.RealtimeData(J26,"Description")</f>
        <v>ARROW ETF TR-ARROW DJ GLB YLD</v>
      </c>
    </row>
    <row r="27" spans="5:16" x14ac:dyDescent="0.25">
      <c r="J27" t="s">
        <v>62</v>
      </c>
      <c r="K27" s="8">
        <f>AVERAGE(L2:L11)</f>
        <v>0</v>
      </c>
    </row>
    <row r="28" spans="5:16" x14ac:dyDescent="0.25">
      <c r="J28" t="s">
        <v>64</v>
      </c>
      <c r="K28" s="8">
        <f>SUMPRODUCT(F2:F7,M2:M7)*0.01</f>
        <v>1.4105368215824166E-2</v>
      </c>
      <c r="L28" t="s">
        <v>65</v>
      </c>
      <c r="M28" s="8">
        <f>AVERAGE(M2:M11)*0.01</f>
        <v>2.0522222222222219E-2</v>
      </c>
    </row>
    <row r="29" spans="5:16" ht="15.75" thickBot="1" x14ac:dyDescent="0.3"/>
    <row r="30" spans="5:16" ht="15.75" thickBot="1" x14ac:dyDescent="0.3">
      <c r="H30" s="30">
        <v>43315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6" x14ac:dyDescent="0.25">
      <c r="H31" s="18" t="s">
        <v>58</v>
      </c>
      <c r="I31" s="21">
        <f>$N$21</f>
        <v>0</v>
      </c>
      <c r="J31" s="21">
        <f>LOOKUP(2,1/(Daily!E:E&lt;&gt;""),Daily!E:E)</f>
        <v>6.1009091274790705E-3</v>
      </c>
      <c r="K31" s="22">
        <f>VLOOKUP($H$30,Daily!$A:$AF,7,0)</f>
        <v>8.0696843467171764E-3</v>
      </c>
      <c r="L31" s="23">
        <f>VLOOKUP($H$30,Daily!$A:$AF,8,0)</f>
        <v>4.2650000000010735E-4</v>
      </c>
    </row>
    <row r="32" spans="5:16" x14ac:dyDescent="0.25">
      <c r="H32" s="19" t="s">
        <v>59</v>
      </c>
      <c r="I32" s="24">
        <f>$K$25</f>
        <v>0</v>
      </c>
      <c r="J32" s="24">
        <f>LOOKUP(2,1/(Daily!M:M&lt;&gt;""),Daily!M:M)</f>
        <v>3.0862009052481376E-3</v>
      </c>
      <c r="K32" s="14">
        <f>VLOOKUP($H$30,Daily!$A:$AF,25,0)</f>
        <v>1.8481899477520214E-2</v>
      </c>
      <c r="L32" s="25">
        <f>VLOOKUP($H$30,Daily!$A:$AF,31,0)</f>
        <v>1.2634658761484729E-2</v>
      </c>
    </row>
    <row r="33" spans="8:18" x14ac:dyDescent="0.25">
      <c r="H33" s="19" t="s">
        <v>60</v>
      </c>
      <c r="I33" s="24">
        <f>$K$24</f>
        <v>0</v>
      </c>
      <c r="J33" s="24">
        <f>LOOKUP(2,1/(Daily!L:L&lt;&gt;""),Daily!L:L)</f>
        <v>4.6441262357950208E-3</v>
      </c>
      <c r="K33" s="14">
        <f>VLOOKUP($H$30,Daily!$A:$AF,24,0)</f>
        <v>4.5779161325764317E-2</v>
      </c>
      <c r="L33" s="25">
        <f>VLOOKUP($H$30,Daily!$A:$AF,30,0)</f>
        <v>7.2343481007471899E-2</v>
      </c>
    </row>
    <row r="34" spans="8:18" ht="15.75" thickBot="1" x14ac:dyDescent="0.3">
      <c r="H34" s="20" t="s">
        <v>56</v>
      </c>
      <c r="I34" s="26">
        <f>$K$26</f>
        <v>0</v>
      </c>
      <c r="J34" s="26">
        <f>LOOKUP(2,1/(Daily!N:N&lt;&gt;""),Daily!N:N)</f>
        <v>-1.6968325791856254E-3</v>
      </c>
      <c r="K34" s="27">
        <f>VLOOKUP($H$30,Daily!$A:$AF,26,0)</f>
        <v>1.4367816091954255E-2</v>
      </c>
      <c r="L34" s="28">
        <f>VLOOKUP($H$30,Daily!$A:$AF,32,0)</f>
        <v>2.361788018268518E-2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1.9244612943873453E-5</v>
      </c>
      <c r="J37" s="44"/>
      <c r="K37" s="22"/>
      <c r="L37" s="39"/>
      <c r="M37" s="50"/>
      <c r="N37" s="38">
        <f>AVERAGE(Daily!J$3:J380)</f>
        <v>3.0238987818562873E-4</v>
      </c>
      <c r="O37" s="22">
        <f>AVERAGE(Daily!K$3:K380)</f>
        <v>3.1222230580478587E-5</v>
      </c>
      <c r="P37" s="22">
        <f>AVERAGE(Daily!L$3:L380)</f>
        <v>1.0604041642763508E-3</v>
      </c>
      <c r="Q37" s="22">
        <f>AVERAGE(Daily!M$3:M380)</f>
        <v>1.9392281914356864E-4</v>
      </c>
      <c r="R37" s="23">
        <f>AVERAGE(Daily!N$3:N380)</f>
        <v>3.8185064993437291E-4</v>
      </c>
    </row>
    <row r="38" spans="8:18" x14ac:dyDescent="0.25">
      <c r="H38" s="56" t="s">
        <v>73</v>
      </c>
      <c r="I38" s="47">
        <f>STDEV(Daily!E$3:E380)</f>
        <v>5.1119248616554851E-3</v>
      </c>
      <c r="J38" s="45"/>
      <c r="K38" s="14"/>
      <c r="L38" s="32"/>
      <c r="M38" s="51"/>
      <c r="N38" s="40">
        <f>STDEV(Daily!J$3:J380)</f>
        <v>6.1905454163445998E-3</v>
      </c>
      <c r="O38" s="14">
        <f>STDEV(Daily!K$3:K380)</f>
        <v>1.8029137814250227E-3</v>
      </c>
      <c r="P38" s="14">
        <f>STDEV(Daily!L$3:L380)</f>
        <v>5.9384487766776378E-3</v>
      </c>
      <c r="Q38" s="14">
        <f>STDEV(Daily!M$3:M380)</f>
        <v>3.6342323495953503E-3</v>
      </c>
      <c r="R38" s="25">
        <f>STDEV(Daily!N$3:N380)</f>
        <v>8.2332598787320851E-3</v>
      </c>
    </row>
    <row r="39" spans="8:18" x14ac:dyDescent="0.25">
      <c r="H39" s="56" t="s">
        <v>74</v>
      </c>
      <c r="I39" s="48">
        <f>COUNTIF(Daily!E$3:E380,"&gt;0")</f>
        <v>38</v>
      </c>
      <c r="J39" s="45"/>
      <c r="K39" s="14"/>
      <c r="L39" s="32"/>
      <c r="M39" s="51"/>
      <c r="N39" s="41">
        <f>COUNTIF(Daily!J$3:J380,"&gt;0")</f>
        <v>34</v>
      </c>
      <c r="O39" s="33">
        <f>COUNTIF(Daily!K$3:K380,"&gt;0")</f>
        <v>34</v>
      </c>
      <c r="P39" s="33">
        <f>COUNTIF(Daily!L$3:L380,"&gt;0")</f>
        <v>39</v>
      </c>
      <c r="Q39" s="33">
        <f>COUNTIF(Daily!M$3:M380,"&gt;0")</f>
        <v>35</v>
      </c>
      <c r="R39" s="35">
        <f>COUNTIF(Daily!N$3:N380,"&gt;0")</f>
        <v>38</v>
      </c>
    </row>
    <row r="40" spans="8:18" x14ac:dyDescent="0.25">
      <c r="H40" s="56" t="s">
        <v>80</v>
      </c>
      <c r="I40" s="47">
        <f>SUMIF(Daily!E$3:E380,"&gt;0")</f>
        <v>0.12672534117654144</v>
      </c>
      <c r="J40" s="45"/>
      <c r="K40" s="14"/>
      <c r="L40" s="32"/>
      <c r="M40" s="51"/>
      <c r="N40" s="40">
        <f>SUMIF(Daily!J$3:J380,"&gt;0")</f>
        <v>0.17079524240228272</v>
      </c>
      <c r="O40" s="14">
        <f>SUMIF(Daily!K$3:K380,"&gt;0")</f>
        <v>4.7246933762094878E-2</v>
      </c>
      <c r="P40" s="14">
        <f>SUMIF(Daily!L$3:L380,"&gt;0")</f>
        <v>0.19494894145856029</v>
      </c>
      <c r="Q40" s="14">
        <f>SUMIF(Daily!M$3:M380,"&gt;0")</f>
        <v>0.10089954512041394</v>
      </c>
      <c r="R40" s="25">
        <f>SUMIF(Daily!N$3:N380,"&gt;0")</f>
        <v>0.22884459746993061</v>
      </c>
    </row>
    <row r="41" spans="8:18" x14ac:dyDescent="0.25">
      <c r="H41" s="56" t="s">
        <v>81</v>
      </c>
      <c r="I41" s="47">
        <f>SUMIF(Daily!E$3:E380,"&lt;0")</f>
        <v>-0.12543595210930192</v>
      </c>
      <c r="J41" s="45"/>
      <c r="K41" s="14"/>
      <c r="L41" s="32"/>
      <c r="M41" s="51"/>
      <c r="N41" s="40">
        <f>SUMIF(Daily!J$3:J380,"&lt;0")</f>
        <v>-0.1505351205638456</v>
      </c>
      <c r="O41" s="14">
        <f>SUMIF(Daily!K$3:K380,"&lt;0")</f>
        <v>-4.5155044313202816E-2</v>
      </c>
      <c r="P41" s="14">
        <f>SUMIF(Daily!L$3:L380,"&lt;0")</f>
        <v>-0.12390186245204478</v>
      </c>
      <c r="Q41" s="14">
        <f>SUMIF(Daily!M$3:M380,"&lt;0")</f>
        <v>-8.7906716237794877E-2</v>
      </c>
      <c r="R41" s="25">
        <f>SUMIF(Daily!N$3:N380,"&lt;0")</f>
        <v>-0.2032606039243276</v>
      </c>
    </row>
    <row r="42" spans="8:18" x14ac:dyDescent="0.25">
      <c r="H42" s="56" t="s">
        <v>75</v>
      </c>
      <c r="I42" s="48">
        <f>COUNT(Daily!E$3:E380)</f>
        <v>67</v>
      </c>
      <c r="J42" s="45"/>
      <c r="K42" s="14"/>
      <c r="L42" s="32"/>
      <c r="M42" s="51"/>
      <c r="N42" s="41">
        <f>COUNT(Daily!J$3:J380)</f>
        <v>67</v>
      </c>
      <c r="O42" s="33">
        <f>COUNT(Daily!K$3:K380)</f>
        <v>67</v>
      </c>
      <c r="P42" s="33">
        <f>COUNT(Daily!L$3:L380)</f>
        <v>67</v>
      </c>
      <c r="Q42" s="33">
        <f>COUNT(Daily!M$3:M380)</f>
        <v>67</v>
      </c>
      <c r="R42" s="35">
        <f>COUNT(Daily!N$3:N380)</f>
        <v>67</v>
      </c>
    </row>
    <row r="43" spans="8:18" x14ac:dyDescent="0.25">
      <c r="H43" s="56" t="s">
        <v>76</v>
      </c>
      <c r="I43" s="48">
        <f>I42-I39</f>
        <v>29</v>
      </c>
      <c r="J43" s="45"/>
      <c r="K43" s="14"/>
      <c r="L43" s="32"/>
      <c r="M43" s="51"/>
      <c r="N43" s="41">
        <f>N42-N39</f>
        <v>33</v>
      </c>
      <c r="O43" s="33">
        <f>O42-O39</f>
        <v>33</v>
      </c>
      <c r="P43" s="33">
        <f>P42-P39</f>
        <v>28</v>
      </c>
      <c r="Q43" s="33">
        <f>Q42-Q39</f>
        <v>32</v>
      </c>
      <c r="R43" s="35">
        <f>R42-R39</f>
        <v>29</v>
      </c>
    </row>
    <row r="44" spans="8:18" x14ac:dyDescent="0.25">
      <c r="H44" s="56" t="s">
        <v>78</v>
      </c>
      <c r="I44" s="49">
        <f>(I40/I41)*(I39/I43)*-1</f>
        <v>1.3238142059150872</v>
      </c>
      <c r="J44" s="45"/>
      <c r="K44" s="14"/>
      <c r="L44" s="32"/>
      <c r="M44" s="51"/>
      <c r="N44" s="42">
        <f>(N40/N41)*(N39/N43)*-1</f>
        <v>1.168968777181661</v>
      </c>
      <c r="O44" s="34">
        <f>(O40/O41)*(O39/O43)*-1</f>
        <v>1.0780336896575655</v>
      </c>
      <c r="P44" s="34">
        <f>(P40/P41)*(P39/P43)*-1</f>
        <v>2.1915411135009411</v>
      </c>
      <c r="Q44" s="34">
        <f>(Q40/Q41)*(Q39/Q43)*-1</f>
        <v>1.2554089402784985</v>
      </c>
      <c r="R44" s="36">
        <f>(R40/R41)*(R39/R43)*-1</f>
        <v>1.475275232023854</v>
      </c>
    </row>
    <row r="45" spans="8:18" x14ac:dyDescent="0.25">
      <c r="H45" s="61" t="s">
        <v>77</v>
      </c>
      <c r="I45" s="62">
        <f>I39/I42</f>
        <v>0.56716417910447758</v>
      </c>
      <c r="J45" s="63"/>
      <c r="K45" s="64"/>
      <c r="L45" s="65"/>
      <c r="M45" s="66"/>
      <c r="N45" s="67">
        <f>N39/N42</f>
        <v>0.5074626865671642</v>
      </c>
      <c r="O45" s="64">
        <f>O39/O42</f>
        <v>0.5074626865671642</v>
      </c>
      <c r="P45" s="64">
        <f>P39/P42</f>
        <v>0.58208955223880599</v>
      </c>
      <c r="Q45" s="64">
        <f>Q39/Q42</f>
        <v>0.52238805970149249</v>
      </c>
      <c r="R45" s="68">
        <f>R39/R42</f>
        <v>0.56716417910447758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-2.8089887640449493E-2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72"/>
  <sheetViews>
    <sheetView zoomScale="80" zoomScaleNormal="80" workbookViewId="0">
      <pane xSplit="1" ySplit="1" topLeftCell="L49" activePane="bottomRight" state="frozen"/>
      <selection pane="topRight" activeCell="B1" sqref="B1"/>
      <selection pane="bottomLeft" activeCell="A2" sqref="A2"/>
      <selection pane="bottomRight" activeCell="Y81" sqref="Y81"/>
    </sheetView>
  </sheetViews>
  <sheetFormatPr defaultRowHeight="15" x14ac:dyDescent="0.25"/>
  <cols>
    <col min="1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2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69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>
        <v>43313</v>
      </c>
      <c r="B67" s="4">
        <f t="shared" si="812"/>
        <v>19743.699999999997</v>
      </c>
      <c r="C67" s="4">
        <v>95.38</v>
      </c>
      <c r="D67" s="4">
        <f>19805.92+33.16</f>
        <v>19839.079999999998</v>
      </c>
      <c r="E67" s="5">
        <f t="shared" ref="E67" si="1128">D67/D66-1</f>
        <v>-4.2372073179913761E-3</v>
      </c>
      <c r="F67" s="10">
        <f t="shared" ref="F67" si="1129">F66*(1+E67)</f>
        <v>99.195399999999978</v>
      </c>
      <c r="G67" s="5">
        <f t="shared" ref="G67" si="1130">F67/F$45-1</f>
        <v>-4.675449256260622E-4</v>
      </c>
      <c r="H67" s="8">
        <f t="shared" ref="H67" si="1131">F67/$F$2-1</f>
        <v>-8.0460000000002196E-3</v>
      </c>
      <c r="J67" s="11">
        <f>VLOOKUP($A67,Prices!$A:$J,MATCH(J$1,Prices!$1:$1,0),0)</f>
        <v>-2.1828103683492195E-3</v>
      </c>
      <c r="K67" s="11">
        <f>VLOOKUP($A67,Prices!$A:$J,MATCH(K$1,Prices!$1:$1,0),0)</f>
        <v>-3.3943051103149102E-3</v>
      </c>
      <c r="L67" s="11">
        <f>VLOOKUP($A67,Prices!$A:$J,MATCH(L$1,Prices!$1:$1,0),0)</f>
        <v>-1.4120304998587185E-3</v>
      </c>
      <c r="M67" s="11">
        <f t="shared" ref="M67" si="1132">0.6*J67 + 0.4*K67</f>
        <v>-2.6674082651354956E-3</v>
      </c>
      <c r="N67" s="11">
        <f>VLOOKUP($A67,Prices!$A:$J,MATCH(N$1,Prices!$1:$1,0),0)</f>
        <v>-7.3033707865167719E-3</v>
      </c>
      <c r="P67" s="10">
        <f t="shared" ref="P67" si="1133">P66*(1+J67)</f>
        <v>101.59776475788028</v>
      </c>
      <c r="Q67" s="10">
        <f t="shared" ref="Q67" si="1134">Q66*(1+K67)</f>
        <v>99.943366139869326</v>
      </c>
      <c r="R67" s="10">
        <f t="shared" ref="R67" si="1135">R66*(1+L67)</f>
        <v>106.23166657586887</v>
      </c>
      <c r="S67" s="10">
        <f t="shared" ref="S67" si="1136">S66*(1+M67)</f>
        <v>100.96975602726572</v>
      </c>
      <c r="T67" s="10">
        <f t="shared" ref="T67" si="1137">T66*(1+N67)</f>
        <v>102.4777787129068</v>
      </c>
      <c r="V67" s="5">
        <f t="shared" ref="V67" si="1138">P67/P$45-1</f>
        <v>2.8402699662542163E-2</v>
      </c>
      <c r="W67" s="5">
        <f t="shared" ref="W67" si="1139">Q67/Q$45-1</f>
        <v>-3.6836370354456083E-3</v>
      </c>
      <c r="X67" s="5">
        <f t="shared" ref="X67" si="1140">R67/R$45-1</f>
        <v>3.6000732466580754E-2</v>
      </c>
      <c r="Y67" s="5">
        <f t="shared" ref="Y67" si="1141">S67/S$45-1</f>
        <v>1.5527841346118398E-2</v>
      </c>
      <c r="Z67" s="5">
        <f t="shared" ref="Z67" si="1142">T67/T$45-1</f>
        <v>1.5517241379310764E-2</v>
      </c>
      <c r="AB67" s="8">
        <f t="shared" ref="AB67" si="1143">P67/$P$2-1</f>
        <v>1.5977647578802934E-2</v>
      </c>
      <c r="AC67" s="8">
        <f t="shared" ref="AC67" si="1144">Q67/$P$2-1</f>
        <v>-5.663386013067262E-4</v>
      </c>
      <c r="AD67" s="8">
        <f t="shared" ref="AD67" si="1145">R67/$P$2-1</f>
        <v>6.2316665758688661E-2</v>
      </c>
      <c r="AE67" s="8">
        <f t="shared" ref="AE67" si="1146">S67/$P$2-1</f>
        <v>9.6975602726572241E-3</v>
      </c>
      <c r="AF67" s="8">
        <f t="shared" ref="AF67" si="1147">T67/$T$2-1</f>
        <v>2.4777787129067974E-2</v>
      </c>
      <c r="AI67" s="8">
        <f t="shared" ref="AI67" si="1148">MIN(0,(F67-MAX(F38:F67))/MAX(F38:F67))</f>
        <v>-7.9542357668084228E-3</v>
      </c>
      <c r="AJ67" s="8">
        <f t="shared" ref="AJ67" si="1149">MIN(0,(P67-MAX(P38:P67))/MAX(P38:P67))</f>
        <v>-1.0016242555495311E-2</v>
      </c>
      <c r="AK67" s="8">
        <f t="shared" ref="AK67" si="1150">MIN(0,(Q67-MAX(Q38:Q67))/MAX(Q38:Q67))</f>
        <v>-7.6049197258472867E-3</v>
      </c>
      <c r="AL67" s="8">
        <f t="shared" ref="AL67" si="1151">MIN(0,(R67-MAX(R38:R67))/MAX(R38:R67))</f>
        <v>-1.1531204137256525E-2</v>
      </c>
      <c r="AM67" s="8">
        <f t="shared" ref="AM67" si="1152">MIN(0,(S67-MAX(S38:S67))/MAX(S38:S67))</f>
        <v>-7.3683746455965064E-3</v>
      </c>
      <c r="AN67" s="8">
        <f t="shared" ref="AN67" si="1153">MIN(0,(T67-MAX(T38:T67))/MAX(T38:T67))</f>
        <v>-1.2297372833985406E-2</v>
      </c>
    </row>
    <row r="68" spans="1:40" x14ac:dyDescent="0.25">
      <c r="A68" s="9">
        <v>43314</v>
      </c>
      <c r="B68" s="4">
        <f t="shared" si="812"/>
        <v>19791.82</v>
      </c>
      <c r="C68" s="4">
        <v>95.38</v>
      </c>
      <c r="D68" s="4">
        <f>19912.2-25</f>
        <v>19887.2</v>
      </c>
      <c r="E68" s="5">
        <f t="shared" ref="E68" si="1154">D68/D67-1</f>
        <v>2.4255156993169269E-3</v>
      </c>
      <c r="F68" s="10">
        <f t="shared" ref="F68" si="1155">F67*(1+E68)</f>
        <v>99.436000000000007</v>
      </c>
      <c r="G68" s="5">
        <f t="shared" ref="G68" si="1156">F68/F$45-1</f>
        <v>1.9568367361337824E-3</v>
      </c>
      <c r="H68" s="8">
        <f t="shared" ref="H68" si="1157">F68/$F$2-1</f>
        <v>-5.6399999999999784E-3</v>
      </c>
      <c r="J68" s="11">
        <f>VLOOKUP($A68,Prices!$A:$J,MATCH(J$1,Prices!$1:$1,0),0)</f>
        <v>-5.4689636313931533E-4</v>
      </c>
      <c r="K68" s="11">
        <f>VLOOKUP($A68,Prices!$A:$J,MATCH(K$1,Prices!$1:$1,0),0)</f>
        <v>3.784295175022212E-4</v>
      </c>
      <c r="L68" s="11">
        <f>VLOOKUP($A68,Prices!$A:$J,MATCH(L$1,Prices!$1:$1,0),0)</f>
        <v>4.7723416289593423E-3</v>
      </c>
      <c r="M68" s="11">
        <f t="shared" ref="M68" si="1158">0.6*J68 + 0.4*K68</f>
        <v>-1.7676601088270069E-4</v>
      </c>
      <c r="N68" s="11">
        <f>VLOOKUP($A68,Prices!$A:$J,MATCH(N$1,Prices!$1:$1,0),0)</f>
        <v>5.6593095642321067E-4</v>
      </c>
      <c r="P68" s="10">
        <f t="shared" ref="P68" si="1159">P67*(1+J68)</f>
        <v>101.54220130983111</v>
      </c>
      <c r="Q68" s="10">
        <f t="shared" ref="Q68" si="1160">Q67*(1+K68)</f>
        <v>99.981187659695181</v>
      </c>
      <c r="R68" s="10">
        <f t="shared" ref="R68" si="1161">R67*(1+L68)</f>
        <v>106.73864038058262</v>
      </c>
      <c r="S68" s="10">
        <f t="shared" ref="S68" si="1162">S67*(1+M68)</f>
        <v>100.95190800627299</v>
      </c>
      <c r="T68" s="10">
        <f t="shared" ref="T68" si="1163">T67*(1+N68)</f>
        <v>102.53577406022592</v>
      </c>
      <c r="V68" s="5">
        <f t="shared" ref="V68" si="1164">P68/P$45-1</f>
        <v>2.7840269966254105E-2</v>
      </c>
      <c r="W68" s="5">
        <f t="shared" ref="W68" si="1165">Q68/Q$45-1</f>
        <v>-3.3066015149294525E-3</v>
      </c>
      <c r="X68" s="5">
        <f t="shared" ref="X68" si="1166">R68/R$45-1</f>
        <v>4.0944881889763529E-2</v>
      </c>
      <c r="Y68" s="5">
        <f t="shared" ref="Y68" si="1167">S68/S$45-1</f>
        <v>1.5348330540663424E-2</v>
      </c>
      <c r="Z68" s="5">
        <f t="shared" ref="Z68" si="1168">T68/T$45-1</f>
        <v>1.6091954022988686E-2</v>
      </c>
      <c r="AB68" s="8">
        <f t="shared" ref="AB68" si="1169">P68/$P$2-1</f>
        <v>1.5422013098311149E-2</v>
      </c>
      <c r="AC68" s="8">
        <f t="shared" ref="AC68" si="1170">Q68/$P$2-1</f>
        <v>-1.8812340304819042E-4</v>
      </c>
      <c r="AD68" s="8">
        <f t="shared" ref="AD68" si="1171">R68/$P$2-1</f>
        <v>6.7386403805826278E-2</v>
      </c>
      <c r="AE68" s="8">
        <f t="shared" ref="AE68" si="1172">S68/$P$2-1</f>
        <v>9.5190800627298344E-3</v>
      </c>
      <c r="AF68" s="8">
        <f t="shared" ref="AF68" si="1173">T68/$T$2-1</f>
        <v>2.5357740602259149E-2</v>
      </c>
      <c r="AI68" s="8">
        <f t="shared" ref="AI68" si="1174">MIN(0,(F68-MAX(F39:F68))/MAX(F39:F68))</f>
        <v>-5.5480131912198898E-3</v>
      </c>
      <c r="AJ68" s="8">
        <f t="shared" ref="AJ68" si="1175">MIN(0,(P68-MAX(P39:P68))/MAX(P39:P68))</f>
        <v>-1.0557661072008725E-2</v>
      </c>
      <c r="AK68" s="8">
        <f t="shared" ref="AK68" si="1176">MIN(0,(Q68-MAX(Q39:Q68))/MAX(Q39:Q68))</f>
        <v>-7.2293681344476014E-3</v>
      </c>
      <c r="AL68" s="8">
        <f t="shared" ref="AL68" si="1177">MIN(0,(R68-MAX(R39:R68))/MAX(R39:R68))</f>
        <v>-6.8138933538334015E-3</v>
      </c>
      <c r="AM68" s="8">
        <f t="shared" ref="AM68" si="1178">MIN(0,(S68-MAX(S39:S68))/MAX(S39:S68))</f>
        <v>-7.5438381782863256E-3</v>
      </c>
      <c r="AN68" s="8">
        <f t="shared" ref="AN68" si="1179">MIN(0,(T68-MAX(T39:T68))/MAX(T39:T68))</f>
        <v>-1.1738401341531628E-2</v>
      </c>
    </row>
    <row r="69" spans="1:40" x14ac:dyDescent="0.25">
      <c r="A69" s="9">
        <v>43315</v>
      </c>
      <c r="B69" s="4">
        <f t="shared" si="812"/>
        <v>19913.150000000001</v>
      </c>
      <c r="C69" s="4">
        <v>95.38</v>
      </c>
      <c r="D69" s="4">
        <f>20015.2-6.67</f>
        <v>20008.530000000002</v>
      </c>
      <c r="E69" s="5">
        <f t="shared" ref="E69" si="1180">D69/D68-1</f>
        <v>6.1009091274790705E-3</v>
      </c>
      <c r="F69" s="10">
        <f t="shared" ref="F69" si="1181">F68*(1+E69)</f>
        <v>100.04265000000001</v>
      </c>
      <c r="G69" s="5">
        <f t="shared" ref="G69" si="1182">F69/F$45-1</f>
        <v>8.0696843467171764E-3</v>
      </c>
      <c r="H69" s="8">
        <f t="shared" ref="H69" si="1183">F69/$F$2-1</f>
        <v>4.2650000000010735E-4</v>
      </c>
      <c r="J69" s="11">
        <f>VLOOKUP($A69,Prices!$A:$J,MATCH(J$1,Prices!$1:$1,0),0)</f>
        <v>3.6935704514364787E-3</v>
      </c>
      <c r="K69" s="11">
        <f>VLOOKUP($A69,Prices!$A:$J,MATCH(K$1,Prices!$1:$1,0),0)</f>
        <v>2.175146585965626E-3</v>
      </c>
      <c r="L69" s="11">
        <f>VLOOKUP($A69,Prices!$A:$J,MATCH(L$1,Prices!$1:$1,0),0)</f>
        <v>4.6441262357950208E-3</v>
      </c>
      <c r="M69" s="11">
        <f t="shared" ref="M69" si="1184">0.6*J69 + 0.4*K69</f>
        <v>3.0862009052481376E-3</v>
      </c>
      <c r="N69" s="11">
        <f>VLOOKUP($A69,Prices!$A:$J,MATCH(N$1,Prices!$1:$1,0),0)</f>
        <v>-1.6968325791856254E-3</v>
      </c>
      <c r="P69" s="10">
        <f t="shared" ref="P69" si="1185">P68*(1+J69)</f>
        <v>101.91725458416292</v>
      </c>
      <c r="Q69" s="10">
        <f t="shared" ref="Q69" si="1186">Q68*(1+K69)</f>
        <v>100.19866139869396</v>
      </c>
      <c r="R69" s="10">
        <f t="shared" ref="R69" si="1187">R68*(1+L69)</f>
        <v>107.23434810074718</v>
      </c>
      <c r="S69" s="10">
        <f t="shared" ref="S69" si="1188">S68*(1+M69)</f>
        <v>101.26346587614847</v>
      </c>
      <c r="T69" s="10">
        <f t="shared" ref="T69" si="1189">T68*(1+N69)</f>
        <v>102.36178801826851</v>
      </c>
      <c r="V69" s="5">
        <f t="shared" ref="V69" si="1190">P69/P$45-1</f>
        <v>3.1636670416197887E-2</v>
      </c>
      <c r="W69" s="5">
        <f t="shared" ref="W69" si="1191">Q69/Q$45-1</f>
        <v>-1.1386472719601137E-3</v>
      </c>
      <c r="X69" s="5">
        <f t="shared" ref="X69" si="1192">R69/R$45-1</f>
        <v>4.5779161325764317E-2</v>
      </c>
      <c r="Y69" s="5">
        <f t="shared" ref="Y69" si="1193">S69/S$45-1</f>
        <v>1.8481899477520214E-2</v>
      </c>
      <c r="Z69" s="5">
        <f t="shared" ref="Z69" si="1194">T69/T$45-1</f>
        <v>1.4367816091954255E-2</v>
      </c>
      <c r="AB69" s="8">
        <f t="shared" ref="AB69" si="1195">P69/$P$2-1</f>
        <v>1.9172545841629196E-2</v>
      </c>
      <c r="AC69" s="8">
        <f t="shared" ref="AC69" si="1196">Q69/$P$2-1</f>
        <v>1.986613986939556E-3</v>
      </c>
      <c r="AD69" s="8">
        <f t="shared" ref="AD69" si="1197">R69/$P$2-1</f>
        <v>7.2343481007471899E-2</v>
      </c>
      <c r="AE69" s="8">
        <f t="shared" ref="AE69" si="1198">S69/$P$2-1</f>
        <v>1.2634658761484729E-2</v>
      </c>
      <c r="AF69" s="8">
        <f t="shared" ref="AF69" si="1199">T69/$T$2-1</f>
        <v>2.361788018268518E-2</v>
      </c>
      <c r="AI69" s="8">
        <f t="shared" ref="AI69" si="1200">MIN(0,(F69-MAX(F40:F69))/MAX(F40:F69))</f>
        <v>0</v>
      </c>
      <c r="AJ69" s="8">
        <f t="shared" ref="AJ69" si="1201">MIN(0,(P69-MAX(P40:P69))/MAX(P40:P69))</f>
        <v>-6.9030860855441179E-3</v>
      </c>
      <c r="AK69" s="8">
        <f t="shared" ref="AK69" si="1202">MIN(0,(Q69-MAX(Q40:Q69))/MAX(Q40:Q69))</f>
        <v>-5.0699464838982848E-3</v>
      </c>
      <c r="AL69" s="8">
        <f t="shared" ref="AL69" si="1203">MIN(0,(R69-MAX(R40:R69))/MAX(R40:R69))</f>
        <v>-2.2014116989307647E-3</v>
      </c>
      <c r="AM69" s="8">
        <f t="shared" ref="AM69" si="1204">MIN(0,(S69-MAX(S40:S69))/MAX(S40:S69))</f>
        <v>-4.4809190732530649E-3</v>
      </c>
      <c r="AN69" s="8">
        <f t="shared" ref="AN69" si="1205">MIN(0,(T69-MAX(T40:T69))/MAX(T40:T69))</f>
        <v>-1.3415315818893369E-2</v>
      </c>
    </row>
    <row r="70" spans="1:40" x14ac:dyDescent="0.25">
      <c r="B70" s="4"/>
    </row>
    <row r="71" spans="1:40" x14ac:dyDescent="0.25">
      <c r="B71" s="4"/>
    </row>
    <row r="72" spans="1:40" x14ac:dyDescent="0.25">
      <c r="B7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72"/>
  <sheetViews>
    <sheetView topLeftCell="A51" zoomScale="90" zoomScaleNormal="90" workbookViewId="0">
      <selection activeCell="D80" sqref="D80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  <row r="68" spans="1:10" x14ac:dyDescent="0.25">
      <c r="A68" s="13">
        <v>43313</v>
      </c>
      <c r="B68">
        <f t="array" ref="B68">_xll.HistoricalData(B$1,"Adj. Close",$A68,$A68,"Daily","RemoveHeaders = True","ReverseOrder =True","RemoveDates =""True")</f>
        <v>73.14</v>
      </c>
      <c r="C68">
        <f t="array" ref="C68">_xll.HistoricalData(C$1,"Adj. Close",$A68,$A68,"Daily","RemoveHeaders = True","ReverseOrder =True","RemoveDates =""True")</f>
        <v>105.7</v>
      </c>
      <c r="D68">
        <f t="array" ref="D68">_xll.HistoricalData(D$1,"Adj. Close",$A68,$A68,"Daily","RemoveHeaders = True","ReverseOrder =True","RemoveDates =""True")</f>
        <v>282.88</v>
      </c>
      <c r="E68">
        <f t="array" ref="E68">_xll.HistoricalData(E$1,"Adj. Close",$A68,$A68,"Daily","RemoveHeaders = True","ReverseOrder =True","RemoveDates =""True")</f>
        <v>17.670000000000002</v>
      </c>
      <c r="G68" s="5">
        <f t="shared" ref="G68:G72" si="216">B68/B67-1</f>
        <v>-2.1828103683492195E-3</v>
      </c>
      <c r="H68" s="5">
        <f t="shared" ref="H68:H72" si="217">C68/C67-1</f>
        <v>-3.3943051103149102E-3</v>
      </c>
      <c r="I68" s="5">
        <f t="shared" ref="I68:I72" si="218">D68/D67-1</f>
        <v>-1.4120304998587185E-3</v>
      </c>
      <c r="J68" s="5">
        <f t="shared" ref="J68:J72" si="219">E68/E67-1</f>
        <v>-7.3033707865167719E-3</v>
      </c>
    </row>
    <row r="69" spans="1:10" x14ac:dyDescent="0.25">
      <c r="A69" s="13">
        <v>43314</v>
      </c>
      <c r="B69">
        <f t="array" ref="B69">_xll.HistoricalData(B$1,"Adj. Close",$A69,$A69,"Daily","RemoveHeaders = True","ReverseOrder =True","RemoveDates =""True")</f>
        <v>73.099999999999994</v>
      </c>
      <c r="C69">
        <f t="array" ref="C69">_xll.HistoricalData(C$1,"Adj. Close",$A69,$A69,"Daily","RemoveHeaders = True","ReverseOrder =True","RemoveDates =""True")</f>
        <v>105.74</v>
      </c>
      <c r="D69">
        <f t="array" ref="D69">_xll.HistoricalData(D$1,"Adj. Close",$A69,$A69,"Daily","RemoveHeaders = True","ReverseOrder =True","RemoveDates =""True")</f>
        <v>284.23</v>
      </c>
      <c r="E69">
        <f t="array" ref="E69">_xll.HistoricalData(E$1,"Adj. Close",$A69,$A69,"Daily","RemoveHeaders = True","ReverseOrder =True","RemoveDates =""True")</f>
        <v>17.68</v>
      </c>
      <c r="G69" s="5">
        <f t="shared" si="216"/>
        <v>-5.4689636313931533E-4</v>
      </c>
      <c r="H69" s="5">
        <f t="shared" si="217"/>
        <v>3.784295175022212E-4</v>
      </c>
      <c r="I69" s="5">
        <f t="shared" si="218"/>
        <v>4.7723416289593423E-3</v>
      </c>
      <c r="J69" s="5">
        <f t="shared" si="219"/>
        <v>5.6593095642321067E-4</v>
      </c>
    </row>
    <row r="70" spans="1:10" x14ac:dyDescent="0.25">
      <c r="A70" s="13">
        <v>43315</v>
      </c>
      <c r="B70">
        <f t="array" ref="B70">_xll.HistoricalData(B$1,"Adj. Close",$A70,$A70,"Daily","RemoveHeaders = True","ReverseOrder =True","RemoveDates =""True")</f>
        <v>73.37</v>
      </c>
      <c r="C70">
        <f t="array" ref="C70">_xll.HistoricalData(C$1,"Adj. Close",$A70,$A70,"Daily","RemoveHeaders = True","ReverseOrder =True","RemoveDates =""True")</f>
        <v>105.97</v>
      </c>
      <c r="D70">
        <f t="array" ref="D70">_xll.HistoricalData(D$1,"Adj. Close",$A70,$A70,"Daily","RemoveHeaders = True","ReverseOrder =True","RemoveDates =""True")</f>
        <v>285.55</v>
      </c>
      <c r="E70">
        <f t="array" ref="E70">_xll.HistoricalData(E$1,"Adj. Close",$A70,$A70,"Daily","RemoveHeaders = True","ReverseOrder =True","RemoveDates =""True")</f>
        <v>17.649999999999999</v>
      </c>
      <c r="G70" s="5">
        <f t="shared" si="216"/>
        <v>3.6935704514364787E-3</v>
      </c>
      <c r="H70" s="5">
        <f t="shared" si="217"/>
        <v>2.175146585965626E-3</v>
      </c>
      <c r="I70" s="5">
        <f t="shared" si="218"/>
        <v>4.6441262357950208E-3</v>
      </c>
      <c r="J70" s="5">
        <f t="shared" si="219"/>
        <v>-1.6968325791856254E-3</v>
      </c>
    </row>
    <row r="71" spans="1:10" x14ac:dyDescent="0.25">
      <c r="B71" t="str">
        <f t="array" ref="B71">_xll.HistoricalData(B$1,"Adj. Close",$A71,$A71,"Daily","RemoveHeaders = True","ReverseOrder =True","RemoveDates =""True")</f>
        <v>--</v>
      </c>
      <c r="C71" t="str">
        <f t="array" ref="C71">_xll.HistoricalData(C$1,"Adj. Close",$A71,$A71,"Daily","RemoveHeaders = True","ReverseOrder =True","RemoveDates =""True")</f>
        <v>--</v>
      </c>
      <c r="D71" t="str">
        <f t="array" ref="D71">_xll.HistoricalData(D$1,"Adj. Close",$A71,$A71,"Daily","RemoveHeaders = True","ReverseOrder =True","RemoveDates =""True")</f>
        <v>--</v>
      </c>
      <c r="E71" t="str">
        <f t="array" ref="E71">_xll.HistoricalData(E$1,"Adj. Close",$A71,$A71,"Daily","RemoveHeaders = True","ReverseOrder =True","RemoveDates =""True")</f>
        <v>--</v>
      </c>
      <c r="G71" s="5" t="e">
        <f t="shared" si="216"/>
        <v>#VALUE!</v>
      </c>
      <c r="H71" s="5" t="e">
        <f t="shared" si="217"/>
        <v>#VALUE!</v>
      </c>
      <c r="I71" s="5" t="e">
        <f t="shared" si="218"/>
        <v>#VALUE!</v>
      </c>
      <c r="J71" s="5" t="e">
        <f t="shared" si="219"/>
        <v>#VALUE!</v>
      </c>
    </row>
    <row r="72" spans="1:10" x14ac:dyDescent="0.25">
      <c r="B72" t="str">
        <f t="array" ref="B72">_xll.HistoricalData(B$1,"Adj. Close",$A72,$A72,"Daily","RemoveHeaders = True","ReverseOrder =True","RemoveDates =""True")</f>
        <v>--</v>
      </c>
      <c r="C72" t="str">
        <f t="array" ref="C72">_xll.HistoricalData(C$1,"Adj. Close",$A72,$A72,"Daily","RemoveHeaders = True","ReverseOrder =True","RemoveDates =""True")</f>
        <v>--</v>
      </c>
      <c r="D72" t="str">
        <f t="array" ref="D72">_xll.HistoricalData(D$1,"Adj. Close",$A72,$A72,"Daily","RemoveHeaders = True","ReverseOrder =True","RemoveDates =""True")</f>
        <v>--</v>
      </c>
      <c r="E72" t="str">
        <f t="array" ref="E72">_xll.HistoricalData(E$1,"Adj. Close",$A72,$A72,"Daily","RemoveHeaders = True","ReverseOrder =True","RemoveDates =""True")</f>
        <v>--</v>
      </c>
      <c r="G72" s="5" t="e">
        <f t="shared" si="216"/>
        <v>#VALUE!</v>
      </c>
      <c r="H72" s="5" t="e">
        <f t="shared" si="217"/>
        <v>#VALUE!</v>
      </c>
      <c r="I72" s="5" t="e">
        <f t="shared" si="218"/>
        <v>#VALUE!</v>
      </c>
      <c r="J72" s="5" t="e">
        <f t="shared" si="219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A16" workbookViewId="0">
      <selection activeCell="G28" sqref="G28"/>
    </sheetView>
  </sheetViews>
  <sheetFormatPr defaultRowHeight="15" x14ac:dyDescent="0.25"/>
  <cols>
    <col min="3" max="3" width="8.7109375" customWidth="1"/>
    <col min="10" max="10" width="9.7109375" bestFit="1" customWidth="1"/>
  </cols>
  <sheetData>
    <row r="1" spans="1:23" x14ac:dyDescent="0.25">
      <c r="A1" t="s">
        <v>92</v>
      </c>
      <c r="B1">
        <v>100000</v>
      </c>
      <c r="J1" s="13">
        <v>43251</v>
      </c>
      <c r="W1">
        <f t="array" ref="W1">_xll.HistoricalData("AAPL","Close","5/31/2018","5/31/2018","Daily","RemoveHeaders = True","RemoveDates=True")</f>
        <v>186.87</v>
      </c>
    </row>
    <row r="2" spans="1:23" x14ac:dyDescent="0.25">
      <c r="A2" t="s">
        <v>93</v>
      </c>
      <c r="B2" s="71">
        <v>0.7</v>
      </c>
      <c r="C2">
        <f>B2*$B$1</f>
        <v>70000</v>
      </c>
    </row>
    <row r="3" spans="1:23" x14ac:dyDescent="0.25">
      <c r="A3" t="s">
        <v>94</v>
      </c>
      <c r="B3" s="71">
        <f>1-B2</f>
        <v>0.30000000000000004</v>
      </c>
      <c r="C3">
        <f>B3*B1</f>
        <v>30000.000000000004</v>
      </c>
    </row>
    <row r="4" spans="1:23" x14ac:dyDescent="0.25">
      <c r="B4" t="s">
        <v>95</v>
      </c>
      <c r="C4" t="s">
        <v>22</v>
      </c>
      <c r="D4" t="s">
        <v>97</v>
      </c>
      <c r="E4" t="s">
        <v>98</v>
      </c>
      <c r="F4" t="s">
        <v>7</v>
      </c>
      <c r="G4" t="s">
        <v>102</v>
      </c>
      <c r="H4" t="s">
        <v>104</v>
      </c>
    </row>
    <row r="5" spans="1:23" x14ac:dyDescent="0.25">
      <c r="A5" t="s">
        <v>86</v>
      </c>
      <c r="B5">
        <v>331.95</v>
      </c>
      <c r="C5">
        <f>_xll.RealtimeData(A5,"Last")</f>
        <v>363.51</v>
      </c>
      <c r="D5">
        <f>ROUNDDOWN(($C$2/6)/B5,0)</f>
        <v>35</v>
      </c>
      <c r="E5" s="8">
        <f>C5/B5-1</f>
        <v>9.5074559421599592E-2</v>
      </c>
      <c r="F5">
        <f>C5*D5</f>
        <v>12722.85</v>
      </c>
      <c r="G5" s="73">
        <f>F5/$F$13</f>
        <v>0.17633909730448727</v>
      </c>
      <c r="H5" s="8">
        <f>F5/$F$31</f>
        <v>0.12468706587970688</v>
      </c>
    </row>
    <row r="6" spans="1:23" x14ac:dyDescent="0.25">
      <c r="A6" t="s">
        <v>87</v>
      </c>
      <c r="B6">
        <v>1629.62</v>
      </c>
      <c r="C6">
        <f>_xll.RealtimeData(A6,"Last")</f>
        <v>1823.29</v>
      </c>
      <c r="D6">
        <f t="shared" ref="D6:D10" si="0">ROUNDDOWN(($C$2/6)/B6,0)</f>
        <v>7</v>
      </c>
      <c r="E6" s="8">
        <f t="shared" ref="E6:E10" si="1">C6/B6-1</f>
        <v>0.11884365680342657</v>
      </c>
      <c r="F6">
        <f t="shared" ref="F6:F9" si="2">C6*D6</f>
        <v>12763.029999999999</v>
      </c>
      <c r="G6" s="73">
        <f t="shared" ref="G6:G10" si="3">F6/$F$13</f>
        <v>0.17689599335605544</v>
      </c>
      <c r="H6" s="8">
        <f t="shared" ref="H6:H10" si="4">F6/$F$31</f>
        <v>0.12508083978312054</v>
      </c>
    </row>
    <row r="7" spans="1:23" x14ac:dyDescent="0.25">
      <c r="A7" t="s">
        <v>88</v>
      </c>
      <c r="B7">
        <v>42.38</v>
      </c>
      <c r="C7">
        <f>_xll.RealtimeData(A7,"Last")</f>
        <v>42.83</v>
      </c>
      <c r="D7">
        <f t="shared" si="0"/>
        <v>275</v>
      </c>
      <c r="E7" s="8">
        <f t="shared" si="1"/>
        <v>1.0618216139688386E-2</v>
      </c>
      <c r="F7">
        <f t="shared" si="2"/>
        <v>11778.25</v>
      </c>
      <c r="G7" s="73">
        <f t="shared" si="3"/>
        <v>0.16324691188110976</v>
      </c>
      <c r="H7" s="8">
        <f t="shared" si="4"/>
        <v>0.11542975305828941</v>
      </c>
    </row>
    <row r="8" spans="1:23" x14ac:dyDescent="0.25">
      <c r="A8" t="s">
        <v>89</v>
      </c>
      <c r="B8">
        <v>459.67</v>
      </c>
      <c r="C8">
        <f>_xll.RealtimeData(A8,"Last")</f>
        <v>522.6</v>
      </c>
      <c r="D8">
        <f t="shared" si="0"/>
        <v>25</v>
      </c>
      <c r="E8" s="8">
        <f t="shared" si="1"/>
        <v>0.13690256053255601</v>
      </c>
      <c r="F8">
        <f t="shared" si="2"/>
        <v>13065</v>
      </c>
      <c r="G8" s="73">
        <f t="shared" si="3"/>
        <v>0.18108130696212926</v>
      </c>
      <c r="H8" s="8">
        <f t="shared" si="4"/>
        <v>0.12804022021153832</v>
      </c>
    </row>
    <row r="9" spans="1:23" x14ac:dyDescent="0.25">
      <c r="A9" t="s">
        <v>90</v>
      </c>
      <c r="B9">
        <v>57.59</v>
      </c>
      <c r="C9">
        <f>_xll.RealtimeData(A9,"Last")</f>
        <v>52.81</v>
      </c>
      <c r="D9">
        <f t="shared" si="0"/>
        <v>202</v>
      </c>
      <c r="E9" s="8">
        <f t="shared" si="1"/>
        <v>-8.3000520923771526E-2</v>
      </c>
      <c r="F9">
        <f t="shared" si="2"/>
        <v>10667.62</v>
      </c>
      <c r="G9" s="73">
        <f t="shared" si="3"/>
        <v>0.14785354548605814</v>
      </c>
      <c r="H9" s="8">
        <f t="shared" si="4"/>
        <v>0.10454530531442867</v>
      </c>
    </row>
    <row r="10" spans="1:23" x14ac:dyDescent="0.25">
      <c r="A10" t="s">
        <v>91</v>
      </c>
      <c r="B10">
        <v>56.35</v>
      </c>
      <c r="C10">
        <f>_xll.RealtimeData(A10,"Last")</f>
        <v>53.88</v>
      </c>
      <c r="D10">
        <f t="shared" si="0"/>
        <v>207</v>
      </c>
      <c r="E10" s="8">
        <f t="shared" si="1"/>
        <v>-4.3833185448092227E-2</v>
      </c>
      <c r="F10">
        <f>C10*D10</f>
        <v>11153.16</v>
      </c>
      <c r="G10" s="73">
        <f t="shared" si="3"/>
        <v>0.1545831450101601</v>
      </c>
      <c r="H10" s="8">
        <f t="shared" si="4"/>
        <v>0.10930371698848226</v>
      </c>
    </row>
    <row r="13" spans="1:23" x14ac:dyDescent="0.25">
      <c r="E13" t="s">
        <v>93</v>
      </c>
      <c r="F13">
        <f>SUM(F5:F10)</f>
        <v>72149.91</v>
      </c>
    </row>
    <row r="14" spans="1:23" x14ac:dyDescent="0.25">
      <c r="E14" t="s">
        <v>107</v>
      </c>
      <c r="F14" s="8">
        <f>F13/C2-1</f>
        <v>3.071299999999999E-2</v>
      </c>
    </row>
    <row r="15" spans="1:23" x14ac:dyDescent="0.25">
      <c r="E15" t="s">
        <v>108</v>
      </c>
    </row>
    <row r="19" spans="1:9" x14ac:dyDescent="0.25">
      <c r="B19" t="s">
        <v>95</v>
      </c>
      <c r="C19" t="s">
        <v>22</v>
      </c>
      <c r="D19" t="s">
        <v>97</v>
      </c>
      <c r="E19" t="s">
        <v>96</v>
      </c>
      <c r="F19" t="s">
        <v>99</v>
      </c>
      <c r="G19" t="s">
        <v>7</v>
      </c>
      <c r="H19" t="s">
        <v>103</v>
      </c>
      <c r="I19" t="s">
        <v>104</v>
      </c>
    </row>
    <row r="20" spans="1:9" x14ac:dyDescent="0.25">
      <c r="A20" t="s">
        <v>8</v>
      </c>
      <c r="B20">
        <f>_xll.HistoricalData(A20,"Close","8/1/2018","8/1/2018","Daily","RemoveHeaders = True","RemoveDates=True")</f>
        <v>17</v>
      </c>
      <c r="C20">
        <f>_xll.RealtimeData(A20,"Last")</f>
        <v>17.16</v>
      </c>
      <c r="D20">
        <f>ROUNDDOWN(($C$3*E20)/B20,0)</f>
        <v>250</v>
      </c>
      <c r="E20" s="11">
        <v>0.14199999999999999</v>
      </c>
      <c r="F20" s="8">
        <f>C20/B20-1</f>
        <v>9.4117647058824527E-3</v>
      </c>
      <c r="G20">
        <f>D20*C20</f>
        <v>4290</v>
      </c>
      <c r="H20" s="8">
        <f>G20/$G$27</f>
        <v>0.14353423442051316</v>
      </c>
      <c r="I20" s="8">
        <f>G20/$F$31</f>
        <v>4.2043057382893177E-2</v>
      </c>
    </row>
    <row r="21" spans="1:9" x14ac:dyDescent="0.25">
      <c r="A21" t="s">
        <v>9</v>
      </c>
      <c r="B21">
        <f>_xll.HistoricalData(A21,"Close","8/1/2018","8/1/2018","Daily","RemoveHeaders = True","RemoveDates=True")</f>
        <v>282.88</v>
      </c>
      <c r="C21">
        <f>_xll.RealtimeData(A21,"Last")</f>
        <v>285.55</v>
      </c>
      <c r="D21">
        <f t="shared" ref="D21:D23" si="5">ROUNDDOWN(($C$3*E21)/B21,0)</f>
        <v>38</v>
      </c>
      <c r="E21" s="11">
        <v>0.36599999999999999</v>
      </c>
      <c r="F21" s="8">
        <f t="shared" ref="F21:F23" si="6">C21/B21-1</f>
        <v>9.4386312217196178E-3</v>
      </c>
      <c r="G21">
        <f t="shared" ref="G21:G23" si="7">D21*C21</f>
        <v>10850.9</v>
      </c>
      <c r="H21" s="8">
        <f t="shared" ref="H21:H23" si="8">G21/$G$27</f>
        <v>0.36304793106609468</v>
      </c>
      <c r="I21" s="8">
        <f t="shared" ref="I21:I23" si="9">G21/$F$31</f>
        <v>0.10634149448858639</v>
      </c>
    </row>
    <row r="22" spans="1:9" x14ac:dyDescent="0.25">
      <c r="A22" t="s">
        <v>19</v>
      </c>
      <c r="B22">
        <f>_xll.HistoricalData(A22,"Close","8/1/2018","8/1/2018","Daily","RemoveHeaders = True","RemoveDates=True")</f>
        <v>81.52</v>
      </c>
      <c r="C22">
        <f>_xll.RealtimeData(A22,"Last")</f>
        <v>82.21</v>
      </c>
      <c r="D22">
        <f t="shared" si="5"/>
        <v>144</v>
      </c>
      <c r="E22" s="11">
        <v>0.39300000000000002</v>
      </c>
      <c r="F22" s="8">
        <f t="shared" si="6"/>
        <v>8.4641805691854088E-3</v>
      </c>
      <c r="G22">
        <f t="shared" si="7"/>
        <v>11838.24</v>
      </c>
      <c r="H22" s="8">
        <f t="shared" si="8"/>
        <v>0.39608221801545351</v>
      </c>
      <c r="I22" s="8">
        <f t="shared" si="9"/>
        <v>0.11601766984439658</v>
      </c>
    </row>
    <row r="23" spans="1:9" x14ac:dyDescent="0.25">
      <c r="A23" t="s">
        <v>85</v>
      </c>
      <c r="B23">
        <f>_xll.HistoricalData(A23,"Close","8/1/2018","8/1/2018","Daily","RemoveHeaders = True","RemoveDates=True")</f>
        <v>83.06</v>
      </c>
      <c r="C23">
        <f>_xll.RealtimeData(A23,"Last")</f>
        <v>83.12</v>
      </c>
      <c r="D23">
        <f t="shared" si="5"/>
        <v>35</v>
      </c>
      <c r="E23" s="11">
        <v>9.9000000000000005E-2</v>
      </c>
      <c r="F23" s="8">
        <f t="shared" si="6"/>
        <v>7.2236937153857816E-4</v>
      </c>
      <c r="G23">
        <f t="shared" si="7"/>
        <v>2909.2000000000003</v>
      </c>
      <c r="H23" s="8">
        <f t="shared" si="8"/>
        <v>9.7335616497938676E-2</v>
      </c>
      <c r="I23" s="8">
        <f t="shared" si="9"/>
        <v>2.8510877048557773E-2</v>
      </c>
    </row>
    <row r="24" spans="1:9" x14ac:dyDescent="0.25">
      <c r="B24" s="72"/>
    </row>
    <row r="27" spans="1:9" x14ac:dyDescent="0.25">
      <c r="F27" t="s">
        <v>100</v>
      </c>
      <c r="G27">
        <f>SUM(G20:G23)</f>
        <v>29888.34</v>
      </c>
    </row>
    <row r="28" spans="1:9" x14ac:dyDescent="0.25">
      <c r="F28" t="s">
        <v>106</v>
      </c>
      <c r="G28" s="8">
        <f>G27/C3-1</f>
        <v>-3.7220000000001141E-3</v>
      </c>
    </row>
    <row r="31" spans="1:9" x14ac:dyDescent="0.25">
      <c r="E31" t="s">
        <v>101</v>
      </c>
      <c r="F31">
        <f>SUM(F13,G27)</f>
        <v>102038.25</v>
      </c>
    </row>
    <row r="33" spans="1:9" x14ac:dyDescent="0.25">
      <c r="E33" t="s">
        <v>105</v>
      </c>
      <c r="F33" s="8">
        <f>F31/B1-1</f>
        <v>2.038249999999997E-2</v>
      </c>
    </row>
    <row r="37" spans="1:9" x14ac:dyDescent="0.25">
      <c r="A37" t="s">
        <v>109</v>
      </c>
      <c r="B37">
        <f>_xll.HistoricalData(A37,"Close","8/1/2018","8/1/2018","Daily","RemoveHeaders = True","RemoveDates=True")</f>
        <v>38.26</v>
      </c>
      <c r="C37">
        <f>_xll.RealtimeData(A37,"Last")</f>
        <v>38.303100000000001</v>
      </c>
      <c r="D37" s="8">
        <f>C37/B37-1</f>
        <v>1.1265028750653272E-3</v>
      </c>
      <c r="E37" s="11"/>
      <c r="F37" s="8"/>
      <c r="H37" s="8"/>
      <c r="I37" s="8"/>
    </row>
    <row r="38" spans="1:9" x14ac:dyDescent="0.25">
      <c r="A38" t="s">
        <v>9</v>
      </c>
      <c r="B38">
        <f>_xll.HistoricalData(A38,"Close","5/31/2018","5/31/2018","Daily","RemoveHeaders = True","RemoveDates=True")</f>
        <v>272.73</v>
      </c>
      <c r="C38">
        <f>_xll.RealtimeData(A38,"Last")</f>
        <v>285.55</v>
      </c>
      <c r="D38" s="8">
        <f t="shared" ref="D38:D40" si="10">C38/B38-1</f>
        <v>4.7006196604700623E-2</v>
      </c>
    </row>
    <row r="39" spans="1:9" x14ac:dyDescent="0.25">
      <c r="A39" t="s">
        <v>110</v>
      </c>
      <c r="B39">
        <f>_xll.HistoricalData(A39,"Close","5/31/2018","5/31/2018","Daily","RemoveHeaders = True","RemoveDates=True")</f>
        <v>170.07</v>
      </c>
      <c r="C39">
        <f>_xll.RealtimeData(A39,"Last")</f>
        <v>180.08</v>
      </c>
      <c r="D39" s="8">
        <f t="shared" si="10"/>
        <v>5.8858117245840003E-2</v>
      </c>
    </row>
    <row r="40" spans="1:9" x14ac:dyDescent="0.25">
      <c r="A40" t="s">
        <v>108</v>
      </c>
      <c r="B40">
        <f>_xll.HistoricalData(A40,"Close","5/31/2018","5/31/2018","Daily","RemoveHeaders = True","RemoveDates=True")</f>
        <v>44.7</v>
      </c>
      <c r="C40">
        <f>_xll.RealtimeData(A40,"Last")</f>
        <v>46.82</v>
      </c>
      <c r="D40" s="8">
        <f t="shared" si="10"/>
        <v>4.7427293064876919E-2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Daily</vt:lpstr>
      <vt:lpstr>Prices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2018-08-06T12:01:54Z</dcterms:modified>
</cp:coreProperties>
</file>