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1" i="2" l="1"/>
  <c r="F81" i="2"/>
  <c r="AI81" i="2" s="1"/>
  <c r="J81" i="2"/>
  <c r="P81" i="2" s="1"/>
  <c r="K81" i="2"/>
  <c r="Q81" i="2" s="1"/>
  <c r="L81" i="2"/>
  <c r="R81" i="2" s="1"/>
  <c r="N81" i="2"/>
  <c r="T81" i="2" s="1"/>
  <c r="B81" i="2"/>
  <c r="D81" i="2"/>
  <c r="Z81" i="2" l="1"/>
  <c r="AN81" i="2"/>
  <c r="AF81" i="2"/>
  <c r="X81" i="2"/>
  <c r="AL81" i="2"/>
  <c r="AD81" i="2"/>
  <c r="AK81" i="2"/>
  <c r="AC81" i="2"/>
  <c r="W81" i="2"/>
  <c r="AJ81" i="2"/>
  <c r="AB81" i="2"/>
  <c r="V81" i="2"/>
  <c r="M81" i="2"/>
  <c r="S81" i="2" s="1"/>
  <c r="H81" i="2"/>
  <c r="G81" i="2"/>
  <c r="E80" i="2"/>
  <c r="F80" i="2"/>
  <c r="G80" i="2" s="1"/>
  <c r="AI80" i="2"/>
  <c r="B80" i="2"/>
  <c r="D80" i="2"/>
  <c r="Y81" i="2" l="1"/>
  <c r="AM81" i="2"/>
  <c r="AE81" i="2"/>
  <c r="H80" i="2"/>
  <c r="E79" i="2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B86" i="3" a="1"/>
  <c r="C83" i="3" a="1"/>
  <c r="E84" i="3" a="1"/>
  <c r="C85" i="3" a="1"/>
  <c r="E86" i="3" a="1"/>
  <c r="C87" i="3" a="1"/>
  <c r="D83" i="3" a="1"/>
  <c r="D85" i="3" a="1"/>
  <c r="C84" i="3" a="1"/>
  <c r="C86" i="3" a="1"/>
  <c r="D84" i="3" a="1"/>
  <c r="D86" i="3" a="1"/>
  <c r="B84" i="3" a="1"/>
  <c r="D87" i="3" a="1"/>
  <c r="E83" i="3" a="1"/>
  <c r="E85" i="3" a="1"/>
  <c r="E87" i="3" a="1"/>
  <c r="B83" i="3" a="1"/>
  <c r="B85" i="3" a="1"/>
  <c r="B87" i="3" a="1"/>
  <c r="C79" i="3" a="1"/>
  <c r="B79" i="3" a="1"/>
  <c r="E79" i="3" a="1"/>
  <c r="D79" i="3" a="1"/>
  <c r="C80" i="3" a="1"/>
  <c r="D80" i="3" a="1"/>
  <c r="E80" i="3" a="1"/>
  <c r="B80" i="3" a="1"/>
  <c r="B81" i="3" a="1"/>
  <c r="D81" i="3" a="1"/>
  <c r="E81" i="3" a="1"/>
  <c r="C81" i="3" a="1"/>
  <c r="C82" i="3" a="1"/>
  <c r="B82" i="3" a="1"/>
  <c r="D82" i="3" a="1"/>
  <c r="E82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L79" i="2" s="1"/>
  <c r="C86" i="3"/>
  <c r="C84" i="3"/>
  <c r="C82" i="3"/>
  <c r="C80" i="3"/>
  <c r="D85" i="3"/>
  <c r="I85" i="3" s="1"/>
  <c r="D79" i="3"/>
  <c r="D83" i="3"/>
  <c r="I83" i="3" s="1"/>
  <c r="D81" i="3"/>
  <c r="I81" i="3" s="1"/>
  <c r="L80" i="2" s="1"/>
  <c r="C87" i="3"/>
  <c r="H87" i="3" s="1"/>
  <c r="E86" i="3"/>
  <c r="J86" i="3" s="1"/>
  <c r="C85" i="3"/>
  <c r="H85" i="3" s="1"/>
  <c r="E84" i="3"/>
  <c r="C83" i="3"/>
  <c r="E82" i="3"/>
  <c r="J82" i="3" s="1"/>
  <c r="C81" i="3"/>
  <c r="H81" i="3" s="1"/>
  <c r="K80" i="2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H83" i="3" l="1"/>
  <c r="H82" i="3"/>
  <c r="J80" i="3"/>
  <c r="N79" i="2" s="1"/>
  <c r="G80" i="3"/>
  <c r="J79" i="2" s="1"/>
  <c r="I87" i="3"/>
  <c r="G83" i="3"/>
  <c r="I82" i="3"/>
  <c r="I84" i="3"/>
  <c r="J87" i="3"/>
  <c r="I86" i="3"/>
  <c r="J84" i="3"/>
  <c r="H80" i="3"/>
  <c r="K79" i="2" s="1"/>
  <c r="G84" i="3"/>
  <c r="G81" i="3"/>
  <c r="J80" i="2" s="1"/>
  <c r="M75" i="2"/>
  <c r="H84" i="3"/>
  <c r="H86" i="3"/>
  <c r="J81" i="3"/>
  <c r="N80" i="2" s="1"/>
  <c r="G87" i="3"/>
  <c r="AI75" i="2"/>
  <c r="H75" i="2"/>
  <c r="E74" i="2"/>
  <c r="F74" i="2" s="1"/>
  <c r="J74" i="2"/>
  <c r="K74" i="2"/>
  <c r="L74" i="2"/>
  <c r="N74" i="2"/>
  <c r="B74" i="2"/>
  <c r="D74" i="2"/>
  <c r="M80" i="2" l="1"/>
  <c r="M79" i="2"/>
  <c r="M74" i="2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8" i="4"/>
  <c r="C5" i="4"/>
  <c r="C40" i="4"/>
  <c r="C6" i="4"/>
  <c r="C20" i="4"/>
  <c r="C7" i="4"/>
  <c r="C37" i="4"/>
  <c r="C39" i="4"/>
  <c r="C9" i="4"/>
  <c r="C10" i="4"/>
  <c r="C21" i="4"/>
  <c r="C38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U11" i="1"/>
  <c r="U8" i="1"/>
  <c r="U9" i="1"/>
  <c r="U3" i="1"/>
  <c r="L12" i="1" a="1"/>
  <c r="U6" i="1"/>
  <c r="U7" i="1"/>
  <c r="U12" i="1"/>
  <c r="U2" i="1"/>
  <c r="M12" i="1"/>
  <c r="U4" i="1"/>
  <c r="U10" i="1"/>
  <c r="U5" i="1"/>
  <c r="B12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8" i="1"/>
  <c r="J11" i="1"/>
  <c r="J10" i="1"/>
  <c r="J9" i="1"/>
  <c r="J7" i="1"/>
  <c r="J5" i="1"/>
  <c r="J12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9" i="1"/>
  <c r="M4" i="1"/>
  <c r="M2" i="1"/>
  <c r="M7" i="1"/>
  <c r="M6" i="1"/>
  <c r="M5" i="1"/>
  <c r="M11" i="1"/>
  <c r="M3" i="1"/>
  <c r="M10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4" i="1" a="1"/>
  <c r="L5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10" i="1"/>
  <c r="L5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2" i="1"/>
  <c r="L8" i="1"/>
  <c r="L3" i="1"/>
  <c r="K26" i="1"/>
  <c r="L7" i="1"/>
  <c r="L9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2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8" i="1"/>
  <c r="J2" i="1"/>
  <c r="B2" i="1"/>
  <c r="B9" i="1"/>
  <c r="B10" i="1"/>
  <c r="J6" i="1"/>
  <c r="B6" i="1"/>
  <c r="B11" i="1"/>
  <c r="B4" i="1"/>
  <c r="B7" i="1"/>
  <c r="J3" i="1"/>
  <c r="B5" i="1"/>
  <c r="B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R33" i="2"/>
  <c r="R34" i="2" s="1"/>
  <c r="AD32" i="2"/>
  <c r="AB32" i="2"/>
  <c r="AC32" i="2"/>
  <c r="W32" i="2"/>
  <c r="X32" i="2"/>
  <c r="V32" i="2"/>
  <c r="Q34" i="2"/>
  <c r="AK34" i="2" s="1"/>
  <c r="AK33" i="2"/>
  <c r="AC33" i="2"/>
  <c r="W33" i="2"/>
  <c r="T25" i="2"/>
  <c r="Z24" i="2"/>
  <c r="AF24" i="2"/>
  <c r="S14" i="2"/>
  <c r="Y13" i="2"/>
  <c r="AE13" i="2"/>
  <c r="F14" i="2"/>
  <c r="G13" i="2"/>
  <c r="H13" i="2"/>
  <c r="V33" i="2" l="1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80" i="2" l="1"/>
  <c r="X80" i="2"/>
  <c r="AL80" i="2"/>
  <c r="AD79" i="2"/>
  <c r="AL79" i="2"/>
  <c r="X79" i="2"/>
  <c r="X78" i="2"/>
  <c r="AL78" i="2"/>
  <c r="AD78" i="2"/>
  <c r="P79" i="2"/>
  <c r="P80" i="2" s="1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80" i="2" l="1"/>
  <c r="AC80" i="2"/>
  <c r="W80" i="2"/>
  <c r="AJ80" i="2"/>
  <c r="V80" i="2"/>
  <c r="AB80" i="2"/>
  <c r="AK79" i="2"/>
  <c r="AC79" i="2"/>
  <c r="W79" i="2"/>
  <c r="AK78" i="2"/>
  <c r="AC78" i="2"/>
  <c r="W78" i="2"/>
  <c r="AJ79" i="2"/>
  <c r="N46" i="1" s="1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S57" i="2"/>
  <c r="AM56" i="2"/>
  <c r="Y56" i="2"/>
  <c r="AE56" i="2"/>
  <c r="AN66" i="2"/>
  <c r="Z66" i="2"/>
  <c r="AF66" i="2"/>
  <c r="F54" i="2"/>
  <c r="G53" i="2"/>
  <c r="H53" i="2"/>
  <c r="Z80" i="2" l="1"/>
  <c r="AF80" i="2"/>
  <c r="AN80" i="2"/>
  <c r="Z79" i="2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AM66" i="2"/>
  <c r="AE66" i="2"/>
  <c r="Y66" i="2"/>
  <c r="H63" i="2"/>
  <c r="L31" i="1" s="1"/>
  <c r="G63" i="2"/>
  <c r="K31" i="1" s="1"/>
  <c r="Y80" i="2" l="1"/>
  <c r="AE80" i="2"/>
  <c r="AM80" i="2"/>
  <c r="AM79" i="2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<sst xmlns="http://schemas.openxmlformats.org/spreadsheetml/2006/main" count="159" uniqueCount="112">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</sst>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073c66848b64aecaa42d795206db90b">
      <tp>
        <v>-1.797625777275325E-3</v>
        <stp/>
        <stp>GYLD</stp>
        <stp>change in percent</stp>
        <tr r="K26" s="1"/>
      </tp>
    </main>
    <main first="rtdsrv.3073c66848b64aecaa42d795206db90b">
      <tp>
        <v>2.1866885335519613E-3</v>
        <stp/>
        <stp>ACWI</stp>
        <stp>change in percent</stp>
        <tr r="K22" s="1"/>
      </tp>
    </main>
    <main first="rtdsrv.3073c66848b64aecaa42d795206db90b">
      <tp>
        <v>0.31302672999999998</v>
        <stp/>
        <stp>SHY</stp>
        <stp>mtd percent change</stp>
        <tr r="U12" s="1"/>
      </tp>
      <tp>
        <v>-0.60759494000000003</v>
        <stp/>
        <stp>RWX</stp>
        <stp>mtd percent change</stp>
        <tr r="U6" s="1"/>
      </tp>
    </main>
    <main first="rtdsrv.3073c66848b64aecaa42d795206db90b">
      <tp>
        <v>2.6971129500000002</v>
        <stp/>
        <stp>TLT</stp>
        <stp>mtd percent change</stp>
        <tr r="U5" s="1"/>
      </tp>
    </main>
    <main first="rtdsrv.3073c66848b64aecaa42d795206db90b">
      <tp>
        <v>-1.7196456499999999</v>
        <stp/>
        <stp>GLD</stp>
        <stp>mtd percent change</stp>
        <tr r="U8" s="1"/>
      </tp>
      <tp>
        <v>-2.9820063000000001</v>
        <stp/>
        <stp>EEM</stp>
        <stp>mtd percent change</stp>
        <tr r="U10" s="1"/>
      </tp>
      <tp>
        <v>-1.9181802699999999</v>
        <stp/>
        <stp>EWJ</stp>
        <stp>mtd percent change</stp>
        <tr r="U7" s="1"/>
      </tp>
      <tp>
        <v>0.20588234999999999</v>
        <stp/>
        <stp>DBC</stp>
        <stp>mtd percent change</stp>
        <tr r="U2" s="1"/>
      </tp>
      <tp>
        <v>-1.9347826100000001</v>
        <stp/>
        <stp>IEV</stp>
        <stp>mtd percent change</stp>
        <tr r="U9" s="1"/>
      </tp>
      <tp>
        <v>1.4456285799999999</v>
        <stp/>
        <stp>IEF</stp>
        <stp>mtd percent change</stp>
        <tr r="U11" s="1"/>
      </tp>
      <tp>
        <v>1.97256787</v>
        <stp/>
        <stp>IVV</stp>
        <stp>mtd percent change</stp>
        <tr r="U3" s="1"/>
      </tp>
      <tp>
        <v>0.68694798999999995</v>
        <stp/>
        <stp>IYR</stp>
        <stp>mtd percent change</stp>
        <tr r="U4" s="1"/>
      </tp>
    </main>
    <main first="rtdsrv.3073c66848b64aecaa42d795206db90b">
      <tp>
        <v>55.44</v>
        <stp/>
        <stp>STX</stp>
        <stp>last</stp>
        <tr r="C10" s="4"/>
      </tp>
    </main>
    <main first="rtdsrv.3073c66848b64aecaa42d795206db90b">
      <tp t="s">
        <v>SPDR INDEX SHS FDS-DJ INTL RL ETF</v>
        <stp/>
        <stp>RWX</stp>
        <stp>description</stp>
        <tr r="B6" s="1"/>
      </tp>
    </main>
    <main first="rtdsrv.3073c66848b64aecaa42d795206db90b">
      <tp>
        <v>288.45999999999998</v>
        <stp/>
        <stp>IVV</stp>
        <stp>last</stp>
        <tr r="J3" s="1"/>
        <tr r="C38" s="4"/>
        <tr r="C21" s="4"/>
      </tp>
    </main>
    <main first="rtdsrv.3073c66848b64aecaa42d795206db90b">
      <tp>
        <v>50.08</v>
        <stp/>
        <stp>MU</stp>
        <stp>last</stp>
        <tr r="C9" s="4"/>
      </tp>
    </main>
    <main first="rtdsrv.3073c66848b64aecaa42d795206db90b">
      <tp t="s">
        <v>ISHARES TR-1 3 YR TREAS BD</v>
        <stp/>
        <stp>SHY</stp>
        <stp>description</stp>
        <tr r="B12" s="1"/>
      </tp>
    </main>
    <main first="rtdsrv.3073c66848b64aecaa42d795206db90b">
      <tp>
        <v>57.78</v>
        <stp/>
        <stp>EWJ</stp>
        <stp>last</stp>
        <tr r="J7" s="1"/>
      </tp>
      <tp>
        <v>39.26</v>
        <stp/>
        <stp>RWX</stp>
        <stp>last</stp>
        <tr r="J6" s="1"/>
      </tp>
      <tp t="s">
        <v>ISHARES TR-20 YR TR BD ETF</v>
        <stp/>
        <stp>TLT</stp>
        <stp>description</stp>
        <tr r="B5" s="1"/>
      </tp>
    </main>
    <main first="rtdsrv.3073c66848b64aecaa42d795206db90b">
      <tp>
        <v>180.89</v>
        <stp/>
        <stp>QQQ</stp>
        <stp>last</stp>
        <tr r="C39" s="4"/>
      </tp>
    </main>
    <main first="rtdsrv.3073c66848b64aecaa42d795206db90b">
      <tp>
        <v>82.08</v>
        <stp/>
        <stp>IYR</stp>
        <stp>last</stp>
        <tr r="J4" s="1"/>
        <tr r="C22" s="4"/>
      </tp>
    </main>
    <main first="rtdsrv.3073c66848b64aecaa42d795206db90b">
      <tp>
        <v>102.80500000000001</v>
        <stp/>
        <stp>IEF</stp>
        <stp>last</stp>
        <tr r="J11" s="1"/>
      </tp>
    </main>
    <main first="rtdsrv.3073c66848b64aecaa42d795206db90b">
      <tp>
        <v>43.1342</v>
        <stp/>
        <stp>EEM</stp>
        <stp>last</stp>
        <tr r="J10" s="1"/>
      </tp>
      <tp>
        <v>45.1</v>
        <stp/>
        <stp>IEV</stp>
        <stp>last</stp>
        <tr r="J9" s="1"/>
      </tp>
    </main>
    <main first="rtdsrv.3073c66848b64aecaa42d795206db90b">
      <tp t="s">
        <v>ARROW ETF TR-ARROW DJ GLB YLD</v>
        <stp/>
        <stp>GYLD</stp>
        <stp>description</stp>
        <tr r="L26" s="1"/>
      </tp>
    </main>
    <main first="rtdsrv.3073c66848b64aecaa42d795206db90b">
      <tp t="s">
        <v>INVESCO DB COMMDY INDX TRCK-UNIT</v>
        <stp/>
        <stp>DBC</stp>
        <stp>description</stp>
        <tr r="B2" s="1"/>
      </tp>
    </main>
    <main first="rtdsrv.3073c66848b64aecaa42d795206db90b">
      <tp t="s">
        <v>ISHARES INC-MSCI JPN ETF NEW</v>
        <stp/>
        <stp>EWJ</stp>
        <stp>description</stp>
        <tr r="B7" s="1"/>
      </tp>
      <tp t="s">
        <v>ISHARES TR-MSCI EMG MKT ETF</v>
        <stp/>
        <stp>EEM</stp>
        <stp>description</stp>
        <tr r="B10" s="1"/>
      </tp>
    </main>
    <main first="rtdsrv.3073c66848b64aecaa42d795206db90b">
      <tp>
        <v>38.392899999999997</v>
        <stp/>
        <stp>GAL</stp>
        <stp>last</stp>
        <tr r="C37" s="4"/>
      </tp>
    </main>
    <main first="rtdsrv.3073c66848b64aecaa42d795206db90b">
      <tp>
        <v>17.035</v>
        <stp/>
        <stp>DBC</stp>
        <stp>last</stp>
        <tr r="J2" s="1"/>
        <tr r="C20" s="4"/>
      </tp>
    </main>
    <main first="rtdsrv.3073c66848b64aecaa42d795206db90b">
      <tp t="s">
        <v>SPDR GOLD TRUST-GOLD SHS</v>
        <stp/>
        <stp>GLD</stp>
        <stp>description</stp>
        <tr r="B8" s="1"/>
      </tp>
    </main>
    <main first="rtdsrv.3073c66848b64aecaa42d795206db90b">
      <tp>
        <v>113.16</v>
        <stp/>
        <stp>GLD</stp>
        <stp>last</stp>
        <tr r="J8" s="1"/>
      </tp>
    </main>
    <main first="rtdsrv.3073c66848b64aecaa42d795206db90b">
      <tp>
        <v>121.655</v>
        <stp/>
        <stp>TLT</stp>
        <stp>last</stp>
        <tr r="J5" s="1"/>
      </tp>
      <tp t="s">
        <v>ISHARES TR-CORE S&amp;P500 ETF</v>
        <stp/>
        <stp>IVV</stp>
        <stp>description</stp>
        <tr r="B3" s="1"/>
      </tp>
    </main>
    <main first="rtdsrv.3073c66848b64aecaa42d795206db90b">
      <tp t="s">
        <v>ISHARES TR-U.S. REAL ES ETF</v>
        <stp/>
        <stp>IYR</stp>
        <stp>description</stp>
        <tr r="B4" s="1"/>
      </tp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3073c66848b64aecaa42d795206db90b">
      <tp>
        <v>83.32</v>
        <stp/>
        <stp>SHY</stp>
        <stp>last</stp>
        <tr r="J12" s="1"/>
        <tr r="C23" s="4"/>
      </tp>
    </main>
    <main first="rtdsrv.3073c66848b64aecaa42d795206db90b">
      <tp>
        <v>1.2387188108299507E-3</v>
        <stp/>
        <stp>GLD</stp>
        <stp>change in percent</stp>
        <tr r="L8" s="1"/>
      </tp>
    </main>
    <main first="rtdsrv.3073c66848b64aecaa42d795206db90b">
      <tp>
        <v>4.6913116907444645E-5</v>
        <stp/>
        <stp>AGG</stp>
        <stp>change in percent</stp>
        <tr r="K23" s="1"/>
      </tp>
    </main>
    <main first="rtdsrv.3073c66848b64aecaa42d795206db90b">
      <tp>
        <v>1.217374366965329E-3</v>
        <stp/>
        <stp>IEF</stp>
        <stp>change in percent</stp>
        <tr r="L11" s="1"/>
      </tp>
    </main>
    <main first="rtdsrv.3073c66848b64aecaa42d795206db90b">
      <tp>
        <v>9.7806757557794312E-3</v>
        <stp/>
        <stp>DBC</stp>
        <stp>change in percent</stp>
        <tr r="L2" s="1"/>
      </tp>
    </main>
    <main first="rtdsrv.3073c66848b64aecaa42d795206db90b">
      <tp>
        <v>4.5225896599907318E-3</v>
        <stp/>
        <stp>EEM</stp>
        <stp>change in percent</stp>
        <tr r="L10" s="1"/>
      </tp>
    </main>
    <main first="rtdsrv.3073c66848b64aecaa42d795206db90b">
      <tp>
        <v>6.4448702316670442E-3</v>
        <stp/>
        <stp>EWJ</stp>
        <stp>change in percent</stp>
        <tr r="L7" s="1"/>
      </tp>
    </main>
    <main first="rtdsrv.3073c66848b64aecaa42d795206db90b">
      <tp>
        <v>2.2656121272038722E-3</v>
        <stp/>
        <stp>TLT</stp>
        <stp>change in percent</stp>
        <tr r="L5" s="1"/>
      </tp>
    </main>
    <main first="rtdsrv.3073c66848b64aecaa42d795206db90b">
      <tp>
        <v>7.9797384033570759E-4</v>
        <stp/>
        <stp>IVV</stp>
        <stp>change in percent</stp>
        <tr r="K24" s="1"/>
        <tr r="L3" s="1"/>
      </tp>
      <tp>
        <v>3.1138790035587414E-3</v>
        <stp/>
        <stp>IEV</stp>
        <stp>change in percent</stp>
        <tr r="L9" s="1"/>
      </tp>
    </main>
    <main first="rtdsrv.3073c66848b64aecaa42d795206db90b">
      <tp>
        <v>-7.8568838389943916E-3</v>
        <stp/>
        <stp>IYR</stp>
        <stp>change in percent</stp>
        <tr r="L4" s="1"/>
      </tp>
    </main>
    <main first="rtdsrv.3073c66848b64aecaa42d795206db90b">
      <tp>
        <v>1.2003360941052586E-4</v>
        <stp/>
        <stp>SHY</stp>
        <stp>change in percent</stp>
        <tr r="L12" s="1"/>
      </tp>
    </main>
    <main first="rtdsrv.3073c66848b64aecaa42d795206db90b">
      <tp>
        <v>3.3222591362124967E-3</v>
        <stp/>
        <stp>RWX</stp>
        <stp>change in percent</stp>
        <tr r="L6" s="1"/>
      </tp>
    </main>
    <main first="rtdsrv.3073c66848b64aecaa42d795206db90b">
      <tp>
        <v>46.77</v>
        <stp/>
        <stp>QQQE</stp>
        <stp>last</stp>
        <tr r="C40" s="4"/>
      </tp>
    </main>
    <main first="rtdsrv.3073c66848b64aecaa42d795206db90b">
      <tp>
        <v>533.45600000000002</v>
        <stp/>
        <stp>ISRG</stp>
        <stp>last</stp>
        <tr r="C8" s="4"/>
      </tp>
    </main>
    <main first="rtdsrv.3073c66848b64aecaa42d795206db90b">
      <tp>
        <v>1.34</v>
        <stp/>
        <stp>EEM</stp>
        <stp>dividend yield</stp>
        <tr r="M10" s="1"/>
      </tp>
      <tp>
        <v>1.6</v>
        <stp/>
        <stp>EWJ</stp>
        <stp>dividend yield</stp>
        <tr r="M7" s="1"/>
      </tp>
      <tp t="s">
        <v>--</v>
        <stp/>
        <stp>DBC</stp>
        <stp>dividend yield</stp>
        <tr r="M2" s="1"/>
      </tp>
      <tp>
        <v>2.21</v>
        <stp/>
        <stp>IEF</stp>
        <stp>dividend yield</stp>
        <tr r="M11" s="1"/>
      </tp>
      <tp>
        <v>4.7</v>
        <stp/>
        <stp>IEV</stp>
        <stp>dividend yield</stp>
        <tr r="M9" s="1"/>
      </tp>
      <tp>
        <v>1.78</v>
        <stp/>
        <stp>IVV</stp>
        <stp>dividend yield</stp>
        <tr r="M3" s="1"/>
      </tp>
      <tp>
        <v>0.48</v>
        <stp/>
        <stp>IYR</stp>
        <stp>dividend yield</stp>
        <tr r="M4" s="1"/>
      </tp>
      <tp>
        <v>1.87</v>
        <stp/>
        <stp>SHY</stp>
        <stp>dividend yield</stp>
        <tr r="M12" s="1"/>
      </tp>
      <tp>
        <v>3.65</v>
        <stp/>
        <stp>RWX</stp>
        <stp>dividend yield</stp>
        <tr r="M6" s="1"/>
      </tp>
      <tp>
        <v>2.71</v>
        <stp/>
        <stp>TLT</stp>
        <stp>dividend yield</stp>
        <tr r="M5" s="1"/>
      </tp>
    </main>
    <main first="rtdsrv.3073c66848b64aecaa42d795206db90b">
      <tp>
        <v>288.23</v>
        <stp/>
        <stp>IVV</stp>
        <stp>close</stp>
        <tr r="G3" s="1"/>
      </tp>
    </main>
    <main first="rtdsrv.3073c66848b64aecaa42d795206db90b">
      <tp>
        <v>1897.2729999999999</v>
        <stp/>
        <stp>AMZN</stp>
        <stp>last</stp>
        <tr r="C6" s="4"/>
      </tp>
    </main>
    <main first="rtdsrv.3073c66848b64aecaa42d795206db90b">
      <tp>
        <v>121.38</v>
        <stp/>
        <stp>TLT</stp>
        <stp>close</stp>
        <tr r="G5" s="1"/>
      </tp>
    </main>
    <main first="rtdsrv.3073c66848b64aecaa42d795206db90b">
      <tp>
        <v>82.73</v>
        <stp/>
        <stp>IYR</stp>
        <stp>close</stp>
        <tr r="G4" s="1"/>
      </tp>
    </main>
    <main first="rtdsrv.3073c66848b64aecaa42d795206db90b">
      <tp>
        <v>46.096800000000002</v>
        <stp/>
        <stp>CSCO</stp>
        <stp>last</stp>
        <tr r="C7" s="4"/>
      </tp>
    </main>
    <main first="rtdsrv.3073c66848b64aecaa42d795206db90b">
      <tp>
        <v>359.19</v>
        <stp/>
        <stp>ALGN</stp>
        <stp>last</stp>
        <tr r="C5" s="4"/>
      </tp>
    </main>
    <main first="rtdsrv.3073c66848b64aecaa42d795206db90b">
      <tp>
        <v>16.87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opLeftCell="B1" zoomScale="90" zoomScaleNormal="90" workbookViewId="0">
      <selection activeCell="F31" sqref="F31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-5.3673114236127528E-2</v>
      </c>
      <c r="F2" s="5">
        <f>I2/$I$21</f>
        <v>0.14736381309921517</v>
      </c>
      <c r="G2" s="4">
        <f>_xll.RealtimeData(A2,"Close")</f>
        <v>16.87</v>
      </c>
      <c r="H2" s="4">
        <v>176</v>
      </c>
      <c r="I2" s="4">
        <f>H2*G2</f>
        <v>2969.1200000000003</v>
      </c>
      <c r="J2" s="4">
        <f>_xll.RealtimeData(A2,"Last")</f>
        <v>17.035</v>
      </c>
      <c r="K2" s="5">
        <f>J2/D2-1</f>
        <v>-4.4417397807494652E-2</v>
      </c>
      <c r="L2" s="8">
        <f>_xll.RealtimeData(A2,"Change in Percent")</f>
        <v>9.7806757557794312E-3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-5.3638130992151867E-3</v>
      </c>
      <c r="Q2" s="31">
        <f>O2*Daily!$D$68</f>
        <v>2823.9823999999999</v>
      </c>
      <c r="R2">
        <f t="shared" ref="R2:R11" si="2">ROUND(Q2/J2,0)</f>
        <v>166</v>
      </c>
      <c r="S2">
        <f t="shared" ref="S2:S11" si="3">R2-H2</f>
        <v>-10</v>
      </c>
      <c r="T2" t="str">
        <f t="shared" ref="T2:T12" si="4">A2</f>
        <v>DBC</v>
      </c>
      <c r="U2">
        <f>_xll.RealtimeData(T2,"MTD Percent Change")</f>
        <v>0.20588234999999999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8.2108954251678634E-2</v>
      </c>
      <c r="F3" s="5">
        <f>I3/$I$21</f>
        <v>0.41485877419505329</v>
      </c>
      <c r="G3" s="4">
        <f>_xll.RealtimeData(A3,"Close")</f>
        <v>288.23</v>
      </c>
      <c r="H3" s="4">
        <v>29</v>
      </c>
      <c r="I3" s="4">
        <f>H3*G3</f>
        <v>8358.67</v>
      </c>
      <c r="J3" s="4">
        <f>_xll.RealtimeData(A3,"Last")</f>
        <v>288.45999999999998</v>
      </c>
      <c r="K3" s="5">
        <f>J3/D3-1</f>
        <v>8.2972448889564454E-2</v>
      </c>
      <c r="L3" s="8">
        <f>_xll.RealtimeData(A3,"Change in Percent")</f>
        <v>7.9797384033570759E-4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-4.8858774195053301E-2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1.97256787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5.4825959454290363E-2</v>
      </c>
      <c r="F4" s="5">
        <f>I4/$I$21</f>
        <v>0.22172766540782984</v>
      </c>
      <c r="G4" s="4">
        <f>_xll.RealtimeData(A4,"Close")</f>
        <v>82.73</v>
      </c>
      <c r="H4" s="4">
        <v>54</v>
      </c>
      <c r="I4" s="4">
        <f>H4*G4</f>
        <v>4467.42</v>
      </c>
      <c r="J4" s="4">
        <f>_xll.RealtimeData(A4,"Last")</f>
        <v>82.08</v>
      </c>
      <c r="K4" s="5">
        <f>J4/D4-1</f>
        <v>4.6538314420502269E-2</v>
      </c>
      <c r="L4" s="8">
        <f t="array" ref="L4">_xll.RealtimeData(A4,"Change in Percent")</f>
        <v>-7.8568838389943916E-3</v>
      </c>
      <c r="M4" s="29">
        <f>_xll.RealtimeData(A4,"Dividend Yield")</f>
        <v>0.48</v>
      </c>
      <c r="N4" s="4" t="str">
        <f t="shared" si="0"/>
        <v>IYR</v>
      </c>
      <c r="O4" s="5">
        <v>0.39300000000000002</v>
      </c>
      <c r="P4" s="60">
        <f t="shared" si="1"/>
        <v>0.17127233459217017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0.68694798999999995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-7.47216948038254E-3</v>
      </c>
      <c r="F5" s="5">
        <f>I5/$I$21</f>
        <v>0.21085226841265955</v>
      </c>
      <c r="G5" s="4">
        <f>_xll.RealtimeData(A5,"Close")</f>
        <v>121.38</v>
      </c>
      <c r="H5" s="4">
        <v>35</v>
      </c>
      <c r="I5" s="4">
        <f>H5*G5</f>
        <v>4248.3</v>
      </c>
      <c r="J5" s="31">
        <f>_xll.RealtimeData(A5,"Last")</f>
        <v>121.655</v>
      </c>
      <c r="K5" s="5">
        <f>J5/D5-1</f>
        <v>-5.2234863909699225E-3</v>
      </c>
      <c r="L5" s="8">
        <f t="array" ref="L5">_xll.RealtimeData(A5,"Change in Percent")</f>
        <v>2.2656121272038722E-3</v>
      </c>
      <c r="M5" s="29">
        <f>_xll.RealtimeData(A5,"Dividend Yield")</f>
        <v>2.71</v>
      </c>
      <c r="N5" s="4" t="str">
        <f t="shared" si="0"/>
        <v>TLT</v>
      </c>
      <c r="O5" s="5">
        <v>0</v>
      </c>
      <c r="P5" s="60">
        <f t="shared" si="1"/>
        <v>-0.21085226841265955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2.6971129500000002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39.26</v>
      </c>
      <c r="K6" s="5"/>
      <c r="L6" s="8">
        <f>_xll.RealtimeData(A6,"Change in Percent")</f>
        <v>3.3222591362124967E-3</v>
      </c>
      <c r="M6" s="29">
        <f>_xll.RealtimeData(A6,"Dividend Yield")</f>
        <v>3.65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-0.60759494000000003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57.78</v>
      </c>
      <c r="K7" s="5"/>
      <c r="L7" s="8">
        <f>_xll.RealtimeData(A7,"Change in Percent")</f>
        <v>6.4448702316670442E-3</v>
      </c>
      <c r="M7" s="29">
        <f>_xll.RealtimeData(A7,"Dividend Yield")</f>
        <v>1.6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-1.9181802699999999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113.16</v>
      </c>
      <c r="K8" s="5"/>
      <c r="L8" s="8">
        <f>_xll.RealtimeData(A8,"Change in Percent")</f>
        <v>1.2387188108299507E-3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-1.7196456499999999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45.1</v>
      </c>
      <c r="K9" s="5"/>
      <c r="L9" s="8">
        <f>_xll.RealtimeData(A9,"Change in Percent")</f>
        <v>3.1138790035587414E-3</v>
      </c>
      <c r="M9" s="29">
        <f>_xll.RealtimeData(A9,"Dividend Yield")</f>
        <v>4.7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-1.9347826100000001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43.1342</v>
      </c>
      <c r="K10" s="5"/>
      <c r="L10" s="8">
        <f t="array" ref="L10">_xll.RealtimeData(A10,"Change in Percent")</f>
        <v>4.5225896599907318E-3</v>
      </c>
      <c r="M10" s="29">
        <f>_xll.RealtimeData(A10,"Dividend Yield")</f>
        <v>1.34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-2.9820063000000001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102.80500000000001</v>
      </c>
      <c r="K11" s="5"/>
      <c r="L11" s="8">
        <f t="array" ref="L11">_xll.RealtimeData(A11,"Change in Percent")</f>
        <v>1.217374366965329E-3</v>
      </c>
      <c r="M11" s="29">
        <f>_xll.RealtimeData(A11,"Dividend Yield")</f>
        <v>2.21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1.4456285799999999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83.32</v>
      </c>
      <c r="L12" s="8">
        <f t="array" ref="L12">_xll.RealtimeData(A12,"Change in Percent")</f>
        <v>1.2003360941052586E-4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0.31302672999999998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1.0521553404599999</v>
      </c>
      <c r="V14" s="8">
        <f>U14*0.01</f>
        <v>1.0521553404599999E-2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0.99480252111475787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5.197478885242135E-3</v>
      </c>
      <c r="H21" s="2" t="s">
        <v>16</v>
      </c>
      <c r="I21" s="6">
        <f>SUM(I2:I20)</f>
        <v>20148.230000000003</v>
      </c>
      <c r="J21" t="s">
        <v>33</v>
      </c>
      <c r="K21" s="8">
        <f>SUMPRODUCT(K2:K7,F2:F7)</f>
        <v>3.7093779183344132E-2</v>
      </c>
      <c r="M21" t="s">
        <v>34</v>
      </c>
      <c r="N21" s="76">
        <f t="array" ref="N21">MMULT(TRANSPOSE(F2:F5),L2:L5)</f>
        <v>5.0798506866352937E-4</v>
      </c>
      <c r="P21" s="8">
        <f>SUMPRODUCT(L2:L12,O2:O12)</f>
        <v>-1.3949576385096059E-3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2.1866885335519613E-3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4.6913116907444645E-5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7.9797384033570759E-4</v>
      </c>
    </row>
    <row r="25" spans="5:16" x14ac:dyDescent="0.25">
      <c r="J25" t="s">
        <v>57</v>
      </c>
      <c r="K25" s="8">
        <f t="array" ref="K25">SUMPRODUCT(K22:K23,L22:L23)</f>
        <v>1.3307783668941547E-3</v>
      </c>
    </row>
    <row r="26" spans="5:16" x14ac:dyDescent="0.25">
      <c r="H26" t="s">
        <v>25</v>
      </c>
      <c r="I26" s="6">
        <f>SUM(I2:I18)</f>
        <v>20043.510000000002</v>
      </c>
      <c r="J26" t="s">
        <v>56</v>
      </c>
      <c r="K26" s="8">
        <f>_xll.RealtimeData(J26,"Change in Percent")</f>
        <v>-1.797625777275325E-3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2.4847069093548915E-3</v>
      </c>
    </row>
    <row r="28" spans="5:16" x14ac:dyDescent="0.25">
      <c r="J28" t="s">
        <v>64</v>
      </c>
      <c r="K28" s="8">
        <f>SUMPRODUCT(F2:F7,M2:M7)*0.01</f>
        <v>1.4162875448612607E-2</v>
      </c>
      <c r="L28" t="s">
        <v>65</v>
      </c>
      <c r="M28" s="8">
        <f>AVERAGE(M2:M11)*0.01</f>
        <v>2.0522222222222219E-2</v>
      </c>
    </row>
    <row r="29" spans="5:16" ht="15.75" thickBot="1" x14ac:dyDescent="0.3"/>
    <row r="30" spans="5:16" ht="15.75" thickBot="1" x14ac:dyDescent="0.3">
      <c r="H30" s="30">
        <v>43333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5.0798506866352937E-4</v>
      </c>
      <c r="J31" s="21">
        <f>LOOKUP(2,1/(Daily!E:E&lt;&gt;""),Daily!E:E)</f>
        <v>-1.2442163766633874E-3</v>
      </c>
      <c r="K31" s="22">
        <f>VLOOKUP($H$30,Daily!$A:$AF,7,0)</f>
        <v>1.5108553049220097E-2</v>
      </c>
      <c r="L31" s="23">
        <f>VLOOKUP($H$30,Daily!$A:$AF,8,0)</f>
        <v>7.4120000000004183E-3</v>
      </c>
    </row>
    <row r="32" spans="5:16" x14ac:dyDescent="0.25">
      <c r="H32" s="19" t="s">
        <v>59</v>
      </c>
      <c r="I32" s="24">
        <f>$K$25</f>
        <v>1.3307783668941547E-3</v>
      </c>
      <c r="J32" s="24">
        <f>LOOKUP(2,1/(Daily!M:M&lt;&gt;""),Daily!M:M)</f>
        <v>2.4635540725649551E-3</v>
      </c>
      <c r="K32" s="14">
        <f>VLOOKUP($H$30,Daily!$A:$AF,25,0)</f>
        <v>1.922630271413861E-2</v>
      </c>
      <c r="L32" s="25">
        <f>VLOOKUP($H$30,Daily!$A:$AF,31,0)</f>
        <v>1.3374788279624239E-2</v>
      </c>
    </row>
    <row r="33" spans="8:18" x14ac:dyDescent="0.25">
      <c r="H33" s="19" t="s">
        <v>60</v>
      </c>
      <c r="I33" s="24">
        <f>$K$24</f>
        <v>7.9797384033570759E-4</v>
      </c>
      <c r="J33" s="24">
        <f>LOOKUP(2,1/(Daily!L:L&lt;&gt;""),Daily!L:L)</f>
        <v>1.7029262528671651E-3</v>
      </c>
      <c r="K33" s="14">
        <f>VLOOKUP($H$30,Daily!$A:$AF,24,0)</f>
        <v>5.5594213514008395E-2</v>
      </c>
      <c r="L33" s="25">
        <f>VLOOKUP($H$30,Daily!$A:$AF,30,0)</f>
        <v>8.2407849871418914E-2</v>
      </c>
    </row>
    <row r="34" spans="8:18" ht="15.75" thickBot="1" x14ac:dyDescent="0.3">
      <c r="H34" s="20" t="s">
        <v>56</v>
      </c>
      <c r="I34" s="26">
        <f>$K$26</f>
        <v>-1.797625777275325E-3</v>
      </c>
      <c r="J34" s="26">
        <f>LOOKUP(2,1/(Daily!N:N&lt;&gt;""),Daily!N:N)</f>
        <v>5.2564284699532227E-3</v>
      </c>
      <c r="K34" s="27">
        <f>VLOOKUP($H$30,Daily!$A:$AF,26,0)</f>
        <v>1.6666666666667274E-2</v>
      </c>
      <c r="L34" s="28">
        <f>VLOOKUP($H$30,Daily!$A:$AF,32,0)</f>
        <v>2.5937694075450768E-2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1.0524754257019792E-4</v>
      </c>
      <c r="J37" s="44"/>
      <c r="K37" s="22"/>
      <c r="L37" s="39"/>
      <c r="M37" s="50"/>
      <c r="N37" s="38">
        <f>AVERAGE(Daily!J$3:J380)</f>
        <v>2.2494087435983334E-4</v>
      </c>
      <c r="O37" s="22">
        <f>AVERAGE(Daily!K$3:K380)</f>
        <v>9.9254763517865288E-5</v>
      </c>
      <c r="P37" s="22">
        <f>AVERAGE(Daily!L$3:L380)</f>
        <v>1.0193796447430213E-3</v>
      </c>
      <c r="Q37" s="22">
        <f>AVERAGE(Daily!M$3:M380)</f>
        <v>1.7466643002304611E-4</v>
      </c>
      <c r="R37" s="23">
        <f>AVERAGE(Daily!N$3:N380)</f>
        <v>3.5632144954084887E-4</v>
      </c>
    </row>
    <row r="38" spans="8:18" x14ac:dyDescent="0.25">
      <c r="H38" s="56" t="s">
        <v>73</v>
      </c>
      <c r="I38" s="47">
        <f>STDEV(Daily!E$3:E380)</f>
        <v>4.8804353038254325E-3</v>
      </c>
      <c r="J38" s="45"/>
      <c r="K38" s="14"/>
      <c r="L38" s="32"/>
      <c r="M38" s="51"/>
      <c r="N38" s="40">
        <f>STDEV(Daily!J$3:J380)</f>
        <v>6.2113505778144317E-3</v>
      </c>
      <c r="O38" s="14">
        <f>STDEV(Daily!K$3:K380)</f>
        <v>1.7269423448777893E-3</v>
      </c>
      <c r="P38" s="14">
        <f>STDEV(Daily!L$3:L380)</f>
        <v>5.7794999014899248E-3</v>
      </c>
      <c r="Q38" s="14">
        <f>STDEV(Daily!M$3:M380)</f>
        <v>3.6196618514390904E-3</v>
      </c>
      <c r="R38" s="25">
        <f>STDEV(Daily!N$3:N380)</f>
        <v>8.0688820006997938E-3</v>
      </c>
    </row>
    <row r="39" spans="8:18" x14ac:dyDescent="0.25">
      <c r="H39" s="56" t="s">
        <v>74</v>
      </c>
      <c r="I39" s="48">
        <f>COUNTIF(Daily!E$3:E380,"&gt;0")</f>
        <v>45</v>
      </c>
      <c r="J39" s="45"/>
      <c r="K39" s="14"/>
      <c r="L39" s="32"/>
      <c r="M39" s="51"/>
      <c r="N39" s="41">
        <f>COUNTIF(Daily!J$3:J380,"&gt;0")</f>
        <v>41</v>
      </c>
      <c r="O39" s="33">
        <f>COUNTIF(Daily!K$3:K380,"&gt;0")</f>
        <v>42</v>
      </c>
      <c r="P39" s="33">
        <f>COUNTIF(Daily!L$3:L380,"&gt;0")</f>
        <v>46</v>
      </c>
      <c r="Q39" s="33">
        <f>COUNTIF(Daily!M$3:M380,"&gt;0")</f>
        <v>43</v>
      </c>
      <c r="R39" s="35">
        <f>COUNTIF(Daily!N$3:N380,"&gt;0")</f>
        <v>45</v>
      </c>
    </row>
    <row r="40" spans="8:18" x14ac:dyDescent="0.25">
      <c r="H40" s="56" t="s">
        <v>80</v>
      </c>
      <c r="I40" s="47">
        <f>SUMIF(Daily!E$3:E380,"&gt;0")</f>
        <v>0.14819461808406653</v>
      </c>
      <c r="J40" s="45"/>
      <c r="K40" s="14"/>
      <c r="L40" s="32"/>
      <c r="M40" s="51"/>
      <c r="N40" s="40">
        <f>SUMIF(Daily!J$3:J380,"&gt;0")</f>
        <v>0.20062561164041459</v>
      </c>
      <c r="O40" s="14">
        <f>SUMIF(Daily!K$3:K380,"&gt;0")</f>
        <v>5.6572493231464627E-2</v>
      </c>
      <c r="P40" s="14">
        <f>SUMIF(Daily!L$3:L380,"&gt;0")</f>
        <v>0.22413233793077042</v>
      </c>
      <c r="Q40" s="14">
        <f>SUMIF(Daily!M$3:M380,"&gt;0")</f>
        <v>0.11878996988644362</v>
      </c>
      <c r="R40" s="25">
        <f>SUMIF(Daily!N$3:N380,"&gt;0")</f>
        <v>0.26622775965880752</v>
      </c>
    </row>
    <row r="41" spans="8:18" x14ac:dyDescent="0.25">
      <c r="H41" s="56" t="s">
        <v>81</v>
      </c>
      <c r="I41" s="47">
        <f>SUMIF(Daily!E$3:E380,"&lt;0")</f>
        <v>-0.1398800622210209</v>
      </c>
      <c r="J41" s="45"/>
      <c r="K41" s="14"/>
      <c r="L41" s="32"/>
      <c r="M41" s="51"/>
      <c r="N41" s="40">
        <f>SUMIF(Daily!J$3:J380,"&lt;0")</f>
        <v>-0.18285528256598776</v>
      </c>
      <c r="O41" s="14">
        <f>SUMIF(Daily!K$3:K380,"&lt;0")</f>
        <v>-4.8731366913553273E-2</v>
      </c>
      <c r="P41" s="14">
        <f>SUMIF(Daily!L$3:L380,"&lt;0")</f>
        <v>-0.14360134599607172</v>
      </c>
      <c r="Q41" s="14">
        <f>SUMIF(Daily!M$3:M380,"&lt;0")</f>
        <v>-0.104991321914623</v>
      </c>
      <c r="R41" s="25">
        <f>SUMIF(Daily!N$3:N380,"&lt;0")</f>
        <v>-0.23807836514508046</v>
      </c>
    </row>
    <row r="42" spans="8:18" x14ac:dyDescent="0.25">
      <c r="H42" s="56" t="s">
        <v>75</v>
      </c>
      <c r="I42" s="48">
        <f>COUNT(Daily!E$3:E380)</f>
        <v>79</v>
      </c>
      <c r="J42" s="45"/>
      <c r="K42" s="14"/>
      <c r="L42" s="32"/>
      <c r="M42" s="51"/>
      <c r="N42" s="41">
        <f>COUNT(Daily!J$3:J380)</f>
        <v>79</v>
      </c>
      <c r="O42" s="33">
        <f>COUNT(Daily!K$3:K380)</f>
        <v>79</v>
      </c>
      <c r="P42" s="33">
        <f>COUNT(Daily!L$3:L380)</f>
        <v>79</v>
      </c>
      <c r="Q42" s="33">
        <f>COUNT(Daily!M$3:M380)</f>
        <v>79</v>
      </c>
      <c r="R42" s="35">
        <f>COUNT(Daily!N$3:N380)</f>
        <v>79</v>
      </c>
    </row>
    <row r="43" spans="8:18" x14ac:dyDescent="0.25">
      <c r="H43" s="56" t="s">
        <v>76</v>
      </c>
      <c r="I43" s="48">
        <f>I42-I39</f>
        <v>34</v>
      </c>
      <c r="J43" s="45"/>
      <c r="K43" s="14"/>
      <c r="L43" s="32"/>
      <c r="M43" s="51"/>
      <c r="N43" s="41">
        <f>N42-N39</f>
        <v>38</v>
      </c>
      <c r="O43" s="33">
        <f>O42-O39</f>
        <v>37</v>
      </c>
      <c r="P43" s="33">
        <f>P42-P39</f>
        <v>33</v>
      </c>
      <c r="Q43" s="33">
        <f>Q42-Q39</f>
        <v>36</v>
      </c>
      <c r="R43" s="35">
        <f>R42-R39</f>
        <v>34</v>
      </c>
    </row>
    <row r="44" spans="8:18" x14ac:dyDescent="0.25">
      <c r="H44" s="56" t="s">
        <v>78</v>
      </c>
      <c r="I44" s="49">
        <f>(I40/I41)*(I39/I43)*-1</f>
        <v>1.4022008039257525</v>
      </c>
      <c r="J44" s="45"/>
      <c r="K44" s="14"/>
      <c r="L44" s="32"/>
      <c r="M44" s="51"/>
      <c r="N44" s="42">
        <f>(N40/N41)*(N39/N43)*-1</f>
        <v>1.1838021449512841</v>
      </c>
      <c r="O44" s="34">
        <f>(O40/O41)*(O39/O43)*-1</f>
        <v>1.3177841874033258</v>
      </c>
      <c r="P44" s="34">
        <f>(P40/P41)*(P39/P43)*-1</f>
        <v>2.1756543654262415</v>
      </c>
      <c r="Q44" s="34">
        <f>(Q40/Q41)*(Q39/Q43)*-1</f>
        <v>1.3514261655069564</v>
      </c>
      <c r="R44" s="36">
        <f>(R40/R41)*(R39/R43)*-1</f>
        <v>1.4800180181090177</v>
      </c>
    </row>
    <row r="45" spans="8:18" x14ac:dyDescent="0.25">
      <c r="H45" s="61" t="s">
        <v>77</v>
      </c>
      <c r="I45" s="62">
        <f>I39/I42</f>
        <v>0.569620253164557</v>
      </c>
      <c r="J45" s="63"/>
      <c r="K45" s="64"/>
      <c r="L45" s="65"/>
      <c r="M45" s="66"/>
      <c r="N45" s="67">
        <f>N39/N42</f>
        <v>0.51898734177215189</v>
      </c>
      <c r="O45" s="64">
        <f>O39/O42</f>
        <v>0.53164556962025311</v>
      </c>
      <c r="P45" s="64">
        <f>P39/P42</f>
        <v>0.58227848101265822</v>
      </c>
      <c r="Q45" s="64">
        <f>Q39/Q42</f>
        <v>0.54430379746835444</v>
      </c>
      <c r="R45" s="68">
        <f>R39/R42</f>
        <v>0.569620253164557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81"/>
  <sheetViews>
    <sheetView zoomScale="80" zoomScaleNormal="8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L91" sqref="L91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81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40">D79/D78-1</f>
        <v>4.23365755257743E-3</v>
      </c>
      <c r="F79" s="10">
        <f t="shared" ref="F79" si="1441">F78*(1+E79)</f>
        <v>100.56195000000004</v>
      </c>
      <c r="G79" s="5">
        <f t="shared" ref="G79" si="1442">F79/F$45-1</f>
        <v>1.3302358482011334E-2</v>
      </c>
      <c r="H79" s="8">
        <f t="shared" ref="H79" si="1443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4">0.6*J79 + 0.4*K79</f>
        <v>2.966807160501217E-3</v>
      </c>
      <c r="N79" s="11">
        <f>VLOOKUP($A79,Prices!$A:$J,MATCH(N$1,Prices!$1:$1,0),0)</f>
        <v>1.4543339150669077E-2</v>
      </c>
      <c r="P79" s="10">
        <f t="shared" ref="P79" si="1445">P78*(1+J79)</f>
        <v>100.79209476116759</v>
      </c>
      <c r="Q79" s="10">
        <f t="shared" ref="Q79" si="1446">Q78*(1+K79)</f>
        <v>100.66197501656086</v>
      </c>
      <c r="R79" s="10">
        <f t="shared" ref="R79" si="1447">R78*(1+L79)</f>
        <v>107.79389696669051</v>
      </c>
      <c r="S79" s="10">
        <f t="shared" ref="S79" si="1448">S78*(1+M79)</f>
        <v>100.78390690152811</v>
      </c>
      <c r="T79" s="10">
        <f t="shared" ref="T79" si="1449">T78*(1+N79)</f>
        <v>101.14388572456676</v>
      </c>
      <c r="V79" s="5">
        <f t="shared" ref="V79" si="1450">P79/P$45-1</f>
        <v>2.0247469066367207E-2</v>
      </c>
      <c r="W79" s="5">
        <f t="shared" ref="W79" si="1451">Q79/Q$45-1</f>
        <v>3.4800378543651256E-3</v>
      </c>
      <c r="X79" s="5">
        <f t="shared" ref="X79" si="1452">R79/R$45-1</f>
        <v>5.1236037355795627E-2</v>
      </c>
      <c r="Y79" s="5">
        <f t="shared" ref="Y79" si="1453">S79/S$45-1</f>
        <v>1.3658618631294583E-2</v>
      </c>
      <c r="Z79" s="5">
        <f t="shared" ref="Z79" si="1454">T79/T$45-1</f>
        <v>2.2988505747130183E-3</v>
      </c>
      <c r="AB79" s="8">
        <f t="shared" ref="AB79" si="1455">P79/$P$2-1</f>
        <v>7.9209476116759436E-3</v>
      </c>
      <c r="AC79" s="8">
        <f t="shared" ref="AC79" si="1456">Q79/$P$2-1</f>
        <v>6.6197501656086732E-3</v>
      </c>
      <c r="AD79" s="8">
        <f t="shared" ref="AD79" si="1457">R79/$P$2-1</f>
        <v>7.7938969666905056E-2</v>
      </c>
      <c r="AE79" s="8">
        <f t="shared" ref="AE79" si="1458">S79/$P$2-1</f>
        <v>7.839069015281197E-3</v>
      </c>
      <c r="AF79" s="8">
        <f t="shared" ref="AF79" si="1459">T79/$T$2-1</f>
        <v>1.1438857245667622E-2</v>
      </c>
      <c r="AI79" s="8">
        <f t="shared" ref="AI79" si="1460">MIN(0,(F79-MAX(F50:F79))/MAX(F50:F79))</f>
        <v>0</v>
      </c>
      <c r="AJ79" s="8">
        <f t="shared" ref="AJ79" si="1461">MIN(0,(P79-MAX(P50:P79))/MAX(P50:P79))</f>
        <v>-1.7866811044937106E-2</v>
      </c>
      <c r="AK79" s="8">
        <f t="shared" ref="AK79" si="1462">MIN(0,(Q79-MAX(Q50:Q79))/MAX(Q50:Q79))</f>
        <v>-4.6943948925031159E-4</v>
      </c>
      <c r="AL79" s="8">
        <f t="shared" ref="AL79" si="1463">MIN(0,(R79-MAX(R50:R79))/MAX(R50:R79))</f>
        <v>-1.4958082582529537E-3</v>
      </c>
      <c r="AM79" s="8">
        <f t="shared" ref="AM79" si="1464">MIN(0,(S79-MAX(S50:S79))/MAX(S50:S79))</f>
        <v>-9.1954536344948917E-3</v>
      </c>
      <c r="AN79" s="8">
        <f t="shared" ref="AN79" si="1465">MIN(0,(T79-MAX(T50:T79))/MAX(T50:T79))</f>
        <v>-2.5153717160424725E-2</v>
      </c>
    </row>
    <row r="80" spans="1:40" x14ac:dyDescent="0.25">
      <c r="A80" s="9">
        <v>43332</v>
      </c>
      <c r="B80" s="4">
        <f t="shared" si="812"/>
        <v>20068.62</v>
      </c>
      <c r="C80" s="4">
        <v>104.72</v>
      </c>
      <c r="D80" s="4">
        <f>20175.06-1.72</f>
        <v>20173.34</v>
      </c>
      <c r="E80" s="5">
        <f t="shared" ref="E80" si="1466">D80/D79-1</f>
        <v>3.0304702723047416E-3</v>
      </c>
      <c r="F80" s="10">
        <f t="shared" ref="F80" si="1467">F79*(1+E80)</f>
        <v>100.86670000000004</v>
      </c>
      <c r="G80" s="5">
        <f t="shared" ref="G80" si="1468">F80/F$45-1</f>
        <v>1.6373141156247328E-2</v>
      </c>
      <c r="H80" s="8">
        <f t="shared" ref="H80" si="1469">F80/$F$2-1</f>
        <v>8.6670000000004244E-3</v>
      </c>
      <c r="J80" s="11">
        <f>VLOOKUP($A80,Prices!$A:$J,MATCH(J$1,Prices!$1:$1,0),0)</f>
        <v>3.7210584343989606E-3</v>
      </c>
      <c r="K80" s="11">
        <f>VLOOKUP($A80,Prices!$A:$J,MATCH(K$1,Prices!$1:$1,0),0)</f>
        <v>1.9725718579748364E-3</v>
      </c>
      <c r="L80" s="11">
        <f>VLOOKUP($A80,Prices!$A:$J,MATCH(L$1,Prices!$1:$1,0),0)</f>
        <v>2.4386845039019445E-3</v>
      </c>
      <c r="M80" s="11">
        <f t="shared" ref="M80" si="1470">0.6*J80 + 0.4*K80</f>
        <v>3.0216638038293108E-3</v>
      </c>
      <c r="N80" s="11">
        <f>VLOOKUP($A80,Prices!$A:$J,MATCH(N$1,Prices!$1:$1,0),0)</f>
        <v>9.0309633027523262E-3</v>
      </c>
      <c r="P80" s="10">
        <f t="shared" ref="P80" si="1471">P79*(1+J80)</f>
        <v>101.16714803549937</v>
      </c>
      <c r="Q80" s="10">
        <f t="shared" ref="Q80" si="1472">Q79*(1+K80)</f>
        <v>100.86053799564669</v>
      </c>
      <c r="R80" s="10">
        <f t="shared" ref="R80" si="1473">R79*(1+L80)</f>
        <v>108.05677227283839</v>
      </c>
      <c r="S80" s="10">
        <f t="shared" ref="S80" si="1474">S79*(1+M80)</f>
        <v>101.08844198502098</v>
      </c>
      <c r="T80" s="10">
        <f t="shared" ref="T80" si="1475">T79*(1+N80)</f>
        <v>102.05731244484309</v>
      </c>
      <c r="V80" s="5">
        <f t="shared" ref="V80" si="1476">P80/P$45-1</f>
        <v>2.4043869516310767E-2</v>
      </c>
      <c r="W80" s="5">
        <f t="shared" ref="W80" si="1477">Q80/Q$45-1</f>
        <v>5.4594743370763865E-3</v>
      </c>
      <c r="X80" s="5">
        <f t="shared" ref="X80" si="1478">R80/R$45-1</f>
        <v>5.3799670390038523E-2</v>
      </c>
      <c r="Y80" s="5">
        <f t="shared" ref="Y80" si="1479">S80/S$45-1</f>
        <v>1.672155418865251E-2</v>
      </c>
      <c r="Z80" s="5">
        <f t="shared" ref="Z80" si="1480">T80/T$45-1</f>
        <v>1.1350574712644113E-2</v>
      </c>
      <c r="AB80" s="8">
        <f t="shared" ref="AB80" si="1481">P80/$P$2-1</f>
        <v>1.1671480354993768E-2</v>
      </c>
      <c r="AC80" s="8">
        <f t="shared" ref="AC80" si="1482">Q80/$P$2-1</f>
        <v>8.6053799564669298E-3</v>
      </c>
      <c r="AD80" s="8">
        <f t="shared" ref="AD80" si="1483">R80/$P$2-1</f>
        <v>8.0567722728383862E-2</v>
      </c>
      <c r="AE80" s="8">
        <f t="shared" ref="AE80" si="1484">S80/$P$2-1</f>
        <v>1.0884419850209825E-2</v>
      </c>
      <c r="AF80" s="8">
        <f t="shared" ref="AF80" si="1485">T80/$T$2-1</f>
        <v>2.0573124448430846E-2</v>
      </c>
      <c r="AI80" s="8">
        <f t="shared" ref="AI80" si="1486">MIN(0,(F80-MAX(F51:F80))/MAX(F51:F80))</f>
        <v>0</v>
      </c>
      <c r="AJ80" s="8">
        <f t="shared" ref="AJ80" si="1487">MIN(0,(P80-MAX(P51:P80))/MAX(P51:P80))</f>
        <v>-1.4212236058472777E-2</v>
      </c>
      <c r="AK80" s="8">
        <f t="shared" ref="AK80" si="1488">MIN(0,(Q80-MAX(Q51:Q80))/MAX(Q51:Q80))</f>
        <v>0</v>
      </c>
      <c r="AL80" s="8">
        <f t="shared" ref="AL80" si="1489">MIN(0,(R80-MAX(R51:R80))/MAX(R51:R80))</f>
        <v>0</v>
      </c>
      <c r="AM80" s="8">
        <f t="shared" ref="AM80" si="1490">MIN(0,(S80-MAX(S51:S80))/MAX(S51:S80))</f>
        <v>-6.2015754000725775E-3</v>
      </c>
      <c r="AN80" s="8">
        <f t="shared" ref="AN80" si="1491">MIN(0,(T80-MAX(T51:T80))/MAX(T51:T80))</f>
        <v>-1.6349916154276035E-2</v>
      </c>
    </row>
    <row r="81" spans="1:40" x14ac:dyDescent="0.25">
      <c r="A81" s="9">
        <v>43333</v>
      </c>
      <c r="B81" s="4">
        <f t="shared" si="812"/>
        <v>20043.52</v>
      </c>
      <c r="C81" s="4">
        <v>104.72</v>
      </c>
      <c r="D81" s="4">
        <f>20138.34+9.9</f>
        <v>20148.240000000002</v>
      </c>
      <c r="E81" s="5">
        <f t="shared" ref="E81" si="1492">D81/D80-1</f>
        <v>-1.2442163766633874E-3</v>
      </c>
      <c r="F81" s="10">
        <f t="shared" ref="F81" si="1493">F80*(1+E81)</f>
        <v>100.74120000000005</v>
      </c>
      <c r="G81" s="5">
        <f t="shared" ref="G81" si="1494">F81/F$45-1</f>
        <v>1.5108553049220097E-2</v>
      </c>
      <c r="H81" s="8">
        <f t="shared" ref="H81" si="1495">F81/$F$2-1</f>
        <v>7.4120000000004183E-3</v>
      </c>
      <c r="J81" s="11">
        <f>VLOOKUP($A81,Prices!$A:$J,MATCH(J$1,Prices!$1:$1,0),0)</f>
        <v>4.6684058766992553E-3</v>
      </c>
      <c r="K81" s="11">
        <f>VLOOKUP($A81,Prices!$A:$J,MATCH(K$1,Prices!$1:$1,0),0)</f>
        <v>-8.4372363363649505E-4</v>
      </c>
      <c r="L81" s="11">
        <f>VLOOKUP($A81,Prices!$A:$J,MATCH(L$1,Prices!$1:$1,0),0)</f>
        <v>1.7029262528671651E-3</v>
      </c>
      <c r="M81" s="11">
        <f t="shared" ref="M81" si="1496">0.6*J81 + 0.4*K81</f>
        <v>2.4635540725649551E-3</v>
      </c>
      <c r="N81" s="11">
        <f>VLOOKUP($A81,Prices!$A:$J,MATCH(N$1,Prices!$1:$1,0),0)</f>
        <v>5.2564284699532227E-3</v>
      </c>
      <c r="P81" s="10">
        <f t="shared" ref="P81" si="1497">P80*(1+J81)</f>
        <v>101.63943734391719</v>
      </c>
      <c r="Q81" s="10">
        <f t="shared" ref="Q81" si="1498">Q80*(1+K81)</f>
        <v>100.77543957603848</v>
      </c>
      <c r="R81" s="10">
        <f t="shared" ref="R81" si="1499">R80*(1+L81)</f>
        <v>108.24078498714189</v>
      </c>
      <c r="S81" s="10">
        <f t="shared" ref="S81" si="1500">S80*(1+M81)</f>
        <v>101.33747882796243</v>
      </c>
      <c r="T81" s="10">
        <f t="shared" ref="T81" si="1501">T80*(1+N81)</f>
        <v>102.59376940754508</v>
      </c>
      <c r="V81" s="5">
        <f t="shared" ref="V81" si="1502">P81/P$45-1</f>
        <v>2.8824521934758485E-2</v>
      </c>
      <c r="W81" s="5">
        <f t="shared" ref="W81" si="1503">Q81/Q$45-1</f>
        <v>4.611144415914481E-3</v>
      </c>
      <c r="X81" s="5">
        <f t="shared" ref="X81" si="1504">R81/R$45-1</f>
        <v>5.5594213514008395E-2</v>
      </c>
      <c r="Y81" s="5">
        <f t="shared" ref="Y81" si="1505">S81/S$45-1</f>
        <v>1.922630271413861E-2</v>
      </c>
      <c r="Z81" s="5">
        <f t="shared" ref="Z81" si="1506">T81/T$45-1</f>
        <v>1.6666666666667274E-2</v>
      </c>
      <c r="AB81" s="8">
        <f t="shared" ref="AB81" si="1507">P81/$P$2-1</f>
        <v>1.639437343917205E-2</v>
      </c>
      <c r="AC81" s="8">
        <f t="shared" ref="AC81" si="1508">Q81/$P$2-1</f>
        <v>7.7543957603847247E-3</v>
      </c>
      <c r="AD81" s="8">
        <f t="shared" ref="AD81" si="1509">R81/$P$2-1</f>
        <v>8.2407849871418914E-2</v>
      </c>
      <c r="AE81" s="8">
        <f t="shared" ref="AE81" si="1510">S81/$P$2-1</f>
        <v>1.3374788279624239E-2</v>
      </c>
      <c r="AF81" s="8">
        <f t="shared" ref="AF81" si="1511">T81/$T$2-1</f>
        <v>2.5937694075450768E-2</v>
      </c>
      <c r="AI81" s="8">
        <f t="shared" ref="AI81" si="1512">MIN(0,(F81-MAX(F52:F81))/MAX(F52:F81))</f>
        <v>-1.2442163766633401E-3</v>
      </c>
      <c r="AJ81" s="8">
        <f t="shared" ref="AJ81" si="1513">MIN(0,(P81-MAX(P52:P81))/MAX(P52:P81))</f>
        <v>-9.6101786681099394E-3</v>
      </c>
      <c r="AK81" s="8">
        <f t="shared" ref="AK81" si="1514">MIN(0,(Q81-MAX(Q52:Q81))/MAX(Q52:Q81))</f>
        <v>-8.4372363363645916E-4</v>
      </c>
      <c r="AL81" s="8">
        <f t="shared" ref="AL81" si="1515">MIN(0,(R81-MAX(R52:R81))/MAX(R52:R81))</f>
        <v>0</v>
      </c>
      <c r="AM81" s="8">
        <f t="shared" ref="AM81" si="1516">MIN(0,(S81-MAX(S52:S81))/MAX(S52:S81))</f>
        <v>-3.7532992438407348E-3</v>
      </c>
      <c r="AN81" s="8">
        <f t="shared" ref="AN81" si="1517">MIN(0,(T81-MAX(T52:T81))/MAX(T52:T81))</f>
        <v>-6.1797752808986387E-3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1" zoomScale="90" zoomScaleNormal="90" workbookViewId="0">
      <selection activeCell="A83" sqref="A83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1:10" x14ac:dyDescent="0.25">
      <c r="A81" s="13">
        <v>43332</v>
      </c>
      <c r="B81">
        <f t="array" ref="B81">_xll.HistoricalData(B$1,"Adj. Close",$A81,$A81,"Daily","RemoveHeaders = True","ReverseOrder =True","RemoveDates =""True")</f>
        <v>72.83</v>
      </c>
      <c r="C81">
        <f t="array" ref="C81">_xll.HistoricalData(C$1,"Adj. Close",$A81,$A81,"Daily","RemoveHeaders = True","ReverseOrder =True","RemoveDates =""True")</f>
        <v>106.67</v>
      </c>
      <c r="D81">
        <f t="array" ref="D81">_xll.HistoricalData(D$1,"Adj. Close",$A81,$A81,"Daily","RemoveHeaders = True","ReverseOrder =True","RemoveDates =""True")</f>
        <v>287.74</v>
      </c>
      <c r="E81">
        <f t="array" ref="E81">_xll.HistoricalData(E$1,"Adj. Close",$A81,$A81,"Daily","RemoveHeaders = True","ReverseOrder =True","RemoveDates =""True")</f>
        <v>17.5975</v>
      </c>
      <c r="G81" s="5">
        <f t="shared" si="224"/>
        <v>3.7210584343989606E-3</v>
      </c>
      <c r="H81" s="5">
        <f t="shared" si="225"/>
        <v>1.9725718579748364E-3</v>
      </c>
      <c r="I81" s="5">
        <f t="shared" si="226"/>
        <v>2.4386845039019445E-3</v>
      </c>
      <c r="J81" s="5">
        <f t="shared" si="227"/>
        <v>9.0309633027523262E-3</v>
      </c>
    </row>
    <row r="82" spans="1:10" x14ac:dyDescent="0.25">
      <c r="A82" s="13">
        <v>43333</v>
      </c>
      <c r="B82">
        <f t="array" ref="B82">_xll.HistoricalData(B$1,"Adj. Close",$A82,$A82,"Daily","RemoveHeaders = True","ReverseOrder =True","RemoveDates =""True")</f>
        <v>73.17</v>
      </c>
      <c r="C82">
        <f t="array" ref="C82">_xll.HistoricalData(C$1,"Adj. Close",$A82,$A82,"Daily","RemoveHeaders = True","ReverseOrder =True","RemoveDates =""True")</f>
        <v>106.58</v>
      </c>
      <c r="D82">
        <f t="array" ref="D82">_xll.HistoricalData(D$1,"Adj. Close",$A82,$A82,"Daily","RemoveHeaders = True","ReverseOrder =True","RemoveDates =""True")</f>
        <v>288.23</v>
      </c>
      <c r="E82">
        <f t="array" ref="E82">_xll.HistoricalData(E$1,"Adj. Close",$A82,$A82,"Daily","RemoveHeaders = True","ReverseOrder =True","RemoveDates =""True")</f>
        <v>17.690000000000001</v>
      </c>
      <c r="G82" s="5">
        <f t="shared" si="224"/>
        <v>4.6684058766992553E-3</v>
      </c>
      <c r="H82" s="5">
        <f t="shared" si="225"/>
        <v>-8.4372363363649505E-4</v>
      </c>
      <c r="I82" s="5">
        <f t="shared" si="226"/>
        <v>1.7029262528671651E-3</v>
      </c>
      <c r="J82" s="5">
        <f t="shared" si="227"/>
        <v>5.2564284699532227E-3</v>
      </c>
    </row>
    <row r="83" spans="1:10" x14ac:dyDescent="0.25">
      <c r="B83" t="str">
        <f t="array" ref="B83">_xll.HistoricalData(B$1,"Adj. Close",$A83,$A83,"Daily","RemoveHeaders = True","ReverseOrder =True","RemoveDates =""True")</f>
        <v>--</v>
      </c>
      <c r="C83" t="str">
        <f t="array" ref="C83">_xll.HistoricalData(C$1,"Adj. Close",$A83,$A83,"Daily","RemoveHeaders = True","ReverseOrder =True","RemoveDates =""True")</f>
        <v>--</v>
      </c>
      <c r="D83" t="str">
        <f t="array" ref="D83">_xll.HistoricalData(D$1,"Adj. Close",$A83,$A83,"Daily","RemoveHeaders = True","ReverseOrder =True","RemoveDates =""True")</f>
        <v>--</v>
      </c>
      <c r="E83" t="str">
        <f t="array" ref="E83">_xll.HistoricalData(E$1,"Adj. Close",$A83,$A83,"Daily","RemoveHeaders = True","ReverseOrder =True","RemoveDates =""True")</f>
        <v>--</v>
      </c>
      <c r="G83" s="5" t="e">
        <f t="shared" si="224"/>
        <v>#VALUE!</v>
      </c>
      <c r="H83" s="5" t="e">
        <f t="shared" si="225"/>
        <v>#VALUE!</v>
      </c>
      <c r="I83" s="5" t="e">
        <f t="shared" si="226"/>
        <v>#VALUE!</v>
      </c>
      <c r="J83" s="5" t="e">
        <f t="shared" si="227"/>
        <v>#VALUE!</v>
      </c>
    </row>
    <row r="84" spans="1:10" x14ac:dyDescent="0.25">
      <c r="B84" t="str">
        <f t="array" ref="B84">_xll.HistoricalData(B$1,"Adj. Close",$A84,$A84,"Daily","RemoveHeaders = True","ReverseOrder =True","RemoveDates =""True")</f>
        <v>--</v>
      </c>
      <c r="C84" t="str">
        <f t="array" ref="C84">_xll.HistoricalData(C$1,"Adj. Close",$A84,$A84,"Daily","RemoveHeaders = True","ReverseOrder =True","RemoveDates =""True")</f>
        <v>--</v>
      </c>
      <c r="D84" t="str">
        <f t="array" ref="D84">_xll.HistoricalData(D$1,"Adj. Close",$A84,$A84,"Daily","RemoveHeaders = True","ReverseOrder =True","RemoveDates =""True")</f>
        <v>--</v>
      </c>
      <c r="E84" t="str">
        <f t="array" ref="E84">_xll.HistoricalData(E$1,"Adj. Close",$A84,$A84,"Daily","RemoveHeaders = True","ReverseOrder =True","RemoveDates =""True")</f>
        <v>--</v>
      </c>
      <c r="G84" s="5" t="e">
        <f t="shared" si="224"/>
        <v>#VALUE!</v>
      </c>
      <c r="H84" s="5" t="e">
        <f t="shared" si="225"/>
        <v>#VALUE!</v>
      </c>
      <c r="I84" s="5" t="e">
        <f t="shared" si="226"/>
        <v>#VALUE!</v>
      </c>
      <c r="J84" s="5" t="e">
        <f t="shared" si="227"/>
        <v>#VALUE!</v>
      </c>
    </row>
    <row r="85" spans="1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1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1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21" workbookViewId="0">
      <selection activeCell="P20" sqref="P20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0.99282954691070213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359.19</v>
      </c>
      <c r="D5">
        <f>ROUNDDOWN(($C$2/6)/B5,0)</f>
        <v>35</v>
      </c>
      <c r="E5" s="8">
        <f>C5/B5-1</f>
        <v>8.2060551287844508E-2</v>
      </c>
      <c r="F5">
        <f>C5*D5</f>
        <v>12571.65</v>
      </c>
      <c r="G5" s="73">
        <f>F5/$F$13</f>
        <v>0.16991390982615626</v>
      </c>
      <c r="H5" s="8">
        <f>F5/$F$31</f>
        <v>0.12053485022528668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1897.2729999999999</v>
      </c>
      <c r="D6">
        <f t="shared" ref="D6:D10" si="0">ROUNDDOWN(($C$2/6)/B6,0)</f>
        <v>7</v>
      </c>
      <c r="E6" s="8">
        <f t="shared" ref="E6:E10" si="1">C6/B6-1</f>
        <v>0.16424258416072468</v>
      </c>
      <c r="F6">
        <f t="shared" ref="F6:F9" si="2">C6*D6</f>
        <v>13280.911</v>
      </c>
      <c r="G6" s="73">
        <f t="shared" ref="G6:G10" si="3">F6/$F$13</f>
        <v>0.17950002697046186</v>
      </c>
      <c r="H6" s="8">
        <f t="shared" ref="H6:H10" si="4">F6/$F$31</f>
        <v>0.12733512452544912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46.096800000000002</v>
      </c>
      <c r="D7">
        <f t="shared" si="0"/>
        <v>275</v>
      </c>
      <c r="E7" s="8">
        <f t="shared" si="1"/>
        <v>8.7701746106654044E-2</v>
      </c>
      <c r="F7">
        <f t="shared" si="2"/>
        <v>12676.62</v>
      </c>
      <c r="G7" s="73">
        <f t="shared" si="3"/>
        <v>0.17133264667569087</v>
      </c>
      <c r="H7" s="8">
        <f t="shared" si="4"/>
        <v>0.12154128480055314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533.45600000000002</v>
      </c>
      <c r="D8">
        <f t="shared" si="0"/>
        <v>25</v>
      </c>
      <c r="E8" s="8">
        <f t="shared" si="1"/>
        <v>0.16051950312180474</v>
      </c>
      <c r="F8">
        <f t="shared" si="2"/>
        <v>13336.4</v>
      </c>
      <c r="G8" s="73">
        <f t="shared" si="3"/>
        <v>0.18024999638118705</v>
      </c>
      <c r="H8" s="8">
        <f t="shared" si="4"/>
        <v>0.12786714365612417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50.08</v>
      </c>
      <c r="D9">
        <f t="shared" si="0"/>
        <v>202</v>
      </c>
      <c r="E9" s="8">
        <f t="shared" si="1"/>
        <v>-0.1304045841291892</v>
      </c>
      <c r="F9">
        <f t="shared" si="2"/>
        <v>10116.16</v>
      </c>
      <c r="G9" s="73">
        <f t="shared" si="3"/>
        <v>0.13672638818508062</v>
      </c>
      <c r="H9" s="8">
        <f t="shared" si="4"/>
        <v>9.6992028131155109E-2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55.44</v>
      </c>
      <c r="D10">
        <f t="shared" si="0"/>
        <v>207</v>
      </c>
      <c r="E10" s="8">
        <f t="shared" si="1"/>
        <v>-1.6149068322981464E-2</v>
      </c>
      <c r="F10">
        <f>C10*D10</f>
        <v>11476.08</v>
      </c>
      <c r="G10" s="73">
        <f t="shared" si="3"/>
        <v>0.15510657887212539</v>
      </c>
      <c r="H10" s="8">
        <f t="shared" si="4"/>
        <v>0.11003071068423063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73988.35100000001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5.6976442857143095E-2</v>
      </c>
    </row>
    <row r="15" spans="1:23" x14ac:dyDescent="0.25">
      <c r="E15" t="s">
        <v>108</v>
      </c>
    </row>
    <row r="17" spans="1:10" x14ac:dyDescent="0.25">
      <c r="H17" s="11">
        <f>SUM(H20:H23)</f>
        <v>0.98830175519860597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17.035</v>
      </c>
      <c r="D20">
        <f>ROUNDDOWN(($C$3*E20)/B20,0)</f>
        <v>250</v>
      </c>
      <c r="E20" s="11">
        <v>0.14199999999999999</v>
      </c>
      <c r="F20" s="8">
        <f>C20/B20-1</f>
        <v>2.0588235294116686E-3</v>
      </c>
      <c r="G20">
        <f>D20*C20</f>
        <v>4258.75</v>
      </c>
      <c r="H20" s="8">
        <f>G20/$G$27</f>
        <v>0.14050397667081374</v>
      </c>
      <c r="I20" s="8">
        <f>G20/$F$31</f>
        <v>4.0832173453519596E-2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288.45999999999998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1.9725678733031549E-2</v>
      </c>
      <c r="G21">
        <f t="shared" ref="G21:G22" si="8">D21*C21</f>
        <v>10961.48</v>
      </c>
      <c r="H21" s="8">
        <f t="shared" ref="H21:H23" si="9">G21/$G$27</f>
        <v>0.36163933788026797</v>
      </c>
      <c r="I21" s="8">
        <f t="shared" ref="I21:I23" si="10">G21/$F$31</f>
        <v>0.1050968130712735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82.08</v>
      </c>
      <c r="D22">
        <f t="shared" si="6"/>
        <v>144</v>
      </c>
      <c r="E22" s="11">
        <v>0.39300000000000002</v>
      </c>
      <c r="F22" s="8">
        <f t="shared" si="7"/>
        <v>6.8694798822375169E-3</v>
      </c>
      <c r="G22">
        <f t="shared" si="8"/>
        <v>11819.52</v>
      </c>
      <c r="H22" s="8">
        <f t="shared" si="9"/>
        <v>0.38994765185564223</v>
      </c>
      <c r="I22" s="8">
        <f t="shared" si="10"/>
        <v>0.11332355521628271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83.32</v>
      </c>
      <c r="D23">
        <f>ROUNDDOWN(($C$3*E23)/B23,0)</f>
        <v>35</v>
      </c>
      <c r="E23" s="11">
        <v>9.9000000000000005E-2</v>
      </c>
      <c r="F23" s="8">
        <f t="shared" si="7"/>
        <v>3.1302672766673201E-3</v>
      </c>
      <c r="G23">
        <f>D23*C23</f>
        <v>2916.2</v>
      </c>
      <c r="H23" s="8">
        <f t="shared" si="9"/>
        <v>9.6210788791881885E-2</v>
      </c>
      <c r="I23" s="8">
        <f t="shared" si="10"/>
        <v>2.7960031517500171E-2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30310.530000000002</v>
      </c>
      <c r="J27">
        <f>SUM(J20:J23)</f>
        <v>29645.42</v>
      </c>
    </row>
    <row r="28" spans="1:10" x14ac:dyDescent="0.25">
      <c r="F28" t="s">
        <v>106</v>
      </c>
      <c r="G28" s="8">
        <f>G27/J27-1</f>
        <v>2.2435506057934207E-2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104298.88100000001</v>
      </c>
    </row>
    <row r="33" spans="1:9" x14ac:dyDescent="0.25">
      <c r="E33" t="s">
        <v>105</v>
      </c>
      <c r="F33" s="8">
        <f>F31/B1-1</f>
        <v>4.2988809999999988E-2</v>
      </c>
      <c r="H33" s="11">
        <f>F33-F37</f>
        <v>9.5306221156201271E-3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38.392899999999997</v>
      </c>
      <c r="D37" s="8">
        <f>C37/B37-1</f>
        <v>3.4736016727652252E-3</v>
      </c>
      <c r="E37" s="11"/>
      <c r="F37" s="8">
        <f>D37*$B$3+D40*$B$2</f>
        <v>3.3458187884379861E-2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288.45999999999998</v>
      </c>
      <c r="D38" s="8">
        <f t="shared" ref="D38:D39" si="12">C38/B38-1</f>
        <v>5.7676089905767558E-2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180.89</v>
      </c>
      <c r="D39" s="8">
        <f t="shared" si="12"/>
        <v>6.3620861998000766E-2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46.77</v>
      </c>
      <c r="D40" s="8">
        <f>C40/B40-1</f>
        <v>4.6308724832214709E-2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2018-08-22T15:13:01Z</dcterms:modified>
</cp:coreProperties>
</file>