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1" l="1" a="1"/>
  <c r="Q12" i="1" l="1"/>
  <c r="O20" i="1"/>
  <c r="P12" i="1"/>
  <c r="N12" i="1"/>
  <c r="T12" i="1"/>
  <c r="L13" i="1" a="1"/>
  <c r="U11" i="1"/>
  <c r="L12" i="1" a="1"/>
  <c r="U6" i="1"/>
  <c r="M12" i="1"/>
  <c r="U4" i="1"/>
  <c r="U7" i="1"/>
  <c r="B12" i="1"/>
  <c r="U8" i="1"/>
  <c r="U9" i="1"/>
  <c r="U3" i="1"/>
  <c r="U5" i="1"/>
  <c r="U12" i="1"/>
  <c r="U10" i="1"/>
  <c r="U2" i="1"/>
  <c r="L13" i="1" l="1"/>
  <c r="U14" i="1" a="1"/>
  <c r="U14" i="1" s="1"/>
  <c r="V14" i="1" s="1"/>
  <c r="L12" i="1"/>
  <c r="E67" i="2"/>
  <c r="F67" i="2" s="1"/>
  <c r="J67" i="2"/>
  <c r="P67" i="2" s="1"/>
  <c r="K67" i="2"/>
  <c r="Q67" i="2" s="1"/>
  <c r="L67" i="2"/>
  <c r="R67" i="2" s="1"/>
  <c r="N67" i="2"/>
  <c r="T67" i="2" s="1"/>
  <c r="B67" i="2"/>
  <c r="D67" i="2"/>
  <c r="D69" i="3" a="1"/>
  <c r="E68" i="3" a="1"/>
  <c r="B71" i="3" a="1"/>
  <c r="E72" i="3" a="1"/>
  <c r="C68" i="3" a="1"/>
  <c r="E69" i="3" a="1"/>
  <c r="C70" i="3" a="1"/>
  <c r="E71" i="3" a="1"/>
  <c r="C72" i="3" a="1"/>
  <c r="B69" i="3" a="1"/>
  <c r="C69" i="3" a="1"/>
  <c r="D70" i="3" a="1"/>
  <c r="D68" i="3" a="1"/>
  <c r="E70" i="3" a="1"/>
  <c r="B68" i="3" a="1"/>
  <c r="B70" i="3" a="1"/>
  <c r="D71" i="3" a="1"/>
  <c r="B72" i="3" a="1"/>
  <c r="D72" i="3" a="1"/>
  <c r="C71" i="3" a="1"/>
  <c r="AK67" i="2" l="1"/>
  <c r="AC67" i="2"/>
  <c r="W67" i="2"/>
  <c r="G67" i="2"/>
  <c r="H67" i="2"/>
  <c r="AI67" i="2"/>
  <c r="Z67" i="2"/>
  <c r="AN67" i="2"/>
  <c r="AF67" i="2"/>
  <c r="AL67" i="2"/>
  <c r="AD67" i="2"/>
  <c r="X67" i="2"/>
  <c r="AJ67" i="2"/>
  <c r="AB67" i="2"/>
  <c r="V67" i="2"/>
  <c r="M67" i="2"/>
  <c r="S67" i="2" s="1"/>
  <c r="C71" i="3"/>
  <c r="H71" i="3" s="1"/>
  <c r="D72" i="3"/>
  <c r="B72" i="3"/>
  <c r="G72" i="3" s="1"/>
  <c r="D71" i="3"/>
  <c r="I71" i="3" s="1"/>
  <c r="B70" i="3"/>
  <c r="G70" i="3" s="1"/>
  <c r="B68" i="3"/>
  <c r="G68" i="3" s="1"/>
  <c r="E70" i="3"/>
  <c r="J70" i="3" s="1"/>
  <c r="D68" i="3"/>
  <c r="I68" i="3" s="1"/>
  <c r="D70" i="3"/>
  <c r="I70" i="3" s="1"/>
  <c r="C69" i="3"/>
  <c r="H69" i="3" s="1"/>
  <c r="B69" i="3"/>
  <c r="G69" i="3" s="1"/>
  <c r="C72" i="3"/>
  <c r="H72" i="3" s="1"/>
  <c r="E71" i="3"/>
  <c r="J71" i="3" s="1"/>
  <c r="C70" i="3"/>
  <c r="H70" i="3" s="1"/>
  <c r="E69" i="3"/>
  <c r="J69" i="3" s="1"/>
  <c r="C68" i="3"/>
  <c r="H68" i="3" s="1"/>
  <c r="E72" i="3"/>
  <c r="J72" i="3" s="1"/>
  <c r="B71" i="3"/>
  <c r="G71" i="3" s="1"/>
  <c r="E68" i="3"/>
  <c r="J68" i="3" s="1"/>
  <c r="D69" i="3"/>
  <c r="I69" i="3" s="1"/>
  <c r="Q3" i="1"/>
  <c r="Q4" i="1"/>
  <c r="Q5" i="1"/>
  <c r="Q6" i="1"/>
  <c r="Q7" i="1"/>
  <c r="Q8" i="1"/>
  <c r="Q9" i="1"/>
  <c r="Q10" i="1"/>
  <c r="Q11" i="1"/>
  <c r="Q2" i="1"/>
  <c r="Y67" i="2" l="1"/>
  <c r="AM67" i="2"/>
  <c r="AE67" i="2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M63" i="2" s="1"/>
  <c r="E62" i="2"/>
  <c r="J62" i="2"/>
  <c r="K62" i="2"/>
  <c r="L62" i="2"/>
  <c r="N62" i="2"/>
  <c r="D62" i="2"/>
  <c r="M62" i="2" l="1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0" i="1"/>
  <c r="J11" i="1"/>
  <c r="J8" i="1"/>
  <c r="J5" i="1"/>
  <c r="J9" i="1"/>
  <c r="J7" i="1"/>
  <c r="J12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6" i="1"/>
  <c r="M3" i="1"/>
  <c r="M10" i="1"/>
  <c r="M5" i="1"/>
  <c r="M2" i="1"/>
  <c r="M9" i="1"/>
  <c r="M4" i="1"/>
  <c r="M7" i="1"/>
  <c r="M11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0" i="1" a="1"/>
  <c r="L5" i="1" a="1"/>
  <c r="L4" i="1" a="1"/>
  <c r="L11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K26" i="1"/>
  <c r="L8" i="1"/>
  <c r="L7" i="1"/>
  <c r="L9" i="1"/>
  <c r="L3" i="1"/>
  <c r="L2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4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9" i="1"/>
  <c r="B4" i="1"/>
  <c r="B7" i="1"/>
  <c r="J2" i="1"/>
  <c r="J6" i="1"/>
  <c r="B8" i="1"/>
  <c r="B10" i="1"/>
  <c r="B11" i="1"/>
  <c r="B2" i="1"/>
  <c r="B3" i="1"/>
  <c r="B5" i="1"/>
  <c r="B6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I21" i="1" s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W32" i="2"/>
  <c r="AC32" i="2"/>
  <c r="R33" i="2"/>
  <c r="AD32" i="2"/>
  <c r="X32" i="2"/>
  <c r="P33" i="2"/>
  <c r="AB32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4" i="2" l="1"/>
  <c r="AL34" i="2" s="1"/>
  <c r="AL33" i="2"/>
  <c r="V32" i="2"/>
  <c r="Q34" i="2"/>
  <c r="AK34" i="2" s="1"/>
  <c r="AK33" i="2"/>
  <c r="P34" i="2"/>
  <c r="AJ34" i="2" s="1"/>
  <c r="AJ33" i="2"/>
  <c r="AC34" i="2"/>
  <c r="W34" i="2"/>
  <c r="R35" i="2"/>
  <c r="AD34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V34" i="2" l="1"/>
  <c r="P35" i="2"/>
  <c r="AB34" i="2"/>
  <c r="R36" i="2"/>
  <c r="X36" i="2" s="1"/>
  <c r="AL35" i="2"/>
  <c r="P36" i="2"/>
  <c r="AB36" i="2" s="1"/>
  <c r="AJ35" i="2"/>
  <c r="X34" i="2"/>
  <c r="Q35" i="2"/>
  <c r="X35" i="2"/>
  <c r="AD35" i="2"/>
  <c r="AC35" i="2"/>
  <c r="W35" i="2"/>
  <c r="AB35" i="2"/>
  <c r="V35" i="2"/>
  <c r="Z25" i="2"/>
  <c r="T26" i="2"/>
  <c r="AF25" i="2"/>
  <c r="S15" i="2"/>
  <c r="Y14" i="2"/>
  <c r="AE14" i="2"/>
  <c r="G14" i="2"/>
  <c r="F15" i="2"/>
  <c r="H14" i="2"/>
  <c r="AD36" i="2" l="1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S33" i="2"/>
  <c r="AE32" i="2"/>
  <c r="Y32" i="2"/>
  <c r="Y31" i="2"/>
  <c r="AE31" i="2"/>
  <c r="S34" i="2" l="1"/>
  <c r="AM34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Y34" i="2"/>
  <c r="AE34" i="2"/>
  <c r="S35" i="2"/>
  <c r="Y33" i="2"/>
  <c r="AE33" i="2"/>
  <c r="P52" i="2" l="1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N46" i="2" l="1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I2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X65" i="2"/>
  <c r="AD65" i="2"/>
  <c r="AJ65" i="2"/>
  <c r="P66" i="2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M50" i="2" l="1"/>
  <c r="Y50" i="2"/>
  <c r="AE50" i="2"/>
  <c r="S51" i="2"/>
  <c r="AJ66" i="2"/>
  <c r="N46" i="1" s="1"/>
  <c r="AB66" i="2"/>
  <c r="V66" i="2"/>
  <c r="AL66" i="2"/>
  <c r="P46" i="1" s="1"/>
  <c r="AD66" i="2"/>
  <c r="L33" i="1" s="1"/>
  <c r="X66" i="2"/>
  <c r="K33" i="1" s="1"/>
  <c r="AK65" i="2"/>
  <c r="Q66" i="2"/>
  <c r="W65" i="2"/>
  <c r="AC65" i="2"/>
  <c r="T61" i="2"/>
  <c r="AN60" i="2"/>
  <c r="Z60" i="2"/>
  <c r="AF60" i="2"/>
  <c r="F48" i="2"/>
  <c r="G47" i="2"/>
  <c r="H47" i="2"/>
  <c r="T62" i="2" l="1"/>
  <c r="AN61" i="2"/>
  <c r="AF61" i="2"/>
  <c r="Z61" i="2"/>
  <c r="AK66" i="2"/>
  <c r="O46" i="1" s="1"/>
  <c r="AC66" i="2"/>
  <c r="W66" i="2"/>
  <c r="S52" i="2"/>
  <c r="AM51" i="2"/>
  <c r="Y51" i="2"/>
  <c r="AE51" i="2"/>
  <c r="G48" i="2"/>
  <c r="F49" i="2"/>
  <c r="H48" i="2"/>
  <c r="AN62" i="2" l="1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AF65" i="2"/>
  <c r="Z65" i="2"/>
  <c r="AM55" i="2"/>
  <c r="S56" i="2"/>
  <c r="AE55" i="2"/>
  <c r="Y55" i="2"/>
  <c r="G52" i="2"/>
  <c r="F53" i="2"/>
  <c r="H52" i="2"/>
  <c r="S57" i="2" l="1"/>
  <c r="AM56" i="2"/>
  <c r="Y56" i="2"/>
  <c r="AE56" i="2"/>
  <c r="AN66" i="2"/>
  <c r="R46" i="1" s="1"/>
  <c r="Z66" i="2"/>
  <c r="K34" i="1" s="1"/>
  <c r="AF66" i="2"/>
  <c r="L34" i="1" s="1"/>
  <c r="F54" i="2"/>
  <c r="G53" i="2"/>
  <c r="H53" i="2"/>
  <c r="S58" i="2" l="1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Y65" i="2"/>
  <c r="AE65" i="2"/>
  <c r="F63" i="2"/>
  <c r="G62" i="2"/>
  <c r="H62" i="2"/>
  <c r="AM66" i="2" l="1"/>
  <c r="Q46" i="1" s="1"/>
  <c r="AE66" i="2"/>
  <c r="L32" i="1" s="1"/>
  <c r="Y66" i="2"/>
  <c r="K32" i="1" s="1"/>
  <c r="H63" i="2"/>
  <c r="L31" i="1" s="1"/>
  <c r="G63" i="2"/>
  <c r="K31" i="1" s="1"/>
</calcChain>
</file>

<file path=xl/sharedStrings.xml><?xml version="1.0" encoding="utf-8"?>
<sst xmlns="http://schemas.openxmlformats.org/spreadsheetml/2006/main" count="116" uniqueCount="86">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</sst>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e8a415e349149ca90766c03467d8c22">
      <tp>
        <v>1.99</v>
        <stp/>
        <stp>SHY</stp>
        <stp>dividend yield</stp>
        <tr r="M12" s="1"/>
      </tp>
      <tp>
        <v>3.65</v>
        <stp/>
        <stp>RWX</stp>
        <stp>dividend yield</stp>
        <tr r="M6" s="1"/>
      </tp>
      <tp>
        <v>2.7</v>
        <stp/>
        <stp>TLT</stp>
        <stp>dividend yield</stp>
        <tr r="M5" s="1"/>
      </tp>
      <tp>
        <v>0.49</v>
        <stp/>
        <stp>IYR</stp>
        <stp>dividend yield</stp>
        <tr r="M4" s="1"/>
      </tp>
      <tp>
        <v>1.82</v>
        <stp/>
        <stp>IVV</stp>
        <stp>dividend yield</stp>
        <tr r="M3" s="1"/>
      </tp>
      <tp>
        <v>2.36</v>
        <stp/>
        <stp>IEF</stp>
        <stp>dividend yield</stp>
        <tr r="M11" s="1"/>
      </tp>
      <tp>
        <v>4.66</v>
        <stp/>
        <stp>IEV</stp>
        <stp>dividend yield</stp>
        <tr r="M9" s="1"/>
      </tp>
      <tp>
        <v>1.58</v>
        <stp/>
        <stp>EWJ</stp>
        <stp>dividend yield</stp>
        <tr r="M7" s="1"/>
      </tp>
      <tp>
        <v>1.32</v>
        <stp/>
        <stp>EEM</stp>
        <stp>dividend yield</stp>
        <tr r="M10" s="1"/>
      </tp>
      <tp t="s">
        <v>--</v>
        <stp/>
        <stp>DBC</stp>
        <stp>dividend yield</stp>
        <tr r="M2" s="1"/>
      </tp>
    </main>
    <main first="rtdsrv.8e8a415e349149ca90766c03467d8c22">
      <tp>
        <v>-6.0261415718892717E-3</v>
        <stp/>
        <stp>EWJ</stp>
        <stp>change in percent</stp>
        <tr r="L7" s="1"/>
      </tp>
    </main>
    <main first="rtdsrv.8e8a415e349149ca90766c03467d8c22">
      <tp>
        <v>2.0655983999999998</v>
        <stp/>
        <stp>IYR</stp>
        <stp>mtd percent change</stp>
        <tr r="U4" s="1"/>
      </tp>
      <tp>
        <v>0.73464172999999999</v>
        <stp/>
        <stp>IVV</stp>
        <stp>mtd percent change</stp>
        <tr r="U3" s="1"/>
      </tp>
      <tp>
        <v>-1.34315425</v>
        <stp/>
        <stp>IEV</stp>
        <stp>mtd percent change</stp>
        <tr r="U9" s="1"/>
      </tp>
      <tp>
        <v>-0.17709563</v>
        <stp/>
        <stp>IEF</stp>
        <stp>mtd percent change</stp>
        <tr r="U11" s="1"/>
      </tp>
      <tp>
        <v>-0.69174232999999996</v>
        <stp/>
        <stp>GLD</stp>
        <stp>mtd percent change</stp>
        <tr r="U8" s="1"/>
      </tp>
      <tp>
        <v>-0.72058325000000001</v>
        <stp/>
        <stp>EWJ</stp>
        <stp>mtd percent change</stp>
        <tr r="U7" s="1"/>
      </tp>
      <tp>
        <v>-1.6808605999999999</v>
        <stp/>
        <stp>EEM</stp>
        <stp>mtd percent change</stp>
        <tr r="U10" s="1"/>
      </tp>
      <tp>
        <v>-1.2391930799999999</v>
        <stp/>
        <stp>DBC</stp>
        <stp>mtd percent change</stp>
        <tr r="U2" s="1"/>
      </tp>
      <tp>
        <v>-0.11419642000000001</v>
        <stp/>
        <stp>SHY</stp>
        <stp>mtd percent change</stp>
        <tr r="U12" s="1"/>
      </tp>
      <tp>
        <v>-0.40444893999999998</v>
        <stp/>
        <stp>RWX</stp>
        <stp>mtd percent change</stp>
        <tr r="U6" s="1"/>
      </tp>
      <tp>
        <v>-0.29399412000000003</v>
        <stp/>
        <stp>TLT</stp>
        <stp>mtd percent change</stp>
        <tr r="U5" s="1"/>
      </tp>
    </main>
    <main first="rtdsrv.8e8a415e349149ca90766c03467d8c22">
      <tp>
        <v>-1.32703553756186E-2</v>
        <stp/>
        <stp>EEM</stp>
        <stp>change in percent</stp>
        <tr r="L10" s="1"/>
      </tp>
    </main>
    <main first="rtdsrv.8e8a415e349149ca90766c03467d8c22">
      <tp>
        <v>-2.1875854525566997E-3</v>
        <stp/>
        <stp>ACWI</stp>
        <stp>change in percent</stp>
        <tr r="K22" s="1"/>
      </tp>
    </main>
    <main first="rtdsrv.8e8a415e349149ca90766c03467d8c22">
      <tp>
        <v>7.2778720996037908E-3</v>
        <stp/>
        <stp>GYLD</stp>
        <stp>change in percent</stp>
        <tr r="K26" s="1"/>
      </tp>
      <tp>
        <v>7.9411764705883542E-3</v>
        <stp/>
        <stp>DBC</stp>
        <stp>change in percent</stp>
        <tr r="L2" s="1"/>
      </tp>
    </main>
    <main first="rtdsrv.8e8a415e349149ca90766c03467d8c22">
      <tp>
        <v>-2.5186729199236234E-3</v>
        <stp/>
        <stp>GLD</stp>
        <stp>change in percent</stp>
        <tr r="L8" s="1"/>
      </tp>
    </main>
    <main first="rtdsrv.8e8a415e349149ca90766c03467d8c22">
      <tp>
        <v>1.1841326228536609E-3</v>
        <stp/>
        <stp>IEF</stp>
        <stp>change in percent</stp>
        <tr r="L11" s="1"/>
      </tp>
    </main>
    <main first="rtdsrv.8e8a415e349149ca90766c03467d8c22">
      <tp>
        <v>3.074739829706613E-4</v>
        <stp/>
        <stp>AGG</stp>
        <stp>change in percent</stp>
        <tr r="K23" s="1"/>
      </tp>
    </main>
    <main first="rtdsrv.8e8a415e349149ca90766c03467d8c22">
      <tp>
        <v>-2.5316455696202788E-3</v>
        <stp/>
        <stp>RWX</stp>
        <stp>change in percent</stp>
        <tr r="L6" s="1"/>
      </tp>
    </main>
    <main first="rtdsrv.8e8a415e349149ca90766c03467d8c22">
      <tp>
        <v>4.2138213339750304E-4</v>
        <stp/>
        <stp>SHY</stp>
        <stp>change in percent</stp>
        <tr r="L12" s="1"/>
      </tp>
    </main>
    <main first="rtdsrv.8e8a415e349149ca90766c03467d8c22">
      <tp>
        <v>1.2266928361144629E-4</v>
        <stp/>
        <stp>IYR</stp>
        <stp>change in percent</stp>
        <tr r="L4" s="1"/>
      </tp>
    </main>
    <main first="rtdsrv.8e8a415e349149ca90766c03467d8c22">
      <tp>
        <v>2.0260003376667991E-3</v>
        <stp/>
        <stp>TLT</stp>
        <stp>change in percent</stp>
        <tr r="L5" s="1"/>
      </tp>
    </main>
    <main first="rtdsrv.8e8a415e349149ca90766c03467d8c22">
      <tp>
        <v>-1.0000000000000023E-2</v>
        <stp/>
        <stp>IEV</stp>
        <stp>change in percent</stp>
        <tr r="L9" s="1"/>
      </tp>
      <tp>
        <v>3.3936651583709701E-3</v>
        <stp/>
        <stp>IVV</stp>
        <stp>change in percent</stp>
        <tr r="K24" s="1"/>
        <tr r="L3" s="1"/>
      </tp>
    </main>
    <main first="rtdsrv.8e8a415e349149ca90766c03467d8c22">
      <tp>
        <v>114.85</v>
        <stp/>
        <stp>GLD</stp>
        <stp>last</stp>
        <tr r="J8" s="1"/>
      </tp>
    </main>
    <main first="rtdsrv.8e8a415e349149ca90766c03467d8c22">
      <tp>
        <v>118.7</v>
        <stp/>
        <stp>TLT</stp>
        <stp>last</stp>
        <tr r="J5" s="1"/>
      </tp>
    </main>
    <main first="rtdsrv.8e8a415e349149ca90766c03467d8c22">
      <tp>
        <v>81.52</v>
        <stp/>
        <stp>IYR</stp>
        <stp>close</stp>
        <tr r="G4" s="1"/>
      </tp>
    </main>
    <main first="rtdsrv.8e8a415e349149ca90766c03467d8c22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8e8a415e349149ca90766c03467d8c22"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</main>
    <main first="rtdsrv.8e8a415e349149ca90766c03467d8c22">
      <tp>
        <v>83.094999999999999</v>
        <stp/>
        <stp>SHY</stp>
        <stp>last</stp>
        <tr r="J12" s="1"/>
      </tp>
    </main>
    <main first="rtdsrv.8e8a415e349149ca90766c03467d8c22">
      <tp>
        <v>282.88</v>
        <stp/>
        <stp>IVV</stp>
        <stp>close</stp>
        <tr r="G3" s="1"/>
      </tp>
    </main>
    <main first="rtdsrv.8e8a415e349149ca90766c03467d8c22">
      <tp>
        <v>118.46</v>
        <stp/>
        <stp>TLT</stp>
        <stp>close</stp>
        <tr r="G5" s="1"/>
      </tp>
    </main>
    <main first="rtdsrv.8e8a415e349149ca90766c03467d8c22">
      <tp>
        <v>43.87</v>
        <stp/>
        <stp>EEM</stp>
        <stp>last</stp>
        <tr r="J10" s="1"/>
      </tp>
      <tp>
        <v>101.46</v>
        <stp/>
        <stp>IEF</stp>
        <stp>last</stp>
        <tr r="J11" s="1"/>
      </tp>
    </main>
    <main first="rtdsrv.8e8a415e349149ca90766c03467d8c22">
      <tp>
        <v>45.54</v>
        <stp/>
        <stp>IEV</stp>
        <stp>last</stp>
        <tr r="J9" s="1"/>
      </tp>
    </main>
    <main first="rtdsrv.8e8a415e349149ca90766c03467d8c22">
      <tp t="s">
        <v>ARROW ETF TR-ARROW DJ GLB YLD</v>
        <stp/>
        <stp>GYLD</stp>
        <stp>description</stp>
        <tr r="L26" s="1"/>
      </tp>
    </main>
    <main first="rtdsrv.8e8a415e349149ca90766c03467d8c22">
      <tp t="s">
        <v>INVESCO DB COMMDY INDX TRCK-UNIT</v>
        <stp/>
        <stp>DBC</stp>
        <stp>description</stp>
        <tr r="B2" s="1"/>
      </tp>
    </main>
    <main first="rtdsrv.8e8a415e349149ca90766c03467d8c22">
      <tp t="s">
        <v>ISHARES TR-MSCI EMG MKT ETF</v>
        <stp/>
        <stp>EEM</stp>
        <stp>description</stp>
        <tr r="B10" s="1"/>
      </tp>
    </main>
    <main first="rtdsrv.8e8a415e349149ca90766c03467d8c22">
      <tp t="s">
        <v>ISHARES INC-MSCI JPN ETF NEW</v>
        <stp/>
        <stp>EWJ</stp>
        <stp>description</stp>
        <tr r="B7" s="1"/>
      </tp>
    </main>
    <main first="rtdsrv.8e8a415e349149ca90766c03467d8c22">
      <tp>
        <v>17.135000000000002</v>
        <stp/>
        <stp>DBC</stp>
        <stp>last</stp>
        <tr r="J2" s="1"/>
      </tp>
    </main>
    <main first="rtdsrv.8e8a415e349149ca90766c03467d8c22">
      <tp t="s">
        <v>SPDR GOLD TRUST-GOLD SHS</v>
        <stp/>
        <stp>GLD</stp>
        <stp>description</stp>
        <tr r="B8" s="1"/>
      </tp>
    </main>
    <main first="rtdsrv.8e8a415e349149ca90766c03467d8c22">
      <tp>
        <v>17</v>
        <stp/>
        <stp>DBC</stp>
        <stp>close</stp>
        <tr r="G2" s="1"/>
      </tp>
    </main>
    <main first="rtdsrv.8e8a415e349149ca90766c03467d8c22">
      <tp>
        <v>81.53</v>
        <stp/>
        <stp>IYR</stp>
        <stp>last</stp>
        <tr r="J4" s="1"/>
      </tp>
    </main>
    <main first="rtdsrv.8e8a415e349149ca90766c03467d8c22">
      <tp>
        <v>283.83999999999997</v>
        <stp/>
        <stp>IVV</stp>
        <stp>last</stp>
        <tr r="J3" s="1"/>
      </tp>
      <tp t="s">
        <v>SPDR INDEX SHS FDS-DJ INTL RL ETF</v>
        <stp/>
        <stp>RWX</stp>
        <stp>description</stp>
        <tr r="B6" s="1"/>
      </tp>
    </main>
    <main first="rtdsrv.8e8a415e349149ca90766c03467d8c22">
      <tp>
        <v>58.555</v>
        <stp/>
        <stp>EWJ</stp>
        <stp>last</stp>
        <tr r="J7" s="1"/>
      </tp>
      <tp t="s">
        <v>ISHARES TR-1 3 YR TREAS BD</v>
        <stp/>
        <stp>SHY</stp>
        <stp>description</stp>
        <tr r="B12" s="1"/>
      </tp>
    </main>
    <main first="rtdsrv.8e8a415e349149ca90766c03467d8c22">
      <tp>
        <v>39.4</v>
        <stp/>
        <stp>RWX</stp>
        <stp>last</stp>
        <tr r="J6" s="1"/>
      </tp>
    </main>
    <main first="rtdsrv.8e8a415e349149ca90766c03467d8c22">
      <tp t="s">
        <v>ISHARES TR-20 YR TR BD ETF</v>
        <stp/>
        <stp>TLT</stp>
        <stp>description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B33" sqref="B3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-4.6380731595386471E-2</v>
      </c>
      <c r="F2" s="5">
        <f>I2/$I$21</f>
        <v>0.15081359701518116</v>
      </c>
      <c r="G2" s="4">
        <f>_xll.RealtimeData(A2,"Close")</f>
        <v>17</v>
      </c>
      <c r="H2" s="4">
        <v>176</v>
      </c>
      <c r="I2" s="4">
        <f>H2*G2</f>
        <v>2992</v>
      </c>
      <c r="J2" s="4">
        <f>_xll.RealtimeData(A2,"Last")</f>
        <v>17.135000000000002</v>
      </c>
      <c r="K2" s="5">
        <f>J2/D2-1</f>
        <v>-3.8807872699232138E-2</v>
      </c>
      <c r="L2" s="8">
        <f>_xll.RealtimeData(A2,"Change in Percent")</f>
        <v>7.9411764705883542E-3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-8.8135970151811682E-3</v>
      </c>
      <c r="Q2" s="31">
        <f>O2*Daily!$D$66</f>
        <v>2829.1369999999997</v>
      </c>
      <c r="R2">
        <f t="shared" ref="R2:R11" si="2">ROUND(Q2/J2,0)</f>
        <v>165</v>
      </c>
      <c r="S2">
        <f t="shared" ref="S2:S11" si="3">R2-H2</f>
        <v>-11</v>
      </c>
      <c r="T2" t="str">
        <f t="shared" ref="T2:T12" si="4">A2</f>
        <v>DBC</v>
      </c>
      <c r="U2">
        <f>_xll.RealtimeData(T2,"MTD Percent Change")</f>
        <v>-1.2391930799999999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6.202331810954731E-2</v>
      </c>
      <c r="F3" s="5">
        <f>I3/$I$21</f>
        <v>0.413503462361624</v>
      </c>
      <c r="G3" s="4">
        <f>_xll.RealtimeData(A3,"Close")</f>
        <v>282.88</v>
      </c>
      <c r="H3" s="4">
        <v>29</v>
      </c>
      <c r="I3" s="4">
        <f>H3*G3</f>
        <v>8203.52</v>
      </c>
      <c r="J3" s="4">
        <f>_xll.RealtimeData(A3,"Last")</f>
        <v>283.83999999999997</v>
      </c>
      <c r="K3" s="5">
        <f>J3/D3-1</f>
        <v>6.5627469641593272E-2</v>
      </c>
      <c r="L3" s="8">
        <f>_xll.RealtimeData(A3,"Change in Percent")</f>
        <v>3.3936651583709701E-3</v>
      </c>
      <c r="M3" s="29">
        <f>_xll.RealtimeData(A3,"Dividend Yield")</f>
        <v>1.82</v>
      </c>
      <c r="N3" s="4" t="str">
        <f t="shared" si="0"/>
        <v>IVV</v>
      </c>
      <c r="O3" s="5">
        <v>0.36599999999999999</v>
      </c>
      <c r="P3" s="60">
        <f t="shared" si="1"/>
        <v>-4.7503462361624005E-2</v>
      </c>
      <c r="Q3" s="31">
        <f>O3*Daily!$D$66</f>
        <v>7292.0010000000002</v>
      </c>
      <c r="R3">
        <f t="shared" si="2"/>
        <v>26</v>
      </c>
      <c r="S3">
        <f t="shared" si="3"/>
        <v>-3</v>
      </c>
      <c r="T3" t="str">
        <f t="shared" si="4"/>
        <v>IVV</v>
      </c>
      <c r="U3">
        <f>_xll.RealtimeData(T3,"MTD Percent Change")</f>
        <v>0.73464172999999999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3.9398189468315525E-2</v>
      </c>
      <c r="F4" s="5">
        <f>I4/$I$21</f>
        <v>0.22188954516998283</v>
      </c>
      <c r="G4" s="4">
        <f>_xll.RealtimeData(A4,"Close")</f>
        <v>81.52</v>
      </c>
      <c r="H4" s="4">
        <v>54</v>
      </c>
      <c r="I4" s="4">
        <f>H4*G4</f>
        <v>4402.08</v>
      </c>
      <c r="J4" s="4">
        <f>_xll.RealtimeData(A4,"Last")</f>
        <v>81.53</v>
      </c>
      <c r="K4" s="5">
        <f>J4/D4-1</f>
        <v>3.9525691699604737E-2</v>
      </c>
      <c r="L4" s="8">
        <f t="array" ref="L4">_xll.RealtimeData(A4,"Change in Percent")</f>
        <v>1.2266928361144629E-4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0.17111045483001719</v>
      </c>
      <c r="Q4" s="31">
        <f>O4*Daily!$D$66</f>
        <v>7829.9355000000005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2.0655983999999998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-3.134909537523578E-2</v>
      </c>
      <c r="F5" s="5">
        <f>I5/$I$21</f>
        <v>0.20898671610449282</v>
      </c>
      <c r="G5" s="4">
        <f>_xll.RealtimeData(A5,"Close")</f>
        <v>118.46</v>
      </c>
      <c r="H5" s="4">
        <v>35</v>
      </c>
      <c r="I5" s="4">
        <f>H5*G5</f>
        <v>4146.0999999999995</v>
      </c>
      <c r="J5" s="31">
        <f>_xll.RealtimeData(A5,"Last")</f>
        <v>118.7</v>
      </c>
      <c r="K5" s="5">
        <f>J5/D5-1</f>
        <v>-2.9386608315384755E-2</v>
      </c>
      <c r="L5" s="8">
        <f t="array" ref="L5">_xll.RealtimeData(A5,"Change in Percent")</f>
        <v>2.0260003376667991E-3</v>
      </c>
      <c r="M5" s="29">
        <f>_xll.RealtimeData(A5,"Dividend Yield")</f>
        <v>2.7</v>
      </c>
      <c r="N5" s="4" t="str">
        <f t="shared" si="0"/>
        <v>TLT</v>
      </c>
      <c r="O5" s="5">
        <v>0</v>
      </c>
      <c r="P5" s="60">
        <f t="shared" si="1"/>
        <v>-0.20898671610449282</v>
      </c>
      <c r="Q5" s="31">
        <f>O5*Daily!$D$66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-0.29399412000000003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39.4</v>
      </c>
      <c r="K6" s="5"/>
      <c r="L6" s="8">
        <f>_xll.RealtimeData(A6,"Change in Percent")</f>
        <v>-2.5316455696202788E-3</v>
      </c>
      <c r="M6" s="29">
        <f>_xll.RealtimeData(A6,"Dividend Yield")</f>
        <v>3.65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O6*Daily!$D$66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-0.40444893999999998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58.555</v>
      </c>
      <c r="K7" s="5"/>
      <c r="L7" s="8">
        <f>_xll.RealtimeData(A7,"Change in Percent")</f>
        <v>-6.0261415718892717E-3</v>
      </c>
      <c r="M7" s="29">
        <f>_xll.RealtimeData(A7,"Dividend Yield")</f>
        <v>1.58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O7*Daily!$D$66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-0.72058325000000001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114.85</v>
      </c>
      <c r="K8" s="5"/>
      <c r="L8" s="8">
        <f>_xll.RealtimeData(A8,"Change in Percent")</f>
        <v>-2.5186729199236234E-3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O8*Daily!$D$66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-0.69174232999999996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45.54</v>
      </c>
      <c r="K9" s="5"/>
      <c r="L9" s="8">
        <f>_xll.RealtimeData(A9,"Change in Percent")</f>
        <v>-1.0000000000000023E-2</v>
      </c>
      <c r="M9" s="29">
        <f>_xll.RealtimeData(A9,"Dividend Yield")</f>
        <v>4.66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O9*Daily!$D$66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-1.34315425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43.87</v>
      </c>
      <c r="K10" s="5"/>
      <c r="L10" s="8">
        <f t="array" ref="L10">_xll.RealtimeData(A10,"Change in Percent")</f>
        <v>-1.32703553756186E-2</v>
      </c>
      <c r="M10" s="29">
        <f>_xll.RealtimeData(A10,"Dividend Yield")</f>
        <v>1.32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O10*Daily!$D$66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-1.6808605999999999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101.46</v>
      </c>
      <c r="K11" s="5"/>
      <c r="L11" s="8">
        <f t="array" ref="L11">_xll.RealtimeData(A11,"Change in Percent")</f>
        <v>1.1841326228536609E-3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O11*Daily!$D$66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-0.17709563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83.094999999999999</v>
      </c>
      <c r="L12" s="8">
        <f t="array" ref="L12">_xll.RealtimeData(A12,"Change in Percent")</f>
        <v>4.2138213339750304E-4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O12*Daily!$D$66</f>
        <v>1972.4265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-0.11419642000000001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0.89338818143999998</v>
      </c>
      <c r="V14" s="8">
        <f>U14*0.01</f>
        <v>8.9338818144E-3</v>
      </c>
    </row>
    <row r="19" spans="5:16" s="1" customFormat="1" x14ac:dyDescent="0.25"/>
    <row r="20" spans="5:16" x14ac:dyDescent="0.25">
      <c r="E20" t="s">
        <v>70</v>
      </c>
      <c r="F20" s="11">
        <f>SUM(F2:F5)</f>
        <v>0.99519332065128085</v>
      </c>
      <c r="H20" s="2" t="s">
        <v>14</v>
      </c>
      <c r="I20" s="6">
        <v>95.36</v>
      </c>
      <c r="O20" s="11">
        <f>SUM(O2:O12)</f>
        <v>1</v>
      </c>
    </row>
    <row r="21" spans="5:16" x14ac:dyDescent="0.25">
      <c r="E21" t="s">
        <v>71</v>
      </c>
      <c r="F21" s="11">
        <f>1-F20</f>
        <v>4.806679348719145E-3</v>
      </c>
      <c r="H21" s="2" t="s">
        <v>16</v>
      </c>
      <c r="I21" s="6">
        <f>SUM(I2:I20)</f>
        <v>19839.060000000001</v>
      </c>
      <c r="J21" t="s">
        <v>33</v>
      </c>
      <c r="K21" s="8">
        <f>SUMPRODUCT(K2:K7,F2:F7)</f>
        <v>2.3913358033025755E-2</v>
      </c>
      <c r="M21" t="s">
        <v>34</v>
      </c>
      <c r="N21" s="8">
        <f t="array" ref="N21">MMULT(TRANSPOSE(F2:F5),L2:L5)</f>
        <v>3.0515558700866053E-3</v>
      </c>
      <c r="P21" s="8">
        <f t="array" ref="P21">SUMPRODUCT(L2:L12,O2:O12)</f>
        <v>2.4596543664529721E-3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-2.1875854525566997E-3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3.074739829706613E-4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3.3936651583709701E-3</v>
      </c>
    </row>
    <row r="25" spans="5:16" x14ac:dyDescent="0.25">
      <c r="J25" t="s">
        <v>57</v>
      </c>
      <c r="K25" s="8">
        <f t="array" ref="K25">SUMPRODUCT(K22:K23,L22:L23)</f>
        <v>-1.1895616783457552E-3</v>
      </c>
    </row>
    <row r="26" spans="5:16" x14ac:dyDescent="0.25">
      <c r="H26" t="s">
        <v>25</v>
      </c>
      <c r="I26" s="6">
        <f>SUM(I2:I18)</f>
        <v>19743.7</v>
      </c>
      <c r="J26" t="s">
        <v>56</v>
      </c>
      <c r="K26" s="8">
        <f>_xll.RealtimeData(J26,"Change in Percent")</f>
        <v>7.2778720996037908E-3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-1.9679171563960567E-3</v>
      </c>
    </row>
    <row r="28" spans="5:16" x14ac:dyDescent="0.25">
      <c r="J28" t="s">
        <v>64</v>
      </c>
      <c r="K28" s="8">
        <f>SUMPRODUCT(F2:F7,M2:M7)*0.01</f>
        <v>1.425566312113578E-2</v>
      </c>
      <c r="L28" t="s">
        <v>65</v>
      </c>
      <c r="M28" s="8">
        <f>AVERAGE(M2:M11)*0.01</f>
        <v>2.0644444444444444E-2</v>
      </c>
    </row>
    <row r="29" spans="5:16" ht="15.75" thickBot="1" x14ac:dyDescent="0.3"/>
    <row r="30" spans="5:16" ht="15.75" thickBot="1" x14ac:dyDescent="0.3">
      <c r="H30" s="30">
        <v>43313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3.0515558700866053E-3</v>
      </c>
      <c r="J31" s="21">
        <f>LOOKUP(2,1/(Daily!E:E&lt;&gt;""),Daily!E:E)</f>
        <v>-4.2372073179913761E-3</v>
      </c>
      <c r="K31" s="22">
        <f>VLOOKUP($H$30,Daily!$A:$AF,7,0)</f>
        <v>-4.675449256260622E-4</v>
      </c>
      <c r="L31" s="23">
        <f>VLOOKUP($H$30,Daily!$A:$AF,8,0)</f>
        <v>-8.0460000000002196E-3</v>
      </c>
    </row>
    <row r="32" spans="5:16" x14ac:dyDescent="0.25">
      <c r="H32" s="19" t="s">
        <v>59</v>
      </c>
      <c r="I32" s="24">
        <f>$K$25</f>
        <v>-1.1895616783457552E-3</v>
      </c>
      <c r="J32" s="24">
        <f>LOOKUP(2,1/(Daily!M:M&lt;&gt;""),Daily!M:M)</f>
        <v>-2.6674082651354956E-3</v>
      </c>
      <c r="K32" s="14">
        <f>VLOOKUP($H$30,Daily!$A:$AF,25,0)</f>
        <v>1.5527841346118398E-2</v>
      </c>
      <c r="L32" s="25">
        <f>VLOOKUP($H$30,Daily!$A:$AF,31,0)</f>
        <v>9.6975602726572241E-3</v>
      </c>
    </row>
    <row r="33" spans="8:18" x14ac:dyDescent="0.25">
      <c r="H33" s="19" t="s">
        <v>60</v>
      </c>
      <c r="I33" s="24">
        <f>$K$24</f>
        <v>3.3936651583709701E-3</v>
      </c>
      <c r="J33" s="24">
        <f>LOOKUP(2,1/(Daily!L:L&lt;&gt;""),Daily!L:L)</f>
        <v>-1.4120304998587185E-3</v>
      </c>
      <c r="K33" s="14">
        <f>VLOOKUP($H$30,Daily!$A:$AF,24,0)</f>
        <v>3.6000732466580754E-2</v>
      </c>
      <c r="L33" s="25">
        <f>VLOOKUP($H$30,Daily!$A:$AF,30,0)</f>
        <v>6.2316665758688661E-2</v>
      </c>
    </row>
    <row r="34" spans="8:18" ht="15.75" thickBot="1" x14ac:dyDescent="0.3">
      <c r="H34" s="20" t="s">
        <v>56</v>
      </c>
      <c r="I34" s="26">
        <f>$K$26</f>
        <v>7.2778720996037908E-3</v>
      </c>
      <c r="J34" s="26">
        <f>LOOKUP(2,1/(Daily!N:N&lt;&gt;""),Daily!N:N)</f>
        <v>-7.3033707865167719E-3</v>
      </c>
      <c r="K34" s="27">
        <f>VLOOKUP($H$30,Daily!$A:$AF,26,0)</f>
        <v>1.5517241379310764E-2</v>
      </c>
      <c r="L34" s="28">
        <f>VLOOKUP($H$30,Daily!$A:$AF,32,0)</f>
        <v>2.4777787129067974E-2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-1.1133901168548424E-4</v>
      </c>
      <c r="J37" s="44"/>
      <c r="K37" s="22"/>
      <c r="L37" s="39"/>
      <c r="M37" s="50"/>
      <c r="N37" s="38">
        <f>AVERAGE(Daily!J$3:J380)</f>
        <v>2.6328381154061477E-4</v>
      </c>
      <c r="O37" s="22">
        <f>AVERAGE(Daily!K$3:K380)</f>
        <v>-7.1028716088581822E-6</v>
      </c>
      <c r="P37" s="22">
        <f>AVERAGE(Daily!L$3:L380)</f>
        <v>9.4816324833478689E-4</v>
      </c>
      <c r="Q37" s="22">
        <f>AVERAGE(Daily!M$3:M380)</f>
        <v>1.5512913828082556E-4</v>
      </c>
      <c r="R37" s="23">
        <f>AVERAGE(Daily!N$3:N380)</f>
        <v>4.1099838720562155E-4</v>
      </c>
    </row>
    <row r="38" spans="8:18" x14ac:dyDescent="0.25">
      <c r="H38" s="56" t="s">
        <v>73</v>
      </c>
      <c r="I38" s="47">
        <f>STDEV(Daily!E$3:E380)</f>
        <v>5.1247134569516071E-3</v>
      </c>
      <c r="J38" s="45"/>
      <c r="K38" s="14"/>
      <c r="L38" s="32"/>
      <c r="M38" s="51"/>
      <c r="N38" s="40">
        <f>STDEV(Daily!J$3:J380)</f>
        <v>6.2711983904234917E-3</v>
      </c>
      <c r="O38" s="14">
        <f>STDEV(Daily!K$3:K380)</f>
        <v>1.8102159634548203E-3</v>
      </c>
      <c r="P38" s="14">
        <f>STDEV(Daily!L$3:L380)</f>
        <v>5.9948689785730052E-3</v>
      </c>
      <c r="Q38" s="14">
        <f>STDEV(Daily!M$3:M380)</f>
        <v>3.6723290685435122E-3</v>
      </c>
      <c r="R38" s="25">
        <f>STDEV(Daily!N$3:N380)</f>
        <v>8.3567931483112135E-3</v>
      </c>
    </row>
    <row r="39" spans="8:18" x14ac:dyDescent="0.25">
      <c r="H39" s="56" t="s">
        <v>74</v>
      </c>
      <c r="I39" s="48">
        <f>COUNTIF(Daily!E$3:E380,"&gt;0")</f>
        <v>36</v>
      </c>
      <c r="J39" s="45"/>
      <c r="K39" s="14"/>
      <c r="L39" s="32"/>
      <c r="M39" s="51"/>
      <c r="N39" s="41">
        <f>COUNTIF(Daily!J$3:J380,"&gt;0")</f>
        <v>33</v>
      </c>
      <c r="O39" s="33">
        <f>COUNTIF(Daily!K$3:K380,"&gt;0")</f>
        <v>32</v>
      </c>
      <c r="P39" s="33">
        <f>COUNTIF(Daily!L$3:L380,"&gt;0")</f>
        <v>37</v>
      </c>
      <c r="Q39" s="33">
        <f>COUNTIF(Daily!M$3:M380,"&gt;0")</f>
        <v>34</v>
      </c>
      <c r="R39" s="35">
        <f>COUNTIF(Daily!N$3:N380,"&gt;0")</f>
        <v>37</v>
      </c>
    </row>
    <row r="40" spans="8:18" x14ac:dyDescent="0.25">
      <c r="H40" s="56" t="s">
        <v>80</v>
      </c>
      <c r="I40" s="47">
        <f>SUMIF(Daily!E$3:E380,"&gt;0")</f>
        <v>0.11819891634974544</v>
      </c>
      <c r="J40" s="45"/>
      <c r="K40" s="14"/>
      <c r="L40" s="32"/>
      <c r="M40" s="51"/>
      <c r="N40" s="40">
        <f>SUMIF(Daily!J$3:J380,"&gt;0")</f>
        <v>0.16710167195084624</v>
      </c>
      <c r="O40" s="14">
        <f>SUMIF(Daily!K$3:K380,"&gt;0")</f>
        <v>4.4693357658627031E-2</v>
      </c>
      <c r="P40" s="14">
        <f>SUMIF(Daily!L$3:L380,"&gt;0")</f>
        <v>0.18553247359380592</v>
      </c>
      <c r="Q40" s="14">
        <f>SUMIF(Daily!M$3:M380,"&gt;0")</f>
        <v>9.7813344215165798E-2</v>
      </c>
      <c r="R40" s="25">
        <f>SUMIF(Daily!N$3:N380,"&gt;0")</f>
        <v>0.22827866651350739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-0.14998822420070629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-8.7729950226912171E-2</v>
      </c>
      <c r="R41" s="25">
        <f>SUMIF(Daily!N$3:N380,"&lt;0")</f>
        <v>-0.20156377134514197</v>
      </c>
    </row>
    <row r="42" spans="8:18" x14ac:dyDescent="0.25">
      <c r="H42" s="56" t="s">
        <v>75</v>
      </c>
      <c r="I42" s="48">
        <f>COUNT(Daily!E$3:E380)</f>
        <v>65</v>
      </c>
      <c r="J42" s="45"/>
      <c r="K42" s="14"/>
      <c r="L42" s="32"/>
      <c r="M42" s="51"/>
      <c r="N42" s="41">
        <f>COUNT(Daily!J$3:J380)</f>
        <v>65</v>
      </c>
      <c r="O42" s="33">
        <f>COUNT(Daily!K$3:K380)</f>
        <v>65</v>
      </c>
      <c r="P42" s="33">
        <f>COUNT(Daily!L$3:L380)</f>
        <v>65</v>
      </c>
      <c r="Q42" s="33">
        <f>COUNT(Daily!M$3:M380)</f>
        <v>65</v>
      </c>
      <c r="R42" s="35">
        <f>COUNT(Daily!N$3:N380)</f>
        <v>65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32</v>
      </c>
      <c r="O43" s="33">
        <f>O42-O39</f>
        <v>33</v>
      </c>
      <c r="P43" s="33">
        <f>P42-P39</f>
        <v>28</v>
      </c>
      <c r="Q43" s="33">
        <f>Q42-Q39</f>
        <v>31</v>
      </c>
      <c r="R43" s="35">
        <f>R42-R39</f>
        <v>28</v>
      </c>
    </row>
    <row r="44" spans="8:18" x14ac:dyDescent="0.25">
      <c r="H44" s="56" t="s">
        <v>78</v>
      </c>
      <c r="I44" s="49">
        <f>(I40/I41)*(I39/I43)*-1</f>
        <v>1.1697578468882366</v>
      </c>
      <c r="J44" s="45"/>
      <c r="K44" s="14"/>
      <c r="L44" s="32"/>
      <c r="M44" s="51"/>
      <c r="N44" s="42">
        <f>(N40/N41)*(N39/N43)*-1</f>
        <v>1.1489141905481586</v>
      </c>
      <c r="O44" s="34">
        <f>(O40/O41)*(O39/O43)*-1</f>
        <v>0.95978232656681628</v>
      </c>
      <c r="P44" s="34">
        <f>(P40/P41)*(P39/P43)*-1</f>
        <v>1.9787266041264102</v>
      </c>
      <c r="Q44" s="34">
        <f>(Q40/Q41)*(Q39/Q43)*-1</f>
        <v>1.2228338377302548</v>
      </c>
      <c r="R44" s="36">
        <f>(R40/R41)*(R39/R43)*-1</f>
        <v>1.4965683077145584</v>
      </c>
    </row>
    <row r="45" spans="8:18" x14ac:dyDescent="0.25">
      <c r="H45" s="61" t="s">
        <v>77</v>
      </c>
      <c r="I45" s="62">
        <f>I39/I42</f>
        <v>0.55384615384615388</v>
      </c>
      <c r="J45" s="63"/>
      <c r="K45" s="64"/>
      <c r="L45" s="65"/>
      <c r="M45" s="66"/>
      <c r="N45" s="67">
        <f>N39/N42</f>
        <v>0.50769230769230766</v>
      </c>
      <c r="O45" s="64">
        <f>O39/O42</f>
        <v>0.49230769230769234</v>
      </c>
      <c r="P45" s="64">
        <f>P39/P42</f>
        <v>0.56923076923076921</v>
      </c>
      <c r="Q45" s="64">
        <f>Q39/Q42</f>
        <v>0.52307692307692311</v>
      </c>
      <c r="R45" s="68">
        <f>R39/R42</f>
        <v>0.56923076923076921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H55" sqref="AH55"/>
    </sheetView>
  </sheetViews>
  <sheetFormatPr defaultRowHeight="15" x14ac:dyDescent="0.25"/>
  <cols>
    <col min="1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2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67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/>
      <c r="B68" s="4"/>
      <c r="I68" s="8"/>
    </row>
    <row r="69" spans="1:40" x14ac:dyDescent="0.25">
      <c r="A69" s="9"/>
      <c r="B69" s="4"/>
    </row>
    <row r="70" spans="1:40" x14ac:dyDescent="0.25">
      <c r="B70" s="4"/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2"/>
  <sheetViews>
    <sheetView topLeftCell="A51" zoomScale="90" zoomScaleNormal="90" workbookViewId="0">
      <selection activeCell="J83" sqref="J83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B69" t="str">
        <f t="array" ref="B69">_xll.HistoricalData(B$1,"Adj. Close",$A69,$A69,"Daily","RemoveHeaders = True","ReverseOrder =True","RemoveDates =""True")</f>
        <v>--</v>
      </c>
      <c r="C69" t="str">
        <f t="array" ref="C69">_xll.HistoricalData(C$1,"Adj. Close",$A69,$A69,"Daily","RemoveHeaders = True","ReverseOrder =True","RemoveDates =""True")</f>
        <v>--</v>
      </c>
      <c r="D69" t="str">
        <f t="array" ref="D69">_xll.HistoricalData(D$1,"Adj. Close",$A69,$A69,"Daily","RemoveHeaders = True","ReverseOrder =True","RemoveDates =""True")</f>
        <v>--</v>
      </c>
      <c r="E69" t="str">
        <f t="array" ref="E69">_xll.HistoricalData(E$1,"Adj. Close",$A69,$A69,"Daily","RemoveHeaders = True","ReverseOrder =True","RemoveDates =""True")</f>
        <v>--</v>
      </c>
      <c r="G69" s="5" t="e">
        <f t="shared" si="216"/>
        <v>#VALUE!</v>
      </c>
      <c r="H69" s="5" t="e">
        <f t="shared" si="217"/>
        <v>#VALUE!</v>
      </c>
      <c r="I69" s="5" t="e">
        <f t="shared" si="218"/>
        <v>#VALUE!</v>
      </c>
      <c r="J69" s="5" t="e">
        <f t="shared" si="219"/>
        <v>#VALUE!</v>
      </c>
    </row>
    <row r="70" spans="1:10" x14ac:dyDescent="0.25">
      <c r="B70" t="str">
        <f t="array" ref="B70">_xll.HistoricalData(B$1,"Adj. Close",$A70,$A70,"Daily","RemoveHeaders = True","ReverseOrder =True","RemoveDates =""True")</f>
        <v>--</v>
      </c>
      <c r="C70" t="str">
        <f t="array" ref="C70">_xll.HistoricalData(C$1,"Adj. Close",$A70,$A70,"Daily","RemoveHeaders = True","ReverseOrder =True","RemoveDates =""True")</f>
        <v>--</v>
      </c>
      <c r="D70" t="str">
        <f t="array" ref="D70">_xll.HistoricalData(D$1,"Adj. Close",$A70,$A70,"Daily","RemoveHeaders = True","ReverseOrder =True","RemoveDates =""True")</f>
        <v>--</v>
      </c>
      <c r="E70" t="str">
        <f t="array" ref="E70">_xll.HistoricalData(E$1,"Adj. Close",$A70,$A70,"Daily","RemoveHeaders = True","ReverseOrder =True","RemoveDates =""True")</f>
        <v>--</v>
      </c>
      <c r="G70" s="5" t="e">
        <f t="shared" si="216"/>
        <v>#VALUE!</v>
      </c>
      <c r="H70" s="5" t="e">
        <f t="shared" si="217"/>
        <v>#VALUE!</v>
      </c>
      <c r="I70" s="5" t="e">
        <f t="shared" si="218"/>
        <v>#VALUE!</v>
      </c>
      <c r="J70" s="5" t="e">
        <f t="shared" si="219"/>
        <v>#VALUE!</v>
      </c>
    </row>
    <row r="71" spans="1:10" x14ac:dyDescent="0.25">
      <c r="B71" t="str">
        <f t="array" ref="B71">_xll.HistoricalData(B$1,"Adj. Close",$A71,$A71,"Daily","RemoveHeaders = True","ReverseOrder =True","RemoveDates =""True")</f>
        <v>--</v>
      </c>
      <c r="C71" t="str">
        <f t="array" ref="C71">_xll.HistoricalData(C$1,"Adj. Close",$A71,$A71,"Daily","RemoveHeaders = True","ReverseOrder =True","RemoveDates =""True")</f>
        <v>--</v>
      </c>
      <c r="D71" t="str">
        <f t="array" ref="D71">_xll.HistoricalData(D$1,"Adj. Close",$A71,$A71,"Daily","RemoveHeaders = True","ReverseOrder =True","RemoveDates =""True")</f>
        <v>--</v>
      </c>
      <c r="E71" t="str">
        <f t="array" ref="E71">_xll.HistoricalData(E$1,"Adj. Close",$A71,$A71,"Daily","RemoveHeaders = True","ReverseOrder =True","RemoveDates =""True")</f>
        <v>--</v>
      </c>
      <c r="G71" s="5" t="e">
        <f t="shared" si="216"/>
        <v>#VALUE!</v>
      </c>
      <c r="H71" s="5" t="e">
        <f t="shared" si="217"/>
        <v>#VALUE!</v>
      </c>
      <c r="I71" s="5" t="e">
        <f t="shared" si="218"/>
        <v>#VALUE!</v>
      </c>
      <c r="J71" s="5" t="e">
        <f t="shared" si="219"/>
        <v>#VALUE!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Daily</vt:lpstr>
      <vt:lpstr>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2018-08-02T17:05:55Z</dcterms:modified>
</cp:coreProperties>
</file>