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ython27\Git\SMA_GTAA\"/>
    </mc:Choice>
  </mc:AlternateContent>
  <bookViews>
    <workbookView xWindow="0" yWindow="0" windowWidth="28800" windowHeight="12135" activeTab="3"/>
  </bookViews>
  <sheets>
    <sheet name="Portfolio" sheetId="1" r:id="rId1"/>
    <sheet name="Daily" sheetId="2" r:id="rId2"/>
    <sheet name="Prices" sheetId="3" r:id="rId3"/>
    <sheet name="Sheet1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3" i="2" l="1"/>
  <c r="F83" i="2" s="1"/>
  <c r="J83" i="2"/>
  <c r="P83" i="2" s="1"/>
  <c r="K83" i="2"/>
  <c r="Q83" i="2" s="1"/>
  <c r="L83" i="2"/>
  <c r="R83" i="2" s="1"/>
  <c r="N83" i="2"/>
  <c r="T83" i="2" s="1"/>
  <c r="B83" i="2"/>
  <c r="D83" i="2"/>
  <c r="X83" i="2" l="1"/>
  <c r="AL83" i="2"/>
  <c r="AD83" i="2"/>
  <c r="W83" i="2"/>
  <c r="AK83" i="2"/>
  <c r="AC83" i="2"/>
  <c r="AJ83" i="2"/>
  <c r="V83" i="2"/>
  <c r="AB83" i="2"/>
  <c r="Z83" i="2"/>
  <c r="AN83" i="2"/>
  <c r="AF83" i="2"/>
  <c r="G83" i="2"/>
  <c r="H83" i="2"/>
  <c r="AI83" i="2"/>
  <c r="M83" i="2"/>
  <c r="S83" i="2" s="1"/>
  <c r="E82" i="2"/>
  <c r="F82" i="2"/>
  <c r="AI82" i="2" s="1"/>
  <c r="J82" i="2"/>
  <c r="K82" i="2"/>
  <c r="L82" i="2"/>
  <c r="N82" i="2"/>
  <c r="B82" i="2"/>
  <c r="D82" i="2"/>
  <c r="Y83" i="2" l="1"/>
  <c r="AM83" i="2"/>
  <c r="AE83" i="2"/>
  <c r="M82" i="2"/>
  <c r="H82" i="2"/>
  <c r="G82" i="2"/>
  <c r="E81" i="2"/>
  <c r="F81" i="2"/>
  <c r="AI81" i="2" s="1"/>
  <c r="J81" i="2"/>
  <c r="K81" i="2"/>
  <c r="L81" i="2"/>
  <c r="N81" i="2"/>
  <c r="B81" i="2"/>
  <c r="D81" i="2"/>
  <c r="M81" i="2" l="1"/>
  <c r="H81" i="2"/>
  <c r="G81" i="2"/>
  <c r="E80" i="2"/>
  <c r="F80" i="2"/>
  <c r="G80" i="2" s="1"/>
  <c r="AI80" i="2"/>
  <c r="B80" i="2"/>
  <c r="D80" i="2"/>
  <c r="H80" i="2" l="1"/>
  <c r="E79" i="2"/>
  <c r="F79" i="2"/>
  <c r="G79" i="2" s="1"/>
  <c r="B79" i="2"/>
  <c r="D79" i="2"/>
  <c r="AI79" i="2" l="1"/>
  <c r="H79" i="2"/>
  <c r="E78" i="2"/>
  <c r="F78" i="2"/>
  <c r="G78" i="2" s="1"/>
  <c r="J78" i="2"/>
  <c r="K78" i="2"/>
  <c r="L78" i="2"/>
  <c r="N78" i="2"/>
  <c r="AI78" i="2"/>
  <c r="B78" i="2"/>
  <c r="D78" i="2"/>
  <c r="M78" i="2" l="1"/>
  <c r="H78" i="2"/>
  <c r="B76" i="2"/>
  <c r="E77" i="2"/>
  <c r="F77" i="2"/>
  <c r="G77" i="2" s="1"/>
  <c r="J77" i="2"/>
  <c r="K77" i="2"/>
  <c r="L77" i="2"/>
  <c r="N77" i="2"/>
  <c r="B77" i="2"/>
  <c r="D77" i="2"/>
  <c r="M77" i="2" l="1"/>
  <c r="AI77" i="2"/>
  <c r="H77" i="2"/>
  <c r="E76" i="2"/>
  <c r="F76" i="2" s="1"/>
  <c r="J76" i="2"/>
  <c r="K76" i="2"/>
  <c r="L76" i="2"/>
  <c r="N76" i="2"/>
  <c r="D76" i="2"/>
  <c r="B86" i="3" a="1"/>
  <c r="C85" i="3" a="1"/>
  <c r="E86" i="3" a="1"/>
  <c r="C87" i="3" a="1"/>
  <c r="D85" i="3" a="1"/>
  <c r="C86" i="3" a="1"/>
  <c r="D86" i="3" a="1"/>
  <c r="D87" i="3" a="1"/>
  <c r="E85" i="3" a="1"/>
  <c r="E87" i="3" a="1"/>
  <c r="B85" i="3" a="1"/>
  <c r="B87" i="3" a="1"/>
  <c r="C79" i="3" a="1"/>
  <c r="B79" i="3" a="1"/>
  <c r="E79" i="3" a="1"/>
  <c r="D79" i="3" a="1"/>
  <c r="C80" i="3" a="1"/>
  <c r="D80" i="3" a="1"/>
  <c r="E80" i="3" a="1"/>
  <c r="B80" i="3" a="1"/>
  <c r="B81" i="3" a="1"/>
  <c r="D81" i="3" a="1"/>
  <c r="E81" i="3" a="1"/>
  <c r="C81" i="3" a="1"/>
  <c r="C82" i="3" a="1"/>
  <c r="B82" i="3" a="1"/>
  <c r="D82" i="3" a="1"/>
  <c r="E82" i="3" a="1"/>
  <c r="B83" i="3" a="1"/>
  <c r="D83" i="3" a="1"/>
  <c r="C83" i="3" a="1"/>
  <c r="E83" i="3" a="1"/>
  <c r="E84" i="3" a="1"/>
  <c r="B84" i="3" a="1"/>
  <c r="D84" i="3" a="1"/>
  <c r="C84" i="3" a="1"/>
  <c r="B80" i="3" l="1"/>
  <c r="B87" i="3"/>
  <c r="B85" i="3"/>
  <c r="G85" i="3" s="1"/>
  <c r="B83" i="3"/>
  <c r="B81" i="3"/>
  <c r="B79" i="3"/>
  <c r="E87" i="3"/>
  <c r="E85" i="3"/>
  <c r="J85" i="3" s="1"/>
  <c r="E83" i="3"/>
  <c r="J83" i="3" s="1"/>
  <c r="E81" i="3"/>
  <c r="E79" i="3"/>
  <c r="D87" i="3"/>
  <c r="B84" i="3"/>
  <c r="D86" i="3"/>
  <c r="D84" i="3"/>
  <c r="D82" i="3"/>
  <c r="D80" i="3"/>
  <c r="I80" i="3" s="1"/>
  <c r="L79" i="2" s="1"/>
  <c r="C86" i="3"/>
  <c r="C84" i="3"/>
  <c r="C82" i="3"/>
  <c r="C80" i="3"/>
  <c r="D85" i="3"/>
  <c r="I85" i="3" s="1"/>
  <c r="D79" i="3"/>
  <c r="D83" i="3"/>
  <c r="I83" i="3" s="1"/>
  <c r="D81" i="3"/>
  <c r="I81" i="3" s="1"/>
  <c r="L80" i="2" s="1"/>
  <c r="C87" i="3"/>
  <c r="H87" i="3" s="1"/>
  <c r="E86" i="3"/>
  <c r="J86" i="3" s="1"/>
  <c r="C85" i="3"/>
  <c r="H85" i="3" s="1"/>
  <c r="E84" i="3"/>
  <c r="C83" i="3"/>
  <c r="E82" i="3"/>
  <c r="J82" i="3" s="1"/>
  <c r="C81" i="3"/>
  <c r="H81" i="3" s="1"/>
  <c r="K80" i="2" s="1"/>
  <c r="E80" i="3"/>
  <c r="C79" i="3"/>
  <c r="B86" i="3"/>
  <c r="G86" i="3" s="1"/>
  <c r="B82" i="3"/>
  <c r="G82" i="3" s="1"/>
  <c r="G76" i="2"/>
  <c r="AI76" i="2"/>
  <c r="H76" i="2"/>
  <c r="M76" i="2"/>
  <c r="E75" i="2"/>
  <c r="F75" i="2"/>
  <c r="G75" i="2" s="1"/>
  <c r="J75" i="2"/>
  <c r="K75" i="2"/>
  <c r="L75" i="2"/>
  <c r="N75" i="2"/>
  <c r="B75" i="2"/>
  <c r="D75" i="2"/>
  <c r="H83" i="3" l="1"/>
  <c r="H82" i="3"/>
  <c r="J80" i="3"/>
  <c r="N79" i="2" s="1"/>
  <c r="G80" i="3"/>
  <c r="J79" i="2" s="1"/>
  <c r="I87" i="3"/>
  <c r="G83" i="3"/>
  <c r="I82" i="3"/>
  <c r="I84" i="3"/>
  <c r="J87" i="3"/>
  <c r="I86" i="3"/>
  <c r="J84" i="3"/>
  <c r="H80" i="3"/>
  <c r="K79" i="2" s="1"/>
  <c r="G84" i="3"/>
  <c r="G81" i="3"/>
  <c r="J80" i="2" s="1"/>
  <c r="M75" i="2"/>
  <c r="H84" i="3"/>
  <c r="H86" i="3"/>
  <c r="J81" i="3"/>
  <c r="N80" i="2" s="1"/>
  <c r="G87" i="3"/>
  <c r="AI75" i="2"/>
  <c r="H75" i="2"/>
  <c r="E74" i="2"/>
  <c r="F74" i="2" s="1"/>
  <c r="J74" i="2"/>
  <c r="K74" i="2"/>
  <c r="L74" i="2"/>
  <c r="N74" i="2"/>
  <c r="B74" i="2"/>
  <c r="D74" i="2"/>
  <c r="M80" i="2" l="1"/>
  <c r="M79" i="2"/>
  <c r="M74" i="2"/>
  <c r="G74" i="2"/>
  <c r="H74" i="2"/>
  <c r="AI74" i="2"/>
  <c r="E73" i="2"/>
  <c r="F73" i="2" s="1"/>
  <c r="J73" i="2"/>
  <c r="K73" i="2"/>
  <c r="L73" i="2"/>
  <c r="N73" i="2"/>
  <c r="B73" i="2"/>
  <c r="D73" i="2"/>
  <c r="G73" i="2" l="1"/>
  <c r="H73" i="2"/>
  <c r="AI73" i="2"/>
  <c r="M73" i="2"/>
  <c r="E72" i="2"/>
  <c r="F72" i="2" s="1"/>
  <c r="J72" i="2"/>
  <c r="K72" i="2"/>
  <c r="L72" i="2"/>
  <c r="N72" i="2"/>
  <c r="B72" i="2"/>
  <c r="D72" i="2"/>
  <c r="G72" i="2" l="1"/>
  <c r="H72" i="2"/>
  <c r="AI72" i="2"/>
  <c r="M72" i="2"/>
  <c r="E71" i="2"/>
  <c r="F71" i="2" s="1"/>
  <c r="J71" i="2"/>
  <c r="K71" i="2"/>
  <c r="L71" i="2"/>
  <c r="N71" i="2"/>
  <c r="B71" i="2"/>
  <c r="D71" i="2"/>
  <c r="G71" i="2" l="1"/>
  <c r="H71" i="2"/>
  <c r="AI71" i="2"/>
  <c r="M71" i="2"/>
  <c r="E70" i="2"/>
  <c r="F70" i="2" s="1"/>
  <c r="J70" i="2"/>
  <c r="K70" i="2"/>
  <c r="L70" i="2"/>
  <c r="N70" i="2"/>
  <c r="B70" i="2"/>
  <c r="D70" i="2"/>
  <c r="G70" i="2" l="1"/>
  <c r="H70" i="2"/>
  <c r="AI70" i="2"/>
  <c r="M70" i="2"/>
  <c r="C73" i="3" a="1"/>
  <c r="E73" i="3" a="1"/>
  <c r="D73" i="3" a="1"/>
  <c r="B73" i="3" a="1"/>
  <c r="C74" i="3" a="1"/>
  <c r="E74" i="3" a="1"/>
  <c r="B74" i="3" a="1"/>
  <c r="D74" i="3" a="1"/>
  <c r="C75" i="3" a="1"/>
  <c r="E75" i="3" a="1"/>
  <c r="B75" i="3" a="1"/>
  <c r="D75" i="3" a="1"/>
  <c r="C76" i="3" a="1"/>
  <c r="D76" i="3" a="1"/>
  <c r="B76" i="3" a="1"/>
  <c r="E76" i="3" a="1"/>
  <c r="E77" i="3" a="1"/>
  <c r="B77" i="3" a="1"/>
  <c r="C77" i="3" a="1"/>
  <c r="D77" i="3" a="1"/>
  <c r="B78" i="3" a="1"/>
  <c r="D78" i="3" a="1"/>
  <c r="E78" i="3" a="1"/>
  <c r="C78" i="3" a="1"/>
  <c r="E75" i="3" l="1"/>
  <c r="C74" i="3"/>
  <c r="E73" i="3"/>
  <c r="C78" i="3"/>
  <c r="H79" i="3" s="1"/>
  <c r="D77" i="3"/>
  <c r="B76" i="3"/>
  <c r="D75" i="3"/>
  <c r="B74" i="3"/>
  <c r="D73" i="3"/>
  <c r="E77" i="3"/>
  <c r="B78" i="3"/>
  <c r="G79" i="3" s="1"/>
  <c r="E78" i="3"/>
  <c r="J79" i="3" s="1"/>
  <c r="C77" i="3"/>
  <c r="C75" i="3"/>
  <c r="H75" i="3" s="1"/>
  <c r="C73" i="3"/>
  <c r="C76" i="3"/>
  <c r="H76" i="3" s="1"/>
  <c r="E76" i="3"/>
  <c r="J76" i="3" s="1"/>
  <c r="E74" i="3"/>
  <c r="D78" i="3"/>
  <c r="B77" i="3"/>
  <c r="G77" i="3" s="1"/>
  <c r="D76" i="3"/>
  <c r="I76" i="3" s="1"/>
  <c r="B75" i="3"/>
  <c r="D74" i="3"/>
  <c r="B73" i="3"/>
  <c r="B37" i="4"/>
  <c r="B40" i="4"/>
  <c r="B38" i="4"/>
  <c r="B39" i="4"/>
  <c r="B6" i="4"/>
  <c r="B10" i="4"/>
  <c r="B7" i="4"/>
  <c r="B8" i="4"/>
  <c r="B9" i="4"/>
  <c r="B5" i="4"/>
  <c r="C37" i="4"/>
  <c r="C40" i="4"/>
  <c r="C8" i="4"/>
  <c r="C5" i="4"/>
  <c r="C7" i="4"/>
  <c r="C6" i="4"/>
  <c r="C39" i="4"/>
  <c r="C20" i="4"/>
  <c r="C10" i="4"/>
  <c r="C9" i="4"/>
  <c r="C38" i="4"/>
  <c r="C21" i="4"/>
  <c r="I78" i="3" l="1"/>
  <c r="I79" i="3"/>
  <c r="J78" i="3"/>
  <c r="J75" i="3"/>
  <c r="D40" i="4"/>
  <c r="I74" i="3"/>
  <c r="I75" i="3"/>
  <c r="G75" i="3"/>
  <c r="G76" i="3"/>
  <c r="G74" i="3"/>
  <c r="H77" i="3"/>
  <c r="I77" i="3"/>
  <c r="H78" i="3"/>
  <c r="G78" i="3"/>
  <c r="J74" i="3"/>
  <c r="J77" i="3"/>
  <c r="H74" i="3"/>
  <c r="D37" i="4"/>
  <c r="F20" i="4"/>
  <c r="D39" i="4"/>
  <c r="D38" i="4"/>
  <c r="E69" i="2"/>
  <c r="F69" i="2"/>
  <c r="G69" i="2" s="1"/>
  <c r="J69" i="2"/>
  <c r="K69" i="2"/>
  <c r="L69" i="2"/>
  <c r="N69" i="2"/>
  <c r="B69" i="2"/>
  <c r="D69" i="2"/>
  <c r="B21" i="4"/>
  <c r="B22" i="4"/>
  <c r="B23" i="4"/>
  <c r="B20" i="4"/>
  <c r="F37" i="4" l="1"/>
  <c r="M69" i="2"/>
  <c r="AI69" i="2"/>
  <c r="H69" i="2"/>
  <c r="C3" i="4" l="1"/>
  <c r="C2" i="4"/>
  <c r="W1" i="4" a="1"/>
  <c r="C23" i="4"/>
  <c r="C22" i="4"/>
  <c r="D5" i="4" l="1"/>
  <c r="D23" i="4"/>
  <c r="J23" i="4" s="1"/>
  <c r="D8" i="4"/>
  <c r="D9" i="4"/>
  <c r="D10" i="4"/>
  <c r="D6" i="4"/>
  <c r="D7" i="4"/>
  <c r="D21" i="4"/>
  <c r="D22" i="4"/>
  <c r="D20" i="4"/>
  <c r="E5" i="4"/>
  <c r="W1" i="4"/>
  <c r="E8" i="4"/>
  <c r="F23" i="4"/>
  <c r="F22" i="4"/>
  <c r="F21" i="4"/>
  <c r="E7" i="4"/>
  <c r="E9" i="4"/>
  <c r="E10" i="4"/>
  <c r="E6" i="4"/>
  <c r="Q3" i="1"/>
  <c r="Q4" i="1"/>
  <c r="Q5" i="1"/>
  <c r="Q6" i="1"/>
  <c r="Q7" i="1"/>
  <c r="Q8" i="1"/>
  <c r="Q9" i="1"/>
  <c r="Q10" i="1"/>
  <c r="Q11" i="1"/>
  <c r="Q12" i="1"/>
  <c r="Q2" i="1"/>
  <c r="F6" i="4" l="1"/>
  <c r="I6" i="4"/>
  <c r="F9" i="4"/>
  <c r="I9" i="4"/>
  <c r="F10" i="4"/>
  <c r="I10" i="4"/>
  <c r="I5" i="4"/>
  <c r="F5" i="4"/>
  <c r="F7" i="4"/>
  <c r="I7" i="4"/>
  <c r="F8" i="4"/>
  <c r="I8" i="4"/>
  <c r="G21" i="4"/>
  <c r="J21" i="4"/>
  <c r="J20" i="4"/>
  <c r="J27" i="4" s="1"/>
  <c r="J28" i="4" s="1"/>
  <c r="G20" i="4"/>
  <c r="G23" i="4"/>
  <c r="G22" i="4"/>
  <c r="J22" i="4"/>
  <c r="E68" i="2"/>
  <c r="F68" i="2" s="1"/>
  <c r="B68" i="2"/>
  <c r="D68" i="2"/>
  <c r="I12" i="4" l="1"/>
  <c r="I13" i="4" s="1"/>
  <c r="F13" i="4" s="1"/>
  <c r="G27" i="4"/>
  <c r="G28" i="4" s="1"/>
  <c r="G68" i="2"/>
  <c r="H68" i="2"/>
  <c r="AI68" i="2"/>
  <c r="F14" i="4" l="1"/>
  <c r="G9" i="4"/>
  <c r="G7" i="4"/>
  <c r="G5" i="4"/>
  <c r="G8" i="4"/>
  <c r="G6" i="4"/>
  <c r="G10" i="4"/>
  <c r="H21" i="4"/>
  <c r="H20" i="4"/>
  <c r="H22" i="4"/>
  <c r="H23" i="4"/>
  <c r="F31" i="4"/>
  <c r="O20" i="1"/>
  <c r="P12" i="1"/>
  <c r="N12" i="1"/>
  <c r="T12" i="1"/>
  <c r="L13" i="1" a="1"/>
  <c r="U11" i="1"/>
  <c r="U9" i="1"/>
  <c r="U8" i="1"/>
  <c r="M12" i="1"/>
  <c r="U3" i="1"/>
  <c r="L12" i="1" a="1"/>
  <c r="U10" i="1"/>
  <c r="U6" i="1"/>
  <c r="U12" i="1"/>
  <c r="U7" i="1"/>
  <c r="U5" i="1"/>
  <c r="U4" i="1"/>
  <c r="U2" i="1"/>
  <c r="B12" i="1"/>
  <c r="U14" i="1" l="1" a="1"/>
  <c r="U14" i="1" s="1"/>
  <c r="V14" i="1" s="1"/>
  <c r="F33" i="4"/>
  <c r="H33" i="4" s="1"/>
  <c r="G2" i="4"/>
  <c r="H17" i="4"/>
  <c r="I20" i="4"/>
  <c r="H6" i="4"/>
  <c r="H10" i="4"/>
  <c r="H9" i="4"/>
  <c r="H8" i="4"/>
  <c r="H5" i="4"/>
  <c r="I23" i="4"/>
  <c r="I22" i="4"/>
  <c r="H7" i="4"/>
  <c r="I21" i="4"/>
  <c r="L13" i="1"/>
  <c r="E67" i="2"/>
  <c r="F67" i="2" s="1"/>
  <c r="J67" i="2"/>
  <c r="K67" i="2"/>
  <c r="L67" i="2"/>
  <c r="N67" i="2"/>
  <c r="B67" i="2"/>
  <c r="D67" i="2"/>
  <c r="E68" i="3" a="1"/>
  <c r="C68" i="3" a="1"/>
  <c r="D68" i="3" a="1"/>
  <c r="B68" i="3" a="1"/>
  <c r="B69" i="3" a="1"/>
  <c r="C69" i="3" a="1"/>
  <c r="E69" i="3" a="1"/>
  <c r="D69" i="3" a="1"/>
  <c r="D70" i="3" a="1"/>
  <c r="C70" i="3" a="1"/>
  <c r="E70" i="3" a="1"/>
  <c r="B70" i="3" a="1"/>
  <c r="E71" i="3" a="1"/>
  <c r="D71" i="3" a="1"/>
  <c r="C71" i="3" a="1"/>
  <c r="B71" i="3" a="1"/>
  <c r="C72" i="3" a="1"/>
  <c r="D72" i="3" a="1"/>
  <c r="B72" i="3" a="1"/>
  <c r="E72" i="3" a="1"/>
  <c r="L12" i="1"/>
  <c r="G67" i="2" l="1"/>
  <c r="H67" i="2"/>
  <c r="AI67" i="2"/>
  <c r="M67" i="2"/>
  <c r="C71" i="3"/>
  <c r="D72" i="3"/>
  <c r="I73" i="3" s="1"/>
  <c r="B72" i="3"/>
  <c r="D71" i="3"/>
  <c r="I71" i="3" s="1"/>
  <c r="B70" i="3"/>
  <c r="G70" i="3" s="1"/>
  <c r="B68" i="3"/>
  <c r="G68" i="3" s="1"/>
  <c r="E70" i="3"/>
  <c r="D68" i="3"/>
  <c r="I68" i="3" s="1"/>
  <c r="D70" i="3"/>
  <c r="I70" i="3" s="1"/>
  <c r="C69" i="3"/>
  <c r="H69" i="3" s="1"/>
  <c r="K68" i="2" s="1"/>
  <c r="B69" i="3"/>
  <c r="G69" i="3" s="1"/>
  <c r="J68" i="2" s="1"/>
  <c r="C72" i="3"/>
  <c r="E71" i="3"/>
  <c r="J71" i="3" s="1"/>
  <c r="C70" i="3"/>
  <c r="H70" i="3" s="1"/>
  <c r="E69" i="3"/>
  <c r="J69" i="3" s="1"/>
  <c r="N68" i="2" s="1"/>
  <c r="C68" i="3"/>
  <c r="H68" i="3" s="1"/>
  <c r="E72" i="3"/>
  <c r="B71" i="3"/>
  <c r="E68" i="3"/>
  <c r="J68" i="3" s="1"/>
  <c r="D69" i="3"/>
  <c r="I69" i="3" s="1"/>
  <c r="L68" i="2" s="1"/>
  <c r="J72" i="3" l="1"/>
  <c r="J73" i="3"/>
  <c r="H72" i="3"/>
  <c r="H73" i="3"/>
  <c r="G72" i="3"/>
  <c r="G73" i="3"/>
  <c r="G71" i="3"/>
  <c r="H71" i="3"/>
  <c r="M68" i="2"/>
  <c r="J70" i="3"/>
  <c r="I72" i="3"/>
  <c r="I46" i="1"/>
  <c r="AI32" i="2"/>
  <c r="AI33" i="2"/>
  <c r="AI34" i="2"/>
  <c r="AI35" i="2"/>
  <c r="AI36" i="2"/>
  <c r="AI37" i="2"/>
  <c r="AI38" i="2"/>
  <c r="AI39" i="2"/>
  <c r="AI40" i="2"/>
  <c r="AI41" i="2"/>
  <c r="AI42" i="2"/>
  <c r="AI43" i="2"/>
  <c r="AI44" i="2"/>
  <c r="AI45" i="2"/>
  <c r="AI46" i="2"/>
  <c r="AI47" i="2"/>
  <c r="AI48" i="2"/>
  <c r="AI49" i="2"/>
  <c r="AI50" i="2"/>
  <c r="AI51" i="2"/>
  <c r="AI52" i="2"/>
  <c r="AI53" i="2"/>
  <c r="AI54" i="2"/>
  <c r="AI55" i="2"/>
  <c r="AI56" i="2"/>
  <c r="AI57" i="2"/>
  <c r="AI58" i="2"/>
  <c r="AI59" i="2"/>
  <c r="AI60" i="2"/>
  <c r="AI61" i="2"/>
  <c r="AI62" i="2"/>
  <c r="AI63" i="2"/>
  <c r="AI64" i="2"/>
  <c r="AI65" i="2"/>
  <c r="AI66" i="2"/>
  <c r="AI31" i="2"/>
  <c r="E66" i="2"/>
  <c r="F66" i="2" s="1"/>
  <c r="J66" i="2"/>
  <c r="K66" i="2"/>
  <c r="L66" i="2"/>
  <c r="N66" i="2"/>
  <c r="B66" i="2"/>
  <c r="D66" i="2"/>
  <c r="C67" i="3" a="1"/>
  <c r="D67" i="3" a="1"/>
  <c r="E67" i="3" a="1"/>
  <c r="B67" i="3" a="1"/>
  <c r="G66" i="2" l="1"/>
  <c r="H66" i="2"/>
  <c r="M66" i="2"/>
  <c r="B67" i="3"/>
  <c r="G67" i="3" s="1"/>
  <c r="E67" i="3"/>
  <c r="J67" i="3" s="1"/>
  <c r="D67" i="3"/>
  <c r="I67" i="3" s="1"/>
  <c r="C67" i="3"/>
  <c r="H67" i="3" s="1"/>
  <c r="E65" i="2"/>
  <c r="F65" i="2" s="1"/>
  <c r="J65" i="2"/>
  <c r="K65" i="2"/>
  <c r="L65" i="2"/>
  <c r="N65" i="2"/>
  <c r="B65" i="2"/>
  <c r="D65" i="2"/>
  <c r="G65" i="2" l="1"/>
  <c r="H65" i="2"/>
  <c r="M65" i="2"/>
  <c r="E64" i="2"/>
  <c r="F64" i="2" s="1"/>
  <c r="J64" i="2"/>
  <c r="K64" i="2"/>
  <c r="L64" i="2"/>
  <c r="N64" i="2"/>
  <c r="B64" i="2"/>
  <c r="D64" i="2"/>
  <c r="M64" i="2" l="1"/>
  <c r="G64" i="2"/>
  <c r="H64" i="2"/>
  <c r="D63" i="2"/>
  <c r="E63" i="2" s="1"/>
  <c r="B64" i="3" a="1"/>
  <c r="C64" i="3" a="1"/>
  <c r="D64" i="3" a="1"/>
  <c r="E64" i="3" a="1"/>
  <c r="C65" i="3" a="1"/>
  <c r="D65" i="3" a="1"/>
  <c r="E65" i="3" a="1"/>
  <c r="B65" i="3" a="1"/>
  <c r="D66" i="3" a="1"/>
  <c r="E66" i="3" a="1"/>
  <c r="B66" i="3" a="1"/>
  <c r="C66" i="3" a="1"/>
  <c r="D66" i="3" l="1"/>
  <c r="I66" i="3" s="1"/>
  <c r="B65" i="3"/>
  <c r="G65" i="3" s="1"/>
  <c r="C66" i="3"/>
  <c r="H66" i="3" s="1"/>
  <c r="E65" i="3"/>
  <c r="J65" i="3" s="1"/>
  <c r="B66" i="3"/>
  <c r="G66" i="3" s="1"/>
  <c r="D65" i="3"/>
  <c r="I65" i="3" s="1"/>
  <c r="E66" i="3"/>
  <c r="J66" i="3" s="1"/>
  <c r="C65" i="3"/>
  <c r="H65" i="3" s="1"/>
  <c r="E64" i="3"/>
  <c r="J64" i="3" s="1"/>
  <c r="N63" i="2" s="1"/>
  <c r="D64" i="3"/>
  <c r="I64" i="3" s="1"/>
  <c r="L63" i="2" s="1"/>
  <c r="C64" i="3"/>
  <c r="H64" i="3" s="1"/>
  <c r="K63" i="2" s="1"/>
  <c r="B64" i="3"/>
  <c r="G64" i="3" s="1"/>
  <c r="J63" i="2" s="1"/>
  <c r="E62" i="2"/>
  <c r="J62" i="2"/>
  <c r="K62" i="2"/>
  <c r="L62" i="2"/>
  <c r="N62" i="2"/>
  <c r="D62" i="2"/>
  <c r="M63" i="2" l="1"/>
  <c r="M62" i="2"/>
  <c r="E61" i="2"/>
  <c r="J61" i="2"/>
  <c r="K61" i="2"/>
  <c r="L61" i="2"/>
  <c r="N61" i="2"/>
  <c r="B62" i="2"/>
  <c r="B63" i="2"/>
  <c r="B61" i="2"/>
  <c r="D61" i="2"/>
  <c r="C62" i="3" a="1"/>
  <c r="E62" i="3" a="1"/>
  <c r="D62" i="3" a="1"/>
  <c r="B62" i="3" a="1"/>
  <c r="C63" i="3" a="1"/>
  <c r="E63" i="3" a="1"/>
  <c r="D63" i="3" a="1"/>
  <c r="B63" i="3" a="1"/>
  <c r="B63" i="3" l="1"/>
  <c r="G63" i="3" s="1"/>
  <c r="D63" i="3"/>
  <c r="I63" i="3" s="1"/>
  <c r="E63" i="3"/>
  <c r="J63" i="3" s="1"/>
  <c r="C63" i="3"/>
  <c r="H63" i="3" s="1"/>
  <c r="M61" i="2"/>
  <c r="B62" i="3"/>
  <c r="G62" i="3" s="1"/>
  <c r="D62" i="3"/>
  <c r="I62" i="3" s="1"/>
  <c r="E62" i="3"/>
  <c r="J62" i="3" s="1"/>
  <c r="C62" i="3"/>
  <c r="H62" i="3" s="1"/>
  <c r="E60" i="2"/>
  <c r="J60" i="2"/>
  <c r="K60" i="2"/>
  <c r="L60" i="2"/>
  <c r="N60" i="2"/>
  <c r="B60" i="2"/>
  <c r="D60" i="2"/>
  <c r="C61" i="3" a="1"/>
  <c r="D61" i="3" a="1"/>
  <c r="E61" i="3" a="1"/>
  <c r="B61" i="3" a="1"/>
  <c r="M60" i="2" l="1"/>
  <c r="B61" i="3"/>
  <c r="G61" i="3" s="1"/>
  <c r="E61" i="3"/>
  <c r="J61" i="3" s="1"/>
  <c r="D61" i="3"/>
  <c r="I61" i="3" s="1"/>
  <c r="C61" i="3"/>
  <c r="H61" i="3" s="1"/>
  <c r="E59" i="2"/>
  <c r="J59" i="2"/>
  <c r="K59" i="2"/>
  <c r="L59" i="2"/>
  <c r="N59" i="2"/>
  <c r="B59" i="2"/>
  <c r="D59" i="2"/>
  <c r="B60" i="3" a="1"/>
  <c r="C60" i="3" a="1"/>
  <c r="E60" i="3" a="1"/>
  <c r="D60" i="3" a="1"/>
  <c r="M59" i="2" l="1"/>
  <c r="D60" i="3"/>
  <c r="I60" i="3" s="1"/>
  <c r="E60" i="3"/>
  <c r="J60" i="3" s="1"/>
  <c r="C60" i="3"/>
  <c r="H60" i="3" s="1"/>
  <c r="B60" i="3"/>
  <c r="G60" i="3" s="1"/>
  <c r="E58" i="2"/>
  <c r="J58" i="2"/>
  <c r="K58" i="2"/>
  <c r="L58" i="2"/>
  <c r="N58" i="2"/>
  <c r="B58" i="2"/>
  <c r="D58" i="2"/>
  <c r="B59" i="3" a="1"/>
  <c r="D59" i="3" a="1"/>
  <c r="C59" i="3" a="1"/>
  <c r="E59" i="3" a="1"/>
  <c r="M58" i="2" l="1"/>
  <c r="E59" i="3"/>
  <c r="J59" i="3" s="1"/>
  <c r="C59" i="3"/>
  <c r="H59" i="3" s="1"/>
  <c r="D59" i="3"/>
  <c r="I59" i="3" s="1"/>
  <c r="B59" i="3"/>
  <c r="G59" i="3" s="1"/>
  <c r="E57" i="2"/>
  <c r="J57" i="2"/>
  <c r="K57" i="2"/>
  <c r="L57" i="2"/>
  <c r="N57" i="2"/>
  <c r="B57" i="2"/>
  <c r="D57" i="2"/>
  <c r="B58" i="3" a="1"/>
  <c r="D58" i="3" a="1"/>
  <c r="C58" i="3" a="1"/>
  <c r="E58" i="3" a="1"/>
  <c r="M57" i="2" l="1"/>
  <c r="E58" i="3"/>
  <c r="J58" i="3" s="1"/>
  <c r="C58" i="3"/>
  <c r="H58" i="3" s="1"/>
  <c r="D58" i="3"/>
  <c r="I58" i="3" s="1"/>
  <c r="B58" i="3"/>
  <c r="G58" i="3" s="1"/>
  <c r="E56" i="2"/>
  <c r="B56" i="2"/>
  <c r="D56" i="2"/>
  <c r="B57" i="3" a="1"/>
  <c r="C57" i="3" a="1"/>
  <c r="E57" i="3" a="1"/>
  <c r="D57" i="3" a="1"/>
  <c r="D57" i="3" l="1"/>
  <c r="I57" i="3" s="1"/>
  <c r="L56" i="2" s="1"/>
  <c r="E57" i="3"/>
  <c r="J57" i="3" s="1"/>
  <c r="N56" i="2" s="1"/>
  <c r="C57" i="3"/>
  <c r="H57" i="3" s="1"/>
  <c r="K56" i="2" s="1"/>
  <c r="B57" i="3"/>
  <c r="G57" i="3" s="1"/>
  <c r="J56" i="2" s="1"/>
  <c r="E55" i="2"/>
  <c r="J55" i="2"/>
  <c r="K55" i="2"/>
  <c r="L55" i="2"/>
  <c r="N55" i="2"/>
  <c r="B55" i="2"/>
  <c r="D55" i="2"/>
  <c r="M56" i="2" l="1"/>
  <c r="M55" i="2"/>
  <c r="E54" i="2"/>
  <c r="J54" i="2"/>
  <c r="K54" i="2"/>
  <c r="L54" i="2"/>
  <c r="N54" i="2"/>
  <c r="B54" i="2"/>
  <c r="D54" i="2"/>
  <c r="C56" i="3" a="1"/>
  <c r="E56" i="3" a="1"/>
  <c r="B56" i="3" a="1"/>
  <c r="D56" i="3" a="1"/>
  <c r="D56" i="3" l="1"/>
  <c r="I56" i="3" s="1"/>
  <c r="B56" i="3"/>
  <c r="G56" i="3" s="1"/>
  <c r="E56" i="3"/>
  <c r="J56" i="3" s="1"/>
  <c r="C56" i="3"/>
  <c r="H56" i="3" s="1"/>
  <c r="M54" i="2"/>
  <c r="E53" i="2" l="1"/>
  <c r="J53" i="2"/>
  <c r="K53" i="2"/>
  <c r="L53" i="2"/>
  <c r="N53" i="2"/>
  <c r="B53" i="2"/>
  <c r="D53" i="2"/>
  <c r="M53" i="2" l="1"/>
  <c r="E52" i="2"/>
  <c r="J52" i="2"/>
  <c r="K52" i="2"/>
  <c r="L52" i="2"/>
  <c r="N52" i="2"/>
  <c r="B52" i="2"/>
  <c r="D52" i="2"/>
  <c r="M52" i="2" l="1"/>
  <c r="D51" i="2"/>
  <c r="B51" i="2"/>
  <c r="E51" i="2"/>
  <c r="E50" i="2" l="1"/>
  <c r="J50" i="2"/>
  <c r="K50" i="2"/>
  <c r="L50" i="2"/>
  <c r="N50" i="2"/>
  <c r="B50" i="2"/>
  <c r="D50" i="2"/>
  <c r="C51" i="3" a="1"/>
  <c r="D51" i="3" a="1"/>
  <c r="E51" i="3" a="1"/>
  <c r="B51" i="3" a="1"/>
  <c r="B52" i="3" a="1"/>
  <c r="C52" i="3" a="1"/>
  <c r="E52" i="3" a="1"/>
  <c r="D52" i="3" a="1"/>
  <c r="C53" i="3" a="1"/>
  <c r="E53" i="3" a="1"/>
  <c r="D53" i="3" a="1"/>
  <c r="B53" i="3" a="1"/>
  <c r="E54" i="3" a="1"/>
  <c r="D54" i="3" a="1"/>
  <c r="C54" i="3" a="1"/>
  <c r="B54" i="3" a="1"/>
  <c r="C55" i="3" a="1"/>
  <c r="D55" i="3" a="1"/>
  <c r="E55" i="3" a="1"/>
  <c r="B55" i="3" a="1"/>
  <c r="M50" i="2" l="1"/>
  <c r="C54" i="3"/>
  <c r="H54" i="3" s="1"/>
  <c r="C52" i="3"/>
  <c r="H52" i="3" s="1"/>
  <c r="K51" i="2" s="1"/>
  <c r="B55" i="3"/>
  <c r="D54" i="3"/>
  <c r="I54" i="3" s="1"/>
  <c r="B53" i="3"/>
  <c r="D52" i="3"/>
  <c r="I52" i="3" s="1"/>
  <c r="L51" i="2" s="1"/>
  <c r="B51" i="3"/>
  <c r="G51" i="3" s="1"/>
  <c r="E53" i="3"/>
  <c r="J53" i="3" s="1"/>
  <c r="E51" i="3"/>
  <c r="J51" i="3" s="1"/>
  <c r="D55" i="3"/>
  <c r="I55" i="3" s="1"/>
  <c r="B54" i="3"/>
  <c r="G54" i="3" s="1"/>
  <c r="D53" i="3"/>
  <c r="B52" i="3"/>
  <c r="G52" i="3" s="1"/>
  <c r="J51" i="2" s="1"/>
  <c r="D51" i="3"/>
  <c r="I51" i="3" s="1"/>
  <c r="E55" i="3"/>
  <c r="J55" i="3" s="1"/>
  <c r="C55" i="3"/>
  <c r="H55" i="3" s="1"/>
  <c r="E54" i="3"/>
  <c r="J54" i="3" s="1"/>
  <c r="C53" i="3"/>
  <c r="H53" i="3" s="1"/>
  <c r="E52" i="3"/>
  <c r="J52" i="3" s="1"/>
  <c r="N51" i="2" s="1"/>
  <c r="C51" i="3"/>
  <c r="H51" i="3" s="1"/>
  <c r="E49" i="2"/>
  <c r="J49" i="2"/>
  <c r="K49" i="2"/>
  <c r="L49" i="2"/>
  <c r="N49" i="2"/>
  <c r="B49" i="2"/>
  <c r="D49" i="2"/>
  <c r="B50" i="3" a="1"/>
  <c r="E50" i="3" a="1"/>
  <c r="C50" i="3" a="1"/>
  <c r="D50" i="3" a="1"/>
  <c r="G55" i="3" l="1"/>
  <c r="M51" i="2"/>
  <c r="G53" i="3"/>
  <c r="I53" i="3"/>
  <c r="M49" i="2"/>
  <c r="D50" i="3"/>
  <c r="I50" i="3" s="1"/>
  <c r="C50" i="3"/>
  <c r="H50" i="3" s="1"/>
  <c r="E50" i="3"/>
  <c r="J50" i="3" s="1"/>
  <c r="B50" i="3"/>
  <c r="G50" i="3" s="1"/>
  <c r="E48" i="2"/>
  <c r="B48" i="2"/>
  <c r="D48" i="2"/>
  <c r="C49" i="3" a="1"/>
  <c r="D49" i="3" a="1"/>
  <c r="E49" i="3" a="1"/>
  <c r="B49" i="3" a="1"/>
  <c r="B49" i="3" l="1"/>
  <c r="G49" i="3" s="1"/>
  <c r="J48" i="2" s="1"/>
  <c r="E49" i="3"/>
  <c r="J49" i="3" s="1"/>
  <c r="N48" i="2" s="1"/>
  <c r="D49" i="3"/>
  <c r="I49" i="3" s="1"/>
  <c r="L48" i="2" s="1"/>
  <c r="C49" i="3"/>
  <c r="H49" i="3" s="1"/>
  <c r="K48" i="2" s="1"/>
  <c r="M48" i="2" l="1"/>
  <c r="N3" i="1"/>
  <c r="N4" i="1"/>
  <c r="N6" i="1"/>
  <c r="N7" i="1"/>
  <c r="N8" i="1"/>
  <c r="N9" i="1"/>
  <c r="N10" i="1"/>
  <c r="N11" i="1"/>
  <c r="N5" i="1"/>
  <c r="N2" i="1"/>
  <c r="G5" i="1"/>
  <c r="I5" i="1" l="1"/>
  <c r="E5" i="1"/>
  <c r="E45" i="2"/>
  <c r="J45" i="2"/>
  <c r="K45" i="2"/>
  <c r="L45" i="2"/>
  <c r="N45" i="2"/>
  <c r="E46" i="2"/>
  <c r="J46" i="2"/>
  <c r="K46" i="2"/>
  <c r="L46" i="2"/>
  <c r="N46" i="2"/>
  <c r="E47" i="2"/>
  <c r="J47" i="2"/>
  <c r="K47" i="2"/>
  <c r="L47" i="2"/>
  <c r="N47" i="2"/>
  <c r="B47" i="2"/>
  <c r="D47" i="2"/>
  <c r="B46" i="2"/>
  <c r="B45" i="2"/>
  <c r="B46" i="3" a="1"/>
  <c r="D47" i="3" a="1"/>
  <c r="B48" i="3" a="1"/>
  <c r="C48" i="3" a="1"/>
  <c r="C46" i="3" a="1"/>
  <c r="E47" i="3" a="1"/>
  <c r="D48" i="3" a="1"/>
  <c r="E48" i="3" a="1"/>
  <c r="B47" i="3" a="1"/>
  <c r="D46" i="3" a="1"/>
  <c r="E46" i="3" a="1"/>
  <c r="C47" i="3" a="1"/>
  <c r="J13" i="1"/>
  <c r="J11" i="1"/>
  <c r="J8" i="1"/>
  <c r="J10" i="1"/>
  <c r="J7" i="1"/>
  <c r="J5" i="1"/>
  <c r="J12" i="1"/>
  <c r="J9" i="1"/>
  <c r="R12" i="1" l="1"/>
  <c r="S12" i="1" s="1"/>
  <c r="M47" i="2"/>
  <c r="M46" i="2"/>
  <c r="K5" i="1"/>
  <c r="R5" i="1"/>
  <c r="M45" i="2"/>
  <c r="C47" i="3"/>
  <c r="H47" i="3" s="1"/>
  <c r="E46" i="3"/>
  <c r="J46" i="3" s="1"/>
  <c r="D46" i="3"/>
  <c r="I46" i="3" s="1"/>
  <c r="B47" i="3"/>
  <c r="E48" i="3"/>
  <c r="J48" i="3" s="1"/>
  <c r="D48" i="3"/>
  <c r="I48" i="3" s="1"/>
  <c r="E47" i="3"/>
  <c r="C46" i="3"/>
  <c r="H46" i="3" s="1"/>
  <c r="C48" i="3"/>
  <c r="H48" i="3" s="1"/>
  <c r="B48" i="3"/>
  <c r="G48" i="3" s="1"/>
  <c r="D47" i="3"/>
  <c r="I47" i="3" s="1"/>
  <c r="B46" i="3"/>
  <c r="G46" i="3" s="1"/>
  <c r="E44" i="2"/>
  <c r="J44" i="2"/>
  <c r="K44" i="2"/>
  <c r="L44" i="2"/>
  <c r="N44" i="2"/>
  <c r="B44" i="2"/>
  <c r="D44" i="2"/>
  <c r="J47" i="3" l="1"/>
  <c r="G47" i="3"/>
  <c r="M44" i="2"/>
  <c r="B43" i="2"/>
  <c r="D43" i="2"/>
  <c r="E43" i="2" s="1"/>
  <c r="J43" i="2"/>
  <c r="K43" i="2"/>
  <c r="L43" i="2"/>
  <c r="N43" i="2"/>
  <c r="C45" i="3" a="1"/>
  <c r="E45" i="3" a="1"/>
  <c r="D45" i="3" a="1"/>
  <c r="B45" i="3" a="1"/>
  <c r="B45" i="3" l="1"/>
  <c r="G45" i="3" s="1"/>
  <c r="D45" i="3"/>
  <c r="I45" i="3" s="1"/>
  <c r="E45" i="3"/>
  <c r="J45" i="3" s="1"/>
  <c r="C45" i="3"/>
  <c r="H45" i="3" s="1"/>
  <c r="M43" i="2"/>
  <c r="E42" i="2"/>
  <c r="J42" i="2"/>
  <c r="K42" i="2"/>
  <c r="L42" i="2"/>
  <c r="N42" i="2"/>
  <c r="B42" i="2"/>
  <c r="D42" i="2"/>
  <c r="B44" i="3" a="1"/>
  <c r="E44" i="3" a="1"/>
  <c r="C44" i="3" a="1"/>
  <c r="D44" i="3" a="1"/>
  <c r="M42" i="2" l="1"/>
  <c r="D44" i="3"/>
  <c r="I44" i="3" s="1"/>
  <c r="C44" i="3"/>
  <c r="H44" i="3" s="1"/>
  <c r="E44" i="3"/>
  <c r="J44" i="3" s="1"/>
  <c r="B44" i="3"/>
  <c r="G44" i="3" s="1"/>
  <c r="E41" i="2"/>
  <c r="J41" i="2"/>
  <c r="K41" i="2"/>
  <c r="L41" i="2"/>
  <c r="N41" i="2"/>
  <c r="B41" i="2"/>
  <c r="D41" i="2"/>
  <c r="B43" i="3" a="1"/>
  <c r="D43" i="3" a="1"/>
  <c r="C43" i="3" a="1"/>
  <c r="E43" i="3" a="1"/>
  <c r="E43" i="3" l="1"/>
  <c r="J43" i="3" s="1"/>
  <c r="C43" i="3"/>
  <c r="H43" i="3" s="1"/>
  <c r="D43" i="3"/>
  <c r="I43" i="3" s="1"/>
  <c r="B43" i="3"/>
  <c r="G43" i="3" s="1"/>
  <c r="M41" i="2"/>
  <c r="E40" i="2"/>
  <c r="B40" i="2"/>
  <c r="D40" i="2"/>
  <c r="C41" i="3" a="1"/>
  <c r="D41" i="3" a="1"/>
  <c r="B41" i="3" a="1"/>
  <c r="E41" i="3" a="1"/>
  <c r="B42" i="3" a="1"/>
  <c r="D42" i="3" a="1"/>
  <c r="C42" i="3" a="1"/>
  <c r="E42" i="3" a="1"/>
  <c r="E42" i="3" l="1"/>
  <c r="J42" i="3" s="1"/>
  <c r="C42" i="3"/>
  <c r="H42" i="3" s="1"/>
  <c r="D42" i="3"/>
  <c r="I42" i="3" s="1"/>
  <c r="B42" i="3"/>
  <c r="G42" i="3" s="1"/>
  <c r="E41" i="3"/>
  <c r="J41" i="3" s="1"/>
  <c r="N40" i="2" s="1"/>
  <c r="B41" i="3"/>
  <c r="G41" i="3" s="1"/>
  <c r="J40" i="2" s="1"/>
  <c r="D41" i="3"/>
  <c r="I41" i="3" s="1"/>
  <c r="L40" i="2" s="1"/>
  <c r="C41" i="3"/>
  <c r="H41" i="3" s="1"/>
  <c r="K40" i="2" s="1"/>
  <c r="D39" i="2"/>
  <c r="B39" i="2"/>
  <c r="E39" i="2"/>
  <c r="C40" i="3" a="1"/>
  <c r="D40" i="3" a="1"/>
  <c r="E40" i="3" a="1"/>
  <c r="B40" i="3" a="1"/>
  <c r="M40" i="2" l="1"/>
  <c r="B40" i="3"/>
  <c r="G40" i="3" s="1"/>
  <c r="J39" i="2" s="1"/>
  <c r="E40" i="3"/>
  <c r="J40" i="3" s="1"/>
  <c r="N39" i="2" s="1"/>
  <c r="D40" i="3"/>
  <c r="I40" i="3" s="1"/>
  <c r="L39" i="2" s="1"/>
  <c r="C40" i="3"/>
  <c r="H40" i="3" s="1"/>
  <c r="K39" i="2" s="1"/>
  <c r="M39" i="2" l="1"/>
  <c r="E38" i="2"/>
  <c r="J38" i="2"/>
  <c r="K38" i="2"/>
  <c r="L38" i="2"/>
  <c r="N38" i="2"/>
  <c r="B38" i="2"/>
  <c r="D38" i="2"/>
  <c r="M38" i="2" l="1"/>
  <c r="B39" i="3" a="1"/>
  <c r="D39" i="3" a="1"/>
  <c r="C39" i="3" a="1"/>
  <c r="E39" i="3" a="1"/>
  <c r="E39" i="3" l="1"/>
  <c r="J39" i="3" s="1"/>
  <c r="C39" i="3"/>
  <c r="H39" i="3" s="1"/>
  <c r="D39" i="3"/>
  <c r="I39" i="3" s="1"/>
  <c r="B39" i="3"/>
  <c r="G39" i="3" s="1"/>
  <c r="B37" i="2"/>
  <c r="D37" i="2"/>
  <c r="E37" i="2"/>
  <c r="J37" i="2"/>
  <c r="K37" i="2"/>
  <c r="L37" i="2"/>
  <c r="N37" i="2"/>
  <c r="M37" i="2" l="1"/>
  <c r="E36" i="2"/>
  <c r="J36" i="2"/>
  <c r="K36" i="2"/>
  <c r="L36" i="2"/>
  <c r="N36" i="2"/>
  <c r="E38" i="3" a="1"/>
  <c r="C38" i="3" a="1"/>
  <c r="D38" i="3" a="1"/>
  <c r="B38" i="3" a="1"/>
  <c r="B38" i="3" l="1"/>
  <c r="G38" i="3" s="1"/>
  <c r="D38" i="3"/>
  <c r="I38" i="3" s="1"/>
  <c r="C38" i="3"/>
  <c r="H38" i="3" s="1"/>
  <c r="E38" i="3"/>
  <c r="J38" i="3" s="1"/>
  <c r="M36" i="2"/>
  <c r="E35" i="2"/>
  <c r="B35" i="2"/>
  <c r="B36" i="3" a="1"/>
  <c r="C36" i="3" a="1"/>
  <c r="D36" i="3" a="1"/>
  <c r="E36" i="3" a="1"/>
  <c r="C37" i="3" a="1"/>
  <c r="D37" i="3" a="1"/>
  <c r="E37" i="3" a="1"/>
  <c r="B37" i="3" a="1"/>
  <c r="B37" i="3" l="1"/>
  <c r="G37" i="3" s="1"/>
  <c r="E37" i="3"/>
  <c r="J37" i="3" s="1"/>
  <c r="D37" i="3"/>
  <c r="I37" i="3" s="1"/>
  <c r="C37" i="3"/>
  <c r="H37" i="3" s="1"/>
  <c r="E36" i="3"/>
  <c r="J36" i="3" s="1"/>
  <c r="N35" i="2" s="1"/>
  <c r="D36" i="3"/>
  <c r="I36" i="3" s="1"/>
  <c r="L35" i="2" s="1"/>
  <c r="C36" i="3"/>
  <c r="H36" i="3" s="1"/>
  <c r="K35" i="2" s="1"/>
  <c r="B36" i="3"/>
  <c r="G36" i="3" s="1"/>
  <c r="J35" i="2" s="1"/>
  <c r="E34" i="2"/>
  <c r="J34" i="2"/>
  <c r="K34" i="2"/>
  <c r="L34" i="2"/>
  <c r="N34" i="2"/>
  <c r="M35" i="2" l="1"/>
  <c r="M34" i="2"/>
  <c r="E33" i="2"/>
  <c r="B33" i="2"/>
  <c r="B34" i="3" a="1"/>
  <c r="D34" i="3" a="1"/>
  <c r="C34" i="3" a="1"/>
  <c r="E34" i="3" a="1"/>
  <c r="C35" i="3" a="1"/>
  <c r="B35" i="3" a="1"/>
  <c r="D35" i="3" a="1"/>
  <c r="E35" i="3" a="1"/>
  <c r="E35" i="3" l="1"/>
  <c r="J35" i="3" s="1"/>
  <c r="D35" i="3"/>
  <c r="I35" i="3" s="1"/>
  <c r="B35" i="3"/>
  <c r="G35" i="3" s="1"/>
  <c r="C35" i="3"/>
  <c r="H35" i="3" s="1"/>
  <c r="E34" i="3"/>
  <c r="J34" i="3" s="1"/>
  <c r="N33" i="2" s="1"/>
  <c r="C34" i="3"/>
  <c r="H34" i="3" s="1"/>
  <c r="K33" i="2" s="1"/>
  <c r="D34" i="3"/>
  <c r="I34" i="3" s="1"/>
  <c r="L33" i="2" s="1"/>
  <c r="B34" i="3"/>
  <c r="G34" i="3" s="1"/>
  <c r="J33" i="2" s="1"/>
  <c r="E32" i="2"/>
  <c r="J31" i="1" s="1"/>
  <c r="J32" i="2"/>
  <c r="K32" i="2"/>
  <c r="L32" i="2"/>
  <c r="N32" i="2"/>
  <c r="B33" i="3" a="1"/>
  <c r="E33" i="3" a="1"/>
  <c r="C33" i="3" a="1"/>
  <c r="D33" i="3" a="1"/>
  <c r="M33" i="2" l="1"/>
  <c r="M32" i="2"/>
  <c r="D33" i="3"/>
  <c r="I33" i="3" s="1"/>
  <c r="C33" i="3"/>
  <c r="H33" i="3" s="1"/>
  <c r="E33" i="3"/>
  <c r="J33" i="3" s="1"/>
  <c r="B33" i="3"/>
  <c r="G33" i="3" s="1"/>
  <c r="E31" i="2"/>
  <c r="B32" i="3" a="1"/>
  <c r="D32" i="3" a="1"/>
  <c r="C32" i="3" a="1"/>
  <c r="E32" i="3" a="1"/>
  <c r="E32" i="3" l="1"/>
  <c r="J32" i="3" s="1"/>
  <c r="N31" i="2" s="1"/>
  <c r="C32" i="3"/>
  <c r="H32" i="3" s="1"/>
  <c r="K31" i="2" s="1"/>
  <c r="D32" i="3"/>
  <c r="I32" i="3" s="1"/>
  <c r="L31" i="2" s="1"/>
  <c r="B32" i="3"/>
  <c r="G32" i="3" s="1"/>
  <c r="J31" i="2" s="1"/>
  <c r="J30" i="2"/>
  <c r="K30" i="2"/>
  <c r="L30" i="2"/>
  <c r="N30" i="2"/>
  <c r="B30" i="2"/>
  <c r="B31" i="3" a="1"/>
  <c r="C31" i="3" a="1"/>
  <c r="D31" i="3" a="1"/>
  <c r="E31" i="3" a="1"/>
  <c r="M31" i="2" l="1"/>
  <c r="M30" i="2"/>
  <c r="E31" i="3"/>
  <c r="J31" i="3" s="1"/>
  <c r="D31" i="3"/>
  <c r="I31" i="3" s="1"/>
  <c r="C31" i="3"/>
  <c r="H31" i="3" s="1"/>
  <c r="B31" i="3"/>
  <c r="G31" i="3" s="1"/>
  <c r="J29" i="2"/>
  <c r="K29" i="2"/>
  <c r="L29" i="2"/>
  <c r="N29" i="2"/>
  <c r="D29" i="2"/>
  <c r="E30" i="2" s="1"/>
  <c r="C30" i="3" a="1"/>
  <c r="D30" i="3" a="1"/>
  <c r="E30" i="3" a="1"/>
  <c r="B30" i="3" a="1"/>
  <c r="E29" i="2" l="1"/>
  <c r="M29" i="2"/>
  <c r="B30" i="3"/>
  <c r="G30" i="3" s="1"/>
  <c r="E30" i="3"/>
  <c r="J30" i="3" s="1"/>
  <c r="D30" i="3"/>
  <c r="I30" i="3" s="1"/>
  <c r="C30" i="3"/>
  <c r="H30" i="3" s="1"/>
  <c r="E28" i="2"/>
  <c r="B28" i="2"/>
  <c r="C29" i="3" a="1"/>
  <c r="D29" i="3" a="1"/>
  <c r="B29" i="3" a="1"/>
  <c r="E29" i="3" a="1"/>
  <c r="E29" i="3" l="1"/>
  <c r="J29" i="3" s="1"/>
  <c r="N28" i="2" s="1"/>
  <c r="B29" i="3"/>
  <c r="G29" i="3" s="1"/>
  <c r="J28" i="2" s="1"/>
  <c r="D29" i="3"/>
  <c r="I29" i="3" s="1"/>
  <c r="L28" i="2" s="1"/>
  <c r="C29" i="3"/>
  <c r="H29" i="3" s="1"/>
  <c r="K28" i="2" s="1"/>
  <c r="E27" i="2"/>
  <c r="C28" i="3" a="1"/>
  <c r="D28" i="3" a="1"/>
  <c r="E28" i="3" a="1"/>
  <c r="B28" i="3" a="1"/>
  <c r="M28" i="2" l="1"/>
  <c r="B28" i="3"/>
  <c r="G28" i="3" s="1"/>
  <c r="J27" i="2" s="1"/>
  <c r="E28" i="3"/>
  <c r="J28" i="3" s="1"/>
  <c r="N27" i="2" s="1"/>
  <c r="D28" i="3"/>
  <c r="I28" i="3" s="1"/>
  <c r="L27" i="2" s="1"/>
  <c r="C28" i="3"/>
  <c r="H28" i="3" s="1"/>
  <c r="K27" i="2" s="1"/>
  <c r="M27" i="2" l="1"/>
  <c r="E26" i="2"/>
  <c r="J26" i="2"/>
  <c r="K26" i="2"/>
  <c r="L26" i="2"/>
  <c r="N26" i="2"/>
  <c r="M26" i="2" l="1"/>
  <c r="J25" i="2"/>
  <c r="K25" i="2"/>
  <c r="L25" i="2"/>
  <c r="N25" i="2"/>
  <c r="C27" i="3" a="1"/>
  <c r="E27" i="3" a="1"/>
  <c r="D27" i="3" a="1"/>
  <c r="B27" i="3" a="1"/>
  <c r="L6" i="1"/>
  <c r="G4" i="1"/>
  <c r="B27" i="3" l="1"/>
  <c r="G27" i="3" s="1"/>
  <c r="D27" i="3"/>
  <c r="I27" i="3" s="1"/>
  <c r="E27" i="3"/>
  <c r="J27" i="3" s="1"/>
  <c r="C27" i="3"/>
  <c r="H27" i="3" s="1"/>
  <c r="I4" i="1"/>
  <c r="E4" i="1"/>
  <c r="M25" i="2"/>
  <c r="C26" i="3" a="1"/>
  <c r="E26" i="3" a="1"/>
  <c r="D26" i="3" a="1"/>
  <c r="B26" i="3" a="1"/>
  <c r="B26" i="3" l="1"/>
  <c r="G26" i="3" s="1"/>
  <c r="D26" i="3"/>
  <c r="I26" i="3" s="1"/>
  <c r="E26" i="3"/>
  <c r="J26" i="3" s="1"/>
  <c r="C26" i="3"/>
  <c r="H26" i="3" s="1"/>
  <c r="T7" i="1"/>
  <c r="T8" i="1"/>
  <c r="T9" i="1"/>
  <c r="T3" i="1"/>
  <c r="T6" i="1"/>
  <c r="T10" i="1"/>
  <c r="T4" i="1"/>
  <c r="T11" i="1"/>
  <c r="T5" i="1"/>
  <c r="T2" i="1"/>
  <c r="P10" i="1"/>
  <c r="P11" i="1"/>
  <c r="J4" i="1"/>
  <c r="K4" i="1" l="1"/>
  <c r="D24" i="2"/>
  <c r="C25" i="3" a="1"/>
  <c r="B25" i="3" a="1"/>
  <c r="D25" i="3" a="1"/>
  <c r="E25" i="3" a="1"/>
  <c r="E25" i="2" l="1"/>
  <c r="R10" i="1"/>
  <c r="S10" i="1" s="1"/>
  <c r="R11" i="1"/>
  <c r="S11" i="1" s="1"/>
  <c r="S5" i="1"/>
  <c r="R4" i="1"/>
  <c r="S4" i="1" s="1"/>
  <c r="E25" i="3"/>
  <c r="J25" i="3" s="1"/>
  <c r="N24" i="2" s="1"/>
  <c r="D25" i="3"/>
  <c r="I25" i="3" s="1"/>
  <c r="L24" i="2" s="1"/>
  <c r="B25" i="3"/>
  <c r="G25" i="3" s="1"/>
  <c r="J24" i="2" s="1"/>
  <c r="C25" i="3"/>
  <c r="H25" i="3" s="1"/>
  <c r="K24" i="2" s="1"/>
  <c r="E22" i="2"/>
  <c r="E23" i="2"/>
  <c r="D22" i="2"/>
  <c r="D23" i="2"/>
  <c r="E24" i="2" s="1"/>
  <c r="B24" i="3" a="1"/>
  <c r="C24" i="3" a="1"/>
  <c r="E24" i="3" a="1"/>
  <c r="D24" i="3" a="1"/>
  <c r="B23" i="3" a="1"/>
  <c r="C23" i="3" a="1"/>
  <c r="D23" i="3" a="1"/>
  <c r="E23" i="3" a="1"/>
  <c r="G2" i="1"/>
  <c r="G3" i="1"/>
  <c r="I3" i="1" l="1"/>
  <c r="M24" i="2"/>
  <c r="D24" i="3"/>
  <c r="I24" i="3" s="1"/>
  <c r="L23" i="2" s="1"/>
  <c r="E24" i="3"/>
  <c r="J24" i="3" s="1"/>
  <c r="N23" i="2" s="1"/>
  <c r="C24" i="3"/>
  <c r="H24" i="3" s="1"/>
  <c r="K23" i="2" s="1"/>
  <c r="B24" i="3"/>
  <c r="G24" i="3" s="1"/>
  <c r="J23" i="2" s="1"/>
  <c r="E23" i="3"/>
  <c r="J23" i="3" s="1"/>
  <c r="N22" i="2" s="1"/>
  <c r="D23" i="3"/>
  <c r="I23" i="3" s="1"/>
  <c r="L22" i="2" s="1"/>
  <c r="C23" i="3"/>
  <c r="H23" i="3" s="1"/>
  <c r="K22" i="2" s="1"/>
  <c r="B23" i="3"/>
  <c r="G23" i="3" s="1"/>
  <c r="J22" i="2" s="1"/>
  <c r="M23" i="2" l="1"/>
  <c r="M22" i="2"/>
  <c r="J21" i="2"/>
  <c r="K21" i="2"/>
  <c r="L21" i="2"/>
  <c r="N21" i="2"/>
  <c r="M21" i="2" l="1"/>
  <c r="D20" i="2"/>
  <c r="E21" i="2" s="1"/>
  <c r="B21" i="3" a="1"/>
  <c r="E21" i="3" a="1"/>
  <c r="C21" i="3" a="1"/>
  <c r="D21" i="3" a="1"/>
  <c r="D22" i="3" a="1"/>
  <c r="C22" i="3" a="1"/>
  <c r="E22" i="3" a="1"/>
  <c r="B22" i="3" a="1"/>
  <c r="E20" i="2" l="1"/>
  <c r="B22" i="3"/>
  <c r="G22" i="3" s="1"/>
  <c r="E22" i="3"/>
  <c r="J22" i="3" s="1"/>
  <c r="C22" i="3"/>
  <c r="H22" i="3" s="1"/>
  <c r="D22" i="3"/>
  <c r="I22" i="3" s="1"/>
  <c r="D21" i="3"/>
  <c r="I21" i="3" s="1"/>
  <c r="L20" i="2" s="1"/>
  <c r="C21" i="3"/>
  <c r="H21" i="3" s="1"/>
  <c r="K20" i="2" s="1"/>
  <c r="E21" i="3"/>
  <c r="J21" i="3" s="1"/>
  <c r="N20" i="2" s="1"/>
  <c r="B21" i="3"/>
  <c r="G21" i="3" s="1"/>
  <c r="J20" i="2" s="1"/>
  <c r="M4" i="2"/>
  <c r="J20" i="3"/>
  <c r="I20" i="3"/>
  <c r="H20" i="3"/>
  <c r="E19" i="2"/>
  <c r="B20" i="3" a="1"/>
  <c r="C20" i="3" a="1"/>
  <c r="D20" i="3" a="1"/>
  <c r="E20" i="3" a="1"/>
  <c r="M11" i="1"/>
  <c r="M6" i="1"/>
  <c r="M3" i="1"/>
  <c r="M9" i="1"/>
  <c r="M5" i="1"/>
  <c r="M7" i="1"/>
  <c r="M10" i="1"/>
  <c r="M4" i="1"/>
  <c r="M2" i="1"/>
  <c r="M20" i="2" l="1"/>
  <c r="M28" i="1"/>
  <c r="E20" i="3"/>
  <c r="N19" i="2" s="1"/>
  <c r="D20" i="3"/>
  <c r="L19" i="2" s="1"/>
  <c r="C20" i="3"/>
  <c r="K19" i="2" s="1"/>
  <c r="B20" i="3"/>
  <c r="G20" i="3" s="1"/>
  <c r="J19" i="2" s="1"/>
  <c r="E18" i="2"/>
  <c r="J18" i="2"/>
  <c r="K18" i="2"/>
  <c r="L18" i="2"/>
  <c r="N18" i="2"/>
  <c r="M19" i="2" l="1"/>
  <c r="M18" i="2"/>
  <c r="E17" i="2"/>
  <c r="B17" i="2"/>
  <c r="B18" i="3" a="1"/>
  <c r="C18" i="3" a="1"/>
  <c r="D18" i="3" a="1"/>
  <c r="E18" i="3" a="1"/>
  <c r="E19" i="3" a="1"/>
  <c r="C19" i="3" a="1"/>
  <c r="D19" i="3" a="1"/>
  <c r="B19" i="3" a="1"/>
  <c r="B19" i="3" l="1"/>
  <c r="G19" i="3" s="1"/>
  <c r="D19" i="3"/>
  <c r="I19" i="3" s="1"/>
  <c r="C19" i="3"/>
  <c r="H19" i="3" s="1"/>
  <c r="E19" i="3"/>
  <c r="J19" i="3" s="1"/>
  <c r="E18" i="3"/>
  <c r="D18" i="3"/>
  <c r="B18" i="3"/>
  <c r="C18" i="3"/>
  <c r="E16" i="2"/>
  <c r="E15" i="2" l="1"/>
  <c r="B17" i="3" a="1"/>
  <c r="C17" i="3" a="1"/>
  <c r="D17" i="3" a="1"/>
  <c r="E17" i="3" a="1"/>
  <c r="B17" i="3" l="1"/>
  <c r="D17" i="3"/>
  <c r="E17" i="3"/>
  <c r="C17" i="3"/>
  <c r="J18" i="3" l="1"/>
  <c r="N17" i="2" s="1"/>
  <c r="G18" i="3"/>
  <c r="J17" i="2" s="1"/>
  <c r="H18" i="3"/>
  <c r="K17" i="2" s="1"/>
  <c r="I18" i="3"/>
  <c r="L17" i="2" s="1"/>
  <c r="E14" i="2"/>
  <c r="D16" i="3" a="1"/>
  <c r="E16" i="3" a="1"/>
  <c r="B16" i="3" a="1"/>
  <c r="C16" i="3" a="1"/>
  <c r="M17" i="2" l="1"/>
  <c r="B16" i="3"/>
  <c r="D16" i="3"/>
  <c r="C16" i="3"/>
  <c r="E16" i="3"/>
  <c r="E13" i="2"/>
  <c r="C14" i="3" a="1"/>
  <c r="D14" i="3" a="1"/>
  <c r="B14" i="3" a="1"/>
  <c r="E14" i="3" a="1"/>
  <c r="D15" i="3" a="1"/>
  <c r="B15" i="3" a="1"/>
  <c r="C15" i="3" a="1"/>
  <c r="E15" i="3" a="1"/>
  <c r="J17" i="3" l="1"/>
  <c r="N16" i="2" s="1"/>
  <c r="H17" i="3"/>
  <c r="K16" i="2" s="1"/>
  <c r="I17" i="3"/>
  <c r="L16" i="2" s="1"/>
  <c r="G17" i="3"/>
  <c r="J16" i="2" s="1"/>
  <c r="D15" i="3"/>
  <c r="I16" i="3" s="1"/>
  <c r="L15" i="2" s="1"/>
  <c r="E15" i="3"/>
  <c r="J15" i="3" s="1"/>
  <c r="N14" i="2" s="1"/>
  <c r="C15" i="3"/>
  <c r="H15" i="3" s="1"/>
  <c r="K14" i="2" s="1"/>
  <c r="B15" i="3"/>
  <c r="G15" i="3" s="1"/>
  <c r="J14" i="2" s="1"/>
  <c r="E14" i="3"/>
  <c r="D14" i="3"/>
  <c r="C14" i="3"/>
  <c r="B14" i="3"/>
  <c r="E12" i="2"/>
  <c r="C13" i="3" a="1"/>
  <c r="B13" i="3" a="1"/>
  <c r="D13" i="3" a="1"/>
  <c r="E13" i="3" a="1"/>
  <c r="M14" i="2" l="1"/>
  <c r="M16" i="2"/>
  <c r="G16" i="3"/>
  <c r="J15" i="2" s="1"/>
  <c r="G14" i="3"/>
  <c r="J13" i="2" s="1"/>
  <c r="J14" i="3"/>
  <c r="N13" i="2" s="1"/>
  <c r="H16" i="3"/>
  <c r="K15" i="2" s="1"/>
  <c r="I15" i="3"/>
  <c r="L14" i="2" s="1"/>
  <c r="J16" i="3"/>
  <c r="N15" i="2" s="1"/>
  <c r="E13" i="3"/>
  <c r="B13" i="3"/>
  <c r="C13" i="3"/>
  <c r="H14" i="3" s="1"/>
  <c r="K13" i="2" s="1"/>
  <c r="D13" i="3"/>
  <c r="I14" i="3" s="1"/>
  <c r="L13" i="2" s="1"/>
  <c r="E11" i="2"/>
  <c r="B12" i="3" a="1"/>
  <c r="E12" i="3" a="1"/>
  <c r="C12" i="3" a="1"/>
  <c r="D12" i="3" a="1"/>
  <c r="L11" i="1" a="1"/>
  <c r="L4" i="1" a="1"/>
  <c r="L10" i="1" a="1"/>
  <c r="L5" i="1" a="1"/>
  <c r="M15" i="2" l="1"/>
  <c r="M13" i="2"/>
  <c r="G13" i="3"/>
  <c r="J12" i="2" s="1"/>
  <c r="E12" i="3"/>
  <c r="J13" i="3" s="1"/>
  <c r="N12" i="2" s="1"/>
  <c r="D12" i="3"/>
  <c r="B12" i="3"/>
  <c r="C12" i="3"/>
  <c r="E10" i="2"/>
  <c r="L11" i="1"/>
  <c r="L4" i="1"/>
  <c r="L5" i="1"/>
  <c r="L10" i="1"/>
  <c r="I13" i="3" l="1"/>
  <c r="L12" i="2" s="1"/>
  <c r="H13" i="3"/>
  <c r="K12" i="2" s="1"/>
  <c r="M12" i="2" s="1"/>
  <c r="E9" i="2"/>
  <c r="D11" i="3" a="1"/>
  <c r="C10" i="3" a="1"/>
  <c r="E10" i="3" a="1"/>
  <c r="B11" i="3" a="1"/>
  <c r="E11" i="3" a="1"/>
  <c r="B10" i="3" a="1"/>
  <c r="D10" i="3" a="1"/>
  <c r="C11" i="3" a="1"/>
  <c r="E11" i="3" l="1"/>
  <c r="B11" i="3"/>
  <c r="D11" i="3"/>
  <c r="C11" i="3"/>
  <c r="E10" i="3"/>
  <c r="D10" i="3"/>
  <c r="B10" i="3"/>
  <c r="C10" i="3"/>
  <c r="E8" i="2"/>
  <c r="B9" i="3" a="1"/>
  <c r="C9" i="3" a="1"/>
  <c r="E9" i="3" a="1"/>
  <c r="D9" i="3" a="1"/>
  <c r="H11" i="3" l="1"/>
  <c r="K10" i="2" s="1"/>
  <c r="H12" i="3"/>
  <c r="K11" i="2" s="1"/>
  <c r="J11" i="3"/>
  <c r="N10" i="2" s="1"/>
  <c r="J12" i="3"/>
  <c r="N11" i="2" s="1"/>
  <c r="I11" i="3"/>
  <c r="L10" i="2" s="1"/>
  <c r="I12" i="3"/>
  <c r="L11" i="2" s="1"/>
  <c r="G11" i="3"/>
  <c r="J10" i="2" s="1"/>
  <c r="G12" i="3"/>
  <c r="J11" i="2" s="1"/>
  <c r="D9" i="3"/>
  <c r="I10" i="3" s="1"/>
  <c r="L9" i="2" s="1"/>
  <c r="E9" i="3"/>
  <c r="C9" i="3"/>
  <c r="B9" i="3"/>
  <c r="E7" i="2"/>
  <c r="B8" i="3" a="1"/>
  <c r="E8" i="3" a="1"/>
  <c r="D8" i="3" a="1"/>
  <c r="C8" i="3" a="1"/>
  <c r="M11" i="2" l="1"/>
  <c r="M10" i="2"/>
  <c r="H10" i="3"/>
  <c r="K9" i="2" s="1"/>
  <c r="J10" i="3"/>
  <c r="N9" i="2" s="1"/>
  <c r="G10" i="3"/>
  <c r="J9" i="2" s="1"/>
  <c r="D8" i="3"/>
  <c r="I9" i="3" s="1"/>
  <c r="L8" i="2" s="1"/>
  <c r="C8" i="3"/>
  <c r="E8" i="3"/>
  <c r="J9" i="3" s="1"/>
  <c r="N8" i="2" s="1"/>
  <c r="B8" i="3"/>
  <c r="E6" i="2"/>
  <c r="C7" i="3" a="1"/>
  <c r="E7" i="3" a="1"/>
  <c r="D7" i="3" a="1"/>
  <c r="B7" i="3" a="1"/>
  <c r="M9" i="2" l="1"/>
  <c r="H9" i="3"/>
  <c r="K8" i="2" s="1"/>
  <c r="I8" i="3"/>
  <c r="L7" i="2" s="1"/>
  <c r="G9" i="3"/>
  <c r="J8" i="2" s="1"/>
  <c r="E7" i="3"/>
  <c r="J8" i="3" s="1"/>
  <c r="N7" i="2" s="1"/>
  <c r="D7" i="3"/>
  <c r="C7" i="3"/>
  <c r="H8" i="3" s="1"/>
  <c r="K7" i="2" s="1"/>
  <c r="B7" i="3"/>
  <c r="G8" i="3" s="1"/>
  <c r="J7" i="2" s="1"/>
  <c r="C6" i="3" a="1"/>
  <c r="D6" i="3" a="1"/>
  <c r="E6" i="3" a="1"/>
  <c r="B6" i="3" a="1"/>
  <c r="L26" i="1"/>
  <c r="M7" i="2" l="1"/>
  <c r="M8" i="2"/>
  <c r="B6" i="3"/>
  <c r="E6" i="3"/>
  <c r="D6" i="3"/>
  <c r="C6" i="3"/>
  <c r="H7" i="3" s="1"/>
  <c r="K6" i="2" s="1"/>
  <c r="Q3" i="2"/>
  <c r="W3" i="2" s="1"/>
  <c r="Q2" i="2"/>
  <c r="R2" i="2" s="1"/>
  <c r="S2" i="2" s="1"/>
  <c r="T2" i="2" s="1"/>
  <c r="T3" i="2" s="1"/>
  <c r="T4" i="2" s="1"/>
  <c r="AF4" i="2" s="1"/>
  <c r="D4" i="3" a="1"/>
  <c r="B3" i="3" a="1"/>
  <c r="E3" i="3" a="1"/>
  <c r="D5" i="3" a="1"/>
  <c r="E5" i="3" a="1"/>
  <c r="E4" i="3" a="1"/>
  <c r="B4" i="3" a="1"/>
  <c r="C3" i="3" a="1"/>
  <c r="C5" i="3" a="1"/>
  <c r="C4" i="3" a="1"/>
  <c r="D3" i="3" a="1"/>
  <c r="B5" i="3" a="1"/>
  <c r="I7" i="3" l="1"/>
  <c r="L6" i="2" s="1"/>
  <c r="G7" i="3"/>
  <c r="J6" i="2" s="1"/>
  <c r="M6" i="2" s="1"/>
  <c r="J7" i="3"/>
  <c r="N6" i="2" s="1"/>
  <c r="H6" i="3"/>
  <c r="K5" i="2" s="1"/>
  <c r="Z3" i="2"/>
  <c r="Z4" i="2"/>
  <c r="AF3" i="2"/>
  <c r="C5" i="3"/>
  <c r="H5" i="3" s="1"/>
  <c r="E4" i="3"/>
  <c r="J4" i="3" s="1"/>
  <c r="D4" i="3"/>
  <c r="I4" i="3" s="1"/>
  <c r="E5" i="3"/>
  <c r="J5" i="3" s="1"/>
  <c r="D5" i="3"/>
  <c r="I5" i="3" s="1"/>
  <c r="C4" i="3"/>
  <c r="B5" i="3"/>
  <c r="B4" i="3"/>
  <c r="E3" i="3"/>
  <c r="D3" i="3"/>
  <c r="C3" i="3"/>
  <c r="B3" i="3"/>
  <c r="P4" i="2"/>
  <c r="M3" i="2"/>
  <c r="S3" i="2" s="1"/>
  <c r="AC3" i="2"/>
  <c r="R3" i="2"/>
  <c r="X3" i="2" s="1"/>
  <c r="P3" i="2"/>
  <c r="V3" i="2" s="1"/>
  <c r="D3" i="2"/>
  <c r="D4" i="2"/>
  <c r="L8" i="1"/>
  <c r="L9" i="1"/>
  <c r="L7" i="1"/>
  <c r="L3" i="1"/>
  <c r="K26" i="1"/>
  <c r="L2" i="1"/>
  <c r="P21" i="1" l="1"/>
  <c r="O38" i="1"/>
  <c r="O42" i="1"/>
  <c r="O41" i="1"/>
  <c r="O40" i="1"/>
  <c r="O39" i="1"/>
  <c r="O37" i="1"/>
  <c r="K27" i="1"/>
  <c r="J6" i="3"/>
  <c r="N5" i="2" s="1"/>
  <c r="G5" i="3"/>
  <c r="G6" i="3"/>
  <c r="J5" i="2" s="1"/>
  <c r="G4" i="3"/>
  <c r="H4" i="3"/>
  <c r="I6" i="3"/>
  <c r="L5" i="2" s="1"/>
  <c r="AB3" i="2"/>
  <c r="AB4" i="2"/>
  <c r="V4" i="2"/>
  <c r="E4" i="2"/>
  <c r="E5" i="2"/>
  <c r="S4" i="2"/>
  <c r="AE4" i="2" s="1"/>
  <c r="Y3" i="2"/>
  <c r="I34" i="1"/>
  <c r="AE3" i="2"/>
  <c r="AD3" i="2"/>
  <c r="R4" i="2"/>
  <c r="Q4" i="2"/>
  <c r="E3" i="2"/>
  <c r="I37" i="1" l="1"/>
  <c r="I41" i="1"/>
  <c r="I40" i="1"/>
  <c r="I39" i="1"/>
  <c r="I38" i="1"/>
  <c r="I42" i="1"/>
  <c r="O45" i="1"/>
  <c r="R42" i="1"/>
  <c r="R41" i="1"/>
  <c r="R40" i="1"/>
  <c r="R39" i="1"/>
  <c r="R38" i="1"/>
  <c r="R37" i="1"/>
  <c r="N42" i="1"/>
  <c r="N41" i="1"/>
  <c r="N40" i="1"/>
  <c r="N38" i="1"/>
  <c r="N37" i="1"/>
  <c r="N39" i="1"/>
  <c r="O43" i="1"/>
  <c r="O44" i="1" s="1"/>
  <c r="P39" i="1"/>
  <c r="P38" i="1"/>
  <c r="P37" i="1"/>
  <c r="P42" i="1"/>
  <c r="P40" i="1"/>
  <c r="P41" i="1"/>
  <c r="F3" i="2"/>
  <c r="G3" i="2" s="1"/>
  <c r="M5" i="2"/>
  <c r="T5" i="2"/>
  <c r="T6" i="2" s="1"/>
  <c r="T7" i="2" s="1"/>
  <c r="T8" i="2" s="1"/>
  <c r="T9" i="2" s="1"/>
  <c r="T10" i="2" s="1"/>
  <c r="Z10" i="2" s="1"/>
  <c r="P5" i="2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Q5" i="2"/>
  <c r="Q6" i="2" s="1"/>
  <c r="Q7" i="2" s="1"/>
  <c r="Q8" i="2" s="1"/>
  <c r="Q9" i="2" s="1"/>
  <c r="Q10" i="2" s="1"/>
  <c r="W4" i="2"/>
  <c r="R5" i="2"/>
  <c r="R6" i="2" s="1"/>
  <c r="R7" i="2" s="1"/>
  <c r="R8" i="2" s="1"/>
  <c r="R9" i="2" s="1"/>
  <c r="R10" i="2" s="1"/>
  <c r="X4" i="2"/>
  <c r="Y4" i="2"/>
  <c r="AD4" i="2"/>
  <c r="AC4" i="2"/>
  <c r="K23" i="1"/>
  <c r="K24" i="1"/>
  <c r="K22" i="1"/>
  <c r="I45" i="1" l="1"/>
  <c r="I43" i="1"/>
  <c r="I44" i="1" s="1"/>
  <c r="P45" i="1"/>
  <c r="R45" i="1"/>
  <c r="N45" i="1"/>
  <c r="N43" i="1"/>
  <c r="N44" i="1" s="1"/>
  <c r="Q41" i="1"/>
  <c r="Q40" i="1"/>
  <c r="Q39" i="1"/>
  <c r="Q38" i="1"/>
  <c r="Q37" i="1"/>
  <c r="Q42" i="1"/>
  <c r="P43" i="1"/>
  <c r="P44" i="1" s="1"/>
  <c r="R43" i="1"/>
  <c r="R44" i="1" s="1"/>
  <c r="F4" i="2"/>
  <c r="F5" i="2" s="1"/>
  <c r="H3" i="2"/>
  <c r="J33" i="1"/>
  <c r="J34" i="1"/>
  <c r="Z9" i="2"/>
  <c r="Z5" i="2"/>
  <c r="AF6" i="2"/>
  <c r="AF5" i="2"/>
  <c r="AF8" i="2"/>
  <c r="Z8" i="2"/>
  <c r="T11" i="2"/>
  <c r="T12" i="2" s="1"/>
  <c r="T13" i="2" s="1"/>
  <c r="T14" i="2" s="1"/>
  <c r="T15" i="2" s="1"/>
  <c r="T16" i="2" s="1"/>
  <c r="AF16" i="2" s="1"/>
  <c r="AF10" i="2"/>
  <c r="AF7" i="2"/>
  <c r="Z7" i="2"/>
  <c r="AF9" i="2"/>
  <c r="Z6" i="2"/>
  <c r="S5" i="2"/>
  <c r="Y5" i="2" s="1"/>
  <c r="AB9" i="2"/>
  <c r="V9" i="2"/>
  <c r="V6" i="2"/>
  <c r="V5" i="2"/>
  <c r="AB6" i="2"/>
  <c r="AB5" i="2"/>
  <c r="V7" i="2"/>
  <c r="AB10" i="2"/>
  <c r="AB7" i="2"/>
  <c r="AB8" i="2"/>
  <c r="V10" i="2"/>
  <c r="V8" i="2"/>
  <c r="P17" i="2"/>
  <c r="P18" i="2" s="1"/>
  <c r="AB16" i="2"/>
  <c r="V16" i="2"/>
  <c r="AB15" i="2"/>
  <c r="V15" i="2"/>
  <c r="AB14" i="2"/>
  <c r="V14" i="2"/>
  <c r="AB13" i="2"/>
  <c r="V13" i="2"/>
  <c r="AB12" i="2"/>
  <c r="V12" i="2"/>
  <c r="R11" i="2"/>
  <c r="R12" i="2" s="1"/>
  <c r="R13" i="2" s="1"/>
  <c r="R14" i="2" s="1"/>
  <c r="R15" i="2" s="1"/>
  <c r="R16" i="2" s="1"/>
  <c r="AD10" i="2"/>
  <c r="X10" i="2"/>
  <c r="Q11" i="2"/>
  <c r="Q12" i="2" s="1"/>
  <c r="Q13" i="2" s="1"/>
  <c r="Q14" i="2" s="1"/>
  <c r="Q15" i="2" s="1"/>
  <c r="Q16" i="2" s="1"/>
  <c r="AC10" i="2"/>
  <c r="W10" i="2"/>
  <c r="AB11" i="2"/>
  <c r="V11" i="2"/>
  <c r="AC9" i="2"/>
  <c r="W9" i="2"/>
  <c r="AD9" i="2"/>
  <c r="X9" i="2"/>
  <c r="AC8" i="2"/>
  <c r="W8" i="2"/>
  <c r="AD8" i="2"/>
  <c r="X8" i="2"/>
  <c r="AC7" i="2"/>
  <c r="W7" i="2"/>
  <c r="AD7" i="2"/>
  <c r="X7" i="2"/>
  <c r="AD6" i="2"/>
  <c r="X6" i="2"/>
  <c r="W6" i="2"/>
  <c r="AC6" i="2"/>
  <c r="AC5" i="2"/>
  <c r="W5" i="2"/>
  <c r="X5" i="2"/>
  <c r="AD5" i="2"/>
  <c r="K25" i="1" a="1"/>
  <c r="K25" i="1" s="1"/>
  <c r="I32" i="1" s="1"/>
  <c r="I33" i="1"/>
  <c r="B6" i="1"/>
  <c r="B11" i="1"/>
  <c r="J6" i="1"/>
  <c r="B9" i="1"/>
  <c r="J2" i="1"/>
  <c r="B2" i="1"/>
  <c r="B8" i="1"/>
  <c r="B10" i="1"/>
  <c r="B4" i="1"/>
  <c r="B5" i="1"/>
  <c r="B7" i="1"/>
  <c r="B3" i="1"/>
  <c r="J3" i="1"/>
  <c r="R3" i="1" l="1"/>
  <c r="S3" i="1" s="1"/>
  <c r="Q45" i="1"/>
  <c r="Q43" i="1"/>
  <c r="Q44" i="1" s="1"/>
  <c r="G4" i="2"/>
  <c r="H4" i="2"/>
  <c r="J32" i="1"/>
  <c r="AF11" i="2"/>
  <c r="AF12" i="2"/>
  <c r="Z12" i="2"/>
  <c r="AF15" i="2"/>
  <c r="Z11" i="2"/>
  <c r="Z14" i="2"/>
  <c r="Z15" i="2"/>
  <c r="AF14" i="2"/>
  <c r="Z13" i="2"/>
  <c r="AF13" i="2"/>
  <c r="T17" i="2"/>
  <c r="Z16" i="2"/>
  <c r="S6" i="2"/>
  <c r="AE6" i="2" s="1"/>
  <c r="AE5" i="2"/>
  <c r="R2" i="1"/>
  <c r="S2" i="1" s="1"/>
  <c r="R6" i="1"/>
  <c r="R8" i="1"/>
  <c r="S8" i="1" s="1"/>
  <c r="R9" i="1"/>
  <c r="S9" i="1" s="1"/>
  <c r="R7" i="1"/>
  <c r="S7" i="1" s="1"/>
  <c r="F6" i="2"/>
  <c r="H5" i="2"/>
  <c r="G5" i="2"/>
  <c r="P19" i="2"/>
  <c r="P20" i="2" s="1"/>
  <c r="P21" i="2" s="1"/>
  <c r="AB18" i="2"/>
  <c r="V18" i="2"/>
  <c r="Q17" i="2"/>
  <c r="Q18" i="2" s="1"/>
  <c r="AC16" i="2"/>
  <c r="W16" i="2"/>
  <c r="R17" i="2"/>
  <c r="R18" i="2" s="1"/>
  <c r="AD16" i="2"/>
  <c r="X16" i="2"/>
  <c r="V17" i="2"/>
  <c r="AB17" i="2"/>
  <c r="AC15" i="2"/>
  <c r="W15" i="2"/>
  <c r="AD15" i="2"/>
  <c r="X15" i="2"/>
  <c r="W14" i="2"/>
  <c r="AC14" i="2"/>
  <c r="X14" i="2"/>
  <c r="AD14" i="2"/>
  <c r="AC13" i="2"/>
  <c r="W13" i="2"/>
  <c r="X13" i="2"/>
  <c r="AD13" i="2"/>
  <c r="AC12" i="2"/>
  <c r="W12" i="2"/>
  <c r="AD12" i="2"/>
  <c r="X12" i="2"/>
  <c r="AC11" i="2"/>
  <c r="W11" i="2"/>
  <c r="AD11" i="2"/>
  <c r="X11" i="2"/>
  <c r="K2" i="1"/>
  <c r="K3" i="1"/>
  <c r="E2" i="1"/>
  <c r="I2" i="1"/>
  <c r="E3" i="1"/>
  <c r="I21" i="1" l="1"/>
  <c r="F2" i="1" s="1"/>
  <c r="I26" i="1"/>
  <c r="T18" i="2"/>
  <c r="AF17" i="2"/>
  <c r="Z17" i="2"/>
  <c r="S7" i="2"/>
  <c r="Y6" i="2"/>
  <c r="P22" i="2"/>
  <c r="AB21" i="2"/>
  <c r="V21" i="2"/>
  <c r="F7" i="2"/>
  <c r="G6" i="2"/>
  <c r="H6" i="2"/>
  <c r="AB20" i="2"/>
  <c r="V20" i="2"/>
  <c r="Q19" i="2"/>
  <c r="Q20" i="2" s="1"/>
  <c r="Q21" i="2" s="1"/>
  <c r="AC18" i="2"/>
  <c r="W18" i="2"/>
  <c r="R19" i="2"/>
  <c r="R20" i="2" s="1"/>
  <c r="R21" i="2" s="1"/>
  <c r="X18" i="2"/>
  <c r="AD18" i="2"/>
  <c r="V19" i="2"/>
  <c r="AB19" i="2"/>
  <c r="AD17" i="2"/>
  <c r="X17" i="2"/>
  <c r="W17" i="2"/>
  <c r="AC17" i="2"/>
  <c r="Z18" i="2" l="1"/>
  <c r="T19" i="2"/>
  <c r="AF18" i="2"/>
  <c r="S8" i="2"/>
  <c r="AE7" i="2"/>
  <c r="Y7" i="2"/>
  <c r="V22" i="2"/>
  <c r="P23" i="2"/>
  <c r="P24" i="2" s="1"/>
  <c r="AB22" i="2"/>
  <c r="Q22" i="2"/>
  <c r="AC21" i="2"/>
  <c r="W21" i="2"/>
  <c r="R22" i="2"/>
  <c r="AD21" i="2"/>
  <c r="X21" i="2"/>
  <c r="F8" i="2"/>
  <c r="G7" i="2"/>
  <c r="H7" i="2"/>
  <c r="X20" i="2"/>
  <c r="AD20" i="2"/>
  <c r="AC20" i="2"/>
  <c r="W20" i="2"/>
  <c r="AD19" i="2"/>
  <c r="X19" i="2"/>
  <c r="AC19" i="2"/>
  <c r="W19" i="2"/>
  <c r="P9" i="1"/>
  <c r="P7" i="1"/>
  <c r="T20" i="2" l="1"/>
  <c r="AF19" i="2"/>
  <c r="Z19" i="2"/>
  <c r="P25" i="2"/>
  <c r="AB25" i="2" s="1"/>
  <c r="V24" i="2"/>
  <c r="Y8" i="2"/>
  <c r="S9" i="2"/>
  <c r="AE8" i="2"/>
  <c r="P8" i="1"/>
  <c r="AB24" i="2"/>
  <c r="R23" i="2"/>
  <c r="R24" i="2" s="1"/>
  <c r="R25" i="2" s="1"/>
  <c r="AD22" i="2"/>
  <c r="X22" i="2"/>
  <c r="AB23" i="2"/>
  <c r="V23" i="2"/>
  <c r="Q23" i="2"/>
  <c r="Q24" i="2" s="1"/>
  <c r="Q25" i="2" s="1"/>
  <c r="AC22" i="2"/>
  <c r="W22" i="2"/>
  <c r="F9" i="2"/>
  <c r="H8" i="2"/>
  <c r="G8" i="2"/>
  <c r="T21" i="2" l="1"/>
  <c r="AF20" i="2"/>
  <c r="Z20" i="2"/>
  <c r="Y9" i="2"/>
  <c r="S10" i="2"/>
  <c r="AE9" i="2"/>
  <c r="W25" i="2"/>
  <c r="Q26" i="2"/>
  <c r="X25" i="2"/>
  <c r="R26" i="2"/>
  <c r="V25" i="2"/>
  <c r="P26" i="2"/>
  <c r="AD25" i="2"/>
  <c r="AC25" i="2"/>
  <c r="AC24" i="2"/>
  <c r="W24" i="2"/>
  <c r="AD24" i="2"/>
  <c r="X24" i="2"/>
  <c r="AC23" i="2"/>
  <c r="W23" i="2"/>
  <c r="AD23" i="2"/>
  <c r="X23" i="2"/>
  <c r="F10" i="2"/>
  <c r="H9" i="2"/>
  <c r="G9" i="2"/>
  <c r="Z21" i="2" l="1"/>
  <c r="AF21" i="2"/>
  <c r="T22" i="2"/>
  <c r="P27" i="2"/>
  <c r="P28" i="2" s="1"/>
  <c r="P29" i="2" s="1"/>
  <c r="P30" i="2" s="1"/>
  <c r="V26" i="2"/>
  <c r="AB26" i="2"/>
  <c r="R27" i="2"/>
  <c r="R28" i="2" s="1"/>
  <c r="R29" i="2" s="1"/>
  <c r="R30" i="2" s="1"/>
  <c r="X26" i="2"/>
  <c r="AD26" i="2"/>
  <c r="Q27" i="2"/>
  <c r="Q28" i="2" s="1"/>
  <c r="Q29" i="2" s="1"/>
  <c r="Q30" i="2" s="1"/>
  <c r="W26" i="2"/>
  <c r="AC26" i="2"/>
  <c r="S11" i="2"/>
  <c r="Y10" i="2"/>
  <c r="AE10" i="2"/>
  <c r="F11" i="2"/>
  <c r="G10" i="2"/>
  <c r="H10" i="2"/>
  <c r="P31" i="2" l="1"/>
  <c r="AB30" i="2"/>
  <c r="V30" i="2"/>
  <c r="R31" i="2"/>
  <c r="AD30" i="2"/>
  <c r="X30" i="2"/>
  <c r="Q31" i="2"/>
  <c r="AC30" i="2"/>
  <c r="W30" i="2"/>
  <c r="AD29" i="2"/>
  <c r="X29" i="2"/>
  <c r="AB29" i="2"/>
  <c r="V29" i="2"/>
  <c r="AC29" i="2"/>
  <c r="W29" i="2"/>
  <c r="AF22" i="2"/>
  <c r="Z22" i="2"/>
  <c r="T23" i="2"/>
  <c r="X28" i="2"/>
  <c r="AD28" i="2"/>
  <c r="AB28" i="2"/>
  <c r="V28" i="2"/>
  <c r="W28" i="2"/>
  <c r="AC28" i="2"/>
  <c r="AB27" i="2"/>
  <c r="V27" i="2"/>
  <c r="AD27" i="2"/>
  <c r="X27" i="2"/>
  <c r="S12" i="2"/>
  <c r="Y11" i="2"/>
  <c r="AE11" i="2"/>
  <c r="AC27" i="2"/>
  <c r="W27" i="2"/>
  <c r="F12" i="2"/>
  <c r="H11" i="2"/>
  <c r="G11" i="2"/>
  <c r="P32" i="2" l="1"/>
  <c r="AJ32" i="2" s="1"/>
  <c r="AJ31" i="2"/>
  <c r="Q32" i="2"/>
  <c r="AK32" i="2" s="1"/>
  <c r="AK31" i="2"/>
  <c r="R32" i="2"/>
  <c r="AL32" i="2" s="1"/>
  <c r="AL31" i="2"/>
  <c r="AC31" i="2"/>
  <c r="W31" i="2"/>
  <c r="AD31" i="2"/>
  <c r="X31" i="2"/>
  <c r="V31" i="2"/>
  <c r="AB31" i="2"/>
  <c r="T24" i="2"/>
  <c r="Z23" i="2"/>
  <c r="AF23" i="2"/>
  <c r="Y12" i="2"/>
  <c r="S13" i="2"/>
  <c r="AE12" i="2"/>
  <c r="F13" i="2"/>
  <c r="G12" i="2"/>
  <c r="H12" i="2"/>
  <c r="P33" i="2" l="1"/>
  <c r="AJ33" i="2" s="1"/>
  <c r="Q33" i="2"/>
  <c r="AK33" i="2" s="1"/>
  <c r="R33" i="2"/>
  <c r="R34" i="2" s="1"/>
  <c r="AD32" i="2"/>
  <c r="AB32" i="2"/>
  <c r="AC32" i="2"/>
  <c r="W32" i="2"/>
  <c r="X32" i="2"/>
  <c r="V32" i="2"/>
  <c r="Q34" i="2"/>
  <c r="AK34" i="2" s="1"/>
  <c r="T25" i="2"/>
  <c r="Z24" i="2"/>
  <c r="AF24" i="2"/>
  <c r="S14" i="2"/>
  <c r="Y13" i="2"/>
  <c r="AE13" i="2"/>
  <c r="F14" i="2"/>
  <c r="G13" i="2"/>
  <c r="H13" i="2"/>
  <c r="W33" i="2" l="1"/>
  <c r="AC33" i="2"/>
  <c r="V33" i="2"/>
  <c r="P34" i="2"/>
  <c r="AJ34" i="2" s="1"/>
  <c r="AB33" i="2"/>
  <c r="X33" i="2"/>
  <c r="AD33" i="2"/>
  <c r="AL34" i="2"/>
  <c r="AD34" i="2"/>
  <c r="AL33" i="2"/>
  <c r="R35" i="2"/>
  <c r="X35" i="2" s="1"/>
  <c r="AC34" i="2"/>
  <c r="W34" i="2"/>
  <c r="V34" i="2"/>
  <c r="P35" i="2"/>
  <c r="AJ35" i="2" s="1"/>
  <c r="AB34" i="2"/>
  <c r="X34" i="2"/>
  <c r="Q35" i="2"/>
  <c r="AC35" i="2" s="1"/>
  <c r="Z25" i="2"/>
  <c r="T26" i="2"/>
  <c r="AF25" i="2"/>
  <c r="S15" i="2"/>
  <c r="Y14" i="2"/>
  <c r="AE14" i="2"/>
  <c r="G14" i="2"/>
  <c r="F15" i="2"/>
  <c r="H14" i="2"/>
  <c r="W35" i="2" l="1"/>
  <c r="P36" i="2"/>
  <c r="AB36" i="2" s="1"/>
  <c r="AB35" i="2"/>
  <c r="AL35" i="2"/>
  <c r="R36" i="2"/>
  <c r="X36" i="2" s="1"/>
  <c r="AD35" i="2"/>
  <c r="V35" i="2"/>
  <c r="Q36" i="2"/>
  <c r="AK35" i="2"/>
  <c r="P37" i="2"/>
  <c r="AJ36" i="2"/>
  <c r="V36" i="2"/>
  <c r="Z26" i="2"/>
  <c r="T27" i="2"/>
  <c r="AF26" i="2"/>
  <c r="S16" i="2"/>
  <c r="AE15" i="2"/>
  <c r="Y15" i="2"/>
  <c r="F16" i="2"/>
  <c r="G15" i="2"/>
  <c r="H15" i="2"/>
  <c r="AD36" i="2" l="1"/>
  <c r="R37" i="2"/>
  <c r="AL36" i="2"/>
  <c r="R38" i="2"/>
  <c r="AL37" i="2"/>
  <c r="X37" i="2"/>
  <c r="AD37" i="2"/>
  <c r="P38" i="2"/>
  <c r="AJ37" i="2"/>
  <c r="V37" i="2"/>
  <c r="AB37" i="2"/>
  <c r="Q37" i="2"/>
  <c r="AK36" i="2"/>
  <c r="W36" i="2"/>
  <c r="AC36" i="2"/>
  <c r="T28" i="2"/>
  <c r="T29" i="2" s="1"/>
  <c r="T30" i="2" s="1"/>
  <c r="AF27" i="2"/>
  <c r="Z27" i="2"/>
  <c r="S17" i="2"/>
  <c r="Y16" i="2"/>
  <c r="AE16" i="2"/>
  <c r="F17" i="2"/>
  <c r="H16" i="2"/>
  <c r="G16" i="2"/>
  <c r="AJ38" i="2" l="1"/>
  <c r="P39" i="2"/>
  <c r="AB38" i="2"/>
  <c r="V38" i="2"/>
  <c r="Q38" i="2"/>
  <c r="AK37" i="2"/>
  <c r="AC37" i="2"/>
  <c r="W37" i="2"/>
  <c r="AL38" i="2"/>
  <c r="R39" i="2"/>
  <c r="X38" i="2"/>
  <c r="AD38" i="2"/>
  <c r="T31" i="2"/>
  <c r="AF30" i="2"/>
  <c r="Z30" i="2"/>
  <c r="AF29" i="2"/>
  <c r="Z29" i="2"/>
  <c r="Z28" i="2"/>
  <c r="AF28" i="2"/>
  <c r="AE17" i="2"/>
  <c r="Y17" i="2"/>
  <c r="S18" i="2"/>
  <c r="G17" i="2"/>
  <c r="F18" i="2"/>
  <c r="H17" i="2"/>
  <c r="AK38" i="2" l="1"/>
  <c r="W38" i="2"/>
  <c r="AC38" i="2"/>
  <c r="Q39" i="2"/>
  <c r="T32" i="2"/>
  <c r="AN32" i="2" s="1"/>
  <c r="AN31" i="2"/>
  <c r="R40" i="2"/>
  <c r="AL39" i="2"/>
  <c r="AD39" i="2"/>
  <c r="X39" i="2"/>
  <c r="P40" i="2"/>
  <c r="AJ39" i="2"/>
  <c r="V39" i="2"/>
  <c r="AB39" i="2"/>
  <c r="T33" i="2"/>
  <c r="AF32" i="2"/>
  <c r="Z31" i="2"/>
  <c r="AF31" i="2"/>
  <c r="Y18" i="2"/>
  <c r="S19" i="2"/>
  <c r="AE18" i="2"/>
  <c r="G18" i="2"/>
  <c r="F19" i="2"/>
  <c r="H18" i="2"/>
  <c r="Z32" i="2" l="1"/>
  <c r="T34" i="2"/>
  <c r="AN34" i="2" s="1"/>
  <c r="AN33" i="2"/>
  <c r="R41" i="2"/>
  <c r="AL40" i="2"/>
  <c r="AD40" i="2"/>
  <c r="X40" i="2"/>
  <c r="Q40" i="2"/>
  <c r="AK39" i="2"/>
  <c r="AC39" i="2"/>
  <c r="W39" i="2"/>
  <c r="P41" i="2"/>
  <c r="AJ40" i="2"/>
  <c r="AB40" i="2"/>
  <c r="V40" i="2"/>
  <c r="AF34" i="2"/>
  <c r="Z33" i="2"/>
  <c r="AF33" i="2"/>
  <c r="AE19" i="2"/>
  <c r="S20" i="2"/>
  <c r="Y19" i="2"/>
  <c r="F20" i="2"/>
  <c r="G19" i="2"/>
  <c r="H19" i="2"/>
  <c r="Z34" i="2" l="1"/>
  <c r="T35" i="2"/>
  <c r="Z35" i="2" s="1"/>
  <c r="Q41" i="2"/>
  <c r="AK40" i="2"/>
  <c r="AC40" i="2"/>
  <c r="W40" i="2"/>
  <c r="P42" i="2"/>
  <c r="AJ41" i="2"/>
  <c r="AB41" i="2"/>
  <c r="V41" i="2"/>
  <c r="R42" i="2"/>
  <c r="AL41" i="2"/>
  <c r="X41" i="2"/>
  <c r="AD41" i="2"/>
  <c r="S21" i="2"/>
  <c r="Y20" i="2"/>
  <c r="AE20" i="2"/>
  <c r="F21" i="2"/>
  <c r="F22" i="2" s="1"/>
  <c r="G20" i="2"/>
  <c r="H20" i="2"/>
  <c r="AN35" i="2" l="1"/>
  <c r="T36" i="2"/>
  <c r="T37" i="2" s="1"/>
  <c r="AF35" i="2"/>
  <c r="P43" i="2"/>
  <c r="AJ42" i="2"/>
  <c r="AB42" i="2"/>
  <c r="V42" i="2"/>
  <c r="R43" i="2"/>
  <c r="AL42" i="2"/>
  <c r="X42" i="2"/>
  <c r="AD42" i="2"/>
  <c r="Q42" i="2"/>
  <c r="AK41" i="2"/>
  <c r="W41" i="2"/>
  <c r="AC41" i="2"/>
  <c r="F23" i="2"/>
  <c r="G22" i="2"/>
  <c r="H22" i="2"/>
  <c r="Y21" i="2"/>
  <c r="AE21" i="2"/>
  <c r="S22" i="2"/>
  <c r="G21" i="2"/>
  <c r="H21" i="2"/>
  <c r="AN36" i="2" l="1"/>
  <c r="Z36" i="2"/>
  <c r="AF36" i="2"/>
  <c r="R44" i="2"/>
  <c r="AL43" i="2"/>
  <c r="AD43" i="2"/>
  <c r="X43" i="2"/>
  <c r="Q43" i="2"/>
  <c r="AK42" i="2"/>
  <c r="AC42" i="2"/>
  <c r="W42" i="2"/>
  <c r="T38" i="2"/>
  <c r="AN37" i="2"/>
  <c r="Z37" i="2"/>
  <c r="AF37" i="2"/>
  <c r="P44" i="2"/>
  <c r="AJ43" i="2"/>
  <c r="AB43" i="2"/>
  <c r="V43" i="2"/>
  <c r="F24" i="2"/>
  <c r="G24" i="2" s="1"/>
  <c r="G23" i="2"/>
  <c r="H23" i="2"/>
  <c r="Y22" i="2"/>
  <c r="S23" i="2"/>
  <c r="AE22" i="2"/>
  <c r="Q44" i="2" l="1"/>
  <c r="AK43" i="2"/>
  <c r="W43" i="2"/>
  <c r="AC43" i="2"/>
  <c r="P45" i="2"/>
  <c r="AJ44" i="2"/>
  <c r="AB44" i="2"/>
  <c r="V44" i="2"/>
  <c r="AN38" i="2"/>
  <c r="T39" i="2"/>
  <c r="Z38" i="2"/>
  <c r="AF38" i="2"/>
  <c r="R45" i="2"/>
  <c r="AL44" i="2"/>
  <c r="AD44" i="2"/>
  <c r="X44" i="2"/>
  <c r="F25" i="2"/>
  <c r="G25" i="2" s="1"/>
  <c r="H24" i="2"/>
  <c r="S24" i="2"/>
  <c r="Y23" i="2"/>
  <c r="AE23" i="2"/>
  <c r="AL45" i="2" l="1"/>
  <c r="AD45" i="2"/>
  <c r="R46" i="2"/>
  <c r="X45" i="2"/>
  <c r="AJ45" i="2"/>
  <c r="V45" i="2"/>
  <c r="P46" i="2"/>
  <c r="AB45" i="2"/>
  <c r="T40" i="2"/>
  <c r="AN39" i="2"/>
  <c r="AF39" i="2"/>
  <c r="Z39" i="2"/>
  <c r="Q45" i="2"/>
  <c r="AK44" i="2"/>
  <c r="AC44" i="2"/>
  <c r="W44" i="2"/>
  <c r="F26" i="2"/>
  <c r="H25" i="2"/>
  <c r="S25" i="2"/>
  <c r="AE24" i="2"/>
  <c r="Y24" i="2"/>
  <c r="AJ46" i="2" l="1"/>
  <c r="P47" i="2"/>
  <c r="AB46" i="2"/>
  <c r="V46" i="2"/>
  <c r="AK45" i="2"/>
  <c r="Q46" i="2"/>
  <c r="W45" i="2"/>
  <c r="AC45" i="2"/>
  <c r="AL46" i="2"/>
  <c r="R47" i="2"/>
  <c r="X46" i="2"/>
  <c r="AD46" i="2"/>
  <c r="T41" i="2"/>
  <c r="AN40" i="2"/>
  <c r="AF40" i="2"/>
  <c r="Z40" i="2"/>
  <c r="F27" i="2"/>
  <c r="G26" i="2"/>
  <c r="H26" i="2"/>
  <c r="Y25" i="2"/>
  <c r="S26" i="2"/>
  <c r="AE25" i="2"/>
  <c r="T42" i="2" l="1"/>
  <c r="AN41" i="2"/>
  <c r="Z41" i="2"/>
  <c r="AF41" i="2"/>
  <c r="AK46" i="2"/>
  <c r="W46" i="2"/>
  <c r="Q47" i="2"/>
  <c r="AC46" i="2"/>
  <c r="R48" i="2"/>
  <c r="AL47" i="2"/>
  <c r="X47" i="2"/>
  <c r="AD47" i="2"/>
  <c r="P48" i="2"/>
  <c r="AJ47" i="2"/>
  <c r="V47" i="2"/>
  <c r="AB47" i="2"/>
  <c r="F28" i="2"/>
  <c r="G27" i="2"/>
  <c r="H27" i="2"/>
  <c r="S27" i="2"/>
  <c r="S28" i="2" s="1"/>
  <c r="S29" i="2" s="1"/>
  <c r="S30" i="2" s="1"/>
  <c r="Y26" i="2"/>
  <c r="AE26" i="2"/>
  <c r="Q48" i="2" l="1"/>
  <c r="AK47" i="2"/>
  <c r="W47" i="2"/>
  <c r="AC47" i="2"/>
  <c r="P49" i="2"/>
  <c r="AJ48" i="2"/>
  <c r="AB48" i="2"/>
  <c r="V48" i="2"/>
  <c r="R49" i="2"/>
  <c r="AL48" i="2"/>
  <c r="AD48" i="2"/>
  <c r="X48" i="2"/>
  <c r="T43" i="2"/>
  <c r="AN42" i="2"/>
  <c r="AF42" i="2"/>
  <c r="Z42" i="2"/>
  <c r="F29" i="2"/>
  <c r="G28" i="2"/>
  <c r="H28" i="2"/>
  <c r="S31" i="2"/>
  <c r="Y30" i="2"/>
  <c r="AE30" i="2"/>
  <c r="AE29" i="2"/>
  <c r="Y29" i="2"/>
  <c r="Y28" i="2"/>
  <c r="AE28" i="2"/>
  <c r="Y27" i="2"/>
  <c r="AE27" i="2"/>
  <c r="S32" i="2" l="1"/>
  <c r="AM32" i="2" s="1"/>
  <c r="AM31" i="2"/>
  <c r="P50" i="2"/>
  <c r="AJ49" i="2"/>
  <c r="V49" i="2"/>
  <c r="AB49" i="2"/>
  <c r="T44" i="2"/>
  <c r="AN43" i="2"/>
  <c r="AF43" i="2"/>
  <c r="Z43" i="2"/>
  <c r="R50" i="2"/>
  <c r="AL49" i="2"/>
  <c r="X49" i="2"/>
  <c r="AD49" i="2"/>
  <c r="Q49" i="2"/>
  <c r="AK48" i="2"/>
  <c r="W48" i="2"/>
  <c r="AC48" i="2"/>
  <c r="F30" i="2"/>
  <c r="H29" i="2"/>
  <c r="G29" i="2"/>
  <c r="Y31" i="2"/>
  <c r="AE31" i="2"/>
  <c r="AE32" i="2" l="1"/>
  <c r="Y32" i="2"/>
  <c r="S33" i="2"/>
  <c r="Y33" i="2" s="1"/>
  <c r="T45" i="2"/>
  <c r="AN44" i="2"/>
  <c r="AF44" i="2"/>
  <c r="Z44" i="2"/>
  <c r="AL50" i="2"/>
  <c r="AD50" i="2"/>
  <c r="X50" i="2"/>
  <c r="R51" i="2"/>
  <c r="AJ50" i="2"/>
  <c r="V50" i="2"/>
  <c r="AB50" i="2"/>
  <c r="P51" i="2"/>
  <c r="Q50" i="2"/>
  <c r="AK49" i="2"/>
  <c r="AC49" i="2"/>
  <c r="W49" i="2"/>
  <c r="F31" i="2"/>
  <c r="H30" i="2"/>
  <c r="G30" i="2"/>
  <c r="AE33" i="2"/>
  <c r="AM33" i="2" l="1"/>
  <c r="S34" i="2"/>
  <c r="S35" i="2" s="1"/>
  <c r="P52" i="2"/>
  <c r="AJ51" i="2"/>
  <c r="V51" i="2"/>
  <c r="AB51" i="2"/>
  <c r="AN45" i="2"/>
  <c r="Z45" i="2"/>
  <c r="T46" i="2"/>
  <c r="AF45" i="2"/>
  <c r="AK50" i="2"/>
  <c r="AC50" i="2"/>
  <c r="Q51" i="2"/>
  <c r="W50" i="2"/>
  <c r="R52" i="2"/>
  <c r="AL51" i="2"/>
  <c r="X51" i="2"/>
  <c r="AD51" i="2"/>
  <c r="F32" i="2"/>
  <c r="H31" i="2"/>
  <c r="G31" i="2"/>
  <c r="AE35" i="2" l="1"/>
  <c r="S36" i="2"/>
  <c r="Y36" i="2" s="1"/>
  <c r="AM35" i="2"/>
  <c r="Y35" i="2"/>
  <c r="AE34" i="2"/>
  <c r="AM34" i="2"/>
  <c r="Y34" i="2"/>
  <c r="AN46" i="2"/>
  <c r="Z46" i="2"/>
  <c r="T47" i="2"/>
  <c r="AF46" i="2"/>
  <c r="AE36" i="2"/>
  <c r="R53" i="2"/>
  <c r="AL52" i="2"/>
  <c r="AD52" i="2"/>
  <c r="X52" i="2"/>
  <c r="Q52" i="2"/>
  <c r="AK51" i="2"/>
  <c r="W51" i="2"/>
  <c r="AC51" i="2"/>
  <c r="S37" i="2"/>
  <c r="AM36" i="2"/>
  <c r="P53" i="2"/>
  <c r="AJ52" i="2"/>
  <c r="AB52" i="2"/>
  <c r="V52" i="2"/>
  <c r="G32" i="2"/>
  <c r="F33" i="2"/>
  <c r="H32" i="2"/>
  <c r="S38" i="2" l="1"/>
  <c r="AM37" i="2"/>
  <c r="Y37" i="2"/>
  <c r="AE37" i="2"/>
  <c r="R54" i="2"/>
  <c r="AL53" i="2"/>
  <c r="X53" i="2"/>
  <c r="AD53" i="2"/>
  <c r="T48" i="2"/>
  <c r="AN47" i="2"/>
  <c r="AF47" i="2"/>
  <c r="Z47" i="2"/>
  <c r="Q53" i="2"/>
  <c r="AK52" i="2"/>
  <c r="W52" i="2"/>
  <c r="AC52" i="2"/>
  <c r="P54" i="2"/>
  <c r="AJ53" i="2"/>
  <c r="AB53" i="2"/>
  <c r="V53" i="2"/>
  <c r="F34" i="2"/>
  <c r="G33" i="2"/>
  <c r="H33" i="2"/>
  <c r="Q54" i="2" l="1"/>
  <c r="AK53" i="2"/>
  <c r="W53" i="2"/>
  <c r="AC53" i="2"/>
  <c r="R55" i="2"/>
  <c r="AL54" i="2"/>
  <c r="AD54" i="2"/>
  <c r="X54" i="2"/>
  <c r="P55" i="2"/>
  <c r="AJ54" i="2"/>
  <c r="AB54" i="2"/>
  <c r="V54" i="2"/>
  <c r="T49" i="2"/>
  <c r="AN48" i="2"/>
  <c r="AF48" i="2"/>
  <c r="Z48" i="2"/>
  <c r="AM38" i="2"/>
  <c r="S39" i="2"/>
  <c r="Y38" i="2"/>
  <c r="AE38" i="2"/>
  <c r="G34" i="2"/>
  <c r="F35" i="2"/>
  <c r="H34" i="2"/>
  <c r="AL55" i="2" l="1"/>
  <c r="X55" i="2"/>
  <c r="R56" i="2"/>
  <c r="AD55" i="2"/>
  <c r="T50" i="2"/>
  <c r="AN49" i="2"/>
  <c r="AF49" i="2"/>
  <c r="Z49" i="2"/>
  <c r="S40" i="2"/>
  <c r="AM39" i="2"/>
  <c r="Y39" i="2"/>
  <c r="AE39" i="2"/>
  <c r="AJ55" i="2"/>
  <c r="P56" i="2"/>
  <c r="V55" i="2"/>
  <c r="AB55" i="2"/>
  <c r="Q55" i="2"/>
  <c r="AK54" i="2"/>
  <c r="W54" i="2"/>
  <c r="AC54" i="2"/>
  <c r="F36" i="2"/>
  <c r="G35" i="2"/>
  <c r="H35" i="2"/>
  <c r="AN50" i="2" l="1"/>
  <c r="Z50" i="2"/>
  <c r="AF50" i="2"/>
  <c r="T51" i="2"/>
  <c r="R57" i="2"/>
  <c r="AL56" i="2"/>
  <c r="X56" i="2"/>
  <c r="AD56" i="2"/>
  <c r="P57" i="2"/>
  <c r="AJ56" i="2"/>
  <c r="V56" i="2"/>
  <c r="AB56" i="2"/>
  <c r="AK55" i="2"/>
  <c r="Q56" i="2"/>
  <c r="AC55" i="2"/>
  <c r="W55" i="2"/>
  <c r="S41" i="2"/>
  <c r="AM40" i="2"/>
  <c r="AE40" i="2"/>
  <c r="Y40" i="2"/>
  <c r="G36" i="2"/>
  <c r="F37" i="2"/>
  <c r="F38" i="2" s="1"/>
  <c r="H36" i="2"/>
  <c r="R58" i="2" l="1"/>
  <c r="AL57" i="2"/>
  <c r="X57" i="2"/>
  <c r="AD57" i="2"/>
  <c r="T52" i="2"/>
  <c r="AN51" i="2"/>
  <c r="Z51" i="2"/>
  <c r="AF51" i="2"/>
  <c r="Q57" i="2"/>
  <c r="AK56" i="2"/>
  <c r="W56" i="2"/>
  <c r="AC56" i="2"/>
  <c r="S42" i="2"/>
  <c r="AM41" i="2"/>
  <c r="AE41" i="2"/>
  <c r="Y41" i="2"/>
  <c r="P58" i="2"/>
  <c r="AJ57" i="2"/>
  <c r="V57" i="2"/>
  <c r="AB57" i="2"/>
  <c r="F39" i="2"/>
  <c r="H38" i="2"/>
  <c r="G38" i="2"/>
  <c r="G37" i="2"/>
  <c r="H37" i="2"/>
  <c r="T53" i="2" l="1"/>
  <c r="AN52" i="2"/>
  <c r="AF52" i="2"/>
  <c r="Z52" i="2"/>
  <c r="S43" i="2"/>
  <c r="AM42" i="2"/>
  <c r="Y42" i="2"/>
  <c r="AE42" i="2"/>
  <c r="P59" i="2"/>
  <c r="AJ58" i="2"/>
  <c r="V58" i="2"/>
  <c r="AB58" i="2"/>
  <c r="Q58" i="2"/>
  <c r="AK57" i="2"/>
  <c r="AC57" i="2"/>
  <c r="W57" i="2"/>
  <c r="R59" i="2"/>
  <c r="AL58" i="2"/>
  <c r="X58" i="2"/>
  <c r="AD58" i="2"/>
  <c r="F40" i="2"/>
  <c r="G39" i="2"/>
  <c r="H39" i="2"/>
  <c r="S6" i="1"/>
  <c r="F4" i="1"/>
  <c r="P4" i="1" s="1"/>
  <c r="Q59" i="2" l="1"/>
  <c r="AK58" i="2"/>
  <c r="AC58" i="2"/>
  <c r="W58" i="2"/>
  <c r="S44" i="2"/>
  <c r="AM43" i="2"/>
  <c r="Y43" i="2"/>
  <c r="AE43" i="2"/>
  <c r="R60" i="2"/>
  <c r="AL59" i="2"/>
  <c r="AD59" i="2"/>
  <c r="X59" i="2"/>
  <c r="P60" i="2"/>
  <c r="AJ59" i="2"/>
  <c r="AB59" i="2"/>
  <c r="V59" i="2"/>
  <c r="T54" i="2"/>
  <c r="AN53" i="2"/>
  <c r="Z53" i="2"/>
  <c r="AF53" i="2"/>
  <c r="F41" i="2"/>
  <c r="H40" i="2"/>
  <c r="G40" i="2"/>
  <c r="P6" i="1"/>
  <c r="F5" i="1"/>
  <c r="P5" i="1" s="1"/>
  <c r="F3" i="1"/>
  <c r="P2" i="1"/>
  <c r="P61" i="2" l="1"/>
  <c r="AJ60" i="2"/>
  <c r="AB60" i="2"/>
  <c r="V60" i="2"/>
  <c r="S45" i="2"/>
  <c r="AM44" i="2"/>
  <c r="AE44" i="2"/>
  <c r="Y44" i="2"/>
  <c r="T55" i="2"/>
  <c r="AN54" i="2"/>
  <c r="Z54" i="2"/>
  <c r="AF54" i="2"/>
  <c r="R61" i="2"/>
  <c r="AL60" i="2"/>
  <c r="X60" i="2"/>
  <c r="AD60" i="2"/>
  <c r="Q60" i="2"/>
  <c r="AK59" i="2"/>
  <c r="W59" i="2"/>
  <c r="AC59" i="2"/>
  <c r="F42" i="2"/>
  <c r="G41" i="2"/>
  <c r="H41" i="2"/>
  <c r="P3" i="1"/>
  <c r="N21" i="1" a="1"/>
  <c r="N21" i="1" s="1"/>
  <c r="I31" i="1" s="1"/>
  <c r="F20" i="1"/>
  <c r="F21" i="1" s="1"/>
  <c r="K28" i="1"/>
  <c r="K21" i="1"/>
  <c r="AM45" i="2" l="1"/>
  <c r="Y45" i="2"/>
  <c r="S46" i="2"/>
  <c r="AE45" i="2"/>
  <c r="R62" i="2"/>
  <c r="AL61" i="2"/>
  <c r="AD61" i="2"/>
  <c r="X61" i="2"/>
  <c r="Q61" i="2"/>
  <c r="AK60" i="2"/>
  <c r="AC60" i="2"/>
  <c r="W60" i="2"/>
  <c r="AN55" i="2"/>
  <c r="T56" i="2"/>
  <c r="Z55" i="2"/>
  <c r="AF55" i="2"/>
  <c r="P62" i="2"/>
  <c r="AJ61" i="2"/>
  <c r="AB61" i="2"/>
  <c r="V61" i="2"/>
  <c r="G42" i="2"/>
  <c r="F43" i="2"/>
  <c r="H42" i="2"/>
  <c r="T57" i="2" l="1"/>
  <c r="AN56" i="2"/>
  <c r="AF56" i="2"/>
  <c r="Z56" i="2"/>
  <c r="AM46" i="2"/>
  <c r="AE46" i="2"/>
  <c r="S47" i="2"/>
  <c r="Y46" i="2"/>
  <c r="AL62" i="2"/>
  <c r="AD62" i="2"/>
  <c r="X62" i="2"/>
  <c r="R63" i="2"/>
  <c r="AJ62" i="2"/>
  <c r="P63" i="2"/>
  <c r="AB62" i="2"/>
  <c r="V62" i="2"/>
  <c r="Q62" i="2"/>
  <c r="AK61" i="2"/>
  <c r="AC61" i="2"/>
  <c r="W61" i="2"/>
  <c r="H43" i="2"/>
  <c r="F44" i="2"/>
  <c r="G43" i="2"/>
  <c r="P64" i="2" l="1"/>
  <c r="AJ63" i="2"/>
  <c r="V63" i="2"/>
  <c r="AB63" i="2"/>
  <c r="S48" i="2"/>
  <c r="AM47" i="2"/>
  <c r="Y47" i="2"/>
  <c r="AE47" i="2"/>
  <c r="R64" i="2"/>
  <c r="AL63" i="2"/>
  <c r="X63" i="2"/>
  <c r="AD63" i="2"/>
  <c r="AK62" i="2"/>
  <c r="AC62" i="2"/>
  <c r="W62" i="2"/>
  <c r="Q63" i="2"/>
  <c r="T58" i="2"/>
  <c r="AN57" i="2"/>
  <c r="Z57" i="2"/>
  <c r="AF57" i="2"/>
  <c r="H44" i="2"/>
  <c r="F45" i="2"/>
  <c r="G44" i="2"/>
  <c r="Q64" i="2" l="1"/>
  <c r="AK63" i="2"/>
  <c r="W63" i="2"/>
  <c r="AC63" i="2"/>
  <c r="S49" i="2"/>
  <c r="AM48" i="2"/>
  <c r="Y48" i="2"/>
  <c r="AE48" i="2"/>
  <c r="T59" i="2"/>
  <c r="AN58" i="2"/>
  <c r="Z58" i="2"/>
  <c r="AF58" i="2"/>
  <c r="R65" i="2"/>
  <c r="AL64" i="2"/>
  <c r="X64" i="2"/>
  <c r="AD64" i="2"/>
  <c r="P65" i="2"/>
  <c r="AJ64" i="2"/>
  <c r="V64" i="2"/>
  <c r="AB64" i="2"/>
  <c r="F46" i="2"/>
  <c r="G45" i="2"/>
  <c r="H45" i="2"/>
  <c r="AL65" i="2" l="1"/>
  <c r="R66" i="2"/>
  <c r="R67" i="2" s="1"/>
  <c r="X65" i="2"/>
  <c r="AD65" i="2"/>
  <c r="AJ65" i="2"/>
  <c r="P66" i="2"/>
  <c r="P67" i="2" s="1"/>
  <c r="AB65" i="2"/>
  <c r="V65" i="2"/>
  <c r="T60" i="2"/>
  <c r="AN59" i="2"/>
  <c r="AF59" i="2"/>
  <c r="Z59" i="2"/>
  <c r="S50" i="2"/>
  <c r="AM49" i="2"/>
  <c r="AE49" i="2"/>
  <c r="Y49" i="2"/>
  <c r="Q65" i="2"/>
  <c r="AK64" i="2"/>
  <c r="AC64" i="2"/>
  <c r="W64" i="2"/>
  <c r="G46" i="2"/>
  <c r="F47" i="2"/>
  <c r="H46" i="2"/>
  <c r="AJ67" i="2" l="1"/>
  <c r="AB67" i="2"/>
  <c r="V67" i="2"/>
  <c r="P68" i="2"/>
  <c r="P69" i="2" s="1"/>
  <c r="P70" i="2" s="1"/>
  <c r="P71" i="2" s="1"/>
  <c r="P72" i="2" s="1"/>
  <c r="P73" i="2" s="1"/>
  <c r="P74" i="2" s="1"/>
  <c r="P75" i="2" s="1"/>
  <c r="P76" i="2" s="1"/>
  <c r="P77" i="2" s="1"/>
  <c r="P78" i="2" s="1"/>
  <c r="AL67" i="2"/>
  <c r="AD67" i="2"/>
  <c r="X67" i="2"/>
  <c r="R68" i="2"/>
  <c r="R69" i="2" s="1"/>
  <c r="R70" i="2" s="1"/>
  <c r="R71" i="2" s="1"/>
  <c r="R72" i="2" s="1"/>
  <c r="R73" i="2" s="1"/>
  <c r="R74" i="2" s="1"/>
  <c r="R75" i="2" s="1"/>
  <c r="R76" i="2" s="1"/>
  <c r="R77" i="2" s="1"/>
  <c r="R78" i="2" s="1"/>
  <c r="R79" i="2" s="1"/>
  <c r="R80" i="2" s="1"/>
  <c r="R81" i="2" s="1"/>
  <c r="R82" i="2" s="1"/>
  <c r="AM50" i="2"/>
  <c r="Y50" i="2"/>
  <c r="AE50" i="2"/>
  <c r="S51" i="2"/>
  <c r="AJ66" i="2"/>
  <c r="AB66" i="2"/>
  <c r="V66" i="2"/>
  <c r="AL66" i="2"/>
  <c r="AD66" i="2"/>
  <c r="X66" i="2"/>
  <c r="AK65" i="2"/>
  <c r="Q66" i="2"/>
  <c r="Q67" i="2" s="1"/>
  <c r="W65" i="2"/>
  <c r="AC65" i="2"/>
  <c r="T61" i="2"/>
  <c r="AN60" i="2"/>
  <c r="Z60" i="2"/>
  <c r="AF60" i="2"/>
  <c r="F48" i="2"/>
  <c r="G47" i="2"/>
  <c r="H47" i="2"/>
  <c r="AD82" i="2" l="1"/>
  <c r="X82" i="2"/>
  <c r="AL82" i="2"/>
  <c r="AL81" i="2"/>
  <c r="AD81" i="2"/>
  <c r="X81" i="2"/>
  <c r="AD80" i="2"/>
  <c r="X80" i="2"/>
  <c r="AL80" i="2"/>
  <c r="AD79" i="2"/>
  <c r="AL79" i="2"/>
  <c r="X79" i="2"/>
  <c r="X78" i="2"/>
  <c r="AL78" i="2"/>
  <c r="AD78" i="2"/>
  <c r="P79" i="2"/>
  <c r="P80" i="2" s="1"/>
  <c r="P81" i="2" s="1"/>
  <c r="P82" i="2" s="1"/>
  <c r="AJ78" i="2"/>
  <c r="V78" i="2"/>
  <c r="AB78" i="2"/>
  <c r="X77" i="2"/>
  <c r="AL77" i="2"/>
  <c r="AD77" i="2"/>
  <c r="AB77" i="2"/>
  <c r="V77" i="2"/>
  <c r="AJ77" i="2"/>
  <c r="AD76" i="2"/>
  <c r="X76" i="2"/>
  <c r="AL76" i="2"/>
  <c r="AJ76" i="2"/>
  <c r="V76" i="2"/>
  <c r="AB76" i="2"/>
  <c r="X75" i="2"/>
  <c r="AD75" i="2"/>
  <c r="AL75" i="2"/>
  <c r="AB75" i="2"/>
  <c r="AJ75" i="2"/>
  <c r="V75" i="2"/>
  <c r="AD74" i="2"/>
  <c r="X74" i="2"/>
  <c r="AL74" i="2"/>
  <c r="AB74" i="2"/>
  <c r="V74" i="2"/>
  <c r="AJ74" i="2"/>
  <c r="AL73" i="2"/>
  <c r="X73" i="2"/>
  <c r="AD73" i="2"/>
  <c r="V73" i="2"/>
  <c r="AJ73" i="2"/>
  <c r="AB73" i="2"/>
  <c r="AD72" i="2"/>
  <c r="X72" i="2"/>
  <c r="AL72" i="2"/>
  <c r="AJ72" i="2"/>
  <c r="V72" i="2"/>
  <c r="AB72" i="2"/>
  <c r="AD71" i="2"/>
  <c r="AL71" i="2"/>
  <c r="X71" i="2"/>
  <c r="AB71" i="2"/>
  <c r="AJ71" i="2"/>
  <c r="V71" i="2"/>
  <c r="AD70" i="2"/>
  <c r="X70" i="2"/>
  <c r="AL70" i="2"/>
  <c r="AJ70" i="2"/>
  <c r="AB70" i="2"/>
  <c r="V70" i="2"/>
  <c r="X69" i="2"/>
  <c r="AD69" i="2"/>
  <c r="AL69" i="2"/>
  <c r="AB69" i="2"/>
  <c r="AJ69" i="2"/>
  <c r="V69" i="2"/>
  <c r="L33" i="1"/>
  <c r="K33" i="1"/>
  <c r="X68" i="2"/>
  <c r="AD68" i="2"/>
  <c r="AL68" i="2"/>
  <c r="V68" i="2"/>
  <c r="AB68" i="2"/>
  <c r="AJ68" i="2"/>
  <c r="AK67" i="2"/>
  <c r="AC67" i="2"/>
  <c r="W67" i="2"/>
  <c r="Q68" i="2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T62" i="2"/>
  <c r="AN61" i="2"/>
  <c r="AF61" i="2"/>
  <c r="Z61" i="2"/>
  <c r="AK66" i="2"/>
  <c r="AC66" i="2"/>
  <c r="W66" i="2"/>
  <c r="S52" i="2"/>
  <c r="AM51" i="2"/>
  <c r="Y51" i="2"/>
  <c r="AE51" i="2"/>
  <c r="G48" i="2"/>
  <c r="F49" i="2"/>
  <c r="H48" i="2"/>
  <c r="AC82" i="2" l="1"/>
  <c r="W82" i="2"/>
  <c r="AK82" i="2"/>
  <c r="AJ82" i="2"/>
  <c r="AB82" i="2"/>
  <c r="V82" i="2"/>
  <c r="W81" i="2"/>
  <c r="AK81" i="2"/>
  <c r="AC81" i="2"/>
  <c r="V81" i="2"/>
  <c r="AB81" i="2"/>
  <c r="AJ81" i="2"/>
  <c r="AK80" i="2"/>
  <c r="AC80" i="2"/>
  <c r="W80" i="2"/>
  <c r="AJ80" i="2"/>
  <c r="V80" i="2"/>
  <c r="AB80" i="2"/>
  <c r="AK79" i="2"/>
  <c r="AC79" i="2"/>
  <c r="W79" i="2"/>
  <c r="AK78" i="2"/>
  <c r="AC78" i="2"/>
  <c r="W78" i="2"/>
  <c r="AJ79" i="2"/>
  <c r="AB79" i="2"/>
  <c r="V79" i="2"/>
  <c r="AC77" i="2"/>
  <c r="AK77" i="2"/>
  <c r="W77" i="2"/>
  <c r="AK76" i="2"/>
  <c r="AC76" i="2"/>
  <c r="W76" i="2"/>
  <c r="AK75" i="2"/>
  <c r="W75" i="2"/>
  <c r="AC75" i="2"/>
  <c r="AK74" i="2"/>
  <c r="W74" i="2"/>
  <c r="AC74" i="2"/>
  <c r="AK73" i="2"/>
  <c r="AC73" i="2"/>
  <c r="W73" i="2"/>
  <c r="AC72" i="2"/>
  <c r="W72" i="2"/>
  <c r="AK72" i="2"/>
  <c r="P46" i="1"/>
  <c r="AK71" i="2"/>
  <c r="AC71" i="2"/>
  <c r="W71" i="2"/>
  <c r="AC70" i="2"/>
  <c r="AK70" i="2"/>
  <c r="W70" i="2"/>
  <c r="AC69" i="2"/>
  <c r="W69" i="2"/>
  <c r="AK69" i="2"/>
  <c r="AK68" i="2"/>
  <c r="AC68" i="2"/>
  <c r="W68" i="2"/>
  <c r="AN62" i="2"/>
  <c r="T63" i="2"/>
  <c r="AF62" i="2"/>
  <c r="Z62" i="2"/>
  <c r="S53" i="2"/>
  <c r="AM52" i="2"/>
  <c r="Y52" i="2"/>
  <c r="AE52" i="2"/>
  <c r="H49" i="2"/>
  <c r="G49" i="2"/>
  <c r="F50" i="2"/>
  <c r="N46" i="1" l="1"/>
  <c r="O46" i="1"/>
  <c r="T64" i="2"/>
  <c r="AN63" i="2"/>
  <c r="Z63" i="2"/>
  <c r="AF63" i="2"/>
  <c r="S54" i="2"/>
  <c r="AM53" i="2"/>
  <c r="Y53" i="2"/>
  <c r="AE53" i="2"/>
  <c r="F51" i="2"/>
  <c r="G50" i="2"/>
  <c r="H50" i="2"/>
  <c r="S55" i="2" l="1"/>
  <c r="AM54" i="2"/>
  <c r="AE54" i="2"/>
  <c r="Y54" i="2"/>
  <c r="T65" i="2"/>
  <c r="AN64" i="2"/>
  <c r="Z64" i="2"/>
  <c r="AF64" i="2"/>
  <c r="G51" i="2"/>
  <c r="F52" i="2"/>
  <c r="H51" i="2"/>
  <c r="AN65" i="2" l="1"/>
  <c r="T66" i="2"/>
  <c r="T67" i="2" s="1"/>
  <c r="AF65" i="2"/>
  <c r="Z65" i="2"/>
  <c r="AM55" i="2"/>
  <c r="S56" i="2"/>
  <c r="AE55" i="2"/>
  <c r="Y55" i="2"/>
  <c r="G52" i="2"/>
  <c r="F53" i="2"/>
  <c r="H52" i="2"/>
  <c r="Z67" i="2" l="1"/>
  <c r="AN67" i="2"/>
  <c r="AF67" i="2"/>
  <c r="T68" i="2"/>
  <c r="T69" i="2" s="1"/>
  <c r="T70" i="2" s="1"/>
  <c r="T71" i="2" s="1"/>
  <c r="T72" i="2" s="1"/>
  <c r="T73" i="2" s="1"/>
  <c r="T74" i="2" s="1"/>
  <c r="T75" i="2" s="1"/>
  <c r="T76" i="2" s="1"/>
  <c r="T77" i="2" s="1"/>
  <c r="T78" i="2" s="1"/>
  <c r="T79" i="2" s="1"/>
  <c r="T80" i="2" s="1"/>
  <c r="T81" i="2" s="1"/>
  <c r="T82" i="2" s="1"/>
  <c r="S57" i="2"/>
  <c r="AM56" i="2"/>
  <c r="Y56" i="2"/>
  <c r="AE56" i="2"/>
  <c r="AN66" i="2"/>
  <c r="Z66" i="2"/>
  <c r="AF66" i="2"/>
  <c r="F54" i="2"/>
  <c r="G53" i="2"/>
  <c r="H53" i="2"/>
  <c r="AN82" i="2" l="1"/>
  <c r="AF82" i="2"/>
  <c r="Z82" i="2"/>
  <c r="AN81" i="2"/>
  <c r="AF81" i="2"/>
  <c r="Z81" i="2"/>
  <c r="Z80" i="2"/>
  <c r="AF80" i="2"/>
  <c r="AN80" i="2"/>
  <c r="Z79" i="2"/>
  <c r="AN79" i="2"/>
  <c r="AF79" i="2"/>
  <c r="AN78" i="2"/>
  <c r="AF78" i="2"/>
  <c r="Z78" i="2"/>
  <c r="Z77" i="2"/>
  <c r="AN77" i="2"/>
  <c r="AF77" i="2"/>
  <c r="Z76" i="2"/>
  <c r="AN76" i="2"/>
  <c r="AF76" i="2"/>
  <c r="Z75" i="2"/>
  <c r="AN75" i="2"/>
  <c r="AF75" i="2"/>
  <c r="Z74" i="2"/>
  <c r="AN74" i="2"/>
  <c r="AF74" i="2"/>
  <c r="AN73" i="2"/>
  <c r="Z73" i="2"/>
  <c r="AF73" i="2"/>
  <c r="Z72" i="2"/>
  <c r="AN72" i="2"/>
  <c r="AF72" i="2"/>
  <c r="Z71" i="2"/>
  <c r="AN71" i="2"/>
  <c r="AF71" i="2"/>
  <c r="AN70" i="2"/>
  <c r="AF70" i="2"/>
  <c r="Z70" i="2"/>
  <c r="Z69" i="2"/>
  <c r="AN69" i="2"/>
  <c r="AF69" i="2"/>
  <c r="L34" i="1"/>
  <c r="K34" i="1"/>
  <c r="AN68" i="2"/>
  <c r="Z68" i="2"/>
  <c r="AF68" i="2"/>
  <c r="S58" i="2"/>
  <c r="AM57" i="2"/>
  <c r="AE57" i="2"/>
  <c r="Y57" i="2"/>
  <c r="F55" i="2"/>
  <c r="G54" i="2"/>
  <c r="H54" i="2"/>
  <c r="R46" i="1" l="1"/>
  <c r="S59" i="2"/>
  <c r="AM58" i="2"/>
  <c r="AE58" i="2"/>
  <c r="Y58" i="2"/>
  <c r="G55" i="2"/>
  <c r="F56" i="2"/>
  <c r="H55" i="2"/>
  <c r="S60" i="2" l="1"/>
  <c r="AM59" i="2"/>
  <c r="Y59" i="2"/>
  <c r="AE59" i="2"/>
  <c r="G56" i="2"/>
  <c r="F57" i="2"/>
  <c r="H56" i="2"/>
  <c r="S61" i="2" l="1"/>
  <c r="AM60" i="2"/>
  <c r="AE60" i="2"/>
  <c r="Y60" i="2"/>
  <c r="G57" i="2"/>
  <c r="F58" i="2"/>
  <c r="H57" i="2"/>
  <c r="S62" i="2" l="1"/>
  <c r="AM61" i="2"/>
  <c r="Y61" i="2"/>
  <c r="AE61" i="2"/>
  <c r="F59" i="2"/>
  <c r="G58" i="2"/>
  <c r="H58" i="2"/>
  <c r="AM62" i="2" l="1"/>
  <c r="AE62" i="2"/>
  <c r="S63" i="2"/>
  <c r="Y62" i="2"/>
  <c r="F60" i="2"/>
  <c r="G59" i="2"/>
  <c r="H59" i="2"/>
  <c r="S64" i="2" l="1"/>
  <c r="AM63" i="2"/>
  <c r="Y63" i="2"/>
  <c r="AE63" i="2"/>
  <c r="G60" i="2"/>
  <c r="F61" i="2"/>
  <c r="H60" i="2"/>
  <c r="S65" i="2" l="1"/>
  <c r="AM64" i="2"/>
  <c r="Y64" i="2"/>
  <c r="AE64" i="2"/>
  <c r="F62" i="2"/>
  <c r="G61" i="2"/>
  <c r="H61" i="2"/>
  <c r="AM65" i="2" l="1"/>
  <c r="S66" i="2"/>
  <c r="S67" i="2" s="1"/>
  <c r="Y65" i="2"/>
  <c r="AE65" i="2"/>
  <c r="F63" i="2"/>
  <c r="G62" i="2"/>
  <c r="H62" i="2"/>
  <c r="Y67" i="2" l="1"/>
  <c r="AM67" i="2"/>
  <c r="AE67" i="2"/>
  <c r="S68" i="2"/>
  <c r="S69" i="2" s="1"/>
  <c r="S70" i="2" s="1"/>
  <c r="S71" i="2" s="1"/>
  <c r="S72" i="2" s="1"/>
  <c r="S73" i="2" s="1"/>
  <c r="S74" i="2" s="1"/>
  <c r="S75" i="2" s="1"/>
  <c r="S76" i="2" s="1"/>
  <c r="S77" i="2" s="1"/>
  <c r="S78" i="2" s="1"/>
  <c r="S79" i="2" s="1"/>
  <c r="S80" i="2" s="1"/>
  <c r="S81" i="2" s="1"/>
  <c r="S82" i="2" s="1"/>
  <c r="AM66" i="2"/>
  <c r="AE66" i="2"/>
  <c r="Y66" i="2"/>
  <c r="H63" i="2"/>
  <c r="L31" i="1" s="1"/>
  <c r="G63" i="2"/>
  <c r="K31" i="1" s="1"/>
  <c r="Y82" i="2" l="1"/>
  <c r="AM82" i="2"/>
  <c r="AE82" i="2"/>
  <c r="Y81" i="2"/>
  <c r="AM81" i="2"/>
  <c r="AE81" i="2"/>
  <c r="Y80" i="2"/>
  <c r="AE80" i="2"/>
  <c r="AM80" i="2"/>
  <c r="AM79" i="2"/>
  <c r="AE79" i="2"/>
  <c r="Y79" i="2"/>
  <c r="Y78" i="2"/>
  <c r="AE78" i="2"/>
  <c r="AM78" i="2"/>
  <c r="Y77" i="2"/>
  <c r="AE77" i="2"/>
  <c r="AM77" i="2"/>
  <c r="AM76" i="2"/>
  <c r="AE76" i="2"/>
  <c r="Y76" i="2"/>
  <c r="Y75" i="2"/>
  <c r="AM75" i="2"/>
  <c r="AE75" i="2"/>
  <c r="AM74" i="2"/>
  <c r="AE74" i="2"/>
  <c r="Y74" i="2"/>
  <c r="Y73" i="2"/>
  <c r="AM73" i="2"/>
  <c r="AE73" i="2"/>
  <c r="AM72" i="2"/>
  <c r="Y72" i="2"/>
  <c r="AE72" i="2"/>
  <c r="AE71" i="2"/>
  <c r="AM71" i="2"/>
  <c r="Y71" i="2"/>
  <c r="AM70" i="2"/>
  <c r="AE70" i="2"/>
  <c r="Y70" i="2"/>
  <c r="AM69" i="2"/>
  <c r="AE69" i="2"/>
  <c r="Y69" i="2"/>
  <c r="AM68" i="2"/>
  <c r="Y68" i="2"/>
  <c r="K32" i="1" s="1"/>
  <c r="AE68" i="2"/>
  <c r="L32" i="1" s="1"/>
  <c r="Q46" i="1" l="1"/>
</calcChain>
</file>

<file path=xl/sharedStrings.xml><?xml version="1.0" encoding="utf-8"?>
<sst xmlns="http://schemas.openxmlformats.org/spreadsheetml/2006/main" count="159" uniqueCount="112">
  <si>
    <t>Symbol</t>
  </si>
  <si>
    <t>Date</t>
  </si>
  <si>
    <t>Ex Price</t>
  </si>
  <si>
    <t>%+/-</t>
  </si>
  <si>
    <t>Port Wt</t>
  </si>
  <si>
    <t>Close</t>
  </si>
  <si>
    <t>#Shares</t>
  </si>
  <si>
    <t>MV</t>
  </si>
  <si>
    <t>DBC</t>
  </si>
  <si>
    <t>IVV</t>
  </si>
  <si>
    <t>GLD</t>
  </si>
  <si>
    <t>IEV</t>
  </si>
  <si>
    <t>RWX</t>
  </si>
  <si>
    <t>EWJ</t>
  </si>
  <si>
    <t>CASH</t>
  </si>
  <si>
    <t>Description</t>
  </si>
  <si>
    <t>PortfolioValue</t>
  </si>
  <si>
    <t>Beginning Cash</t>
  </si>
  <si>
    <t>EEM</t>
  </si>
  <si>
    <t>IYR</t>
  </si>
  <si>
    <t>IEF</t>
  </si>
  <si>
    <t>TLT</t>
  </si>
  <si>
    <t>Last</t>
  </si>
  <si>
    <t>AGG</t>
  </si>
  <si>
    <t>ACWI</t>
  </si>
  <si>
    <t>Market Value</t>
  </si>
  <si>
    <t>Cash</t>
  </si>
  <si>
    <t>Porfolio Value</t>
  </si>
  <si>
    <t>Position MV</t>
  </si>
  <si>
    <t>NAV</t>
  </si>
  <si>
    <t>Daily Returns</t>
  </si>
  <si>
    <t>MTD</t>
  </si>
  <si>
    <t>YTD</t>
  </si>
  <si>
    <t>Total PnL</t>
  </si>
  <si>
    <t>Daily Pnl</t>
  </si>
  <si>
    <t>Daily Change</t>
  </si>
  <si>
    <t>NAV_ACWI</t>
  </si>
  <si>
    <t>NAV_AGG</t>
  </si>
  <si>
    <t>NAV_SPY</t>
  </si>
  <si>
    <t>ACWI_Daily</t>
  </si>
  <si>
    <t>AGG_Daily</t>
  </si>
  <si>
    <t>SPY_Daily</t>
  </si>
  <si>
    <t>60/40Index</t>
  </si>
  <si>
    <t>NAV_6040</t>
  </si>
  <si>
    <t>MTD_ACWI</t>
  </si>
  <si>
    <t>MTD_AGG</t>
  </si>
  <si>
    <t>MTD_SPY</t>
  </si>
  <si>
    <t>MTD_60/40</t>
  </si>
  <si>
    <t>YTD_ACWI</t>
  </si>
  <si>
    <t>YTD_AGG</t>
  </si>
  <si>
    <t>YTD_SPY</t>
  </si>
  <si>
    <t>YTD_60/40</t>
  </si>
  <si>
    <t>GYLD_Daily</t>
  </si>
  <si>
    <t>NAV_GYLD</t>
  </si>
  <si>
    <t>MTD_GYLD</t>
  </si>
  <si>
    <t>YTD_GLYD</t>
  </si>
  <si>
    <t>GYLD</t>
  </si>
  <si>
    <t>60/40 ACWI/AGG</t>
  </si>
  <si>
    <t>Portfolio</t>
  </si>
  <si>
    <t>ACWI/AGG</t>
  </si>
  <si>
    <t>SPY</t>
  </si>
  <si>
    <t>Daily</t>
  </si>
  <si>
    <t>Avg Universe</t>
  </si>
  <si>
    <t>Previous Day</t>
  </si>
  <si>
    <t>Yield</t>
  </si>
  <si>
    <t>Universe yld</t>
  </si>
  <si>
    <t>New</t>
  </si>
  <si>
    <t>Change</t>
  </si>
  <si>
    <t>$</t>
  </si>
  <si>
    <t>PnL Realtime</t>
  </si>
  <si>
    <t>%invested</t>
  </si>
  <si>
    <t>cash</t>
  </si>
  <si>
    <t>Mean</t>
  </si>
  <si>
    <t>SD</t>
  </si>
  <si>
    <t>Up Count</t>
  </si>
  <si>
    <t>Total</t>
  </si>
  <si>
    <t>Down Count</t>
  </si>
  <si>
    <t>Win Ratio</t>
  </si>
  <si>
    <t>Gain/Loss Ratio</t>
  </si>
  <si>
    <t>Strategy</t>
  </si>
  <si>
    <t>Sum Up</t>
  </si>
  <si>
    <t>Sum Down</t>
  </si>
  <si>
    <t>Ending Shares</t>
  </si>
  <si>
    <t>Trade Reco.</t>
  </si>
  <si>
    <t>Max DD (30 day)</t>
  </si>
  <si>
    <t>SHY</t>
  </si>
  <si>
    <t>ALGN</t>
  </si>
  <si>
    <t>AMZN</t>
  </si>
  <si>
    <t>CSCO</t>
  </si>
  <si>
    <t>ISRG</t>
  </si>
  <si>
    <t>MU</t>
  </si>
  <si>
    <t>STX</t>
  </si>
  <si>
    <t>Beg Value</t>
  </si>
  <si>
    <t>Equity</t>
  </si>
  <si>
    <t>GTAA</t>
  </si>
  <si>
    <t>Ex Px</t>
  </si>
  <si>
    <t>Weights</t>
  </si>
  <si>
    <t>Shares</t>
  </si>
  <si>
    <t>PnL</t>
  </si>
  <si>
    <t>Pnl</t>
  </si>
  <si>
    <t>GTAA MV</t>
  </si>
  <si>
    <t>Total Portfolio</t>
  </si>
  <si>
    <t>Current Wt</t>
  </si>
  <si>
    <t>current wt</t>
  </si>
  <si>
    <t>Tot Wt</t>
  </si>
  <si>
    <t>Total Ret</t>
  </si>
  <si>
    <t>Return</t>
  </si>
  <si>
    <t>return</t>
  </si>
  <si>
    <t>QQQE</t>
  </si>
  <si>
    <t>GAL</t>
  </si>
  <si>
    <t>QQQ</t>
  </si>
  <si>
    <t>IMV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</si>
</sst>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0.000"/>
    <numFmt numFmtId="165" formatCode="0.0%"/>
    <numFmt numFmtId="166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2" borderId="0" xfId="0" applyFill="1"/>
    <xf numFmtId="0" fontId="2" fillId="0" borderId="0" xfId="0" applyFont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0" fontId="0" fillId="0" borderId="0" xfId="2" applyNumberFormat="1" applyFont="1" applyAlignment="1">
      <alignment horizontal="center"/>
    </xf>
    <xf numFmtId="44" fontId="0" fillId="0" borderId="0" xfId="1" applyFont="1"/>
    <xf numFmtId="0" fontId="2" fillId="0" borderId="0" xfId="0" applyFont="1" applyAlignment="1">
      <alignment horizontal="center"/>
    </xf>
    <xf numFmtId="10" fontId="0" fillId="0" borderId="0" xfId="2" applyNumberFormat="1" applyFont="1"/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0" fontId="0" fillId="0" borderId="0" xfId="0" applyNumberFormat="1"/>
    <xf numFmtId="9" fontId="0" fillId="0" borderId="0" xfId="2" applyFont="1"/>
    <xf numFmtId="14" fontId="0" fillId="0" borderId="0" xfId="0" applyNumberFormat="1"/>
    <xf numFmtId="10" fontId="0" fillId="0" borderId="2" xfId="2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0" fontId="0" fillId="0" borderId="9" xfId="0" applyNumberFormat="1" applyBorder="1" applyAlignment="1">
      <alignment horizontal="center"/>
    </xf>
    <xf numFmtId="10" fontId="0" fillId="0" borderId="10" xfId="2" applyNumberFormat="1" applyFont="1" applyBorder="1" applyAlignment="1">
      <alignment horizontal="center"/>
    </xf>
    <xf numFmtId="10" fontId="0" fillId="0" borderId="11" xfId="2" applyNumberFormat="1" applyFont="1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2" applyNumberFormat="1" applyFon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5" xfId="2" applyNumberFormat="1" applyFont="1" applyBorder="1" applyAlignment="1">
      <alignment horizontal="center"/>
    </xf>
    <xf numFmtId="10" fontId="0" fillId="0" borderId="16" xfId="2" applyNumberFormat="1" applyFont="1" applyBorder="1" applyAlignment="1">
      <alignment horizontal="center"/>
    </xf>
    <xf numFmtId="0" fontId="0" fillId="0" borderId="0" xfId="2" applyNumberFormat="1" applyFont="1"/>
    <xf numFmtId="14" fontId="3" fillId="3" borderId="1" xfId="0" applyNumberFormat="1" applyFont="1" applyFill="1" applyBorder="1" applyAlignment="1">
      <alignment horizontal="left"/>
    </xf>
    <xf numFmtId="2" fontId="0" fillId="0" borderId="0" xfId="0" applyNumberFormat="1" applyAlignment="1">
      <alignment horizontal="center"/>
    </xf>
    <xf numFmtId="10" fontId="0" fillId="0" borderId="2" xfId="2" applyNumberFormat="1" applyFont="1" applyBorder="1"/>
    <xf numFmtId="0" fontId="0" fillId="0" borderId="2" xfId="2" applyNumberFormat="1" applyFont="1" applyBorder="1" applyAlignment="1">
      <alignment horizontal="center"/>
    </xf>
    <xf numFmtId="2" fontId="0" fillId="0" borderId="2" xfId="2" applyNumberFormat="1" applyFont="1" applyBorder="1" applyAlignment="1">
      <alignment horizontal="center"/>
    </xf>
    <xf numFmtId="0" fontId="0" fillId="0" borderId="13" xfId="2" applyNumberFormat="1" applyFont="1" applyBorder="1" applyAlignment="1">
      <alignment horizontal="center"/>
    </xf>
    <xf numFmtId="2" fontId="0" fillId="0" borderId="13" xfId="2" applyNumberFormat="1" applyFont="1" applyBorder="1" applyAlignment="1">
      <alignment horizontal="center"/>
    </xf>
    <xf numFmtId="0" fontId="0" fillId="0" borderId="6" xfId="0" applyBorder="1"/>
    <xf numFmtId="10" fontId="0" fillId="0" borderId="9" xfId="2" applyNumberFormat="1" applyFont="1" applyBorder="1" applyAlignment="1">
      <alignment horizontal="center"/>
    </xf>
    <xf numFmtId="10" fontId="0" fillId="0" borderId="10" xfId="2" applyNumberFormat="1" applyFont="1" applyBorder="1"/>
    <xf numFmtId="10" fontId="0" fillId="0" borderId="12" xfId="2" applyNumberFormat="1" applyFont="1" applyBorder="1" applyAlignment="1">
      <alignment horizontal="center"/>
    </xf>
    <xf numFmtId="0" fontId="0" fillId="0" borderId="12" xfId="2" applyNumberFormat="1" applyFont="1" applyBorder="1" applyAlignment="1">
      <alignment horizontal="center"/>
    </xf>
    <xf numFmtId="2" fontId="0" fillId="0" borderId="12" xfId="2" applyNumberFormat="1" applyFont="1" applyBorder="1" applyAlignment="1">
      <alignment horizontal="center"/>
    </xf>
    <xf numFmtId="10" fontId="0" fillId="0" borderId="14" xfId="2" applyNumberFormat="1" applyFon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0" fontId="0" fillId="0" borderId="6" xfId="2" applyNumberFormat="1" applyFont="1" applyBorder="1" applyAlignment="1">
      <alignment horizontal="center"/>
    </xf>
    <xf numFmtId="10" fontId="0" fillId="0" borderId="7" xfId="2" applyNumberFormat="1" applyFont="1" applyBorder="1" applyAlignment="1">
      <alignment horizontal="center"/>
    </xf>
    <xf numFmtId="0" fontId="0" fillId="0" borderId="7" xfId="2" applyNumberFormat="1" applyFont="1" applyBorder="1" applyAlignment="1">
      <alignment horizontal="center"/>
    </xf>
    <xf numFmtId="2" fontId="0" fillId="0" borderId="7" xfId="2" applyNumberFormat="1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 applyAlignment="1">
      <alignment horizontal="center"/>
    </xf>
    <xf numFmtId="0" fontId="2" fillId="0" borderId="22" xfId="0" applyFont="1" applyBorder="1"/>
    <xf numFmtId="0" fontId="2" fillId="0" borderId="23" xfId="0" applyFont="1" applyBorder="1"/>
    <xf numFmtId="0" fontId="2" fillId="0" borderId="1" xfId="0" applyFont="1" applyBorder="1"/>
    <xf numFmtId="10" fontId="0" fillId="0" borderId="0" xfId="0" applyNumberFormat="1" applyAlignment="1">
      <alignment horizontal="center"/>
    </xf>
    <xf numFmtId="0" fontId="2" fillId="0" borderId="24" xfId="0" applyFont="1" applyBorder="1" applyAlignment="1">
      <alignment horizontal="center"/>
    </xf>
    <xf numFmtId="10" fontId="0" fillId="0" borderId="24" xfId="2" applyNumberFormat="1" applyFon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10" fontId="0" fillId="0" borderId="26" xfId="2" applyNumberFormat="1" applyFont="1" applyBorder="1" applyAlignment="1">
      <alignment horizontal="center"/>
    </xf>
    <xf numFmtId="10" fontId="0" fillId="0" borderId="26" xfId="2" applyNumberFormat="1" applyFont="1" applyBorder="1"/>
    <xf numFmtId="0" fontId="0" fillId="0" borderId="27" xfId="0" applyBorder="1"/>
    <xf numFmtId="10" fontId="0" fillId="0" borderId="28" xfId="2" applyNumberFormat="1" applyFont="1" applyBorder="1" applyAlignment="1">
      <alignment horizontal="center"/>
    </xf>
    <xf numFmtId="10" fontId="0" fillId="0" borderId="29" xfId="2" applyNumberFormat="1" applyFont="1" applyBorder="1" applyAlignment="1">
      <alignment horizontal="center"/>
    </xf>
    <xf numFmtId="0" fontId="0" fillId="0" borderId="15" xfId="0" applyBorder="1"/>
    <xf numFmtId="0" fontId="2" fillId="0" borderId="8" xfId="0" applyFont="1" applyFill="1" applyBorder="1" applyAlignment="1">
      <alignment horizontal="center"/>
    </xf>
    <xf numFmtId="9" fontId="0" fillId="0" borderId="0" xfId="0" applyNumberFormat="1"/>
    <xf numFmtId="0" fontId="0" fillId="0" borderId="0" xfId="0" applyFont="1"/>
    <xf numFmtId="165" fontId="0" fillId="0" borderId="0" xfId="2" applyNumberFormat="1" applyFont="1"/>
    <xf numFmtId="165" fontId="0" fillId="0" borderId="0" xfId="0" applyNumberFormat="1"/>
    <xf numFmtId="166" fontId="0" fillId="0" borderId="0" xfId="0" applyNumberFormat="1"/>
    <xf numFmtId="10" fontId="0" fillId="3" borderId="0" xfId="2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c691d1dca4c74cb2a7ee10289151e2de">
      <tp>
        <v>3.5934291581109089E-3</v>
        <stp/>
        <stp>RWX</stp>
        <stp>change in percent</stp>
        <tr r="L6" s="1"/>
      </tp>
    </main>
    <main first="rtdsrv.c691d1dca4c74cb2a7ee10289151e2de">
      <tp>
        <v>-3.0004800768112703E-4</v>
        <stp/>
        <stp>SHY</stp>
        <stp>change in percent</stp>
        <tr r="L12" s="1"/>
      </tp>
    </main>
    <main first="rtdsrv.c691d1dca4c74cb2a7ee10289151e2de">
      <tp>
        <v>3.0403503284328814E-3</v>
        <stp/>
        <stp>IVV</stp>
        <stp>change in percent</stp>
        <tr r="K24" s="1"/>
        <tr r="L3" s="1"/>
      </tp>
      <tp>
        <v>7.0136251954433767E-3</v>
        <stp/>
        <stp>IEV</stp>
        <stp>change in percent</stp>
        <tr r="L9" s="1"/>
      </tp>
    </main>
    <main first="rtdsrv.c691d1dca4c74cb2a7ee10289151e2de">
      <tp>
        <v>-3.7107742728390005E-3</v>
        <stp/>
        <stp>TLT</stp>
        <stp>change in percent</stp>
        <tr r="L5" s="1"/>
      </tp>
    </main>
    <main first="rtdsrv.c691d1dca4c74cb2a7ee10289151e2de">
      <tp>
        <v>-1.8272627603850163E-3</v>
        <stp/>
        <stp>IYR</stp>
        <stp>change in percent</stp>
        <tr r="L4" s="1"/>
      </tp>
    </main>
    <main first="rtdsrv.c691d1dca4c74cb2a7ee10289151e2de">
      <tp>
        <v>1.5030530765617686E-2</v>
        <stp/>
        <stp>EEM</stp>
        <stp>change in percent</stp>
        <tr r="L10" s="1"/>
      </tp>
    </main>
    <main first="rtdsrv.c691d1dca4c74cb2a7ee10289151e2de">
      <tp>
        <v>1.7418568193694655E-3</v>
        <stp/>
        <stp>EWJ</stp>
        <stp>change in percent</stp>
        <tr r="L7" s="1"/>
      </tp>
    </main>
    <main first="rtdsrv.c691d1dca4c74cb2a7ee10289151e2de">
      <tp>
        <v>-1.6527318685592262E-3</v>
        <stp/>
        <stp>IEF</stp>
        <stp>change in percent</stp>
        <tr r="L11" s="1"/>
      </tp>
    </main>
    <main first="rtdsrv.c691d1dca4c74cb2a7ee10289151e2de">
      <tp>
        <v>-9.1079636056652744E-4</v>
        <stp/>
        <stp>AGG</stp>
        <stp>change in percent</stp>
        <tr r="K23" s="1"/>
      </tp>
    </main>
    <main first="rtdsrv.c691d1dca4c74cb2a7ee10289151e2de">
      <tp>
        <v>9.6256684491978616E-3</v>
        <stp/>
        <stp>GLD</stp>
        <stp>change in percent</stp>
        <tr r="L8" s="1"/>
      </tp>
    </main>
    <main first="rtdsrv.c691d1dca4c74cb2a7ee10289151e2de">
      <tp>
        <v>1.1709601873536478E-2</v>
        <stp/>
        <stp>DBC</stp>
        <stp>change in percent</stp>
        <tr r="L2" s="1"/>
      </tp>
    </main>
    <main first="rtdsrv.c691d1dca4c74cb2a7ee10289151e2de">
      <tp>
        <v>56.16</v>
        <stp/>
        <stp>STX</stp>
        <stp>last</stp>
        <tr r="C10" s="4"/>
      </tp>
    </main>
    <main first="rtdsrv.c691d1dca4c74cb2a7ee10289151e2de">
      <tp>
        <v>39.1</v>
        <stp/>
        <stp>RWX</stp>
        <stp>last</stp>
        <tr r="J6" s="1"/>
      </tp>
    </main>
    <main first="rtdsrv.c691d1dca4c74cb2a7ee10289151e2de">
      <tp>
        <v>57.51</v>
        <stp/>
        <stp>EWJ</stp>
        <stp>last</stp>
        <tr r="J7" s="1"/>
      </tp>
    </main>
    <main first="rtdsrv.c691d1dca4c74cb2a7ee10289151e2de">
      <tp>
        <v>288.60480000000001</v>
        <stp/>
        <stp>IVV</stp>
        <stp>last</stp>
        <tr r="J3" s="1"/>
        <tr r="C21" s="4"/>
        <tr r="C38" s="4"/>
      </tp>
    </main>
    <main first="rtdsrv.c691d1dca4c74cb2a7ee10289151e2de">
      <tp>
        <v>181.66499999999999</v>
        <stp/>
        <stp>QQQ</stp>
        <stp>last</stp>
        <tr r="C39" s="4"/>
      </tp>
    </main>
    <main first="rtdsrv.c691d1dca4c74cb2a7ee10289151e2de">
      <tp>
        <v>17.079999999999998</v>
        <stp/>
        <stp>DBC</stp>
        <stp>close</stp>
        <tr r="G2" s="1"/>
      </tp>
    </main>
    <main first="rtdsrv.c691d1dca4c74cb2a7ee10289151e2de">
      <tp>
        <v>46.34</v>
        <stp/>
        <stp>CSCO</stp>
        <stp>last</stp>
        <tr r="C7" s="4"/>
      </tp>
    </main>
    <main first="rtdsrv.c691d1dca4c74cb2a7ee10289151e2de">
      <tp>
        <v>81.94</v>
        <stp/>
        <stp>IYR</stp>
        <stp>last</stp>
        <tr r="J4" s="1"/>
        <tr r="C22" s="4"/>
      </tp>
    </main>
    <main first="rtdsrv.c691d1dca4c74cb2a7ee10289151e2de">
      <tp>
        <v>366.73500000000001</v>
        <stp/>
        <stp>ALGN</stp>
        <stp>last</stp>
        <tr r="C5" s="4"/>
      </tp>
    </main>
    <main first="rtdsrv.c691d1dca4c74cb2a7ee10289151e2de">
      <tp>
        <v>45.084000000000003</v>
        <stp/>
        <stp>IEV</stp>
        <stp>last</stp>
        <tr r="J9" s="1"/>
      </tp>
      <tp>
        <v>43.22</v>
        <stp/>
        <stp>EEM</stp>
        <stp>last</stp>
        <tr r="J10" s="1"/>
      </tp>
      <tp>
        <v>102.69</v>
        <stp/>
        <stp>IEF</stp>
        <stp>last</stp>
        <tr r="J11" s="1"/>
      </tp>
    </main>
    <main first="rtdsrv.c691d1dca4c74cb2a7ee10289151e2de">
      <tp>
        <v>122.05</v>
        <stp/>
        <stp>TLT</stp>
        <stp>close</stp>
        <tr r="G5" s="1"/>
      </tp>
      <tp>
        <v>2.71</v>
        <stp/>
        <stp>TLT</stp>
        <stp>dividend yield</stp>
        <tr r="M5" s="1"/>
      </tp>
      <tp>
        <v>3.67</v>
        <stp/>
        <stp>RWX</stp>
        <stp>dividend yield</stp>
        <tr r="M6" s="1"/>
      </tp>
      <tp>
        <v>1.87</v>
        <stp/>
        <stp>SHY</stp>
        <stp>dividend yield</stp>
        <tr r="M12" s="1"/>
      </tp>
      <tp t="s">
        <v>--</v>
        <stp/>
        <stp>DBC</stp>
        <stp>dividend yield</stp>
        <tr r="M2" s="1"/>
      </tp>
      <tp>
        <v>1.34</v>
        <stp/>
        <stp>EEM</stp>
        <stp>dividend yield</stp>
        <tr r="M10" s="1"/>
      </tp>
      <tp>
        <v>1.6</v>
        <stp/>
        <stp>EWJ</stp>
        <stp>dividend yield</stp>
        <tr r="M7" s="1"/>
      </tp>
      <tp>
        <v>4.6900000000000004</v>
        <stp/>
        <stp>IEV</stp>
        <stp>dividend yield</stp>
        <tr r="M9" s="1"/>
      </tp>
      <tp>
        <v>2.2200000000000002</v>
        <stp/>
        <stp>IEF</stp>
        <stp>dividend yield</stp>
        <tr r="M11" s="1"/>
      </tp>
      <tp>
        <v>1.78</v>
        <stp/>
        <stp>IVV</stp>
        <stp>dividend yield</stp>
        <tr r="M3" s="1"/>
      </tp>
      <tp>
        <v>0.49</v>
        <stp/>
        <stp>IYR</stp>
        <stp>dividend yield</stp>
        <tr r="M4" s="1"/>
      </tp>
    </main>
    <main first="rtdsrv.c691d1dca4c74cb2a7ee10289151e2de">
      <tp>
        <v>1911.6447000000001</v>
        <stp/>
        <stp>AMZN</stp>
        <stp>last</stp>
        <tr r="C6" s="4"/>
      </tp>
    </main>
    <main first="rtdsrv.c691d1dca4c74cb2a7ee10289151e2de">
      <tp t="s">
        <v>ARROW ETF TR-ARROW DJ GLB YLD</v>
        <stp/>
        <stp>GYLD</stp>
        <stp>description</stp>
        <tr r="L26" s="1"/>
      </tp>
    </main>
    <main first="rtdsrv.c691d1dca4c74cb2a7ee10289151e2de">
      <tp>
        <v>287.73</v>
        <stp/>
        <stp>IVV</stp>
        <stp>close</stp>
        <tr r="G3" s="1"/>
      </tp>
    </main>
    <main first="rtdsrv.c691d1dca4c74cb2a7ee10289151e2de">
      <tp>
        <v>38.277299999999997</v>
        <stp/>
        <stp>GAL</stp>
        <stp>last</stp>
        <tr r="C37" s="4"/>
      </tp>
    </main>
    <main first="rtdsrv.c691d1dca4c74cb2a7ee10289151e2de">
      <tp>
        <v>82.09</v>
        <stp/>
        <stp>IYR</stp>
        <stp>close</stp>
        <tr r="G4" s="1"/>
      </tp>
      <tp>
        <v>17.28</v>
        <stp/>
        <stp>DBC</stp>
        <stp>last</stp>
        <tr r="J2" s="1"/>
        <tr r="C20" s="4"/>
      </tp>
    </main>
    <main first="rtdsrv.c691d1dca4c74cb2a7ee10289151e2de">
      <tp>
        <v>121.5971</v>
        <stp/>
        <stp>TLT</stp>
        <stp>last</stp>
        <tr r="J5" s="1"/>
      </tp>
      <tp>
        <v>113.28</v>
        <stp/>
        <stp>GLD</stp>
        <stp>last</stp>
        <tr r="J8" s="1"/>
      </tp>
    </main>
    <main first="rtdsrv.c691d1dca4c74cb2a7ee10289151e2de">
      <tp>
        <v>539.70000000000005</v>
        <stp/>
        <stp>ISRG</stp>
        <stp>last</stp>
        <tr r="C8" s="4"/>
      </tp>
    </main>
    <main first="rtdsrv.c691d1dca4c74cb2a7ee10289151e2de">
      <tp>
        <v>46.882800000000003</v>
        <stp/>
        <stp>QQQE</stp>
        <stp>last</stp>
        <tr r="C40" s="4"/>
      </tp>
    </main>
    <main first="rtdsrv.c691d1dca4c74cb2a7ee10289151e2de">
      <tp>
        <v>83.295000000000002</v>
        <stp/>
        <stp>SHY</stp>
        <stp>last</stp>
        <tr r="J12" s="1"/>
        <tr r="C23" s="4"/>
      </tp>
    </main>
    <main first="rtdsrv.c691d1dca4c74cb2a7ee10289151e2de">
      <tp>
        <v>1.1409013120365031E-2</v>
        <stp/>
        <stp>GYLD</stp>
        <stp>change in percent</stp>
        <tr r="K26" s="1"/>
      </tp>
    </main>
    <main first="rtdsrv.c691d1dca4c74cb2a7ee10289151e2de">
      <tp>
        <v>1.64705882</v>
        <stp/>
        <stp>DBC</stp>
        <stp>mtd percent change</stp>
        <tr r="U2" s="1"/>
      </tp>
      <tp>
        <v>-2.8115159699999999</v>
        <stp/>
        <stp>EEM</stp>
        <stp>mtd percent change</stp>
        <tr r="U10" s="1"/>
      </tp>
      <tp>
        <v>-2.3765065399999998</v>
        <stp/>
        <stp>EWJ</stp>
        <stp>mtd percent change</stp>
        <tr r="U7" s="1"/>
      </tp>
      <tp>
        <v>-1.6154246999999999</v>
        <stp/>
        <stp>GLD</stp>
        <stp>mtd percent change</stp>
        <tr r="U8" s="1"/>
      </tp>
      <tp>
        <v>1.3321491999999999</v>
        <stp/>
        <stp>IEF</stp>
        <stp>mtd percent change</stp>
        <tr r="U11" s="1"/>
      </tp>
      <tp>
        <v>-1.9913043500000001</v>
        <stp/>
        <stp>IEV</stp>
        <stp>mtd percent change</stp>
        <tr r="U9" s="1"/>
      </tp>
      <tp>
        <v>2.02375566</v>
        <stp/>
        <stp>IVV</stp>
        <stp>mtd percent change</stp>
        <tr r="U3" s="1"/>
      </tp>
      <tp>
        <v>0.51521099000000004</v>
        <stp/>
        <stp>IYR</stp>
        <stp>mtd percent change</stp>
        <tr r="U4" s="1"/>
      </tp>
      <tp>
        <v>2.6482356899999999</v>
        <stp/>
        <stp>TLT</stp>
        <stp>mtd percent change</stp>
        <tr r="U5" s="1"/>
      </tp>
      <tp>
        <v>-1.01265823</v>
        <stp/>
        <stp>RWX</stp>
        <stp>mtd percent change</stp>
        <tr r="U6" s="1"/>
      </tp>
      <tp>
        <v>0.28292800000000001</v>
        <stp/>
        <stp>SHY</stp>
        <stp>mtd percent change</stp>
        <tr r="U12" s="1"/>
      </tp>
    </main>
    <main first="rtdsrv.c691d1dca4c74cb2a7ee10289151e2de">
      <tp>
        <v>5.0047991224461122E-3</v>
        <stp/>
        <stp>ACWI</stp>
        <stp>change in percent</stp>
        <tr r="K22" s="1"/>
      </tp>
    </main>
    <main first="rtdsrv.c691d1dca4c74cb2a7ee10289151e2de">
      <tp t="s">
        <v>SPDR GOLD TRUST-GOLD SHS</v>
        <stp/>
        <stp>GLD</stp>
        <stp>description</stp>
        <tr r="B8" s="1"/>
      </tp>
    </main>
    <main first="rtdsrv.c691d1dca4c74cb2a7ee10289151e2de">
      <tp t="s">
        <v>ISHARES INC-MSCI JPN ETF NEW</v>
        <stp/>
        <stp>EWJ</stp>
        <stp>description</stp>
        <tr r="B7" s="1"/>
      </tp>
      <tp t="s">
        <v>ISHARES TR-MSCI EMG MKT ETF</v>
        <stp/>
        <stp>EEM</stp>
        <stp>description</stp>
        <tr r="B10" s="1"/>
      </tp>
    </main>
    <main first="rtdsrv.c691d1dca4c74cb2a7ee10289151e2de">
      <tp t="s">
        <v>INVESCO DB COMMDY INDX TRCK-UNIT</v>
        <stp/>
        <stp>DBC</stp>
        <stp>description</stp>
        <tr r="B2" s="1"/>
      </tp>
    </main>
    <main first="rtdsrv.c691d1dca4c74cb2a7ee10289151e2de">
      <tp t="s">
        <v>ISHARES TR-CORE S&amp;P500 ETF</v>
        <stp/>
        <stp>IVV</stp>
        <stp>description</stp>
        <tr r="B3" s="1"/>
      </tp>
    </main>
    <main first="rtdsrv.c691d1dca4c74cb2a7ee10289151e2de">
      <tp t="s">
        <v>ISHARES TR-U.S. REAL ES ETF</v>
        <stp/>
        <stp>IYR</stp>
        <stp>description</stp>
        <tr r="B4" s="1"/>
      </tp>
      <tp t="s">
        <v>ISHARES TR-BARCLAYS 7 10 YR</v>
        <stp/>
        <stp>IEF</stp>
        <stp>description</stp>
        <tr r="B11" s="1"/>
      </tp>
      <tp t="s">
        <v>ISHARES TR-EUROPE ETF</v>
        <stp/>
        <stp>IEV</stp>
        <stp>description</stp>
        <tr r="B9" s="1"/>
      </tp>
    </main>
    <main first="rtdsrv.c691d1dca4c74cb2a7ee10289151e2de">
      <tp t="s">
        <v>ISHARES TR-20 YR TR BD ETF</v>
        <stp/>
        <stp>TLT</stp>
        <stp>description</stp>
        <tr r="B5" s="1"/>
      </tp>
    </main>
    <main first="rtdsrv.c691d1dca4c74cb2a7ee10289151e2de">
      <tp>
        <v>50.23</v>
        <stp/>
        <stp>MU</stp>
        <stp>last</stp>
        <tr r="C9" s="4"/>
      </tp>
      <tp t="s">
        <v>ISHARES TR-1 3 YR TREAS BD</v>
        <stp/>
        <stp>SHY</stp>
        <stp>description</stp>
        <tr r="B12" s="1"/>
      </tp>
    </main>
    <main first="rtdsrv.c691d1dca4c74cb2a7ee10289151e2de">
      <tp t="s">
        <v>SPDR INDEX SHS FDS-DJ INTL RL ETF</v>
        <stp/>
        <stp>RWX</stp>
        <stp>description</stp>
        <tr r="B6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volatileDependencies" Target="volatileDependenci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46"/>
  <sheetViews>
    <sheetView topLeftCell="B1" zoomScale="90" zoomScaleNormal="90" workbookViewId="0">
      <selection activeCell="D33" sqref="D33"/>
    </sheetView>
  </sheetViews>
  <sheetFormatPr defaultRowHeight="15" x14ac:dyDescent="0.25"/>
  <cols>
    <col min="1" max="1" width="10.7109375" customWidth="1"/>
    <col min="2" max="2" width="44.5703125" bestFit="1" customWidth="1"/>
    <col min="3" max="3" width="14.85546875" customWidth="1"/>
    <col min="4" max="4" width="17.140625" customWidth="1"/>
    <col min="5" max="5" width="11.42578125" customWidth="1"/>
    <col min="6" max="6" width="14.28515625" customWidth="1"/>
    <col min="7" max="7" width="12.28515625" customWidth="1"/>
    <col min="8" max="8" width="16.42578125" bestFit="1" customWidth="1"/>
    <col min="9" max="9" width="12.140625" bestFit="1" customWidth="1"/>
    <col min="10" max="10" width="16" bestFit="1" customWidth="1"/>
    <col min="11" max="11" width="12" bestFit="1" customWidth="1"/>
    <col min="12" max="12" width="12.42578125" bestFit="1" customWidth="1"/>
    <col min="14" max="14" width="11.42578125" bestFit="1" customWidth="1"/>
    <col min="15" max="15" width="10.28515625" bestFit="1" customWidth="1"/>
    <col min="16" max="16" width="9.7109375" bestFit="1" customWidth="1"/>
    <col min="17" max="17" width="13.28515625" bestFit="1" customWidth="1"/>
    <col min="18" max="18" width="13.42578125" bestFit="1" customWidth="1"/>
    <col min="19" max="19" width="11.42578125" bestFit="1" customWidth="1"/>
  </cols>
  <sheetData>
    <row r="1" spans="1:22" x14ac:dyDescent="0.25">
      <c r="A1" s="7" t="s">
        <v>0</v>
      </c>
      <c r="B1" s="7" t="s">
        <v>15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22</v>
      </c>
      <c r="K1" s="7" t="s">
        <v>69</v>
      </c>
      <c r="L1" s="7" t="s">
        <v>35</v>
      </c>
      <c r="M1" s="7" t="s">
        <v>64</v>
      </c>
      <c r="O1" s="7" t="s">
        <v>66</v>
      </c>
      <c r="P1" s="7" t="s">
        <v>67</v>
      </c>
      <c r="Q1" s="7" t="s">
        <v>68</v>
      </c>
      <c r="R1" s="7" t="s">
        <v>82</v>
      </c>
      <c r="S1" s="7" t="s">
        <v>83</v>
      </c>
      <c r="U1" s="7" t="s">
        <v>31</v>
      </c>
    </row>
    <row r="2" spans="1:22" x14ac:dyDescent="0.25">
      <c r="A2" t="s">
        <v>8</v>
      </c>
      <c r="B2" t="str">
        <f>_xll.RealtimeData(A2,"Description")</f>
        <v>INVESCO DB COMMDY INDX TRCK-UNIT</v>
      </c>
      <c r="C2" s="3">
        <v>43221</v>
      </c>
      <c r="D2" s="31">
        <v>17.826820999999999</v>
      </c>
      <c r="E2" s="5">
        <f>G2/D2-1</f>
        <v>-4.1893111508776615E-2</v>
      </c>
      <c r="F2" s="5">
        <f>I2/$I$21</f>
        <v>0.14911421765731228</v>
      </c>
      <c r="G2" s="4">
        <f>_xll.RealtimeData(A2,"Close")</f>
        <v>17.079999999999998</v>
      </c>
      <c r="H2" s="4">
        <v>176</v>
      </c>
      <c r="I2" s="4">
        <f>H2*G2</f>
        <v>3006.08</v>
      </c>
      <c r="J2" s="4">
        <f>_xll.RealtimeData(A2,"Last")</f>
        <v>17.28</v>
      </c>
      <c r="K2" s="5">
        <f>J2/D2-1</f>
        <v>-3.0674061292251587E-2</v>
      </c>
      <c r="L2" s="8">
        <f>_xll.RealtimeData(A2,"Change in Percent")</f>
        <v>1.1709601873536478E-2</v>
      </c>
      <c r="M2" s="29" t="str">
        <f>_xll.RealtimeData(A2,"Dividend Yield")</f>
        <v>--</v>
      </c>
      <c r="N2" s="4" t="str">
        <f t="shared" ref="N2:N12" si="0">A2</f>
        <v>DBC</v>
      </c>
      <c r="O2" s="5">
        <v>0.14199999999999999</v>
      </c>
      <c r="P2" s="60">
        <f t="shared" ref="P2:P12" si="1">O2-F2</f>
        <v>-7.1142176573122939E-3</v>
      </c>
      <c r="Q2" s="31">
        <f>O2*Daily!$D$68</f>
        <v>2823.9823999999999</v>
      </c>
      <c r="R2">
        <f t="shared" ref="R2:R11" si="2">ROUND(Q2/J2,0)</f>
        <v>163</v>
      </c>
      <c r="S2">
        <f t="shared" ref="S2:S11" si="3">R2-H2</f>
        <v>-13</v>
      </c>
      <c r="T2" t="str">
        <f t="shared" ref="T2:T12" si="4">A2</f>
        <v>DBC</v>
      </c>
      <c r="U2">
        <f>_xll.RealtimeData(T2,"MTD Percent Change")</f>
        <v>1.64705882</v>
      </c>
    </row>
    <row r="3" spans="1:22" x14ac:dyDescent="0.25">
      <c r="A3" t="s">
        <v>9</v>
      </c>
      <c r="B3" t="str">
        <f>_xll.RealtimeData(A3,"Description")</f>
        <v>ISHARES TR-CORE S&amp;P500 ETF</v>
      </c>
      <c r="C3" s="3">
        <v>43221</v>
      </c>
      <c r="D3" s="31">
        <v>266.35950000000003</v>
      </c>
      <c r="E3" s="5">
        <f>G3/D3-1</f>
        <v>8.0231791995404755E-2</v>
      </c>
      <c r="F3" s="5">
        <f>I3/$I$21</f>
        <v>0.41390594446908119</v>
      </c>
      <c r="G3" s="4">
        <f>_xll.RealtimeData(A3,"Close")</f>
        <v>287.73</v>
      </c>
      <c r="H3" s="4">
        <v>29</v>
      </c>
      <c r="I3" s="4">
        <f>H3*G3</f>
        <v>8344.17</v>
      </c>
      <c r="J3" s="4">
        <f>_xll.RealtimeData(A3,"Last")</f>
        <v>288.60480000000001</v>
      </c>
      <c r="K3" s="5">
        <f>J3/D3-1</f>
        <v>8.3516075078981622E-2</v>
      </c>
      <c r="L3" s="8">
        <f>_xll.RealtimeData(A3,"Change in Percent")</f>
        <v>3.0403503284328814E-3</v>
      </c>
      <c r="M3" s="29">
        <f>_xll.RealtimeData(A3,"Dividend Yield")</f>
        <v>1.78</v>
      </c>
      <c r="N3" s="4" t="str">
        <f t="shared" si="0"/>
        <v>IVV</v>
      </c>
      <c r="O3" s="5">
        <v>0.36599999999999999</v>
      </c>
      <c r="P3" s="60">
        <f t="shared" si="1"/>
        <v>-4.7905944469081196E-2</v>
      </c>
      <c r="Q3" s="31">
        <f>O3*Daily!$D$68</f>
        <v>7278.7152000000006</v>
      </c>
      <c r="R3">
        <f t="shared" si="2"/>
        <v>25</v>
      </c>
      <c r="S3">
        <f t="shared" si="3"/>
        <v>-4</v>
      </c>
      <c r="T3" t="str">
        <f t="shared" si="4"/>
        <v>IVV</v>
      </c>
      <c r="U3">
        <f>_xll.RealtimeData(T3,"MTD Percent Change")</f>
        <v>2.02375566</v>
      </c>
    </row>
    <row r="4" spans="1:22" x14ac:dyDescent="0.25">
      <c r="A4" t="s">
        <v>19</v>
      </c>
      <c r="B4" t="str">
        <f>_xll.RealtimeData(A4,"Description")</f>
        <v>ISHARES TR-U.S. REAL ES ETF</v>
      </c>
      <c r="C4" s="3">
        <v>43255</v>
      </c>
      <c r="D4" s="31">
        <v>78.430000000000007</v>
      </c>
      <c r="E4" s="5">
        <f>G4/D4-1</f>
        <v>4.6665816651791259E-2</v>
      </c>
      <c r="F4" s="5">
        <f>I4/$I$21</f>
        <v>0.21988850958204487</v>
      </c>
      <c r="G4" s="4">
        <f>_xll.RealtimeData(A4,"Close")</f>
        <v>82.09</v>
      </c>
      <c r="H4" s="4">
        <v>54</v>
      </c>
      <c r="I4" s="4">
        <f>H4*G4</f>
        <v>4432.8600000000006</v>
      </c>
      <c r="J4" s="4">
        <f>_xll.RealtimeData(A4,"Last")</f>
        <v>81.94</v>
      </c>
      <c r="K4" s="5">
        <f>J4/D4-1</f>
        <v>4.4753283182455528E-2</v>
      </c>
      <c r="L4" s="8">
        <f t="array" ref="L4">_xll.RealtimeData(A4,"Change in Percent")</f>
        <v>-1.8272627603850163E-3</v>
      </c>
      <c r="M4" s="29">
        <f>_xll.RealtimeData(A4,"Dividend Yield")</f>
        <v>0.49</v>
      </c>
      <c r="N4" s="4" t="str">
        <f t="shared" si="0"/>
        <v>IYR</v>
      </c>
      <c r="O4" s="5">
        <v>0.39300000000000002</v>
      </c>
      <c r="P4" s="60">
        <f t="shared" si="1"/>
        <v>0.17311149041795515</v>
      </c>
      <c r="Q4" s="31">
        <f>O4*Daily!$D$68</f>
        <v>7815.6696000000002</v>
      </c>
      <c r="R4">
        <f t="shared" si="2"/>
        <v>95</v>
      </c>
      <c r="S4">
        <f t="shared" si="3"/>
        <v>41</v>
      </c>
      <c r="T4" t="str">
        <f t="shared" si="4"/>
        <v>IYR</v>
      </c>
      <c r="U4">
        <f>_xll.RealtimeData(T4,"MTD Percent Change")</f>
        <v>0.51521099000000004</v>
      </c>
    </row>
    <row r="5" spans="1:22" x14ac:dyDescent="0.25">
      <c r="A5" t="s">
        <v>21</v>
      </c>
      <c r="B5" t="str">
        <f>_xll.RealtimeData(A5,"Description")</f>
        <v>ISHARES TR-20 YR TR BD ETF</v>
      </c>
      <c r="C5" s="3">
        <v>43286</v>
      </c>
      <c r="D5" s="31">
        <v>122.2938</v>
      </c>
      <c r="E5" s="5">
        <f>G5/D5-1</f>
        <v>-1.9935597716319586E-3</v>
      </c>
      <c r="F5" s="5">
        <f>I5/$I$21</f>
        <v>0.21189677562727</v>
      </c>
      <c r="G5" s="4">
        <f>_xll.RealtimeData(A5,"Close")</f>
        <v>122.05</v>
      </c>
      <c r="H5" s="4">
        <v>35</v>
      </c>
      <c r="I5" s="4">
        <f>H5*G5</f>
        <v>4271.75</v>
      </c>
      <c r="J5" s="31">
        <f>_xll.RealtimeData(A5,"Last")</f>
        <v>121.5971</v>
      </c>
      <c r="K5" s="5">
        <f>J5/D5-1</f>
        <v>-5.6969363941590245E-3</v>
      </c>
      <c r="L5" s="8">
        <f t="array" ref="L5">_xll.RealtimeData(A5,"Change in Percent")</f>
        <v>-3.7107742728390005E-3</v>
      </c>
      <c r="M5" s="29">
        <f>_xll.RealtimeData(A5,"Dividend Yield")</f>
        <v>2.71</v>
      </c>
      <c r="N5" s="4" t="str">
        <f t="shared" si="0"/>
        <v>TLT</v>
      </c>
      <c r="O5" s="5">
        <v>0</v>
      </c>
      <c r="P5" s="60">
        <f t="shared" si="1"/>
        <v>-0.21189677562727</v>
      </c>
      <c r="Q5" s="31">
        <f>O5*Daily!$D$68</f>
        <v>0</v>
      </c>
      <c r="R5">
        <f t="shared" si="2"/>
        <v>0</v>
      </c>
      <c r="S5">
        <f t="shared" si="3"/>
        <v>-35</v>
      </c>
      <c r="T5" t="str">
        <f t="shared" si="4"/>
        <v>TLT</v>
      </c>
      <c r="U5">
        <f>_xll.RealtimeData(T5,"MTD Percent Change")</f>
        <v>2.6482356899999999</v>
      </c>
    </row>
    <row r="6" spans="1:22" x14ac:dyDescent="0.25">
      <c r="A6" t="s">
        <v>12</v>
      </c>
      <c r="B6" t="str">
        <f>_xll.RealtimeData(A6,"Description")</f>
        <v>SPDR INDEX SHS FDS-DJ INTL RL ETF</v>
      </c>
      <c r="C6" s="3"/>
      <c r="D6" s="31"/>
      <c r="E6" s="5"/>
      <c r="F6" s="5"/>
      <c r="G6" s="4"/>
      <c r="H6" s="4"/>
      <c r="I6" s="4"/>
      <c r="J6" s="31">
        <f>_xll.RealtimeData(A6,"Last")</f>
        <v>39.1</v>
      </c>
      <c r="K6" s="5"/>
      <c r="L6" s="8">
        <f>_xll.RealtimeData(A6,"Change in Percent")</f>
        <v>3.5934291581109089E-3</v>
      </c>
      <c r="M6" s="29">
        <f>_xll.RealtimeData(A6,"Dividend Yield")</f>
        <v>3.67</v>
      </c>
      <c r="N6" s="4" t="str">
        <f t="shared" si="0"/>
        <v>RWX</v>
      </c>
      <c r="O6" s="5">
        <v>0</v>
      </c>
      <c r="P6" s="60">
        <f t="shared" si="1"/>
        <v>0</v>
      </c>
      <c r="Q6" s="31">
        <f>O6*Daily!$D$68</f>
        <v>0</v>
      </c>
      <c r="R6">
        <f t="shared" si="2"/>
        <v>0</v>
      </c>
      <c r="S6">
        <f t="shared" si="3"/>
        <v>0</v>
      </c>
      <c r="T6" t="str">
        <f t="shared" si="4"/>
        <v>RWX</v>
      </c>
      <c r="U6">
        <f>_xll.RealtimeData(T6,"MTD Percent Change")</f>
        <v>-1.01265823</v>
      </c>
    </row>
    <row r="7" spans="1:22" x14ac:dyDescent="0.25">
      <c r="A7" t="s">
        <v>13</v>
      </c>
      <c r="B7" t="str">
        <f>_xll.RealtimeData(A7,"Description")</f>
        <v>ISHARES INC-MSCI JPN ETF NEW</v>
      </c>
      <c r="C7" s="3"/>
      <c r="D7" s="4"/>
      <c r="E7" s="5"/>
      <c r="F7" s="5"/>
      <c r="G7" s="4"/>
      <c r="H7" s="4"/>
      <c r="I7" s="4"/>
      <c r="J7" s="31">
        <f>_xll.RealtimeData(A7,"Last")</f>
        <v>57.51</v>
      </c>
      <c r="K7" s="5"/>
      <c r="L7" s="8">
        <f>_xll.RealtimeData(A7,"Change in Percent")</f>
        <v>1.7418568193694655E-3</v>
      </c>
      <c r="M7" s="29">
        <f>_xll.RealtimeData(A7,"Dividend Yield")</f>
        <v>1.6</v>
      </c>
      <c r="N7" s="4" t="str">
        <f t="shared" si="0"/>
        <v>EWJ</v>
      </c>
      <c r="O7" s="5">
        <v>0</v>
      </c>
      <c r="P7" s="60">
        <f t="shared" si="1"/>
        <v>0</v>
      </c>
      <c r="Q7" s="31">
        <f>O7*Daily!$D$68</f>
        <v>0</v>
      </c>
      <c r="R7">
        <f t="shared" si="2"/>
        <v>0</v>
      </c>
      <c r="S7">
        <f t="shared" si="3"/>
        <v>0</v>
      </c>
      <c r="T7" t="str">
        <f t="shared" si="4"/>
        <v>EWJ</v>
      </c>
      <c r="U7">
        <f>_xll.RealtimeData(T7,"MTD Percent Change")</f>
        <v>-2.3765065399999998</v>
      </c>
    </row>
    <row r="8" spans="1:22" x14ac:dyDescent="0.25">
      <c r="A8" t="s">
        <v>10</v>
      </c>
      <c r="B8" t="str">
        <f>_xll.RealtimeData(A8,"Description")</f>
        <v>SPDR GOLD TRUST-GOLD SHS</v>
      </c>
      <c r="C8" s="3"/>
      <c r="D8" s="4"/>
      <c r="E8" s="5"/>
      <c r="F8" s="5"/>
      <c r="G8" s="4"/>
      <c r="H8" s="4"/>
      <c r="I8" s="4"/>
      <c r="J8" s="31">
        <f>_xll.RealtimeData(A8,"Last")</f>
        <v>113.28</v>
      </c>
      <c r="K8" s="5"/>
      <c r="L8" s="8">
        <f>_xll.RealtimeData(A8,"Change in Percent")</f>
        <v>9.6256684491978616E-3</v>
      </c>
      <c r="M8" s="29">
        <v>0</v>
      </c>
      <c r="N8" s="4" t="str">
        <f t="shared" si="0"/>
        <v>GLD</v>
      </c>
      <c r="O8" s="5">
        <v>0</v>
      </c>
      <c r="P8" s="60">
        <f t="shared" si="1"/>
        <v>0</v>
      </c>
      <c r="Q8" s="31">
        <f>O8*Daily!$D$68</f>
        <v>0</v>
      </c>
      <c r="R8">
        <f t="shared" si="2"/>
        <v>0</v>
      </c>
      <c r="S8">
        <f t="shared" si="3"/>
        <v>0</v>
      </c>
      <c r="T8" t="str">
        <f t="shared" si="4"/>
        <v>GLD</v>
      </c>
      <c r="U8">
        <f>_xll.RealtimeData(T8,"MTD Percent Change")</f>
        <v>-1.6154246999999999</v>
      </c>
    </row>
    <row r="9" spans="1:22" x14ac:dyDescent="0.25">
      <c r="A9" t="s">
        <v>11</v>
      </c>
      <c r="B9" t="str">
        <f>_xll.RealtimeData(A9,"Description")</f>
        <v>ISHARES TR-EUROPE ETF</v>
      </c>
      <c r="C9" s="3"/>
      <c r="D9" s="4"/>
      <c r="E9" s="5"/>
      <c r="F9" s="5"/>
      <c r="G9" s="4"/>
      <c r="H9" s="4"/>
      <c r="I9" s="4"/>
      <c r="J9" s="31">
        <f>_xll.RealtimeData(A9,"Last")</f>
        <v>45.084000000000003</v>
      </c>
      <c r="K9" s="5"/>
      <c r="L9" s="8">
        <f>_xll.RealtimeData(A9,"Change in Percent")</f>
        <v>7.0136251954433767E-3</v>
      </c>
      <c r="M9" s="29">
        <f>_xll.RealtimeData(A9,"Dividend Yield")</f>
        <v>4.6900000000000004</v>
      </c>
      <c r="N9" s="4" t="str">
        <f t="shared" si="0"/>
        <v>IEV</v>
      </c>
      <c r="O9" s="5">
        <v>0</v>
      </c>
      <c r="P9" s="60">
        <f t="shared" si="1"/>
        <v>0</v>
      </c>
      <c r="Q9" s="31">
        <f>O9*Daily!$D$68</f>
        <v>0</v>
      </c>
      <c r="R9">
        <f t="shared" si="2"/>
        <v>0</v>
      </c>
      <c r="S9">
        <f t="shared" si="3"/>
        <v>0</v>
      </c>
      <c r="T9" t="str">
        <f t="shared" si="4"/>
        <v>IEV</v>
      </c>
      <c r="U9">
        <f>_xll.RealtimeData(T9,"MTD Percent Change")</f>
        <v>-1.9913043500000001</v>
      </c>
    </row>
    <row r="10" spans="1:22" x14ac:dyDescent="0.25">
      <c r="A10" t="s">
        <v>18</v>
      </c>
      <c r="B10" t="str">
        <f>_xll.RealtimeData(A10,"Description")</f>
        <v>ISHARES TR-MSCI EMG MKT ETF</v>
      </c>
      <c r="G10" s="4"/>
      <c r="J10" s="31">
        <f>_xll.RealtimeData(A10,"Last")</f>
        <v>43.22</v>
      </c>
      <c r="K10" s="5"/>
      <c r="L10" s="8">
        <f t="array" ref="L10">_xll.RealtimeData(A10,"Change in Percent")</f>
        <v>1.5030530765617686E-2</v>
      </c>
      <c r="M10" s="29">
        <f>_xll.RealtimeData(A10,"Dividend Yield")</f>
        <v>1.34</v>
      </c>
      <c r="N10" s="4" t="str">
        <f t="shared" si="0"/>
        <v>EEM</v>
      </c>
      <c r="O10" s="5">
        <v>0</v>
      </c>
      <c r="P10" s="60">
        <f t="shared" si="1"/>
        <v>0</v>
      </c>
      <c r="Q10" s="31">
        <f>O10*Daily!$D$68</f>
        <v>0</v>
      </c>
      <c r="R10">
        <f t="shared" si="2"/>
        <v>0</v>
      </c>
      <c r="S10">
        <f t="shared" si="3"/>
        <v>0</v>
      </c>
      <c r="T10" t="str">
        <f t="shared" si="4"/>
        <v>EEM</v>
      </c>
      <c r="U10">
        <f>_xll.RealtimeData(T10,"MTD Percent Change")</f>
        <v>-2.8115159699999999</v>
      </c>
    </row>
    <row r="11" spans="1:22" x14ac:dyDescent="0.25">
      <c r="A11" t="s">
        <v>20</v>
      </c>
      <c r="B11" t="str">
        <f>_xll.RealtimeData(A11,"Description")</f>
        <v>ISHARES TR-BARCLAYS 7 10 YR</v>
      </c>
      <c r="G11" s="4"/>
      <c r="J11" s="31">
        <f>_xll.RealtimeData(A11,"Last")</f>
        <v>102.69</v>
      </c>
      <c r="K11" s="5"/>
      <c r="L11" s="8">
        <f t="array" ref="L11">_xll.RealtimeData(A11,"Change in Percent")</f>
        <v>-1.6527318685592262E-3</v>
      </c>
      <c r="M11" s="29">
        <f>_xll.RealtimeData(A11,"Dividend Yield")</f>
        <v>2.2200000000000002</v>
      </c>
      <c r="N11" s="4" t="str">
        <f t="shared" si="0"/>
        <v>IEF</v>
      </c>
      <c r="O11" s="5">
        <v>0</v>
      </c>
      <c r="P11" s="60">
        <f t="shared" si="1"/>
        <v>0</v>
      </c>
      <c r="Q11" s="31">
        <f>O11*Daily!$D$68</f>
        <v>0</v>
      </c>
      <c r="R11">
        <f t="shared" si="2"/>
        <v>0</v>
      </c>
      <c r="S11">
        <f t="shared" si="3"/>
        <v>0</v>
      </c>
      <c r="T11" t="str">
        <f t="shared" si="4"/>
        <v>IEF</v>
      </c>
      <c r="U11">
        <f>_xll.RealtimeData(T11,"MTD Percent Change")</f>
        <v>1.3321491999999999</v>
      </c>
    </row>
    <row r="12" spans="1:22" x14ac:dyDescent="0.25">
      <c r="A12" t="s">
        <v>85</v>
      </c>
      <c r="B12" t="str">
        <f>_xll.RealtimeData(A12,"Description")</f>
        <v>ISHARES TR-1 3 YR TREAS BD</v>
      </c>
      <c r="J12" s="31">
        <f>_xll.RealtimeData(A12,"Last")</f>
        <v>83.295000000000002</v>
      </c>
      <c r="L12" s="8">
        <f t="array" ref="L12">_xll.RealtimeData(A12,"Change in Percent")</f>
        <v>-3.0004800768112703E-4</v>
      </c>
      <c r="M12" s="29">
        <f>_xll.RealtimeData(A12,"Dividend Yield")</f>
        <v>1.87</v>
      </c>
      <c r="N12" s="4" t="str">
        <f t="shared" si="0"/>
        <v>SHY</v>
      </c>
      <c r="O12" s="5">
        <v>9.9000000000000005E-2</v>
      </c>
      <c r="P12" s="60">
        <f t="shared" si="1"/>
        <v>9.9000000000000005E-2</v>
      </c>
      <c r="Q12" s="31">
        <f>O12*Daily!$D$68</f>
        <v>1968.8328000000001</v>
      </c>
      <c r="R12">
        <f t="shared" ref="R12" si="5">ROUND(Q12/J12,0)</f>
        <v>24</v>
      </c>
      <c r="S12">
        <f t="shared" ref="S12" si="6">R12-H12</f>
        <v>24</v>
      </c>
      <c r="T12" t="str">
        <f t="shared" si="4"/>
        <v>SHY</v>
      </c>
      <c r="U12">
        <f>_xll.RealtimeData(T12,"MTD Percent Change")</f>
        <v>0.28292800000000001</v>
      </c>
    </row>
    <row r="13" spans="1:22" x14ac:dyDescent="0.25">
      <c r="J13" s="31" t="str">
        <f>_xll.RealtimeData(A13,"Last")</f>
        <v>--</v>
      </c>
      <c r="L13" s="8" t="str">
        <f t="array" ref="L13">_xll.RealtimeData(A13,"Change in Percent")</f>
        <v>--</v>
      </c>
      <c r="M13" s="8"/>
    </row>
    <row r="14" spans="1:22" x14ac:dyDescent="0.25">
      <c r="U14" s="29">
        <f t="array" ref="U14">MMULT(TRANSPOSE(O2:O12),U2:U12)</f>
        <v>1.20506471507</v>
      </c>
      <c r="V14" s="8">
        <f>U14*0.01</f>
        <v>1.20506471507E-2</v>
      </c>
    </row>
    <row r="19" spans="5:16" s="1" customFormat="1" x14ac:dyDescent="0.25"/>
    <row r="20" spans="5:16" x14ac:dyDescent="0.25">
      <c r="E20" t="s">
        <v>70</v>
      </c>
      <c r="F20" s="11">
        <f>SUM(F2:F5)</f>
        <v>0.99480544733570841</v>
      </c>
      <c r="H20" s="2" t="s">
        <v>14</v>
      </c>
      <c r="I20" s="6">
        <v>104.72</v>
      </c>
      <c r="O20" s="11">
        <f>SUM(O2:O12)</f>
        <v>1</v>
      </c>
    </row>
    <row r="21" spans="5:16" x14ac:dyDescent="0.25">
      <c r="E21" t="s">
        <v>71</v>
      </c>
      <c r="F21" s="11">
        <f>1-F20</f>
        <v>5.1945526642915851E-3</v>
      </c>
      <c r="H21" s="2" t="s">
        <v>16</v>
      </c>
      <c r="I21" s="6">
        <f>SUM(I2:I20)</f>
        <v>20159.580000000002</v>
      </c>
      <c r="J21" t="s">
        <v>33</v>
      </c>
      <c r="K21" s="8">
        <f>SUMPRODUCT(K2:K7,F2:F7)</f>
        <v>3.8627431566967435E-2</v>
      </c>
      <c r="M21" t="s">
        <v>34</v>
      </c>
      <c r="N21" s="76">
        <f t="array" ref="N21">MMULT(TRANSPOSE(F2:F5),L2:L5)</f>
        <v>1.8163920081668366E-3</v>
      </c>
      <c r="P21" s="8">
        <f>SUMPRODUCT(L2:L12,O2:O12)</f>
        <v>2.0277126686568713E-3</v>
      </c>
    </row>
    <row r="22" spans="5:16" x14ac:dyDescent="0.25">
      <c r="H22" t="s">
        <v>17</v>
      </c>
      <c r="I22">
        <v>20000</v>
      </c>
      <c r="J22" t="s">
        <v>24</v>
      </c>
      <c r="K22" s="8">
        <f>_xll.RealtimeData(J22,"Change in Percent")</f>
        <v>5.0047991224461122E-3</v>
      </c>
      <c r="L22" s="12">
        <v>0.6</v>
      </c>
    </row>
    <row r="23" spans="5:16" x14ac:dyDescent="0.25">
      <c r="J23" t="s">
        <v>23</v>
      </c>
      <c r="K23" s="8">
        <f>_xll.RealtimeData(J23,"Change in Percent")</f>
        <v>-9.1079636056652744E-4</v>
      </c>
      <c r="L23" s="12">
        <v>0.4</v>
      </c>
    </row>
    <row r="24" spans="5:16" x14ac:dyDescent="0.25">
      <c r="J24" t="s">
        <v>9</v>
      </c>
      <c r="K24" s="8">
        <f>_xll.RealtimeData(J24,"Change in Percent")</f>
        <v>3.0403503284328814E-3</v>
      </c>
    </row>
    <row r="25" spans="5:16" x14ac:dyDescent="0.25">
      <c r="J25" t="s">
        <v>57</v>
      </c>
      <c r="K25" s="8">
        <f t="array" ref="K25">SUMPRODUCT(K22:K23,L22:L23)</f>
        <v>2.6385609292410564E-3</v>
      </c>
    </row>
    <row r="26" spans="5:16" x14ac:dyDescent="0.25">
      <c r="H26" t="s">
        <v>25</v>
      </c>
      <c r="I26" s="6">
        <f>SUM(I2:I18)</f>
        <v>20054.86</v>
      </c>
      <c r="J26" t="s">
        <v>56</v>
      </c>
      <c r="K26" s="8">
        <f>_xll.RealtimeData(J26,"Change in Percent")</f>
        <v>1.1409013120365031E-2</v>
      </c>
      <c r="L26" t="str">
        <f>_xll.RealtimeData(J26,"Description")</f>
        <v>ARROW ETF TR-ARROW DJ GLB YLD</v>
      </c>
    </row>
    <row r="27" spans="5:16" x14ac:dyDescent="0.25">
      <c r="J27" t="s">
        <v>62</v>
      </c>
      <c r="K27" s="8">
        <f>AVERAGE(L2:L11)</f>
        <v>4.4564293687925412E-3</v>
      </c>
    </row>
    <row r="28" spans="5:16" x14ac:dyDescent="0.25">
      <c r="J28" t="s">
        <v>64</v>
      </c>
      <c r="K28" s="8">
        <f>SUMPRODUCT(F2:F7,M2:M7)*0.01</f>
        <v>1.4187382128000681E-2</v>
      </c>
      <c r="L28" t="s">
        <v>65</v>
      </c>
      <c r="M28" s="8">
        <f>AVERAGE(M2:M11)*0.01</f>
        <v>2.0555555555555553E-2</v>
      </c>
    </row>
    <row r="29" spans="5:16" ht="15.75" thickBot="1" x14ac:dyDescent="0.3"/>
    <row r="30" spans="5:16" ht="15.75" thickBot="1" x14ac:dyDescent="0.3">
      <c r="H30" s="30">
        <v>43335</v>
      </c>
      <c r="I30" s="15" t="s">
        <v>61</v>
      </c>
      <c r="J30" s="15" t="s">
        <v>63</v>
      </c>
      <c r="K30" s="16" t="s">
        <v>31</v>
      </c>
      <c r="L30" s="17" t="s">
        <v>32</v>
      </c>
    </row>
    <row r="31" spans="5:16" x14ac:dyDescent="0.25">
      <c r="H31" s="18" t="s">
        <v>58</v>
      </c>
      <c r="I31" s="21">
        <f>$N$21</f>
        <v>1.8163920081668366E-3</v>
      </c>
      <c r="J31" s="21">
        <f>LOOKUP(2,1/(Daily!E:E&lt;&gt;""),Daily!E:E)</f>
        <v>-1.1178194592745827E-3</v>
      </c>
      <c r="K31" s="22">
        <f>VLOOKUP($H$30,Daily!$A:$AF,7,0)</f>
        <v>1.5680388707178583E-2</v>
      </c>
      <c r="L31" s="23">
        <f>VLOOKUP($H$30,Daily!$A:$AF,8,0)</f>
        <v>7.9795000000004723E-3</v>
      </c>
    </row>
    <row r="32" spans="5:16" x14ac:dyDescent="0.25">
      <c r="H32" s="19" t="s">
        <v>59</v>
      </c>
      <c r="I32" s="24">
        <f>$K$25</f>
        <v>2.6385609292410564E-3</v>
      </c>
      <c r="J32" s="24">
        <f>LOOKUP(2,1/(Daily!M:M&lt;&gt;""),Daily!M:M)</f>
        <v>-3.0907134929871517E-3</v>
      </c>
      <c r="K32" s="14">
        <f>VLOOKUP($H$30,Daily!$A:$AF,25,0)</f>
        <v>1.7335880654775648E-2</v>
      </c>
      <c r="L32" s="25">
        <f>VLOOKUP($H$30,Daily!$A:$AF,31,0)</f>
        <v>1.1495219385979416E-2</v>
      </c>
    </row>
    <row r="33" spans="8:18" x14ac:dyDescent="0.25">
      <c r="H33" s="19" t="s">
        <v>60</v>
      </c>
      <c r="I33" s="24">
        <f>$K$24</f>
        <v>3.0403503284328814E-3</v>
      </c>
      <c r="J33" s="24">
        <f>LOOKUP(2,1/(Daily!L:L&lt;&gt;""),Daily!L:L)</f>
        <v>-1.700090208868299E-3</v>
      </c>
      <c r="K33" s="14">
        <f>VLOOKUP($H$30,Daily!$A:$AF,24,0)</f>
        <v>5.3763047060977787E-2</v>
      </c>
      <c r="L33" s="25">
        <f>VLOOKUP($H$30,Daily!$A:$AF,30,0)</f>
        <v>8.0530169113219863E-2</v>
      </c>
    </row>
    <row r="34" spans="8:18" ht="15.75" thickBot="1" x14ac:dyDescent="0.3">
      <c r="H34" s="20" t="s">
        <v>56</v>
      </c>
      <c r="I34" s="26">
        <f>$K$26</f>
        <v>1.1409013120365031E-2</v>
      </c>
      <c r="J34" s="26">
        <f>LOOKUP(2,1/(Daily!N:N&lt;&gt;""),Daily!N:N)</f>
        <v>-8.4841628959275717E-3</v>
      </c>
      <c r="K34" s="27">
        <f>VLOOKUP($H$30,Daily!$A:$AF,26,0)</f>
        <v>7.4712643678165325E-3</v>
      </c>
      <c r="L34" s="28">
        <f>VLOOKUP($H$30,Daily!$A:$AF,32,0)</f>
        <v>1.6658438504389528E-2</v>
      </c>
    </row>
    <row r="35" spans="8:18" ht="15.75" thickBot="1" x14ac:dyDescent="0.3"/>
    <row r="36" spans="8:18" ht="15.75" thickBot="1" x14ac:dyDescent="0.3">
      <c r="H36" s="37"/>
      <c r="I36" s="59" t="s">
        <v>79</v>
      </c>
      <c r="J36" s="58"/>
      <c r="K36" s="54"/>
      <c r="L36" s="54"/>
      <c r="M36" s="57"/>
      <c r="N36" s="53" t="s">
        <v>39</v>
      </c>
      <c r="O36" s="54" t="s">
        <v>40</v>
      </c>
      <c r="P36" s="54" t="s">
        <v>41</v>
      </c>
      <c r="Q36" s="54" t="s">
        <v>42</v>
      </c>
      <c r="R36" s="55" t="s">
        <v>52</v>
      </c>
    </row>
    <row r="37" spans="8:18" x14ac:dyDescent="0.25">
      <c r="H37" s="56" t="s">
        <v>72</v>
      </c>
      <c r="I37" s="46">
        <f>AVERAGE(Daily!E$3:E380)</f>
        <v>1.0962668912827555E-4</v>
      </c>
      <c r="J37" s="44"/>
      <c r="K37" s="22"/>
      <c r="L37" s="39"/>
      <c r="M37" s="50"/>
      <c r="N37" s="38">
        <f>AVERAGE(Daily!J$3:J380)</f>
        <v>1.7898119219606696E-4</v>
      </c>
      <c r="O37" s="22">
        <f>AVERAGE(Daily!K$3:K380)</f>
        <v>1.0028493826940464E-4</v>
      </c>
      <c r="P37" s="22">
        <f>AVERAGE(Daily!L$3:L380)</f>
        <v>9.727926816176936E-4</v>
      </c>
      <c r="Q37" s="22">
        <f>AVERAGE(Daily!M$3:M380)</f>
        <v>1.4750269062540201E-4</v>
      </c>
      <c r="R37" s="23">
        <f>AVERAGE(Daily!N$3:N380)</f>
        <v>2.3580173447987736E-4</v>
      </c>
    </row>
    <row r="38" spans="8:18" x14ac:dyDescent="0.25">
      <c r="H38" s="56" t="s">
        <v>73</v>
      </c>
      <c r="I38" s="47">
        <f>STDEV(Daily!E$3:E380)</f>
        <v>4.8242076103920863E-3</v>
      </c>
      <c r="J38" s="45"/>
      <c r="K38" s="14"/>
      <c r="L38" s="32"/>
      <c r="M38" s="51"/>
      <c r="N38" s="40">
        <f>STDEV(Daily!J$3:J380)</f>
        <v>6.1601369473967982E-3</v>
      </c>
      <c r="O38" s="14">
        <f>STDEV(Daily!K$3:K380)</f>
        <v>1.7088550064641034E-3</v>
      </c>
      <c r="P38" s="14">
        <f>STDEV(Daily!L$3:L380)</f>
        <v>5.7159153699843195E-3</v>
      </c>
      <c r="Q38" s="14">
        <f>STDEV(Daily!M$3:M380)</f>
        <v>3.5945960528075997E-3</v>
      </c>
      <c r="R38" s="25">
        <f>STDEV(Daily!N$3:N380)</f>
        <v>8.0282017241375715E-3</v>
      </c>
    </row>
    <row r="39" spans="8:18" x14ac:dyDescent="0.25">
      <c r="H39" s="56" t="s">
        <v>74</v>
      </c>
      <c r="I39" s="48">
        <f>COUNTIF(Daily!E$3:E380,"&gt;0")</f>
        <v>46</v>
      </c>
      <c r="J39" s="45"/>
      <c r="K39" s="14"/>
      <c r="L39" s="32"/>
      <c r="M39" s="51"/>
      <c r="N39" s="41">
        <f>COUNTIF(Daily!J$3:J380,"&gt;0")</f>
        <v>42</v>
      </c>
      <c r="O39" s="33">
        <f>COUNTIF(Daily!K$3:K380,"&gt;0")</f>
        <v>43</v>
      </c>
      <c r="P39" s="33">
        <f>COUNTIF(Daily!L$3:L380,"&gt;0")</f>
        <v>46</v>
      </c>
      <c r="Q39" s="33">
        <f>COUNTIF(Daily!M$3:M380,"&gt;0")</f>
        <v>44</v>
      </c>
      <c r="R39" s="35">
        <f>COUNTIF(Daily!N$3:N380,"&gt;0")</f>
        <v>45</v>
      </c>
    </row>
    <row r="40" spans="8:18" x14ac:dyDescent="0.25">
      <c r="H40" s="56" t="s">
        <v>80</v>
      </c>
      <c r="I40" s="47">
        <f>SUMIF(Daily!E$3:E380,"&gt;0")</f>
        <v>0.1498776434996858</v>
      </c>
      <c r="J40" s="45"/>
      <c r="K40" s="14"/>
      <c r="L40" s="32"/>
      <c r="M40" s="51"/>
      <c r="N40" s="40">
        <f>SUMIF(Daily!J$3:J380,"&gt;0")</f>
        <v>0.20212896000723157</v>
      </c>
      <c r="O40" s="14">
        <f>SUMIF(Daily!K$3:K380,"&gt;0")</f>
        <v>5.7416929335799338E-2</v>
      </c>
      <c r="P40" s="14">
        <f>SUMIF(Daily!L$3:L380,"&gt;0")</f>
        <v>0.22413233793077042</v>
      </c>
      <c r="Q40" s="14">
        <f>SUMIF(Daily!M$3:M380,"&gt;0")</f>
        <v>0.1200297533482677</v>
      </c>
      <c r="R40" s="25">
        <f>SUMIF(Daily!N$3:N380,"&gt;0")</f>
        <v>0.26622775965880752</v>
      </c>
    </row>
    <row r="41" spans="8:18" x14ac:dyDescent="0.25">
      <c r="H41" s="56" t="s">
        <v>81</v>
      </c>
      <c r="I41" s="47">
        <f>SUMIF(Daily!E$3:E380,"&lt;0")</f>
        <v>-0.14099788168029548</v>
      </c>
      <c r="J41" s="45"/>
      <c r="K41" s="14"/>
      <c r="L41" s="32"/>
      <c r="M41" s="51"/>
      <c r="N41" s="40">
        <f>SUMIF(Daily!J$3:J380,"&lt;0")</f>
        <v>-0.18763148343935016</v>
      </c>
      <c r="O41" s="14">
        <f>SUMIF(Daily!K$3:K380,"&lt;0")</f>
        <v>-4.9293849335977566E-2</v>
      </c>
      <c r="P41" s="14">
        <f>SUMIF(Daily!L$3:L380,"&lt;0")</f>
        <v>-0.14533613071973722</v>
      </c>
      <c r="Q41" s="14">
        <f>SUMIF(Daily!M$3:M380,"&lt;0")</f>
        <v>-0.10808203540761015</v>
      </c>
      <c r="R41" s="25">
        <f>SUMIF(Daily!N$3:N380,"&lt;0")</f>
        <v>-0.24712781916593746</v>
      </c>
    </row>
    <row r="42" spans="8:18" x14ac:dyDescent="0.25">
      <c r="H42" s="56" t="s">
        <v>75</v>
      </c>
      <c r="I42" s="48">
        <f>COUNT(Daily!E$3:E380)</f>
        <v>81</v>
      </c>
      <c r="J42" s="45"/>
      <c r="K42" s="14"/>
      <c r="L42" s="32"/>
      <c r="M42" s="51"/>
      <c r="N42" s="41">
        <f>COUNT(Daily!J$3:J380)</f>
        <v>81</v>
      </c>
      <c r="O42" s="33">
        <f>COUNT(Daily!K$3:K380)</f>
        <v>81</v>
      </c>
      <c r="P42" s="33">
        <f>COUNT(Daily!L$3:L380)</f>
        <v>81</v>
      </c>
      <c r="Q42" s="33">
        <f>COUNT(Daily!M$3:M380)</f>
        <v>81</v>
      </c>
      <c r="R42" s="35">
        <f>COUNT(Daily!N$3:N380)</f>
        <v>81</v>
      </c>
    </row>
    <row r="43" spans="8:18" x14ac:dyDescent="0.25">
      <c r="H43" s="56" t="s">
        <v>76</v>
      </c>
      <c r="I43" s="48">
        <f>I42-I39</f>
        <v>35</v>
      </c>
      <c r="J43" s="45"/>
      <c r="K43" s="14"/>
      <c r="L43" s="32"/>
      <c r="M43" s="51"/>
      <c r="N43" s="41">
        <f>N42-N39</f>
        <v>39</v>
      </c>
      <c r="O43" s="33">
        <f>O42-O39</f>
        <v>38</v>
      </c>
      <c r="P43" s="33">
        <f>P42-P39</f>
        <v>35</v>
      </c>
      <c r="Q43" s="33">
        <f>Q42-Q39</f>
        <v>37</v>
      </c>
      <c r="R43" s="35">
        <f>R42-R39</f>
        <v>36</v>
      </c>
    </row>
    <row r="44" spans="8:18" x14ac:dyDescent="0.25">
      <c r="H44" s="56" t="s">
        <v>78</v>
      </c>
      <c r="I44" s="49">
        <f>(I40/I41)*(I39/I43)*-1</f>
        <v>1.3970567741513276</v>
      </c>
      <c r="J44" s="45"/>
      <c r="K44" s="14"/>
      <c r="L44" s="32"/>
      <c r="M44" s="51"/>
      <c r="N44" s="42">
        <f>(N40/N41)*(N39/N43)*-1</f>
        <v>1.1601322846046314</v>
      </c>
      <c r="O44" s="34">
        <f>(O40/O41)*(O39/O43)*-1</f>
        <v>1.3180506155259937</v>
      </c>
      <c r="P44" s="34">
        <f>(P40/P41)*(P39/P43)*-1</f>
        <v>2.0268458255567512</v>
      </c>
      <c r="Q44" s="34">
        <f>(Q40/Q41)*(Q39/Q43)*-1</f>
        <v>1.320645790250861</v>
      </c>
      <c r="R44" s="36">
        <f>(R40/R41)*(R39/R43)*-1</f>
        <v>1.3466096237026899</v>
      </c>
    </row>
    <row r="45" spans="8:18" x14ac:dyDescent="0.25">
      <c r="H45" s="61" t="s">
        <v>77</v>
      </c>
      <c r="I45" s="62">
        <f>I39/I42</f>
        <v>0.5679012345679012</v>
      </c>
      <c r="J45" s="63"/>
      <c r="K45" s="64"/>
      <c r="L45" s="65"/>
      <c r="M45" s="66"/>
      <c r="N45" s="67">
        <f>N39/N42</f>
        <v>0.51851851851851849</v>
      </c>
      <c r="O45" s="64">
        <f>O39/O42</f>
        <v>0.53086419753086422</v>
      </c>
      <c r="P45" s="64">
        <f>P39/P42</f>
        <v>0.5679012345679012</v>
      </c>
      <c r="Q45" s="64">
        <f>Q39/Q42</f>
        <v>0.54320987654320985</v>
      </c>
      <c r="R45" s="68">
        <f>R39/R42</f>
        <v>0.55555555555555558</v>
      </c>
    </row>
    <row r="46" spans="8:18" ht="15.75" thickBot="1" x14ac:dyDescent="0.3">
      <c r="H46" s="70" t="s">
        <v>84</v>
      </c>
      <c r="I46" s="43">
        <f>MIN(Daily!AI:AI)</f>
        <v>-4.1041800383331051E-2</v>
      </c>
      <c r="J46" s="69"/>
      <c r="K46" s="69"/>
      <c r="L46" s="69"/>
      <c r="M46" s="52"/>
      <c r="N46" s="43">
        <f>MIN(Daily!AJ:AJ)</f>
        <v>-5.0950262838657376E-2</v>
      </c>
      <c r="O46" s="27">
        <f>MIN(Daily!AK:AK)</f>
        <v>-1.1701928477812897E-2</v>
      </c>
      <c r="P46" s="27">
        <f>MIN(Daily!AL:AL)</f>
        <v>-3.4782299120652151E-2</v>
      </c>
      <c r="Q46" s="27">
        <f>MIN(Daily!AM:AM)</f>
        <v>-2.8603484341972841E-2</v>
      </c>
      <c r="R46" s="28">
        <f>MIN(Daily!AN:AN)</f>
        <v>-3.9128004471771866E-2</v>
      </c>
    </row>
  </sheetData>
  <sortState ref="A2:T5">
    <sortCondition ref="A2:A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83"/>
  <sheetViews>
    <sheetView zoomScale="80" zoomScaleNormal="80" workbookViewId="0">
      <pane xSplit="1" ySplit="1" topLeftCell="B57" activePane="bottomRight" state="frozen"/>
      <selection pane="topRight" activeCell="B1" sqref="B1"/>
      <selection pane="bottomLeft" activeCell="A2" sqref="A2"/>
      <selection pane="bottomRight" activeCell="F93" sqref="F93"/>
    </sheetView>
  </sheetViews>
  <sheetFormatPr defaultRowHeight="15" x14ac:dyDescent="0.25"/>
  <cols>
    <col min="1" max="1" width="18.85546875" style="9" customWidth="1"/>
    <col min="2" max="3" width="18.85546875" customWidth="1"/>
    <col min="4" max="4" width="18.85546875" style="4" customWidth="1"/>
    <col min="5" max="5" width="12.7109375" style="4" bestFit="1" customWidth="1"/>
    <col min="6" max="6" width="10.5703125" style="4" bestFit="1" customWidth="1"/>
    <col min="10" max="10" width="12.28515625" bestFit="1" customWidth="1"/>
    <col min="11" max="11" width="11.42578125" bestFit="1" customWidth="1"/>
    <col min="12" max="12" width="9.5703125" bestFit="1" customWidth="1"/>
    <col min="13" max="14" width="10.85546875" bestFit="1" customWidth="1"/>
    <col min="16" max="16" width="10.85546875" bestFit="1" customWidth="1"/>
    <col min="17" max="17" width="9.85546875" bestFit="1" customWidth="1"/>
    <col min="18" max="18" width="9.5703125" bestFit="1" customWidth="1"/>
    <col min="19" max="19" width="10" bestFit="1" customWidth="1"/>
    <col min="20" max="20" width="10.42578125" bestFit="1" customWidth="1"/>
    <col min="22" max="26" width="12.85546875" customWidth="1"/>
    <col min="36" max="36" width="11.28515625" bestFit="1" customWidth="1"/>
    <col min="37" max="37" width="10.28515625" bestFit="1" customWidth="1"/>
    <col min="38" max="38" width="9.42578125" bestFit="1" customWidth="1"/>
    <col min="39" max="39" width="10.5703125" bestFit="1" customWidth="1"/>
    <col min="40" max="40" width="11" bestFit="1" customWidth="1"/>
  </cols>
  <sheetData>
    <row r="1" spans="1:40" x14ac:dyDescent="0.25">
      <c r="A1" s="9" t="s">
        <v>1</v>
      </c>
      <c r="B1" s="2" t="s">
        <v>28</v>
      </c>
      <c r="C1" s="2" t="s">
        <v>26</v>
      </c>
      <c r="D1" s="4" t="s">
        <v>27</v>
      </c>
      <c r="E1" s="7" t="s">
        <v>30</v>
      </c>
      <c r="F1" s="7" t="s">
        <v>29</v>
      </c>
      <c r="G1" s="2" t="s">
        <v>31</v>
      </c>
      <c r="H1" s="2" t="s">
        <v>32</v>
      </c>
      <c r="J1" t="s">
        <v>39</v>
      </c>
      <c r="K1" t="s">
        <v>40</v>
      </c>
      <c r="L1" t="s">
        <v>41</v>
      </c>
      <c r="M1" t="s">
        <v>42</v>
      </c>
      <c r="N1" t="s">
        <v>52</v>
      </c>
      <c r="P1" t="s">
        <v>36</v>
      </c>
      <c r="Q1" t="s">
        <v>37</v>
      </c>
      <c r="R1" t="s">
        <v>38</v>
      </c>
      <c r="S1" t="s">
        <v>43</v>
      </c>
      <c r="T1" t="s">
        <v>53</v>
      </c>
      <c r="V1" t="s">
        <v>44</v>
      </c>
      <c r="W1" t="s">
        <v>45</v>
      </c>
      <c r="X1" t="s">
        <v>46</v>
      </c>
      <c r="Y1" t="s">
        <v>47</v>
      </c>
      <c r="Z1" t="s">
        <v>54</v>
      </c>
      <c r="AB1" t="s">
        <v>48</v>
      </c>
      <c r="AC1" t="s">
        <v>49</v>
      </c>
      <c r="AD1" t="s">
        <v>50</v>
      </c>
      <c r="AE1" t="s">
        <v>51</v>
      </c>
      <c r="AF1" t="s">
        <v>55</v>
      </c>
      <c r="AI1" t="s">
        <v>58</v>
      </c>
      <c r="AJ1" t="s">
        <v>36</v>
      </c>
      <c r="AK1" t="s">
        <v>37</v>
      </c>
      <c r="AL1" t="s">
        <v>38</v>
      </c>
      <c r="AM1" t="s">
        <v>43</v>
      </c>
      <c r="AN1" t="s">
        <v>53</v>
      </c>
    </row>
    <row r="2" spans="1:40" x14ac:dyDescent="0.25">
      <c r="A2" s="9">
        <v>43220</v>
      </c>
      <c r="B2" s="4">
        <v>0</v>
      </c>
      <c r="C2" s="4">
        <v>20000</v>
      </c>
      <c r="D2" s="4">
        <v>20000</v>
      </c>
      <c r="E2" s="4">
        <v>0</v>
      </c>
      <c r="F2" s="10">
        <v>100</v>
      </c>
      <c r="G2" s="4">
        <v>0</v>
      </c>
      <c r="H2" s="4">
        <v>0</v>
      </c>
      <c r="J2">
        <v>0</v>
      </c>
      <c r="K2">
        <v>0</v>
      </c>
      <c r="L2">
        <v>0</v>
      </c>
      <c r="M2">
        <v>0</v>
      </c>
      <c r="N2">
        <v>0</v>
      </c>
      <c r="P2">
        <v>100</v>
      </c>
      <c r="Q2">
        <f>P2</f>
        <v>100</v>
      </c>
      <c r="R2">
        <f t="shared" ref="R2:T2" si="0">Q2</f>
        <v>100</v>
      </c>
      <c r="S2">
        <f t="shared" si="0"/>
        <v>100</v>
      </c>
      <c r="T2">
        <f t="shared" si="0"/>
        <v>100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40" x14ac:dyDescent="0.25">
      <c r="A3" s="9">
        <v>43221</v>
      </c>
      <c r="B3" s="4">
        <v>19539.12</v>
      </c>
      <c r="C3" s="4">
        <v>427.8</v>
      </c>
      <c r="D3" s="4">
        <f>B3+C3</f>
        <v>19966.919999999998</v>
      </c>
      <c r="E3" s="5">
        <f t="shared" ref="E3:E9" si="1">D3/D2-1</f>
        <v>-1.6540000000000443E-3</v>
      </c>
      <c r="F3" s="10">
        <f t="shared" ref="F3:F8" si="2">F2*(1+E3)</f>
        <v>99.834599999999995</v>
      </c>
      <c r="G3" s="5">
        <f t="shared" ref="G3:G9" si="3">F3/$F$2-1</f>
        <v>-1.6540000000000443E-3</v>
      </c>
      <c r="H3" s="8">
        <f t="shared" ref="H3:H8" si="4">F3/$F$2-1</f>
        <v>-1.6540000000000443E-3</v>
      </c>
      <c r="J3" s="11">
        <v>-1.1100000000000001E-3</v>
      </c>
      <c r="K3" s="11">
        <v>-8.4999999999999995E-4</v>
      </c>
      <c r="L3" s="11">
        <v>1.7700000000000001E-3</v>
      </c>
      <c r="M3" s="11">
        <f>0.6*J3 + 0.4*K3</f>
        <v>-1.0059999999999999E-3</v>
      </c>
      <c r="N3" s="11">
        <v>-7.4799999999999997E-3</v>
      </c>
      <c r="P3" s="10">
        <f>P2*(1+J3)</f>
        <v>99.888999999999996</v>
      </c>
      <c r="Q3" s="10">
        <f>Q2*(1+K3)</f>
        <v>99.914999999999992</v>
      </c>
      <c r="R3" s="10">
        <f>R2*(1+L3)</f>
        <v>100.17700000000001</v>
      </c>
      <c r="S3" s="10">
        <f>S2*(1+M3)</f>
        <v>99.8994</v>
      </c>
      <c r="T3" s="10">
        <f>T2*(1+N3)</f>
        <v>99.251999999999995</v>
      </c>
      <c r="V3" s="5">
        <f t="shared" ref="V3:V8" si="5">P3/$P$2-1</f>
        <v>-1.1100000000000554E-3</v>
      </c>
      <c r="W3" s="5">
        <f t="shared" ref="W3:W8" si="6">Q3/$Q$2-1</f>
        <v>-8.5000000000012843E-4</v>
      </c>
      <c r="X3" s="5">
        <f t="shared" ref="X3:X8" si="7">R3/$R$2-1</f>
        <v>1.7700000000000493E-3</v>
      </c>
      <c r="Y3" s="5">
        <f t="shared" ref="Y3:Y8" si="8">S3/$S$2-1</f>
        <v>-1.0059999999999514E-3</v>
      </c>
      <c r="Z3" s="5">
        <f t="shared" ref="Z3:Z8" si="9">T3/$T$2-1</f>
        <v>-7.4800000000000422E-3</v>
      </c>
      <c r="AB3" s="8">
        <f t="shared" ref="AB3:AB8" si="10">P3/$P$2-1</f>
        <v>-1.1100000000000554E-3</v>
      </c>
      <c r="AC3" s="8">
        <f t="shared" ref="AC3:AE3" si="11">Q3/$P$2-1</f>
        <v>-8.5000000000012843E-4</v>
      </c>
      <c r="AD3" s="8">
        <f t="shared" si="11"/>
        <v>1.7700000000000493E-3</v>
      </c>
      <c r="AE3" s="8">
        <f t="shared" si="11"/>
        <v>-1.0059999999999514E-3</v>
      </c>
      <c r="AF3" s="8">
        <f t="shared" ref="AF3:AF8" si="12">T3/$T$2-1</f>
        <v>-7.4800000000000422E-3</v>
      </c>
    </row>
    <row r="4" spans="1:40" x14ac:dyDescent="0.25">
      <c r="A4" s="9">
        <v>43222</v>
      </c>
      <c r="B4" s="4">
        <v>19471.96</v>
      </c>
      <c r="C4" s="4">
        <v>427.7</v>
      </c>
      <c r="D4" s="4">
        <f>B4+C4</f>
        <v>19899.66</v>
      </c>
      <c r="E4" s="5">
        <f t="shared" si="1"/>
        <v>-3.368571617455185E-3</v>
      </c>
      <c r="F4" s="10">
        <f t="shared" si="2"/>
        <v>99.4983</v>
      </c>
      <c r="G4" s="5">
        <f t="shared" si="3"/>
        <v>-5.0170000000000492E-3</v>
      </c>
      <c r="H4" s="8">
        <f t="shared" si="4"/>
        <v>-5.0170000000000492E-3</v>
      </c>
      <c r="J4" s="11">
        <v>-4.1700000000000001E-3</v>
      </c>
      <c r="K4" s="11">
        <v>0</v>
      </c>
      <c r="L4" s="11">
        <v>-6.7000000000000002E-3</v>
      </c>
      <c r="M4" s="11">
        <f>0.6*J4 + 0.4*K4</f>
        <v>-2.5019999999999999E-3</v>
      </c>
      <c r="N4" s="11">
        <v>1.3299999999999999E-2</v>
      </c>
      <c r="P4" s="10">
        <f t="shared" ref="P4" si="13">P3*(1+J4)</f>
        <v>99.472462870000001</v>
      </c>
      <c r="Q4" s="10">
        <f t="shared" ref="Q4" si="14">Q3*(1+K4)</f>
        <v>99.914999999999992</v>
      </c>
      <c r="R4" s="10">
        <f t="shared" ref="R4" si="15">R3*(1+L4)</f>
        <v>99.505814100000009</v>
      </c>
      <c r="S4" s="10">
        <f t="shared" ref="S4" si="16">S3*(1+M4)</f>
        <v>99.649451701199993</v>
      </c>
      <c r="T4" s="10">
        <f t="shared" ref="T4:T9" si="17">T3*(1+N4)</f>
        <v>100.57205160000001</v>
      </c>
      <c r="V4" s="5">
        <f t="shared" si="5"/>
        <v>-5.275371299999998E-3</v>
      </c>
      <c r="W4" s="5">
        <f t="shared" si="6"/>
        <v>-8.5000000000012843E-4</v>
      </c>
      <c r="X4" s="5">
        <f t="shared" si="7"/>
        <v>-4.9418589999998819E-3</v>
      </c>
      <c r="Y4" s="5">
        <f t="shared" si="8"/>
        <v>-3.5054829880000193E-3</v>
      </c>
      <c r="Z4" s="5">
        <f t="shared" si="9"/>
        <v>5.7205160000000088E-3</v>
      </c>
      <c r="AB4" s="8">
        <f t="shared" si="10"/>
        <v>-5.275371299999998E-3</v>
      </c>
      <c r="AC4" s="8">
        <f t="shared" ref="AC4" si="18">Q4/$P$2-1</f>
        <v>-8.5000000000012843E-4</v>
      </c>
      <c r="AD4" s="8">
        <f t="shared" ref="AD4" si="19">R4/$P$2-1</f>
        <v>-4.9418589999998819E-3</v>
      </c>
      <c r="AE4" s="8">
        <f t="shared" ref="AE4" si="20">S4/$P$2-1</f>
        <v>-3.5054829880000193E-3</v>
      </c>
      <c r="AF4" s="8">
        <f t="shared" si="12"/>
        <v>5.7205160000000088E-3</v>
      </c>
    </row>
    <row r="5" spans="1:40" x14ac:dyDescent="0.25">
      <c r="A5" s="9">
        <v>43223</v>
      </c>
      <c r="B5" s="4">
        <v>19525.419999999998</v>
      </c>
      <c r="C5" s="4">
        <v>427.9</v>
      </c>
      <c r="D5" s="4">
        <v>19953.32</v>
      </c>
      <c r="E5" s="5">
        <f t="shared" si="1"/>
        <v>2.6965284834012948E-3</v>
      </c>
      <c r="F5" s="10">
        <f t="shared" si="2"/>
        <v>99.766600000000011</v>
      </c>
      <c r="G5" s="5">
        <f t="shared" si="3"/>
        <v>-2.3339999999998362E-3</v>
      </c>
      <c r="H5" s="8">
        <f t="shared" si="4"/>
        <v>-2.3339999999998362E-3</v>
      </c>
      <c r="J5" s="11">
        <f>VLOOKUP($A5,Prices!$A:$J,MATCH(J$1,Prices!$1:$1,0),0)</f>
        <v>1.3964530093568683E-4</v>
      </c>
      <c r="K5" s="11">
        <f>VLOOKUP($A5,Prices!$A:$J,MATCH(K$1,Prices!$1:$1,0),0)</f>
        <v>1.1356108640105944E-3</v>
      </c>
      <c r="L5" s="11">
        <f>VLOOKUP($A5,Prices!$A:$J,MATCH(L$1,Prices!$1:$1,0),0)</f>
        <v>-2.1511869268221462E-3</v>
      </c>
      <c r="M5" s="11">
        <f t="shared" ref="M5:M9" si="21">0.6*J5 + 0.4*K5</f>
        <v>5.3803152616564991E-4</v>
      </c>
      <c r="N5" s="11">
        <f>VLOOKUP($A5,Prices!$A:$J,MATCH(N$1,Prices!$1:$1,0),0)</f>
        <v>-1.9346765543727718E-2</v>
      </c>
      <c r="P5" s="10">
        <f t="shared" ref="P5" si="22">P4*(1+J5)</f>
        <v>99.48635373201229</v>
      </c>
      <c r="Q5" s="10">
        <f t="shared" ref="Q5" si="23">Q4*(1+K5)</f>
        <v>100.02846455947761</v>
      </c>
      <c r="R5" s="10">
        <f t="shared" ref="R5" si="24">R4*(1+L5)</f>
        <v>99.291758493565297</v>
      </c>
      <c r="S5" s="10">
        <f t="shared" ref="S5" si="25">S4*(1+M5)</f>
        <v>99.703066247780356</v>
      </c>
      <c r="T5" s="10">
        <f t="shared" si="17"/>
        <v>98.626307697443124</v>
      </c>
      <c r="V5" s="5">
        <f t="shared" si="5"/>
        <v>-5.1364626798771074E-3</v>
      </c>
      <c r="W5" s="5">
        <f t="shared" si="6"/>
        <v>2.8464559477603402E-4</v>
      </c>
      <c r="X5" s="5">
        <f t="shared" si="7"/>
        <v>-7.0824150643470363E-3</v>
      </c>
      <c r="Y5" s="5">
        <f t="shared" si="8"/>
        <v>-2.9693375221964136E-3</v>
      </c>
      <c r="Z5" s="5">
        <f t="shared" si="9"/>
        <v>-1.3736923025568726E-2</v>
      </c>
      <c r="AB5" s="8">
        <f t="shared" si="10"/>
        <v>-5.1364626798771074E-3</v>
      </c>
      <c r="AC5" s="8">
        <f t="shared" ref="AC5" si="26">Q5/$P$2-1</f>
        <v>2.8464559477603402E-4</v>
      </c>
      <c r="AD5" s="8">
        <f t="shared" ref="AD5" si="27">R5/$P$2-1</f>
        <v>-7.0824150643470363E-3</v>
      </c>
      <c r="AE5" s="8">
        <f t="shared" ref="AE5" si="28">S5/$P$2-1</f>
        <v>-2.9693375221964136E-3</v>
      </c>
      <c r="AF5" s="8">
        <f t="shared" si="12"/>
        <v>-1.3736923025568726E-2</v>
      </c>
    </row>
    <row r="6" spans="1:40" x14ac:dyDescent="0.25">
      <c r="A6" s="9">
        <v>43224</v>
      </c>
      <c r="B6" s="4">
        <v>19634.889999999996</v>
      </c>
      <c r="C6" s="4">
        <v>427.9</v>
      </c>
      <c r="D6" s="4">
        <v>20062.789999999997</v>
      </c>
      <c r="E6" s="5">
        <f t="shared" si="1"/>
        <v>5.4863050359537091E-3</v>
      </c>
      <c r="F6" s="10">
        <f t="shared" si="2"/>
        <v>100.31394999999999</v>
      </c>
      <c r="G6" s="5">
        <f t="shared" si="3"/>
        <v>3.1394999999998507E-3</v>
      </c>
      <c r="H6" s="8">
        <f t="shared" si="4"/>
        <v>3.1394999999998507E-3</v>
      </c>
      <c r="J6" s="11">
        <f>VLOOKUP($A6,Prices!$A:$J,MATCH(J$1,Prices!$1:$1,0),0)</f>
        <v>8.3775481709018607E-3</v>
      </c>
      <c r="K6" s="11">
        <f>VLOOKUP($A6,Prices!$A:$J,MATCH(K$1,Prices!$1:$1,0),0)</f>
        <v>6.6168825030721301E-4</v>
      </c>
      <c r="L6" s="11">
        <f>VLOOKUP($A6,Prices!$A:$J,MATCH(L$1,Prices!$1:$1,0),0)</f>
        <v>1.2934947049924483E-2</v>
      </c>
      <c r="M6" s="11">
        <f t="shared" si="21"/>
        <v>5.2912042026640018E-3</v>
      </c>
      <c r="N6" s="11">
        <f>VLOOKUP($A6,Prices!$A:$J,MATCH(N$1,Prices!$1:$1,0),0)</f>
        <v>3.945689437195421E-3</v>
      </c>
      <c r="P6" s="10">
        <f t="shared" ref="P6" si="29">P5*(1+J6)</f>
        <v>100.31980545274961</v>
      </c>
      <c r="Q6" s="10">
        <f t="shared" ref="Q6" si="30">Q5*(1+K6)</f>
        <v>100.09465221917289</v>
      </c>
      <c r="R6" s="10">
        <f t="shared" ref="R6" si="31">R5*(1+L6)</f>
        <v>100.57609213217346</v>
      </c>
      <c r="S6" s="10">
        <f>S5*(1+M6)</f>
        <v>100.2306155309291</v>
      </c>
      <c r="T6" s="10">
        <f t="shared" si="17"/>
        <v>99.015456477954515</v>
      </c>
      <c r="V6" s="5">
        <f t="shared" si="5"/>
        <v>3.1980545274961081E-3</v>
      </c>
      <c r="W6" s="5">
        <f t="shared" si="6"/>
        <v>9.4652219172886021E-4</v>
      </c>
      <c r="X6" s="5">
        <f t="shared" si="7"/>
        <v>5.7609213217346689E-3</v>
      </c>
      <c r="Y6" s="5">
        <f t="shared" si="8"/>
        <v>2.3061553092909026E-3</v>
      </c>
      <c r="Z6" s="5">
        <f t="shared" si="9"/>
        <v>-9.8454352204548901E-3</v>
      </c>
      <c r="AB6" s="8">
        <f t="shared" si="10"/>
        <v>3.1980545274961081E-3</v>
      </c>
      <c r="AC6" s="8">
        <f t="shared" ref="AC6" si="32">Q6/$P$2-1</f>
        <v>9.4652219172886021E-4</v>
      </c>
      <c r="AD6" s="8">
        <f t="shared" ref="AD6" si="33">R6/$P$2-1</f>
        <v>5.7609213217346689E-3</v>
      </c>
      <c r="AE6" s="8">
        <f t="shared" ref="AE6" si="34">S6/$P$2-1</f>
        <v>2.3061553092909026E-3</v>
      </c>
      <c r="AF6" s="8">
        <f t="shared" si="12"/>
        <v>-9.8454352204548901E-3</v>
      </c>
    </row>
    <row r="7" spans="1:40" x14ac:dyDescent="0.25">
      <c r="A7" s="9">
        <v>43227</v>
      </c>
      <c r="B7" s="4">
        <v>19653.72</v>
      </c>
      <c r="C7" s="4">
        <v>427.7</v>
      </c>
      <c r="D7" s="4">
        <v>20081.63</v>
      </c>
      <c r="E7" s="5">
        <f t="shared" si="1"/>
        <v>9.3905184672737896E-4</v>
      </c>
      <c r="F7" s="10">
        <f t="shared" si="2"/>
        <v>100.40815000000001</v>
      </c>
      <c r="G7" s="5">
        <f t="shared" si="3"/>
        <v>4.0815000000000712E-3</v>
      </c>
      <c r="H7" s="8">
        <f t="shared" si="4"/>
        <v>4.0815000000000712E-3</v>
      </c>
      <c r="J7" s="11">
        <f>VLOOKUP($A7,Prices!$A:$J,MATCH(J$1,Prices!$1:$1,0),0)</f>
        <v>1.6615895873719477E-3</v>
      </c>
      <c r="K7" s="11">
        <f>VLOOKUP($A7,Prices!$A:$J,MATCH(K$1,Prices!$1:$1,0),0)</f>
        <v>-4.7232193463064842E-4</v>
      </c>
      <c r="L7" s="11">
        <f>VLOOKUP($A7,Prices!$A:$J,MATCH(L$1,Prices!$1:$1,0),0)</f>
        <v>3.6218355611978836E-3</v>
      </c>
      <c r="M7" s="11">
        <f t="shared" si="21"/>
        <v>8.0802497857090916E-4</v>
      </c>
      <c r="N7" s="11">
        <f>VLOOKUP($A7,Prices!$A:$J,MATCH(N$1,Prices!$1:$1,0),0)</f>
        <v>1.1884261699759868E-2</v>
      </c>
      <c r="P7" s="10">
        <f t="shared" ref="P7" si="35">P6*(1+J7)</f>
        <v>100.48649579689707</v>
      </c>
      <c r="Q7" s="10">
        <f t="shared" ref="Q7" si="36">Q6*(1+K7)</f>
        <v>100.04737531939054</v>
      </c>
      <c r="R7" s="10">
        <f t="shared" ref="R7" si="37">R6*(1+L7)</f>
        <v>100.94036219926407</v>
      </c>
      <c r="S7" s="10">
        <f t="shared" ref="S7" si="38">S6*(1+M7)</f>
        <v>100.31160437189563</v>
      </c>
      <c r="T7" s="10">
        <f t="shared" si="17"/>
        <v>100.1921820750597</v>
      </c>
      <c r="V7" s="5">
        <f t="shared" si="5"/>
        <v>4.8649579689707956E-3</v>
      </c>
      <c r="W7" s="5">
        <f t="shared" si="6"/>
        <v>4.7375319390541293E-4</v>
      </c>
      <c r="X7" s="5">
        <f t="shared" si="7"/>
        <v>9.403621992640776E-3</v>
      </c>
      <c r="Y7" s="5">
        <f t="shared" si="8"/>
        <v>3.1160437189563517E-3</v>
      </c>
      <c r="Z7" s="5">
        <f t="shared" si="9"/>
        <v>1.921820750597103E-3</v>
      </c>
      <c r="AB7" s="8">
        <f t="shared" si="10"/>
        <v>4.8649579689707956E-3</v>
      </c>
      <c r="AC7" s="8">
        <f t="shared" ref="AC7" si="39">Q7/$P$2-1</f>
        <v>4.7375319390541293E-4</v>
      </c>
      <c r="AD7" s="8">
        <f t="shared" ref="AD7" si="40">R7/$P$2-1</f>
        <v>9.403621992640776E-3</v>
      </c>
      <c r="AE7" s="8">
        <f t="shared" ref="AE7" si="41">S7/$P$2-1</f>
        <v>3.1160437189563517E-3</v>
      </c>
      <c r="AF7" s="8">
        <f t="shared" si="12"/>
        <v>1.921820750597103E-3</v>
      </c>
    </row>
    <row r="8" spans="1:40" x14ac:dyDescent="0.25">
      <c r="A8" s="9">
        <v>43228</v>
      </c>
      <c r="B8" s="4">
        <v>19673.96</v>
      </c>
      <c r="C8" s="4">
        <v>427.7</v>
      </c>
      <c r="D8" s="4">
        <v>20101.66</v>
      </c>
      <c r="E8" s="5">
        <f t="shared" si="1"/>
        <v>9.9742899356281001E-4</v>
      </c>
      <c r="F8" s="10">
        <f t="shared" si="2"/>
        <v>100.50830000000001</v>
      </c>
      <c r="G8" s="5">
        <f t="shared" si="3"/>
        <v>5.0829999999999487E-3</v>
      </c>
      <c r="H8" s="8">
        <f t="shared" si="4"/>
        <v>5.0829999999999487E-3</v>
      </c>
      <c r="J8" s="11">
        <f>VLOOKUP($A8,Prices!$A:$J,MATCH(J$1,Prices!$1:$1,0),0)</f>
        <v>4.147083218137837E-4</v>
      </c>
      <c r="K8" s="11">
        <f>VLOOKUP($A8,Prices!$A:$J,MATCH(K$1,Prices!$1:$1,0),0)</f>
        <v>-1.1341083073433955E-3</v>
      </c>
      <c r="L8" s="11">
        <f>VLOOKUP($A8,Prices!$A:$J,MATCH(L$1,Prices!$1:$1,0),0)</f>
        <v>-4.0924141523124291E-4</v>
      </c>
      <c r="M8" s="11">
        <f t="shared" si="21"/>
        <v>-2.0481832984908799E-4</v>
      </c>
      <c r="N8" s="11">
        <f>VLOOKUP($A8,Prices!$A:$J,MATCH(N$1,Prices!$1:$1,0),0)</f>
        <v>5.2095694001470516E-3</v>
      </c>
      <c r="P8" s="10">
        <f t="shared" ref="P8" si="42">P7*(1+J8)</f>
        <v>100.52816838293396</v>
      </c>
      <c r="Q8" s="10">
        <f t="shared" ref="Q8" si="43">Q7*(1+K8)</f>
        <v>99.933910759912919</v>
      </c>
      <c r="R8" s="10">
        <f t="shared" ref="R8" si="44">R7*(1+L8)</f>
        <v>100.89905322258369</v>
      </c>
      <c r="S8" s="10">
        <f t="shared" ref="S8" si="45">S7*(1+M8)</f>
        <v>100.2910587166237</v>
      </c>
      <c r="T8" s="10">
        <f t="shared" si="17"/>
        <v>100.71414020093189</v>
      </c>
      <c r="V8" s="5">
        <f t="shared" si="5"/>
        <v>5.2816838293394675E-3</v>
      </c>
      <c r="W8" s="5">
        <f t="shared" si="6"/>
        <v>-6.6089240087086054E-4</v>
      </c>
      <c r="X8" s="5">
        <f t="shared" si="7"/>
        <v>8.9905322258367892E-3</v>
      </c>
      <c r="Y8" s="5">
        <f t="shared" si="8"/>
        <v>2.9105871662369331E-3</v>
      </c>
      <c r="Z8" s="5">
        <f t="shared" si="9"/>
        <v>7.1414020093190089E-3</v>
      </c>
      <c r="AB8" s="8">
        <f t="shared" si="10"/>
        <v>5.2816838293394675E-3</v>
      </c>
      <c r="AC8" s="8">
        <f t="shared" ref="AC8" si="46">Q8/$P$2-1</f>
        <v>-6.6089240087086054E-4</v>
      </c>
      <c r="AD8" s="8">
        <f t="shared" ref="AD8" si="47">R8/$P$2-1</f>
        <v>8.9905322258367892E-3</v>
      </c>
      <c r="AE8" s="8">
        <f t="shared" ref="AE8" si="48">S8/$P$2-1</f>
        <v>2.9105871662369331E-3</v>
      </c>
      <c r="AF8" s="8">
        <f t="shared" si="12"/>
        <v>7.1414020093190089E-3</v>
      </c>
    </row>
    <row r="9" spans="1:40" x14ac:dyDescent="0.25">
      <c r="A9" s="9">
        <v>43229</v>
      </c>
      <c r="B9" s="4">
        <v>19685.2</v>
      </c>
      <c r="C9" s="4">
        <v>427.7</v>
      </c>
      <c r="D9" s="4">
        <v>20112.900000000001</v>
      </c>
      <c r="E9" s="5">
        <f t="shared" si="1"/>
        <v>5.5915780089810241E-4</v>
      </c>
      <c r="F9" s="10">
        <f t="shared" ref="F9" si="49">F8*(1+E9)</f>
        <v>100.56450000000001</v>
      </c>
      <c r="G9" s="5">
        <f t="shared" si="3"/>
        <v>5.6450000000001221E-3</v>
      </c>
      <c r="H9" s="8">
        <f t="shared" ref="H9" si="50">F9/$F$2-1</f>
        <v>5.6450000000001221E-3</v>
      </c>
      <c r="J9" s="11">
        <f>VLOOKUP($A9,Prices!$A:$J,MATCH(J$1,Prices!$1:$1,0),0)</f>
        <v>5.8035097416055947E-3</v>
      </c>
      <c r="K9" s="11">
        <f>VLOOKUP($A9,Prices!$A:$J,MATCH(K$1,Prices!$1:$1,0),0)</f>
        <v>-1.1353959693443105E-3</v>
      </c>
      <c r="L9" s="11">
        <f>VLOOKUP($A9,Prices!$A:$J,MATCH(L$1,Prices!$1:$1,0),0)</f>
        <v>1.0272443054935243E-2</v>
      </c>
      <c r="M9" s="11">
        <f t="shared" si="21"/>
        <v>3.0279474572256324E-3</v>
      </c>
      <c r="N9" s="11">
        <f>VLOOKUP($A9,Prices!$A:$J,MATCH(N$1,Prices!$1:$1,0),0)</f>
        <v>5.7584115997455498E-4</v>
      </c>
      <c r="P9" s="10">
        <f t="shared" ref="P9" si="51">P8*(1+J9)</f>
        <v>101.11158458745008</v>
      </c>
      <c r="Q9" s="10">
        <f t="shared" ref="Q9" si="52">Q8*(1+K9)</f>
        <v>99.820446200435299</v>
      </c>
      <c r="R9" s="10">
        <f t="shared" ref="R9" si="53">R8*(1+L9)</f>
        <v>101.93553300110956</v>
      </c>
      <c r="S9" s="10">
        <f t="shared" ref="S9" si="54">S8*(1+M9)</f>
        <v>100.59473477284716</v>
      </c>
      <c r="T9" s="10">
        <f t="shared" si="17"/>
        <v>100.77213554825104</v>
      </c>
      <c r="V9" s="5">
        <f t="shared" ref="V9" si="55">P9/$P$2-1</f>
        <v>1.1115845874500874E-2</v>
      </c>
      <c r="W9" s="5">
        <f t="shared" ref="W9" si="56">Q9/$Q$2-1</f>
        <v>-1.795537995647023E-3</v>
      </c>
      <c r="X9" s="5">
        <f t="shared" ref="X9" si="57">R9/$R$2-1</f>
        <v>1.9355330011095573E-2</v>
      </c>
      <c r="Y9" s="5">
        <f t="shared" ref="Y9" si="58">S9/$S$2-1</f>
        <v>5.9473477284717191E-3</v>
      </c>
      <c r="Z9" s="5">
        <f t="shared" ref="Z9" si="59">T9/$T$2-1</f>
        <v>7.7213554825104058E-3</v>
      </c>
      <c r="AB9" s="8">
        <f t="shared" ref="AB9" si="60">P9/$P$2-1</f>
        <v>1.1115845874500874E-2</v>
      </c>
      <c r="AC9" s="8">
        <f t="shared" ref="AC9" si="61">Q9/$P$2-1</f>
        <v>-1.795537995647023E-3</v>
      </c>
      <c r="AD9" s="8">
        <f t="shared" ref="AD9" si="62">R9/$P$2-1</f>
        <v>1.9355330011095573E-2</v>
      </c>
      <c r="AE9" s="8">
        <f t="shared" ref="AE9" si="63">S9/$P$2-1</f>
        <v>5.9473477284717191E-3</v>
      </c>
      <c r="AF9" s="8">
        <f t="shared" ref="AF9" si="64">T9/$T$2-1</f>
        <v>7.7213554825104058E-3</v>
      </c>
    </row>
    <row r="10" spans="1:40" x14ac:dyDescent="0.25">
      <c r="A10" s="9">
        <v>43230</v>
      </c>
      <c r="B10" s="4">
        <v>19813.93</v>
      </c>
      <c r="C10" s="4">
        <v>427.7</v>
      </c>
      <c r="D10" s="4">
        <v>20241.63</v>
      </c>
      <c r="E10" s="5">
        <f t="shared" ref="E10" si="65">D10/D9-1</f>
        <v>6.4003699118475588E-3</v>
      </c>
      <c r="F10" s="10">
        <f t="shared" ref="F10" si="66">F9*(1+E10)</f>
        <v>101.20815</v>
      </c>
      <c r="G10" s="5">
        <f t="shared" ref="G10" si="67">F10/$F$2-1</f>
        <v>1.2081500000000078E-2</v>
      </c>
      <c r="H10" s="8">
        <f t="shared" ref="H10" si="68">F10/$F$2-1</f>
        <v>1.2081500000000078E-2</v>
      </c>
      <c r="J10" s="11">
        <f>VLOOKUP($A10,Prices!$A:$J,MATCH(J$1,Prices!$1:$1,0),0)</f>
        <v>1.0166231625223121E-2</v>
      </c>
      <c r="K10" s="11">
        <f>VLOOKUP($A10,Prices!$A:$J,MATCH(K$1,Prices!$1:$1,0),0)</f>
        <v>2.2733731173629756E-3</v>
      </c>
      <c r="L10" s="11">
        <f>VLOOKUP($A10,Prices!$A:$J,MATCH(L$1,Prices!$1:$1,0),0)</f>
        <v>9.0627763041555287E-3</v>
      </c>
      <c r="M10" s="11">
        <f t="shared" ref="M10" si="69">0.6*J10 + 0.4*K10</f>
        <v>7.0090882220790627E-3</v>
      </c>
      <c r="N10" s="11">
        <f>VLOOKUP($A10,Prices!$A:$J,MATCH(N$1,Prices!$1:$1,0),0)</f>
        <v>3.4530585466074903E-3</v>
      </c>
      <c r="P10" s="10">
        <f t="shared" ref="P10" si="70">P9*(1+J10)</f>
        <v>102.13950837635944</v>
      </c>
      <c r="Q10" s="10">
        <f t="shared" ref="Q10" si="71">Q9*(1+K10)</f>
        <v>100.04737531939054</v>
      </c>
      <c r="R10" s="10">
        <f t="shared" ref="R10" si="72">R9*(1+L10)</f>
        <v>102.85935193414348</v>
      </c>
      <c r="S10" s="10">
        <f t="shared" ref="S10" si="73">S9*(1+M10)</f>
        <v>101.29981214354669</v>
      </c>
      <c r="T10" s="10">
        <f t="shared" ref="T10" si="74">T9*(1+N10)</f>
        <v>101.12010763216583</v>
      </c>
      <c r="V10" s="5">
        <f t="shared" ref="V10" si="75">P10/$P$2-1</f>
        <v>2.1395083763594336E-2</v>
      </c>
      <c r="W10" s="5">
        <f t="shared" ref="W10" si="76">Q10/$Q$2-1</f>
        <v>4.7375319390541293E-4</v>
      </c>
      <c r="X10" s="5">
        <f t="shared" ref="X10" si="77">R10/$R$2-1</f>
        <v>2.8593519341434837E-2</v>
      </c>
      <c r="Y10" s="5">
        <f t="shared" ref="Y10" si="78">S10/$S$2-1</f>
        <v>1.2998121435466858E-2</v>
      </c>
      <c r="Z10" s="5">
        <f t="shared" ref="Z10" si="79">T10/$T$2-1</f>
        <v>1.1201076321658343E-2</v>
      </c>
      <c r="AB10" s="8">
        <f t="shared" ref="AB10" si="80">P10/$P$2-1</f>
        <v>2.1395083763594336E-2</v>
      </c>
      <c r="AC10" s="8">
        <f t="shared" ref="AC10" si="81">Q10/$P$2-1</f>
        <v>4.7375319390541293E-4</v>
      </c>
      <c r="AD10" s="8">
        <f t="shared" ref="AD10" si="82">R10/$P$2-1</f>
        <v>2.8593519341434837E-2</v>
      </c>
      <c r="AE10" s="8">
        <f t="shared" ref="AE10" si="83">S10/$P$2-1</f>
        <v>1.2998121435466858E-2</v>
      </c>
      <c r="AF10" s="8">
        <f t="shared" ref="AF10" si="84">T10/$T$2-1</f>
        <v>1.1201076321658343E-2</v>
      </c>
    </row>
    <row r="11" spans="1:40" x14ac:dyDescent="0.25">
      <c r="A11" s="9">
        <v>43231</v>
      </c>
      <c r="B11" s="4">
        <v>19841.489999999998</v>
      </c>
      <c r="C11" s="4">
        <v>427.7</v>
      </c>
      <c r="D11" s="4">
        <v>20269.189999999999</v>
      </c>
      <c r="E11" s="5">
        <f t="shared" ref="E11" si="85">D11/D10-1</f>
        <v>1.3615504284980595E-3</v>
      </c>
      <c r="F11" s="10">
        <f t="shared" ref="F11" si="86">F10*(1+E11)</f>
        <v>101.34595</v>
      </c>
      <c r="G11" s="5">
        <f t="shared" ref="G11" si="87">F11/$F$2-1</f>
        <v>1.3459499999999958E-2</v>
      </c>
      <c r="H11" s="8">
        <f t="shared" ref="H11" si="88">F11/$F$2-1</f>
        <v>1.3459499999999958E-2</v>
      </c>
      <c r="J11" s="11">
        <f>VLOOKUP($A11,Prices!$A:$J,MATCH(J$1,Prices!$1:$1,0),0)</f>
        <v>2.1759825921392473E-3</v>
      </c>
      <c r="K11" s="11">
        <f>VLOOKUP($A11,Prices!$A:$J,MATCH(K$1,Prices!$1:$1,0),0)</f>
        <v>4.7254512805960935E-4</v>
      </c>
      <c r="L11" s="11">
        <f>VLOOKUP($A11,Prices!$A:$J,MATCH(L$1,Prices!$1:$1,0),0)</f>
        <v>2.0810514786420153E-3</v>
      </c>
      <c r="M11" s="11">
        <f t="shared" ref="M11" si="89">0.6*J11 + 0.4*K11</f>
        <v>1.4946076065073921E-3</v>
      </c>
      <c r="N11" s="11">
        <f>VLOOKUP($A11,Prices!$A:$J,MATCH(N$1,Prices!$1:$1,0),0)</f>
        <v>5.7352932742227303E-4</v>
      </c>
      <c r="P11" s="10">
        <f t="shared" ref="P11" si="90">P10*(1+J11)</f>
        <v>102.36176216855607</v>
      </c>
      <c r="Q11" s="10">
        <f t="shared" ref="Q11" si="91">Q10*(1+K11)</f>
        <v>100.09465221917287</v>
      </c>
      <c r="R11" s="10">
        <f t="shared" ref="R11" si="92">R10*(1+L11)</f>
        <v>103.07340754057819</v>
      </c>
      <c r="S11" s="10">
        <f t="shared" ref="S11" si="93">S10*(1+M11)</f>
        <v>101.4512156133142</v>
      </c>
      <c r="T11" s="10">
        <f t="shared" ref="T11" si="94">T10*(1+N11)</f>
        <v>101.17810297948498</v>
      </c>
      <c r="V11" s="5">
        <f t="shared" ref="V11" si="95">P11/$P$2-1</f>
        <v>2.3617621685560586E-2</v>
      </c>
      <c r="W11" s="5">
        <f t="shared" ref="W11" si="96">Q11/$Q$2-1</f>
        <v>9.4652219172863816E-4</v>
      </c>
      <c r="X11" s="5">
        <f t="shared" ref="X11" si="97">R11/$R$2-1</f>
        <v>3.073407540578188E-2</v>
      </c>
      <c r="Y11" s="5">
        <f t="shared" ref="Y11" si="98">S11/$S$2-1</f>
        <v>1.4512156133142051E-2</v>
      </c>
      <c r="Z11" s="5">
        <f t="shared" ref="Z11" si="99">T11/$T$2-1</f>
        <v>1.178102979484974E-2</v>
      </c>
      <c r="AB11" s="8">
        <f t="shared" ref="AB11" si="100">P11/$P$2-1</f>
        <v>2.3617621685560586E-2</v>
      </c>
      <c r="AC11" s="8">
        <f t="shared" ref="AC11" si="101">Q11/$P$2-1</f>
        <v>9.4652219172863816E-4</v>
      </c>
      <c r="AD11" s="8">
        <f t="shared" ref="AD11" si="102">R11/$P$2-1</f>
        <v>3.073407540578188E-2</v>
      </c>
      <c r="AE11" s="8">
        <f t="shared" ref="AE11" si="103">S11/$P$2-1</f>
        <v>1.4512156133142051E-2</v>
      </c>
      <c r="AF11" s="8">
        <f t="shared" ref="AF11" si="104">T11/$T$2-1</f>
        <v>1.178102979484974E-2</v>
      </c>
    </row>
    <row r="12" spans="1:40" x14ac:dyDescent="0.25">
      <c r="A12" s="9">
        <v>43234</v>
      </c>
      <c r="B12" s="4">
        <v>19873.309999999998</v>
      </c>
      <c r="C12" s="4">
        <v>427.7</v>
      </c>
      <c r="D12" s="4">
        <v>20301.009999999998</v>
      </c>
      <c r="E12" s="5">
        <f t="shared" ref="E12" si="105">D12/D11-1</f>
        <v>1.5698703302895467E-3</v>
      </c>
      <c r="F12" s="10">
        <f t="shared" ref="F12" si="106">F11*(1+E12)</f>
        <v>101.50505000000001</v>
      </c>
      <c r="G12" s="5">
        <f t="shared" ref="G12" si="107">F12/$F$2-1</f>
        <v>1.5050500000000078E-2</v>
      </c>
      <c r="H12" s="8">
        <f t="shared" ref="H12" si="108">F12/$F$2-1</f>
        <v>1.5050500000000078E-2</v>
      </c>
      <c r="J12" s="11">
        <f>VLOOKUP($A12,Prices!$A:$J,MATCH(J$1,Prices!$1:$1,0),0)</f>
        <v>1.4927398561541683E-3</v>
      </c>
      <c r="K12" s="11">
        <f>VLOOKUP($A12,Prices!$A:$J,MATCH(K$1,Prices!$1:$1,0),0)</f>
        <v>-9.4464386926118582E-4</v>
      </c>
      <c r="L12" s="11">
        <f>VLOOKUP($A12,Prices!$A:$J,MATCH(L$1,Prices!$1:$1,0),0)</f>
        <v>1.2751849018106665E-3</v>
      </c>
      <c r="M12" s="11">
        <f t="shared" ref="M12" si="109">0.6*J12 + 0.4*K12</f>
        <v>5.1778636598802657E-4</v>
      </c>
      <c r="N12" s="11">
        <f>VLOOKUP($A12,Prices!$A:$J,MATCH(N$1,Prices!$1:$1,0),0)</f>
        <v>1.3183613341816613E-2</v>
      </c>
      <c r="P12" s="10">
        <f t="shared" ref="P12" si="110">P11*(1+J12)</f>
        <v>102.51456165069125</v>
      </c>
      <c r="Q12" s="10">
        <f t="shared" ref="Q12" si="111">Q11*(1+K12)</f>
        <v>100.00009841960819</v>
      </c>
      <c r="R12" s="10">
        <f t="shared" ref="R12" si="112">R11*(1+L12)</f>
        <v>103.2048451936521</v>
      </c>
      <c r="S12" s="10">
        <f t="shared" ref="S12" si="113">S11*(1+M12)</f>
        <v>101.50374566957169</v>
      </c>
      <c r="T12" s="10">
        <f t="shared" ref="T12" si="114">T11*(1+N12)</f>
        <v>102.51199596782502</v>
      </c>
      <c r="V12" s="5">
        <f t="shared" ref="V12" si="115">P12/$P$2-1</f>
        <v>2.5145616506912383E-2</v>
      </c>
      <c r="W12" s="5">
        <f t="shared" ref="W12" si="116">Q12/$Q$2-1</f>
        <v>9.8419608196564923E-7</v>
      </c>
      <c r="X12" s="5">
        <f t="shared" ref="X12" si="117">R12/$R$2-1</f>
        <v>3.204845193652095E-2</v>
      </c>
      <c r="Y12" s="5">
        <f t="shared" ref="Y12" si="118">S12/$S$2-1</f>
        <v>1.5037456695716767E-2</v>
      </c>
      <c r="Z12" s="5">
        <f t="shared" ref="Z12" si="119">T12/$T$2-1</f>
        <v>2.5119959678250092E-2</v>
      </c>
      <c r="AB12" s="8">
        <f t="shared" ref="AB12" si="120">P12/$P$2-1</f>
        <v>2.5145616506912383E-2</v>
      </c>
      <c r="AC12" s="8">
        <f t="shared" ref="AC12" si="121">Q12/$P$2-1</f>
        <v>9.8419608196564923E-7</v>
      </c>
      <c r="AD12" s="8">
        <f t="shared" ref="AD12" si="122">R12/$P$2-1</f>
        <v>3.204845193652095E-2</v>
      </c>
      <c r="AE12" s="8">
        <f t="shared" ref="AE12" si="123">S12/$P$2-1</f>
        <v>1.5037456695716767E-2</v>
      </c>
      <c r="AF12" s="8">
        <f t="shared" ref="AF12" si="124">T12/$T$2-1</f>
        <v>2.5119959678250092E-2</v>
      </c>
    </row>
    <row r="13" spans="1:40" x14ac:dyDescent="0.25">
      <c r="A13" s="9">
        <v>43235</v>
      </c>
      <c r="B13" s="4">
        <v>19679.809999999998</v>
      </c>
      <c r="C13" s="4">
        <v>427.7</v>
      </c>
      <c r="D13" s="4">
        <v>20107.509999999998</v>
      </c>
      <c r="E13" s="5">
        <f t="shared" ref="E13" si="125">D13/D12-1</f>
        <v>-9.531545474831038E-3</v>
      </c>
      <c r="F13" s="10">
        <f t="shared" ref="F13" si="126">F12*(1+E13)</f>
        <v>100.53755000000001</v>
      </c>
      <c r="G13" s="5">
        <f t="shared" ref="G13" si="127">F13/$F$2-1</f>
        <v>5.3755000000001996E-3</v>
      </c>
      <c r="H13" s="8">
        <f t="shared" ref="H13" si="128">F13/$F$2-1</f>
        <v>5.3755000000001996E-3</v>
      </c>
      <c r="J13" s="11">
        <f>VLOOKUP($A13,Prices!$A:$J,MATCH(J$1,Prices!$1:$1,0),0)</f>
        <v>-8.672086720867167E-3</v>
      </c>
      <c r="K13" s="11">
        <f>VLOOKUP($A13,Prices!$A:$J,MATCH(K$1,Prices!$1:$1,0),0)</f>
        <v>-4.4440242057488533E-3</v>
      </c>
      <c r="L13" s="11">
        <f>VLOOKUP($A13,Prices!$A:$J,MATCH(L$1,Prices!$1:$1,0),0)</f>
        <v>-7.3138781748053328E-3</v>
      </c>
      <c r="M13" s="11">
        <f t="shared" ref="M13" si="129">0.6*J13 + 0.4*K13</f>
        <v>-6.9808617148198419E-3</v>
      </c>
      <c r="N13" s="11">
        <f>VLOOKUP($A13,Prices!$A:$J,MATCH(N$1,Prices!$1:$1,0),0)</f>
        <v>-2.1498198111552957E-2</v>
      </c>
      <c r="P13" s="10">
        <f t="shared" ref="P13" si="130">P12*(1+J13)</f>
        <v>101.62554648190478</v>
      </c>
      <c r="Q13" s="10">
        <f t="shared" ref="Q13" si="131">Q12*(1+K13)</f>
        <v>99.55569556165419</v>
      </c>
      <c r="R13" s="10">
        <f t="shared" ref="R13" si="132">R12*(1+L13)</f>
        <v>102.45001752885609</v>
      </c>
      <c r="S13" s="10">
        <f t="shared" ref="S13" si="133">S12*(1+M13)</f>
        <v>100.79516205751617</v>
      </c>
      <c r="T13" s="10">
        <f t="shared" ref="T13" si="134">T12*(1+N13)</f>
        <v>100.30817276969799</v>
      </c>
      <c r="V13" s="5">
        <f t="shared" ref="V13" si="135">P13/$P$2-1</f>
        <v>1.6255464819047827E-2</v>
      </c>
      <c r="W13" s="5">
        <f t="shared" ref="W13" si="136">Q13/$Q$2-1</f>
        <v>-4.4430443834581057E-3</v>
      </c>
      <c r="X13" s="5">
        <f t="shared" ref="X13" si="137">R13/$R$2-1</f>
        <v>2.4500175288560966E-2</v>
      </c>
      <c r="Y13" s="5">
        <f t="shared" ref="Y13" si="138">S13/$S$2-1</f>
        <v>7.9516205751617441E-3</v>
      </c>
      <c r="Z13" s="5">
        <f t="shared" ref="Z13" si="139">T13/$T$2-1</f>
        <v>3.0817276969798968E-3</v>
      </c>
      <c r="AB13" s="8">
        <f t="shared" ref="AB13" si="140">P13/$P$2-1</f>
        <v>1.6255464819047827E-2</v>
      </c>
      <c r="AC13" s="8">
        <f t="shared" ref="AC13" si="141">Q13/$P$2-1</f>
        <v>-4.4430443834581057E-3</v>
      </c>
      <c r="AD13" s="8">
        <f t="shared" ref="AD13" si="142">R13/$P$2-1</f>
        <v>2.4500175288560966E-2</v>
      </c>
      <c r="AE13" s="8">
        <f t="shared" ref="AE13" si="143">S13/$P$2-1</f>
        <v>7.9516205751617441E-3</v>
      </c>
      <c r="AF13" s="8">
        <f t="shared" ref="AF13" si="144">T13/$T$2-1</f>
        <v>3.0817276969798968E-3</v>
      </c>
    </row>
    <row r="14" spans="1:40" x14ac:dyDescent="0.25">
      <c r="A14" s="9">
        <v>43236</v>
      </c>
      <c r="B14" s="4">
        <v>19707.439999999999</v>
      </c>
      <c r="C14" s="4">
        <v>427.7</v>
      </c>
      <c r="D14" s="4">
        <v>20135.14</v>
      </c>
      <c r="E14" s="5">
        <f t="shared" ref="E14" si="145">D14/D13-1</f>
        <v>1.3741134531326527E-3</v>
      </c>
      <c r="F14" s="10">
        <f t="shared" ref="F14" si="146">F13*(1+E14)</f>
        <v>100.67570000000001</v>
      </c>
      <c r="G14" s="5">
        <f t="shared" ref="G14" si="147">F14/$F$2-1</f>
        <v>6.757000000000124E-3</v>
      </c>
      <c r="H14" s="8">
        <f t="shared" ref="H14" si="148">F14/$F$2-1</f>
        <v>6.757000000000124E-3</v>
      </c>
      <c r="J14" s="11">
        <f>VLOOKUP($A14,Prices!$A:$J,MATCH(J$1,Prices!$1:$1,0),0)</f>
        <v>4.5106615636960612E-3</v>
      </c>
      <c r="K14" s="11">
        <f>VLOOKUP($A14,Prices!$A:$J,MATCH(K$1,Prices!$1:$1,0),0)</f>
        <v>-1.1397093741096764E-3</v>
      </c>
      <c r="L14" s="11">
        <f>VLOOKUP($A14,Prices!$A:$J,MATCH(L$1,Prices!$1:$1,0),0)</f>
        <v>4.7285656684139532E-3</v>
      </c>
      <c r="M14" s="11">
        <f t="shared" ref="M14" si="149">0.6*J14 + 0.4*K14</f>
        <v>2.250513188573766E-3</v>
      </c>
      <c r="N14" s="11">
        <f>VLOOKUP($A14,Prices!$A:$J,MATCH(N$1,Prices!$1:$1,0),0)</f>
        <v>1.3922374666828663E-2</v>
      </c>
      <c r="P14" s="10">
        <f t="shared" ref="P14" si="150">P13*(1+J14)</f>
        <v>102.08394492831032</v>
      </c>
      <c r="Q14" s="10">
        <f t="shared" ref="Q14" si="151">Q13*(1+K14)</f>
        <v>99.44223100217657</v>
      </c>
      <c r="R14" s="10">
        <f t="shared" ref="R14" si="152">R13*(1+L14)</f>
        <v>102.93445916447145</v>
      </c>
      <c r="S14" s="10">
        <f t="shared" ref="S14" si="153">S13*(1+M14)</f>
        <v>101.02200289907103</v>
      </c>
      <c r="T14" s="10">
        <f t="shared" ref="T14" si="154">T13*(1+N14)</f>
        <v>101.7047007331427</v>
      </c>
      <c r="V14" s="5">
        <f t="shared" ref="V14" si="155">P14/$P$2-1</f>
        <v>2.0839449283103217E-2</v>
      </c>
      <c r="W14" s="5">
        <f t="shared" ref="W14" si="156">Q14/$Q$2-1</f>
        <v>-5.5776899782342682E-3</v>
      </c>
      <c r="X14" s="5">
        <f t="shared" ref="X14" si="157">R14/$R$2-1</f>
        <v>2.934459164471459E-2</v>
      </c>
      <c r="Y14" s="5">
        <f t="shared" ref="Y14" si="158">S14/$S$2-1</f>
        <v>1.0220028990710173E-2</v>
      </c>
      <c r="Z14" s="5">
        <f t="shared" ref="Z14" si="159">T14/$T$2-1</f>
        <v>1.7047007331427055E-2</v>
      </c>
      <c r="AB14" s="8">
        <f t="shared" ref="AB14" si="160">P14/$P$2-1</f>
        <v>2.0839449283103217E-2</v>
      </c>
      <c r="AC14" s="8">
        <f t="shared" ref="AC14" si="161">Q14/$P$2-1</f>
        <v>-5.5776899782342682E-3</v>
      </c>
      <c r="AD14" s="8">
        <f t="shared" ref="AD14" si="162">R14/$P$2-1</f>
        <v>2.934459164471459E-2</v>
      </c>
      <c r="AE14" s="8">
        <f t="shared" ref="AE14" si="163">S14/$P$2-1</f>
        <v>1.0220028990710173E-2</v>
      </c>
      <c r="AF14" s="8">
        <f t="shared" ref="AF14" si="164">T14/$T$2-1</f>
        <v>1.7047007331427055E-2</v>
      </c>
    </row>
    <row r="15" spans="1:40" x14ac:dyDescent="0.25">
      <c r="A15" s="9">
        <v>43237</v>
      </c>
      <c r="B15" s="4">
        <v>19707.63</v>
      </c>
      <c r="C15" s="4">
        <v>427.7</v>
      </c>
      <c r="D15" s="4">
        <v>20135.330000000002</v>
      </c>
      <c r="E15" s="5">
        <f t="shared" ref="E15" si="165">D15/D14-1</f>
        <v>9.4362393310287729E-6</v>
      </c>
      <c r="F15" s="10">
        <f t="shared" ref="F15" si="166">F14*(1+E15)</f>
        <v>100.67665000000002</v>
      </c>
      <c r="G15" s="5">
        <f t="shared" ref="G15" si="167">F15/$F$2-1</f>
        <v>6.7665000000003417E-3</v>
      </c>
      <c r="H15" s="8">
        <f t="shared" ref="H15" si="168">F15/$F$2-1</f>
        <v>6.7665000000003417E-3</v>
      </c>
      <c r="J15" s="11">
        <f>VLOOKUP($A15,Prices!$A:$J,MATCH(J$1,Prices!$1:$1,0),0)</f>
        <v>-1.2246564158386875E-3</v>
      </c>
      <c r="K15" s="11">
        <f>VLOOKUP($A15,Prices!$A:$J,MATCH(K$1,Prices!$1:$1,0),0)</f>
        <v>-1.3311780926119621E-3</v>
      </c>
      <c r="L15" s="11">
        <f>VLOOKUP($A15,Prices!$A:$J,MATCH(L$1,Prices!$1:$1,0),0)</f>
        <v>-8.0262677854803233E-4</v>
      </c>
      <c r="M15" s="11">
        <f t="shared" ref="M15" si="169">0.6*J15 + 0.4*K15</f>
        <v>-1.2672650865479971E-3</v>
      </c>
      <c r="N15" s="11">
        <f>VLOOKUP($A15,Prices!$A:$J,MATCH(N$1,Prices!$1:$1,0),0)</f>
        <v>-9.505779308535689E-3</v>
      </c>
      <c r="P15" s="10">
        <f t="shared" ref="P15" si="170">P14*(1+J15)</f>
        <v>101.95892717019974</v>
      </c>
      <c r="Q15" s="10">
        <f t="shared" ref="Q15" si="171">Q14*(1+K15)</f>
        <v>99.309855682786008</v>
      </c>
      <c r="R15" s="10">
        <f t="shared" ref="R15" si="172">R14*(1+L15)</f>
        <v>102.85184121111068</v>
      </c>
      <c r="S15" s="10">
        <f t="shared" ref="S15" si="173">S14*(1+M15)</f>
        <v>100.89398124182389</v>
      </c>
      <c r="T15" s="10">
        <f t="shared" ref="T15" si="174">T14*(1+N15)</f>
        <v>100.73791829333278</v>
      </c>
      <c r="V15" s="5">
        <f t="shared" ref="V15" si="175">P15/$P$2-1</f>
        <v>1.9589271701997424E-2</v>
      </c>
      <c r="W15" s="5">
        <f t="shared" ref="W15" si="176">Q15/$Q$2-1</f>
        <v>-6.9014431721399205E-3</v>
      </c>
      <c r="X15" s="5">
        <f t="shared" ref="X15" si="177">R15/$R$2-1</f>
        <v>2.8518412111106839E-2</v>
      </c>
      <c r="Y15" s="5">
        <f t="shared" ref="Y15" si="178">S15/$S$2-1</f>
        <v>8.9398124182389349E-3</v>
      </c>
      <c r="Z15" s="5">
        <f t="shared" ref="Z15" si="179">T15/$T$2-1</f>
        <v>7.3791829333278436E-3</v>
      </c>
      <c r="AB15" s="8">
        <f t="shared" ref="AB15" si="180">P15/$P$2-1</f>
        <v>1.9589271701997424E-2</v>
      </c>
      <c r="AC15" s="8">
        <f t="shared" ref="AC15" si="181">Q15/$P$2-1</f>
        <v>-6.9014431721399205E-3</v>
      </c>
      <c r="AD15" s="8">
        <f t="shared" ref="AD15" si="182">R15/$P$2-1</f>
        <v>2.8518412111106839E-2</v>
      </c>
      <c r="AE15" s="8">
        <f t="shared" ref="AE15" si="183">S15/$P$2-1</f>
        <v>8.9398124182389349E-3</v>
      </c>
      <c r="AF15" s="8">
        <f t="shared" ref="AF15" si="184">T15/$T$2-1</f>
        <v>7.3791829333278436E-3</v>
      </c>
    </row>
    <row r="16" spans="1:40" x14ac:dyDescent="0.25">
      <c r="A16" s="9">
        <v>43238</v>
      </c>
      <c r="B16" s="4">
        <v>19679.02</v>
      </c>
      <c r="C16" s="4">
        <v>427.7</v>
      </c>
      <c r="D16" s="4">
        <v>20106.72</v>
      </c>
      <c r="E16" s="5">
        <f t="shared" ref="E16" si="185">D16/D15-1</f>
        <v>-1.420885577738229E-3</v>
      </c>
      <c r="F16" s="10">
        <f t="shared" ref="F16" si="186">F15*(1+E16)</f>
        <v>100.53360000000002</v>
      </c>
      <c r="G16" s="5">
        <f t="shared" ref="G16" si="187">F16/$F$2-1</f>
        <v>5.3360000000002294E-3</v>
      </c>
      <c r="H16" s="8">
        <f t="shared" ref="H16" si="188">F16/$F$2-1</f>
        <v>5.3360000000002294E-3</v>
      </c>
      <c r="J16" s="11">
        <f>VLOOKUP($A16,Prices!$A:$J,MATCH(J$1,Prices!$1:$1,0),0)</f>
        <v>-3.4059945504086864E-3</v>
      </c>
      <c r="K16" s="11">
        <f>VLOOKUP($A16,Prices!$A:$J,MATCH(K$1,Prices!$1:$1,0),0)</f>
        <v>2.5706940874035134E-3</v>
      </c>
      <c r="L16" s="11">
        <f>VLOOKUP($A16,Prices!$A:$J,MATCH(L$1,Prices!$1:$1,0),0)</f>
        <v>-2.4463268584782316E-3</v>
      </c>
      <c r="M16" s="11">
        <f t="shared" ref="M16" si="189">0.6*J16 + 0.4*K16</f>
        <v>-1.0153190952838064E-3</v>
      </c>
      <c r="N16" s="11">
        <f>VLOOKUP($A16,Prices!$A:$J,MATCH(N$1,Prices!$1:$1,0),0)</f>
        <v>6.9084628670119663E-3</v>
      </c>
      <c r="P16" s="10">
        <f t="shared" ref="P16" si="190">P15*(1+J16)</f>
        <v>101.61165561989253</v>
      </c>
      <c r="Q16" s="10">
        <f t="shared" ref="Q16" si="191">Q15*(1+K16)</f>
        <v>99.565150941610639</v>
      </c>
      <c r="R16" s="10">
        <f t="shared" ref="R16" si="192">R15*(1+L16)</f>
        <v>102.600231989512</v>
      </c>
      <c r="S16" s="10">
        <f t="shared" ref="S16" si="193">S15*(1+M16)</f>
        <v>100.79154165606985</v>
      </c>
      <c r="T16" s="10">
        <f t="shared" ref="T16" si="194">T15*(1+N16)</f>
        <v>101.43386246116236</v>
      </c>
      <c r="V16" s="5">
        <f t="shared" ref="V16" si="195">P16/$P$2-1</f>
        <v>1.611655619892538E-2</v>
      </c>
      <c r="W16" s="5">
        <f t="shared" ref="W16" si="196">Q16/$Q$2-1</f>
        <v>-4.3484905838936383E-3</v>
      </c>
      <c r="X16" s="5">
        <f t="shared" ref="X16" si="197">R16/$R$2-1</f>
        <v>2.600231989512003E-2</v>
      </c>
      <c r="Y16" s="5">
        <f t="shared" ref="Y16" si="198">S16/$S$2-1</f>
        <v>7.9154165606984961E-3</v>
      </c>
      <c r="Z16" s="5">
        <f t="shared" ref="Z16" si="199">T16/$T$2-1</f>
        <v>1.4338624611623718E-2</v>
      </c>
      <c r="AB16" s="8">
        <f t="shared" ref="AB16" si="200">P16/$P$2-1</f>
        <v>1.611655619892538E-2</v>
      </c>
      <c r="AC16" s="8">
        <f t="shared" ref="AC16" si="201">Q16/$P$2-1</f>
        <v>-4.3484905838936383E-3</v>
      </c>
      <c r="AD16" s="8">
        <f t="shared" ref="AD16" si="202">R16/$P$2-1</f>
        <v>2.600231989512003E-2</v>
      </c>
      <c r="AE16" s="8">
        <f t="shared" ref="AE16" si="203">S16/$P$2-1</f>
        <v>7.9154165606984961E-3</v>
      </c>
      <c r="AF16" s="8">
        <f t="shared" ref="AF16" si="204">T16/$T$2-1</f>
        <v>1.4338624611623718E-2</v>
      </c>
    </row>
    <row r="17" spans="1:40" x14ac:dyDescent="0.25">
      <c r="A17" s="9">
        <v>43241</v>
      </c>
      <c r="B17" s="4">
        <f>D17-C17</f>
        <v>19752.489999999998</v>
      </c>
      <c r="C17" s="4">
        <v>427.7</v>
      </c>
      <c r="D17" s="4">
        <v>20180.189999999999</v>
      </c>
      <c r="E17" s="5">
        <f t="shared" ref="E17" si="205">D17/D16-1</f>
        <v>3.6540022440256781E-3</v>
      </c>
      <c r="F17" s="10">
        <f t="shared" ref="F17" si="206">F16*(1+E17)</f>
        <v>100.90094999999999</v>
      </c>
      <c r="G17" s="5">
        <f t="shared" ref="G17" si="207">F17/$F$2-1</f>
        <v>9.0094999999998926E-3</v>
      </c>
      <c r="H17" s="8">
        <f t="shared" ref="H17" si="208">F17/$F$2-1</f>
        <v>9.0094999999998926E-3</v>
      </c>
      <c r="J17" s="11">
        <f>VLOOKUP($A17,Prices!$A:$J,MATCH(J$1,Prices!$1:$1,0),0)</f>
        <v>6.4251537935748892E-3</v>
      </c>
      <c r="K17" s="11">
        <f>VLOOKUP($A17,Prices!$A:$J,MATCH(K$1,Prices!$1:$1,0),0)</f>
        <v>9.4966761633452634E-5</v>
      </c>
      <c r="L17" s="11">
        <f>VLOOKUP($A17,Prices!$A:$J,MATCH(L$1,Prices!$1:$1,0),0)</f>
        <v>7.3203762673401673E-3</v>
      </c>
      <c r="M17" s="11">
        <f t="shared" ref="M17" si="209">0.6*J17 + 0.4*K17</f>
        <v>3.8930789807983144E-3</v>
      </c>
      <c r="N17" s="11">
        <f>VLOOKUP($A17,Prices!$A:$J,MATCH(N$1,Prices!$1:$1,0),0)</f>
        <v>6.8610634648371693E-3</v>
      </c>
      <c r="P17" s="10">
        <f t="shared" ref="P17" si="210">P16*(1+J17)</f>
        <v>102.2645261344701</v>
      </c>
      <c r="Q17" s="10">
        <f t="shared" ref="Q17" si="211">Q16*(1+K17)</f>
        <v>99.574606321567103</v>
      </c>
      <c r="R17" s="10">
        <f t="shared" ref="R17" si="212">R16*(1+L17)</f>
        <v>103.35130429279161</v>
      </c>
      <c r="S17" s="10">
        <f t="shared" ref="S17" si="213">S16*(1+M17)</f>
        <v>101.18393108833335</v>
      </c>
      <c r="T17" s="10">
        <f t="shared" ref="T17" si="214">T16*(1+N17)</f>
        <v>102.12980662899196</v>
      </c>
      <c r="V17" s="5">
        <f t="shared" ref="V17" si="215">P17/$P$2-1</f>
        <v>2.2645261344701018E-2</v>
      </c>
      <c r="W17" s="5">
        <f t="shared" ref="W17" si="216">Q17/$Q$2-1</f>
        <v>-4.2539367843289488E-3</v>
      </c>
      <c r="X17" s="5">
        <f t="shared" ref="X17" si="217">R17/$R$2-1</f>
        <v>3.3513042927916015E-2</v>
      </c>
      <c r="Y17" s="5">
        <f t="shared" ref="Y17" si="218">S17/$S$2-1</f>
        <v>1.1839310883333454E-2</v>
      </c>
      <c r="Z17" s="5">
        <f t="shared" ref="Z17" si="219">T17/$T$2-1</f>
        <v>2.1298066289919593E-2</v>
      </c>
      <c r="AB17" s="8">
        <f t="shared" ref="AB17" si="220">P17/$P$2-1</f>
        <v>2.2645261344701018E-2</v>
      </c>
      <c r="AC17" s="8">
        <f t="shared" ref="AC17" si="221">Q17/$P$2-1</f>
        <v>-4.2539367843289488E-3</v>
      </c>
      <c r="AD17" s="8">
        <f t="shared" ref="AD17" si="222">R17/$P$2-1</f>
        <v>3.3513042927916015E-2</v>
      </c>
      <c r="AE17" s="8">
        <f t="shared" ref="AE17" si="223">S17/$P$2-1</f>
        <v>1.1839310883333454E-2</v>
      </c>
      <c r="AF17" s="8">
        <f t="shared" ref="AF17" si="224">T17/$T$2-1</f>
        <v>2.1298066289919593E-2</v>
      </c>
    </row>
    <row r="18" spans="1:40" x14ac:dyDescent="0.25">
      <c r="A18" s="9">
        <v>43242</v>
      </c>
      <c r="B18" s="4">
        <v>19728</v>
      </c>
      <c r="C18" s="4">
        <v>427.7</v>
      </c>
      <c r="D18" s="4">
        <v>20155.7</v>
      </c>
      <c r="E18" s="5">
        <f t="shared" ref="E18" si="225">D18/D17-1</f>
        <v>-1.2135663737555813E-3</v>
      </c>
      <c r="F18" s="10">
        <f t="shared" ref="F18" si="226">F17*(1+E18)</f>
        <v>100.77850000000001</v>
      </c>
      <c r="G18" s="5">
        <f t="shared" ref="G18" si="227">F18/$F$2-1</f>
        <v>7.7850000000001529E-3</v>
      </c>
      <c r="H18" s="8">
        <f t="shared" ref="H18" si="228">F18/$F$2-1</f>
        <v>7.7850000000001529E-3</v>
      </c>
      <c r="J18" s="11">
        <f>VLOOKUP($A18,Prices!$A:$J,MATCH(J$1,Prices!$1:$1,0),0)</f>
        <v>-1.0866612333604309E-3</v>
      </c>
      <c r="K18" s="11">
        <f>VLOOKUP($A18,Prices!$A:$J,MATCH(K$1,Prices!$1:$1,0),0)</f>
        <v>0</v>
      </c>
      <c r="L18" s="11">
        <f>VLOOKUP($A18,Prices!$A:$J,MATCH(L$1,Prices!$1:$1,0),0)</f>
        <v>-2.6888557828566029E-3</v>
      </c>
      <c r="M18" s="11">
        <f t="shared" ref="M18" si="229">0.6*J18 + 0.4*K18</f>
        <v>-6.5199674001625851E-4</v>
      </c>
      <c r="N18" s="11">
        <f>VLOOKUP($A18,Prices!$A:$J,MATCH(N$1,Prices!$1:$1,0),0)</f>
        <v>-1.1925042589437829E-2</v>
      </c>
      <c r="P18" s="10">
        <f t="shared" ref="P18" si="230">P17*(1+J18)</f>
        <v>102.1533992383718</v>
      </c>
      <c r="Q18" s="10">
        <f t="shared" ref="Q18" si="231">Q17*(1+K18)</f>
        <v>99.574606321567103</v>
      </c>
      <c r="R18" s="10">
        <f t="shared" ref="R18" si="232">R17*(1+L18)</f>
        <v>103.07340754057816</v>
      </c>
      <c r="S18" s="10">
        <f t="shared" ref="S18" si="233">S17*(1+M18)</f>
        <v>101.11795949512172</v>
      </c>
      <c r="T18" s="10">
        <f t="shared" ref="T18" si="234">T17*(1+N18)</f>
        <v>100.91190433529017</v>
      </c>
      <c r="V18" s="5">
        <f t="shared" ref="V18" si="235">P18/$P$2-1</f>
        <v>2.1533992383718115E-2</v>
      </c>
      <c r="W18" s="5">
        <f t="shared" ref="W18" si="236">Q18/$Q$2-1</f>
        <v>-4.2539367843289488E-3</v>
      </c>
      <c r="X18" s="5">
        <f t="shared" ref="X18" si="237">R18/$R$2-1</f>
        <v>3.0734075405781658E-2</v>
      </c>
      <c r="Y18" s="5">
        <f t="shared" ref="Y18" si="238">S18/$S$2-1</f>
        <v>1.1179594951217231E-2</v>
      </c>
      <c r="Z18" s="5">
        <f t="shared" ref="Z18" si="239">T18/$T$2-1</f>
        <v>9.1190433529018122E-3</v>
      </c>
      <c r="AB18" s="8">
        <f t="shared" ref="AB18" si="240">P18/$P$2-1</f>
        <v>2.1533992383718115E-2</v>
      </c>
      <c r="AC18" s="8">
        <f t="shared" ref="AC18" si="241">Q18/$P$2-1</f>
        <v>-4.2539367843289488E-3</v>
      </c>
      <c r="AD18" s="8">
        <f t="shared" ref="AD18" si="242">R18/$P$2-1</f>
        <v>3.0734075405781658E-2</v>
      </c>
      <c r="AE18" s="8">
        <f t="shared" ref="AE18" si="243">S18/$P$2-1</f>
        <v>1.1179594951217231E-2</v>
      </c>
      <c r="AF18" s="8">
        <f t="shared" ref="AF18" si="244">T18/$T$2-1</f>
        <v>9.1190433529018122E-3</v>
      </c>
    </row>
    <row r="19" spans="1:40" x14ac:dyDescent="0.25">
      <c r="A19" s="9">
        <v>43243</v>
      </c>
      <c r="B19" s="4">
        <v>19713.37</v>
      </c>
      <c r="C19" s="4">
        <v>427.7</v>
      </c>
      <c r="D19" s="4">
        <v>20141.07</v>
      </c>
      <c r="E19" s="5">
        <f t="shared" ref="E19" si="245">D19/D18-1</f>
        <v>-7.2584926348384649E-4</v>
      </c>
      <c r="F19" s="10">
        <f t="shared" ref="F19" si="246">F18*(1+E19)</f>
        <v>100.70535</v>
      </c>
      <c r="G19" s="5">
        <f t="shared" ref="G19" si="247">F19/$F$2-1</f>
        <v>7.0535000000000458E-3</v>
      </c>
      <c r="H19" s="8">
        <f t="shared" ref="H19" si="248">F19/$F$2-1</f>
        <v>7.0535000000000458E-3</v>
      </c>
      <c r="J19" s="11">
        <f>VLOOKUP($A19,Prices!$A:$J,MATCH(J$1,Prices!$1:$1,0),0)</f>
        <v>-2.0397062822954393E-3</v>
      </c>
      <c r="K19" s="11">
        <f>VLOOKUP($A19,Prices!$A:$J,MATCH(K$1,Prices!$1:$1,0),0)</f>
        <v>2.7537745703161143E-3</v>
      </c>
      <c r="L19" s="11">
        <f>VLOOKUP($A19,Prices!$A:$J,MATCH(L$1,Prices!$1:$1,0),0)</f>
        <v>2.8418406383210471E-3</v>
      </c>
      <c r="M19" s="11">
        <f t="shared" ref="M19" si="249">0.6*J19 + 0.4*K19</f>
        <v>-1.2231394125081772E-4</v>
      </c>
      <c r="N19" s="11">
        <f>VLOOKUP($A19,Prices!$A:$J,MATCH(N$1,Prices!$1:$1,0),0)</f>
        <v>1.0603448275862126E-2</v>
      </c>
      <c r="P19" s="10">
        <f t="shared" ref="P19" si="250">P18*(1+J19)</f>
        <v>101.94503630818747</v>
      </c>
      <c r="Q19" s="10">
        <f t="shared" ref="Q19" si="251">Q18*(1+K19)</f>
        <v>99.848812340304676</v>
      </c>
      <c r="R19" s="10">
        <f t="shared" ref="R19" si="252">R18*(1+L19)</f>
        <v>103.3663257388572</v>
      </c>
      <c r="S19" s="10">
        <f t="shared" ref="S19" si="253">S18*(1+M19)</f>
        <v>101.10559135896463</v>
      </c>
      <c r="T19" s="10">
        <f t="shared" ref="T19" si="254">T18*(1+N19)</f>
        <v>101.98191849332817</v>
      </c>
      <c r="V19" s="5">
        <f t="shared" ref="V19" si="255">P19/$P$2-1</f>
        <v>1.9450363081874755E-2</v>
      </c>
      <c r="W19" s="5">
        <f t="shared" ref="W19" si="256">Q19/$Q$2-1</f>
        <v>-1.5118765969532877E-3</v>
      </c>
      <c r="X19" s="5">
        <f t="shared" ref="X19" si="257">R19/$R$2-1</f>
        <v>3.366325738857201E-2</v>
      </c>
      <c r="Y19" s="5">
        <f t="shared" ref="Y19" si="258">S19/$S$2-1</f>
        <v>1.1055913589646416E-2</v>
      </c>
      <c r="Z19" s="5">
        <f t="shared" ref="Z19" si="259">T19/$T$2-1</f>
        <v>1.9819184933281608E-2</v>
      </c>
      <c r="AB19" s="8">
        <f t="shared" ref="AB19" si="260">P19/$P$2-1</f>
        <v>1.9450363081874755E-2</v>
      </c>
      <c r="AC19" s="8">
        <f t="shared" ref="AC19" si="261">Q19/$P$2-1</f>
        <v>-1.5118765969532877E-3</v>
      </c>
      <c r="AD19" s="8">
        <f t="shared" ref="AD19" si="262">R19/$P$2-1</f>
        <v>3.366325738857201E-2</v>
      </c>
      <c r="AE19" s="8">
        <f t="shared" ref="AE19" si="263">S19/$P$2-1</f>
        <v>1.1055913589646416E-2</v>
      </c>
      <c r="AF19" s="8">
        <f t="shared" ref="AF19" si="264">T19/$T$2-1</f>
        <v>1.9819184933281608E-2</v>
      </c>
    </row>
    <row r="20" spans="1:40" x14ac:dyDescent="0.25">
      <c r="A20" s="9">
        <v>43244</v>
      </c>
      <c r="B20" s="4">
        <v>19705.38</v>
      </c>
      <c r="C20" s="4">
        <v>427.7</v>
      </c>
      <c r="D20" s="4">
        <f>B20+C20</f>
        <v>20133.080000000002</v>
      </c>
      <c r="E20" s="5">
        <f t="shared" ref="E20" si="265">D20/D19-1</f>
        <v>-3.9670186340634572E-4</v>
      </c>
      <c r="F20" s="10">
        <f t="shared" ref="F20" si="266">F19*(1+E20)</f>
        <v>100.66540000000001</v>
      </c>
      <c r="G20" s="5">
        <f t="shared" ref="G20" si="267">F20/$F$2-1</f>
        <v>6.6540000000001598E-3</v>
      </c>
      <c r="H20" s="8">
        <f t="shared" ref="H20" si="268">F20/$F$2-1</f>
        <v>6.6540000000001598E-3</v>
      </c>
      <c r="J20" s="11">
        <f>VLOOKUP($A20,Prices!$A:$J,MATCH(J$1,Prices!$1:$1,0),0)</f>
        <v>-3.6789753372393763E-3</v>
      </c>
      <c r="K20" s="11">
        <f>VLOOKUP($A20,Prices!$A:$J,MATCH(K$1,Prices!$1:$1,0),0)</f>
        <v>2.7462121212122881E-3</v>
      </c>
      <c r="L20" s="11">
        <f>VLOOKUP($A20,Prices!$A:$J,MATCH(L$1,Prices!$1:$1,0),0)</f>
        <v>-1.8165304268846771E-3</v>
      </c>
      <c r="M20" s="11">
        <f t="shared" ref="M20" si="269">0.6*J20 + 0.4*K20</f>
        <v>-1.1089003538587107E-3</v>
      </c>
      <c r="N20" s="11">
        <f>VLOOKUP($A20,Prices!$A:$J,MATCH(N$1,Prices!$1:$1,0),0)</f>
        <v>-5.3740510108334361E-3</v>
      </c>
      <c r="P20" s="10">
        <f t="shared" ref="P20" si="270">P19*(1+J20)</f>
        <v>101.56998303385568</v>
      </c>
      <c r="Q20" s="10">
        <f t="shared" ref="Q20" si="271">Q19*(1+K20)</f>
        <v>100.12301835904228</v>
      </c>
      <c r="R20" s="10">
        <f t="shared" ref="R20" si="272">R19*(1+L20)</f>
        <v>103.1785576630373</v>
      </c>
      <c r="S20" s="10">
        <f t="shared" ref="S20" si="273">S19*(1+M20)</f>
        <v>100.99347533292958</v>
      </c>
      <c r="T20" s="10">
        <f t="shared" ref="T20" si="274">T19*(1+N20)</f>
        <v>101.43386246116236</v>
      </c>
      <c r="V20" s="5">
        <f t="shared" ref="V20" si="275">P20/$P$2-1</f>
        <v>1.5699830338556708E-2</v>
      </c>
      <c r="W20" s="5">
        <f t="shared" ref="W20" si="276">Q20/$Q$2-1</f>
        <v>1.2301835904227065E-3</v>
      </c>
      <c r="X20" s="5">
        <f t="shared" ref="X20" si="277">R20/$R$2-1</f>
        <v>3.1785576630372958E-2</v>
      </c>
      <c r="Y20" s="5">
        <f t="shared" ref="Y20" si="278">S20/$S$2-1</f>
        <v>9.9347533292957202E-3</v>
      </c>
      <c r="Z20" s="5">
        <f t="shared" ref="Z20" si="279">T20/$T$2-1</f>
        <v>1.4338624611623718E-2</v>
      </c>
      <c r="AB20" s="8">
        <f t="shared" ref="AB20" si="280">P20/$P$2-1</f>
        <v>1.5699830338556708E-2</v>
      </c>
      <c r="AC20" s="8">
        <f t="shared" ref="AC20" si="281">Q20/$P$2-1</f>
        <v>1.2301835904227065E-3</v>
      </c>
      <c r="AD20" s="8">
        <f t="shared" ref="AD20" si="282">R20/$P$2-1</f>
        <v>3.1785576630372958E-2</v>
      </c>
      <c r="AE20" s="8">
        <f t="shared" ref="AE20" si="283">S20/$P$2-1</f>
        <v>9.9347533292957202E-3</v>
      </c>
      <c r="AF20" s="8">
        <f t="shared" ref="AF20" si="284">T20/$T$2-1</f>
        <v>1.4338624611623718E-2</v>
      </c>
    </row>
    <row r="21" spans="1:40" x14ac:dyDescent="0.25">
      <c r="A21" s="9">
        <v>43245</v>
      </c>
      <c r="B21" s="4">
        <v>19609.37</v>
      </c>
      <c r="C21" s="4">
        <v>427.7</v>
      </c>
      <c r="D21" s="4">
        <v>20037.07</v>
      </c>
      <c r="E21" s="5">
        <f t="shared" ref="E21" si="285">D21/D20-1</f>
        <v>-4.768768613644947E-3</v>
      </c>
      <c r="F21" s="10">
        <f t="shared" ref="F21" si="286">F20*(1+E21)</f>
        <v>100.18534999999999</v>
      </c>
      <c r="G21" s="5">
        <f t="shared" ref="G21" si="287">F21/$F$2-1</f>
        <v>1.8534999999999524E-3</v>
      </c>
      <c r="H21" s="8">
        <f t="shared" ref="H21" si="288">F21/$F$2-1</f>
        <v>1.8534999999999524E-3</v>
      </c>
      <c r="J21" s="11">
        <f>VLOOKUP($A21,Prices!$A:$J,MATCH(J$1,Prices!$1:$1,0),0)</f>
        <v>-2.8719912472648934E-3</v>
      </c>
      <c r="K21" s="11">
        <f>VLOOKUP($A21,Prices!$A:$J,MATCH(K$1,Prices!$1:$1,0),0)</f>
        <v>2.1720653508359167E-3</v>
      </c>
      <c r="L21" s="11">
        <f>VLOOKUP($A21,Prices!$A:$J,MATCH(L$1,Prices!$1:$1,0),0)</f>
        <v>-2.8025477707005475E-3</v>
      </c>
      <c r="M21" s="11">
        <f t="shared" ref="M21" si="289">0.6*J21 + 0.4*K21</f>
        <v>-8.5436860802456927E-4</v>
      </c>
      <c r="N21" s="11">
        <f>VLOOKUP($A21,Prices!$A:$J,MATCH(N$1,Prices!$1:$1,0),0)</f>
        <v>-6.8610634648369473E-3</v>
      </c>
      <c r="P21" s="10">
        <f t="shared" ref="P21" si="290">P20*(1+J21)</f>
        <v>101.27827493159761</v>
      </c>
      <c r="Q21" s="10">
        <f t="shared" ref="Q21" si="291">Q20*(1+K21)</f>
        <v>100.34049209804107</v>
      </c>
      <c r="R21" s="10">
        <f t="shared" ref="R21" si="292">R20*(1+L21)</f>
        <v>102.88939482627465</v>
      </c>
      <c r="S21" s="10">
        <f t="shared" ref="S21" si="293">S20*(1+M21)</f>
        <v>100.90718967798982</v>
      </c>
      <c r="T21" s="10">
        <f t="shared" ref="T21" si="294">T20*(1+N21)</f>
        <v>100.73791829333278</v>
      </c>
      <c r="V21" s="5">
        <f t="shared" ref="V21" si="295">P21/$P$2-1</f>
        <v>1.2782749315976005E-2</v>
      </c>
      <c r="W21" s="5">
        <f t="shared" ref="W21" si="296">Q21/$Q$2-1</f>
        <v>3.4049209804107861E-3</v>
      </c>
      <c r="X21" s="5">
        <f t="shared" ref="X21" si="297">R21/$R$2-1</f>
        <v>2.8893948262746605E-2</v>
      </c>
      <c r="Y21" s="5">
        <f t="shared" ref="Y21" si="298">S21/$S$2-1</f>
        <v>9.0718967798981698E-3</v>
      </c>
      <c r="Z21" s="5">
        <f t="shared" ref="Z21" si="299">T21/$T$2-1</f>
        <v>7.3791829333278436E-3</v>
      </c>
      <c r="AB21" s="8">
        <f t="shared" ref="AB21" si="300">P21/$P$2-1</f>
        <v>1.2782749315976005E-2</v>
      </c>
      <c r="AC21" s="8">
        <f t="shared" ref="AC21" si="301">Q21/$P$2-1</f>
        <v>3.4049209804107861E-3</v>
      </c>
      <c r="AD21" s="8">
        <f t="shared" ref="AD21" si="302">R21/$P$2-1</f>
        <v>2.8893948262746605E-2</v>
      </c>
      <c r="AE21" s="8">
        <f t="shared" ref="AE21" si="303">S21/$P$2-1</f>
        <v>9.0718967798981698E-3</v>
      </c>
      <c r="AF21" s="8">
        <f t="shared" ref="AF21" si="304">T21/$T$2-1</f>
        <v>7.3791829333278436E-3</v>
      </c>
    </row>
    <row r="22" spans="1:40" x14ac:dyDescent="0.25">
      <c r="A22" s="9">
        <v>43249</v>
      </c>
      <c r="B22" s="4">
        <v>19452.379999999997</v>
      </c>
      <c r="C22" s="4">
        <v>427.7</v>
      </c>
      <c r="D22" s="4">
        <f>B22+C22</f>
        <v>19880.079999999998</v>
      </c>
      <c r="E22" s="5">
        <f t="shared" ref="E22:E23" si="305">D22/D21-1</f>
        <v>-7.8349778685208316E-3</v>
      </c>
      <c r="F22" s="10">
        <f t="shared" ref="F22:F23" si="306">F21*(1+E22)</f>
        <v>99.400399999999976</v>
      </c>
      <c r="G22" s="5">
        <f t="shared" ref="G22:G23" si="307">F22/$F$2-1</f>
        <v>-5.9960000000002234E-3</v>
      </c>
      <c r="H22" s="8">
        <f t="shared" ref="H22:H23" si="308">F22/$F$2-1</f>
        <v>-5.9960000000002234E-3</v>
      </c>
      <c r="J22" s="11">
        <f>VLOOKUP($A22,Prices!$A:$J,MATCH(J$1,Prices!$1:$1,0),0)</f>
        <v>-1.5224249074201057E-2</v>
      </c>
      <c r="K22" s="11">
        <f>VLOOKUP($A22,Prices!$A:$J,MATCH(K$1,Prices!$1:$1,0),0)</f>
        <v>6.5963060686013986E-3</v>
      </c>
      <c r="L22" s="11">
        <f>VLOOKUP($A22,Prices!$A:$J,MATCH(L$1,Prices!$1:$1,0),0)</f>
        <v>-1.1132199430615386E-2</v>
      </c>
      <c r="M22" s="11">
        <f t="shared" ref="M22:M23" si="309">0.6*J22 + 0.4*K22</f>
        <v>-6.4960270170800749E-3</v>
      </c>
      <c r="N22" s="11">
        <f>VLOOKUP($A22,Prices!$A:$J,MATCH(N$1,Prices!$1:$1,0),0)</f>
        <v>1.1514104778354017E-3</v>
      </c>
      <c r="P22" s="10">
        <f t="shared" ref="P22:P23" si="310">P21*(1+J22)</f>
        <v>99.73638924823355</v>
      </c>
      <c r="Q22" s="10">
        <f t="shared" ref="Q22:Q23" si="311">Q21*(1+K22)</f>
        <v>101.00236869499383</v>
      </c>
      <c r="R22" s="10">
        <f t="shared" ref="R22:R23" si="312">R21*(1+L22)</f>
        <v>101.74400956377323</v>
      </c>
      <c r="S22" s="10">
        <f t="shared" ref="S22:S23" si="313">S21*(1+M22)</f>
        <v>100.25169384762397</v>
      </c>
      <c r="T22" s="10">
        <f t="shared" ref="T22:T23" si="314">T21*(1+N22)</f>
        <v>100.85390898797105</v>
      </c>
      <c r="V22" s="5">
        <f t="shared" ref="V22:V23" si="315">P22/$P$2-1</f>
        <v>-2.636107517664521E-3</v>
      </c>
      <c r="W22" s="5">
        <f t="shared" ref="W22:W23" si="316">Q22/$Q$2-1</f>
        <v>1.0023686949938382E-2</v>
      </c>
      <c r="X22" s="5">
        <f t="shared" ref="X22:X23" si="317">R22/$R$2-1</f>
        <v>1.74400956377323E-2</v>
      </c>
      <c r="Y22" s="5">
        <f t="shared" ref="Y22:Y23" si="318">S22/$S$2-1</f>
        <v>2.5169384762397939E-3</v>
      </c>
      <c r="Z22" s="5">
        <f t="shared" ref="Z22:Z23" si="319">T22/$T$2-1</f>
        <v>8.5390898797106374E-3</v>
      </c>
      <c r="AB22" s="8">
        <f t="shared" ref="AB22:AB23" si="320">P22/$P$2-1</f>
        <v>-2.636107517664521E-3</v>
      </c>
      <c r="AC22" s="8">
        <f t="shared" ref="AC22:AC23" si="321">Q22/$P$2-1</f>
        <v>1.0023686949938382E-2</v>
      </c>
      <c r="AD22" s="8">
        <f t="shared" ref="AD22:AD23" si="322">R22/$P$2-1</f>
        <v>1.74400956377323E-2</v>
      </c>
      <c r="AE22" s="8">
        <f t="shared" ref="AE22:AE23" si="323">S22/$P$2-1</f>
        <v>2.5169384762397939E-3</v>
      </c>
      <c r="AF22" s="8">
        <f t="shared" ref="AF22:AF23" si="324">T22/$T$2-1</f>
        <v>8.5390898797106374E-3</v>
      </c>
    </row>
    <row r="23" spans="1:40" x14ac:dyDescent="0.25">
      <c r="A23" s="9">
        <v>43250</v>
      </c>
      <c r="B23" s="4">
        <v>19617.420000000002</v>
      </c>
      <c r="C23" s="4">
        <v>427.7</v>
      </c>
      <c r="D23" s="4">
        <f>B23+C23</f>
        <v>20045.120000000003</v>
      </c>
      <c r="E23" s="5">
        <f t="shared" si="305"/>
        <v>8.3017774576361614E-3</v>
      </c>
      <c r="F23" s="10">
        <f t="shared" si="306"/>
        <v>100.2256</v>
      </c>
      <c r="G23" s="5">
        <f t="shared" si="307"/>
        <v>2.2560000000000358E-3</v>
      </c>
      <c r="H23" s="8">
        <f t="shared" si="308"/>
        <v>2.2560000000000358E-3</v>
      </c>
      <c r="J23" s="11">
        <f>VLOOKUP($A23,Prices!$A:$J,MATCH(J$1,Prices!$1:$1,0),0)</f>
        <v>1.3091922005570966E-2</v>
      </c>
      <c r="K23" s="11">
        <f>VLOOKUP($A23,Prices!$A:$J,MATCH(K$1,Prices!$1:$1,0),0)</f>
        <v>-2.5276165512075899E-3</v>
      </c>
      <c r="L23" s="11">
        <f>VLOOKUP($A23,Prices!$A:$J,MATCH(L$1,Prices!$1:$1,0),0)</f>
        <v>1.3361384859557734E-2</v>
      </c>
      <c r="M23" s="11">
        <f t="shared" si="309"/>
        <v>6.8441065828595427E-3</v>
      </c>
      <c r="N23" s="11">
        <f>VLOOKUP($A23,Prices!$A:$J,MATCH(N$1,Prices!$1:$1,0),0)</f>
        <v>1.8976423231742201E-2</v>
      </c>
      <c r="P23" s="10">
        <f t="shared" si="310"/>
        <v>101.04213027738869</v>
      </c>
      <c r="Q23" s="10">
        <f t="shared" si="311"/>
        <v>100.7470734361692</v>
      </c>
      <c r="R23" s="10">
        <f t="shared" si="312"/>
        <v>103.10345043270932</v>
      </c>
      <c r="S23" s="10">
        <f t="shared" si="313"/>
        <v>100.93782712542931</v>
      </c>
      <c r="T23" s="10">
        <f t="shared" si="314"/>
        <v>102.7677554495024</v>
      </c>
      <c r="V23" s="5">
        <f t="shared" si="315"/>
        <v>1.0421302773886865E-2</v>
      </c>
      <c r="W23" s="5">
        <f t="shared" si="316"/>
        <v>7.4707343616919886E-3</v>
      </c>
      <c r="X23" s="5">
        <f t="shared" si="317"/>
        <v>3.1034504327093204E-2</v>
      </c>
      <c r="Y23" s="5">
        <f t="shared" si="318"/>
        <v>9.3782712542931357E-3</v>
      </c>
      <c r="Z23" s="5">
        <f t="shared" si="319"/>
        <v>2.767755449502407E-2</v>
      </c>
      <c r="AB23" s="8">
        <f t="shared" si="320"/>
        <v>1.0421302773886865E-2</v>
      </c>
      <c r="AC23" s="8">
        <f t="shared" si="321"/>
        <v>7.4707343616919886E-3</v>
      </c>
      <c r="AD23" s="8">
        <f t="shared" si="322"/>
        <v>3.1034504327093204E-2</v>
      </c>
      <c r="AE23" s="8">
        <f t="shared" si="323"/>
        <v>9.3782712542931357E-3</v>
      </c>
      <c r="AF23" s="8">
        <f t="shared" si="324"/>
        <v>2.767755449502407E-2</v>
      </c>
    </row>
    <row r="24" spans="1:40" x14ac:dyDescent="0.25">
      <c r="A24" s="9">
        <v>43251</v>
      </c>
      <c r="B24" s="4">
        <v>19527.77</v>
      </c>
      <c r="C24" s="4">
        <v>427.96</v>
      </c>
      <c r="D24" s="4">
        <f>B24+C24</f>
        <v>19955.73</v>
      </c>
      <c r="E24" s="5">
        <f t="shared" ref="E24" si="325">D24/D23-1</f>
        <v>-4.4594395044780244E-3</v>
      </c>
      <c r="F24" s="10">
        <f t="shared" ref="F24" si="326">F23*(1+E24)</f>
        <v>99.778649999999985</v>
      </c>
      <c r="G24" s="5">
        <f>F24/$F$2-1</f>
        <v>-2.2135000000002014E-3</v>
      </c>
      <c r="H24" s="8">
        <f t="shared" ref="H24" si="327">F24/$F$2-1</f>
        <v>-2.2135000000002014E-3</v>
      </c>
      <c r="J24" s="11">
        <f>VLOOKUP($A24,Prices!$A:$J,MATCH(J$1,Prices!$1:$1,0),0)</f>
        <v>-5.6365136101181879E-3</v>
      </c>
      <c r="K24" s="11">
        <f>VLOOKUP($A24,Prices!$A:$J,MATCH(K$1,Prices!$1:$1,0),0)</f>
        <v>-3.1844204598779902E-3</v>
      </c>
      <c r="L24" s="11">
        <f>VLOOKUP($A24,Prices!$A:$J,MATCH(L$1,Prices!$1:$1,0),0)</f>
        <v>-6.6290293207066364E-3</v>
      </c>
      <c r="M24" s="11">
        <f t="shared" ref="M24" si="328">0.6*J24 + 0.4*K24</f>
        <v>-4.6556763500221086E-3</v>
      </c>
      <c r="N24" s="11">
        <f>VLOOKUP($A24,Prices!$A:$J,MATCH(N$1,Prices!$1:$1,0),0)</f>
        <v>-1.2979683972911937E-2</v>
      </c>
      <c r="P24" s="10">
        <f t="shared" ref="P24" si="329">P23*(1+J24)</f>
        <v>100.47260493488486</v>
      </c>
      <c r="Q24" s="10">
        <f t="shared" ref="Q24" si="330">Q23*(1+K24)</f>
        <v>100.42625239424623</v>
      </c>
      <c r="R24" s="10">
        <f t="shared" ref="R24" si="331">R23*(1+L24)</f>
        <v>102.41997463672487</v>
      </c>
      <c r="S24" s="10">
        <f t="shared" ref="S24" si="332">S23*(1+M24)</f>
        <v>100.46789327085884</v>
      </c>
      <c r="T24" s="10">
        <f t="shared" ref="T24" si="333">T23*(1+N24)</f>
        <v>101.43386246116236</v>
      </c>
      <c r="V24" s="5">
        <f>P24/$P$2-1</f>
        <v>4.7260493488485711E-3</v>
      </c>
      <c r="W24" s="5">
        <f t="shared" ref="W24" si="334">Q24/$Q$2-1</f>
        <v>4.2625239424622929E-3</v>
      </c>
      <c r="X24" s="5">
        <f t="shared" ref="X24" si="335">R24/$R$2-1</f>
        <v>2.4199746367248753E-2</v>
      </c>
      <c r="Y24" s="5">
        <f t="shared" ref="Y24" si="336">S24/$S$2-1</f>
        <v>4.6789327085883237E-3</v>
      </c>
      <c r="Z24" s="5">
        <f t="shared" ref="Z24" si="337">T24/$T$2-1</f>
        <v>1.4338624611623718E-2</v>
      </c>
      <c r="AB24" s="8">
        <f t="shared" ref="AB24" si="338">P24/$P$2-1</f>
        <v>4.7260493488485711E-3</v>
      </c>
      <c r="AC24" s="8">
        <f t="shared" ref="AC24" si="339">Q24/$P$2-1</f>
        <v>4.2625239424622929E-3</v>
      </c>
      <c r="AD24" s="8">
        <f t="shared" ref="AD24" si="340">R24/$P$2-1</f>
        <v>2.4199746367248753E-2</v>
      </c>
      <c r="AE24" s="8">
        <f t="shared" ref="AE24" si="341">S24/$P$2-1</f>
        <v>4.6789327085883237E-3</v>
      </c>
      <c r="AF24" s="8">
        <f t="shared" ref="AF24" si="342">T24/$T$2-1</f>
        <v>1.4338624611623718E-2</v>
      </c>
    </row>
    <row r="25" spans="1:40" x14ac:dyDescent="0.25">
      <c r="A25" s="9">
        <v>43252</v>
      </c>
      <c r="B25" s="4">
        <v>19824.349999999999</v>
      </c>
      <c r="C25" s="4">
        <v>131</v>
      </c>
      <c r="D25" s="4">
        <v>19955.349999999999</v>
      </c>
      <c r="E25" s="5">
        <f t="shared" ref="E25" si="343">D25/D24-1</f>
        <v>-1.9042149798642605E-5</v>
      </c>
      <c r="F25" s="10">
        <f>F24*(1+E25)</f>
        <v>99.776749999999979</v>
      </c>
      <c r="G25" s="5">
        <f>F25/F$24-1</f>
        <v>-1.9042149798642605E-5</v>
      </c>
      <c r="H25" s="8">
        <f t="shared" ref="H25" si="344">F25/$F$2-1</f>
        <v>-2.2325000000001927E-3</v>
      </c>
      <c r="J25" s="11">
        <f>VLOOKUP($A25,Prices!$A:$J,MATCH(J$1,Prices!$1:$1,0),0)</f>
        <v>1.0369141435089269E-2</v>
      </c>
      <c r="K25" s="11">
        <f>VLOOKUP($A25,Prices!$A:$J,MATCH(K$1,Prices!$1:$1,0),0)</f>
        <v>-1.2305728142268935E-3</v>
      </c>
      <c r="L25" s="11">
        <f>VLOOKUP($A25,Prices!$A:$J,MATCH(L$1,Prices!$1:$1,0),0)</f>
        <v>1.0266564001026435E-2</v>
      </c>
      <c r="M25" s="11">
        <f t="shared" ref="M25" si="345">0.6*J25 + 0.4*K25</f>
        <v>5.7292557353628036E-3</v>
      </c>
      <c r="N25" s="11">
        <f>VLOOKUP($A25,Prices!$A:$J,MATCH(N$1,Prices!$1:$1,0),0)</f>
        <v>1.7724413950829243E-2</v>
      </c>
      <c r="P25" s="10">
        <f t="shared" ref="P25" si="346">P24*(1+J25)</f>
        <v>101.51441958580652</v>
      </c>
      <c r="Q25" s="10">
        <f t="shared" ref="Q25" si="347">Q24*(1+K25)</f>
        <v>100.30267057821519</v>
      </c>
      <c r="R25" s="10">
        <f t="shared" ref="R25" si="348">R24*(1+L25)</f>
        <v>103.47147586131631</v>
      </c>
      <c r="S25" s="10">
        <f t="shared" ref="S25" si="349">S24*(1+M25)</f>
        <v>101.04349952460072</v>
      </c>
      <c r="T25" s="10">
        <f t="shared" ref="T25" si="350">T24*(1+N25)</f>
        <v>103.23171822805548</v>
      </c>
      <c r="V25" s="5">
        <f t="shared" ref="V25:X26" si="351">P25/P$24-1</f>
        <v>1.0369141435089269E-2</v>
      </c>
      <c r="W25" s="5">
        <f t="shared" si="351"/>
        <v>-1.2305728142268935E-3</v>
      </c>
      <c r="X25" s="5">
        <f t="shared" si="351"/>
        <v>1.0266564001026435E-2</v>
      </c>
      <c r="Y25" s="5">
        <f t="shared" ref="Y25" si="352">S25/S$24-1</f>
        <v>5.7292557353627593E-3</v>
      </c>
      <c r="Z25" s="5">
        <f t="shared" ref="Z25:Z30" si="353">T25/T$24-1</f>
        <v>1.7724413950829243E-2</v>
      </c>
      <c r="AB25" s="8">
        <f t="shared" ref="AB25" si="354">P25/$P$2-1</f>
        <v>1.5144195858065146E-2</v>
      </c>
      <c r="AC25" s="8">
        <f t="shared" ref="AC25" si="355">Q25/$P$2-1</f>
        <v>3.0267057821518062E-3</v>
      </c>
      <c r="AD25" s="8">
        <f t="shared" ref="AD25" si="356">R25/$P$2-1</f>
        <v>3.4714758613163088E-2</v>
      </c>
      <c r="AE25" s="8">
        <f t="shared" ref="AE25" si="357">S25/$P$2-1</f>
        <v>1.0434995246007217E-2</v>
      </c>
      <c r="AF25" s="8">
        <f t="shared" ref="AF25" si="358">T25/$T$2-1</f>
        <v>3.2317182280554801E-2</v>
      </c>
    </row>
    <row r="26" spans="1:40" x14ac:dyDescent="0.25">
      <c r="A26" s="9">
        <v>43255</v>
      </c>
      <c r="B26" s="4">
        <v>19753.95</v>
      </c>
      <c r="C26" s="4">
        <v>131</v>
      </c>
      <c r="D26" s="4">
        <v>19884.95</v>
      </c>
      <c r="E26" s="5">
        <f t="shared" ref="E26" si="359">D26/D25-1</f>
        <v>-3.5278759831322004E-3</v>
      </c>
      <c r="F26" s="10">
        <f t="shared" ref="F26" si="360">F25*(1+E26)</f>
        <v>99.424749999999989</v>
      </c>
      <c r="G26" s="5">
        <f t="shared" ref="G26:G31" si="361">F26/F$24-1</f>
        <v>-3.5468509545879545E-3</v>
      </c>
      <c r="H26" s="8">
        <f t="shared" ref="H26" si="362">F26/$F$2-1</f>
        <v>-5.7525000000001603E-3</v>
      </c>
      <c r="J26" s="11">
        <f>VLOOKUP($A26,Prices!$A:$J,MATCH(J$1,Prices!$1:$1,0),0)</f>
        <v>5.8839627805145067E-3</v>
      </c>
      <c r="K26" s="11">
        <f>VLOOKUP($A26,Prices!$A:$J,MATCH(K$1,Prices!$1:$1,0),0)</f>
        <v>-2.3567119155354366E-3</v>
      </c>
      <c r="L26" s="11">
        <f>VLOOKUP($A26,Prices!$A:$J,MATCH(L$1,Prices!$1:$1,0),0)</f>
        <v>4.6455921315284865E-3</v>
      </c>
      <c r="M26" s="11">
        <f t="shared" ref="M26" si="363">0.6*J26 + 0.4*K26</f>
        <v>2.5876929020945292E-3</v>
      </c>
      <c r="N26" s="11">
        <f>VLOOKUP($A26,Prices!$A:$J,MATCH(N$1,Prices!$1:$1,0),0)</f>
        <v>-7.3033707865167719E-3</v>
      </c>
      <c r="P26" s="10">
        <f t="shared" ref="P26" si="364">P25*(1+J26)</f>
        <v>102.11172665233494</v>
      </c>
      <c r="Q26" s="10">
        <f t="shared" ref="Q26" si="365">Q25*(1+K26)</f>
        <v>100.06628607930348</v>
      </c>
      <c r="R26" s="10">
        <f t="shared" ref="R26" si="366">R25*(1+L26)</f>
        <v>103.95216213541528</v>
      </c>
      <c r="S26" s="10">
        <f t="shared" ref="S26" si="367">S25*(1+M26)</f>
        <v>101.30496907112331</v>
      </c>
      <c r="T26" s="10">
        <f t="shared" ref="T26" si="368">T25*(1+N26)</f>
        <v>102.47777871290677</v>
      </c>
      <c r="V26" s="5">
        <f t="shared" si="351"/>
        <v>1.6314115857873679E-2</v>
      </c>
      <c r="W26" s="5">
        <f t="shared" si="351"/>
        <v>-3.5843846241481181E-3</v>
      </c>
      <c r="X26" s="5">
        <f t="shared" si="351"/>
        <v>1.4959850401495833E-2</v>
      </c>
      <c r="Y26" s="5">
        <f t="shared" ref="Y26" si="369">S26/S$24-1</f>
        <v>8.3317741918578214E-3</v>
      </c>
      <c r="Z26" s="5">
        <f t="shared" si="353"/>
        <v>1.0291595197255754E-2</v>
      </c>
      <c r="AB26" s="8">
        <f t="shared" ref="AB26" si="370">P26/$P$2-1</f>
        <v>2.1117266523349443E-2</v>
      </c>
      <c r="AC26" s="8">
        <f t="shared" ref="AC26" si="371">Q26/$P$2-1</f>
        <v>6.6286079303479184E-4</v>
      </c>
      <c r="AD26" s="8">
        <f t="shared" ref="AD26" si="372">R26/$P$2-1</f>
        <v>3.9521621354152714E-2</v>
      </c>
      <c r="AE26" s="8">
        <f t="shared" ref="AE26" si="373">S26/$P$2-1</f>
        <v>1.3049690711233186E-2</v>
      </c>
      <c r="AF26" s="8">
        <f t="shared" ref="AF26" si="374">T26/$T$2-1</f>
        <v>2.4777787129067752E-2</v>
      </c>
    </row>
    <row r="27" spans="1:40" x14ac:dyDescent="0.25">
      <c r="A27" s="9">
        <v>43256</v>
      </c>
      <c r="B27" s="4">
        <v>19768.78</v>
      </c>
      <c r="C27" s="4">
        <v>131</v>
      </c>
      <c r="D27" s="4">
        <v>19899.78</v>
      </c>
      <c r="E27" s="5">
        <f t="shared" ref="E27" si="375">D27/D26-1</f>
        <v>7.4579015788311942E-4</v>
      </c>
      <c r="F27" s="10">
        <f t="shared" ref="F27" si="376">F26*(1+E27)</f>
        <v>99.498899999999978</v>
      </c>
      <c r="G27" s="5">
        <f t="shared" si="361"/>
        <v>-2.8037060032382044E-3</v>
      </c>
      <c r="H27" s="8">
        <f t="shared" ref="H27" si="377">F27/$F$2-1</f>
        <v>-5.0110000000002097E-3</v>
      </c>
      <c r="J27" s="11">
        <f>VLOOKUP($A27,Prices!$A:$J,MATCH(J$1,Prices!$1:$1,0),0)</f>
        <v>-1.0882873078492672E-3</v>
      </c>
      <c r="K27" s="11">
        <f>VLOOKUP($A27,Prices!$A:$J,MATCH(K$1,Prices!$1:$1,0),0)</f>
        <v>7.5592932060852824E-4</v>
      </c>
      <c r="L27" s="11">
        <f>VLOOKUP($A27,Prices!$A:$J,MATCH(L$1,Prices!$1:$1,0),0)</f>
        <v>9.0314656262413529E-4</v>
      </c>
      <c r="M27" s="11">
        <f t="shared" ref="M27" si="378">0.6*J27 + 0.4*K27</f>
        <v>-3.5060065646614892E-4</v>
      </c>
      <c r="N27" s="11">
        <f>VLOOKUP($A27,Prices!$A:$J,MATCH(N$1,Prices!$1:$1,0),0)</f>
        <v>2.2637238256932868E-3</v>
      </c>
      <c r="P27" s="10">
        <f t="shared" ref="P27" si="379">P26*(1+J27)</f>
        <v>102.00059975623662</v>
      </c>
      <c r="Q27" s="10">
        <f t="shared" ref="Q27" si="380">Q26*(1+K27)</f>
        <v>100.14192911895523</v>
      </c>
      <c r="R27" s="10">
        <f t="shared" ref="R27" si="381">R26*(1+L27)</f>
        <v>104.04604617332522</v>
      </c>
      <c r="S27" s="10">
        <f t="shared" ref="S27" si="382">S26*(1+M27)</f>
        <v>101.26945148246368</v>
      </c>
      <c r="T27" s="10">
        <f t="shared" ref="T27" si="383">T26*(1+N27)</f>
        <v>102.7097601021833</v>
      </c>
      <c r="V27" s="5">
        <f t="shared" ref="V27" si="384">P27/P$24-1</f>
        <v>1.520807410479752E-2</v>
      </c>
      <c r="W27" s="5">
        <f t="shared" ref="W27" si="385">Q27/Q$24-1</f>
        <v>-2.8311648449732552E-3</v>
      </c>
      <c r="X27" s="5">
        <f t="shared" ref="X27" si="386">R27/R$24-1</f>
        <v>1.5876507901587456E-2</v>
      </c>
      <c r="Y27" s="5">
        <f t="shared" ref="Y27" si="387">S27/S$24-1</f>
        <v>7.9782524098903629E-3</v>
      </c>
      <c r="Z27" s="5">
        <f t="shared" si="353"/>
        <v>1.2578616352201477E-2</v>
      </c>
      <c r="AB27" s="8">
        <f t="shared" ref="AB27" si="388">P27/$P$2-1</f>
        <v>2.0005997562366318E-2</v>
      </c>
      <c r="AC27" s="8">
        <f t="shared" ref="AC27" si="389">Q27/$P$2-1</f>
        <v>1.4192911895523075E-3</v>
      </c>
      <c r="AD27" s="8">
        <f t="shared" ref="AD27" si="390">R27/$P$2-1</f>
        <v>4.046046173325224E-2</v>
      </c>
      <c r="AE27" s="8">
        <f t="shared" ref="AE27" si="391">S27/$P$2-1</f>
        <v>1.2694514824636904E-2</v>
      </c>
      <c r="AF27" s="8">
        <f t="shared" ref="AF27" si="392">T27/$T$2-1</f>
        <v>2.7097601021832896E-2</v>
      </c>
    </row>
    <row r="28" spans="1:40" x14ac:dyDescent="0.25">
      <c r="A28" s="9">
        <v>43257</v>
      </c>
      <c r="B28" s="4">
        <f>D28-C28</f>
        <v>19849.77</v>
      </c>
      <c r="C28" s="4">
        <v>131</v>
      </c>
      <c r="D28" s="4">
        <v>19980.77</v>
      </c>
      <c r="E28" s="5">
        <f t="shared" ref="E28" si="393">D28/D27-1</f>
        <v>4.0698942400370086E-3</v>
      </c>
      <c r="F28" s="10">
        <f t="shared" ref="F28" si="394">F27*(1+E28)</f>
        <v>99.903849999999991</v>
      </c>
      <c r="G28" s="5">
        <f t="shared" si="361"/>
        <v>1.2547774498854469E-3</v>
      </c>
      <c r="H28" s="8">
        <f t="shared" ref="H28" si="395">F28/$F$2-1</f>
        <v>-9.6150000000005953E-4</v>
      </c>
      <c r="J28" s="11">
        <f>VLOOKUP($A28,Prices!$A:$J,MATCH(J$1,Prices!$1:$1,0),0)</f>
        <v>9.5328884652048362E-3</v>
      </c>
      <c r="K28" s="11">
        <f>VLOOKUP($A28,Prices!$A:$J,MATCH(K$1,Prices!$1:$1,0),0)</f>
        <v>-2.2660749693135251E-3</v>
      </c>
      <c r="L28" s="11">
        <f>VLOOKUP($A28,Prices!$A:$J,MATCH(L$1,Prices!$1:$1,0),0)</f>
        <v>8.5901970692268126E-3</v>
      </c>
      <c r="M28" s="11">
        <f t="shared" ref="M28" si="396">0.6*J28 + 0.4*K28</f>
        <v>4.8133030913974908E-3</v>
      </c>
      <c r="N28" s="11">
        <f>VLOOKUP($A28,Prices!$A:$J,MATCH(N$1,Prices!$1:$1,0),0)</f>
        <v>2.2586109542630517E-3</v>
      </c>
      <c r="P28" s="10">
        <f t="shared" ref="P28" si="397">P27*(1+J28)</f>
        <v>102.97296009709683</v>
      </c>
      <c r="Q28" s="10">
        <f t="shared" ref="Q28" si="398">Q27*(1+K28)</f>
        <v>99.914999999999992</v>
      </c>
      <c r="R28" s="10">
        <f t="shared" ref="R28" si="399">R27*(1+L28)</f>
        <v>104.93982221422796</v>
      </c>
      <c r="S28" s="10">
        <f t="shared" ref="S28" si="400">S27*(1+M28)</f>
        <v>101.75689204634836</v>
      </c>
      <c r="T28" s="10">
        <f t="shared" ref="T28" si="401">T27*(1+N28)</f>
        <v>102.94174149145982</v>
      </c>
      <c r="V28" s="5">
        <f t="shared" ref="V28" si="402">P28/P$24-1</f>
        <v>2.4885939444214022E-2</v>
      </c>
      <c r="W28" s="5">
        <f t="shared" ref="W28" si="403">Q28/Q$24-1</f>
        <v>-5.0908241824976219E-3</v>
      </c>
      <c r="X28" s="5">
        <f t="shared" ref="X28" si="404">R28/R$24-1</f>
        <v>2.460308730246008E-2</v>
      </c>
      <c r="Y28" s="5">
        <f t="shared" ref="Y28" si="405">S28/S$24-1</f>
        <v>1.2829957248276402E-2</v>
      </c>
      <c r="Z28" s="5">
        <f t="shared" si="353"/>
        <v>1.48656375071472E-2</v>
      </c>
      <c r="AB28" s="8">
        <f t="shared" ref="AB28" si="406">P28/$P$2-1</f>
        <v>2.9729600970968217E-2</v>
      </c>
      <c r="AC28" s="8">
        <f t="shared" ref="AC28" si="407">Q28/$P$2-1</f>
        <v>-8.5000000000012843E-4</v>
      </c>
      <c r="AD28" s="8">
        <f t="shared" ref="AD28" si="408">R28/$P$2-1</f>
        <v>4.9398222142279513E-2</v>
      </c>
      <c r="AE28" s="8">
        <f t="shared" ref="AE28" si="409">S28/$P$2-1</f>
        <v>1.7568920463483462E-2</v>
      </c>
      <c r="AF28" s="8">
        <f t="shared" ref="AF28" si="410">T28/$T$2-1</f>
        <v>2.9417414914598261E-2</v>
      </c>
    </row>
    <row r="29" spans="1:40" x14ac:dyDescent="0.25">
      <c r="A29" s="9">
        <v>43258</v>
      </c>
      <c r="B29" s="4">
        <v>19876.13</v>
      </c>
      <c r="C29" s="4">
        <v>131</v>
      </c>
      <c r="D29" s="4">
        <f>B29+C29</f>
        <v>20007.13</v>
      </c>
      <c r="E29" s="5">
        <f t="shared" ref="E29" si="411">D29/D28-1</f>
        <v>1.3192684766403229E-3</v>
      </c>
      <c r="F29" s="10">
        <f t="shared" ref="F29" si="412">F28*(1+E29)</f>
        <v>100.03564999999999</v>
      </c>
      <c r="G29" s="5">
        <f t="shared" si="361"/>
        <v>2.5757013148604013E-3</v>
      </c>
      <c r="H29" s="8">
        <f t="shared" ref="H29" si="413">F29/$F$2-1</f>
        <v>3.5649999999987081E-4</v>
      </c>
      <c r="J29" s="11">
        <f>VLOOKUP($A29,Prices!$A:$J,MATCH(J$1,Prices!$1:$1,0),0)</f>
        <v>-4.4516390125455274E-3</v>
      </c>
      <c r="K29" s="11">
        <f>VLOOKUP($A29,Prices!$A:$J,MATCH(K$1,Prices!$1:$1,0),0)</f>
        <v>2.1765874893537873E-3</v>
      </c>
      <c r="L29" s="11">
        <f>VLOOKUP($A29,Prices!$A:$J,MATCH(L$1,Prices!$1:$1,0),0)</f>
        <v>-6.4414543372459665E-4</v>
      </c>
      <c r="M29" s="11">
        <f t="shared" ref="M29" si="414">0.6*J29 + 0.4*K29</f>
        <v>-1.8003484117858012E-3</v>
      </c>
      <c r="N29" s="11">
        <f>VLOOKUP($A29,Prices!$A:$J,MATCH(N$1,Prices!$1:$1,0),0)</f>
        <v>-2.2535211267604716E-3</v>
      </c>
      <c r="P29" s="10">
        <f t="shared" ref="P29" si="415">P28*(1+J29)</f>
        <v>102.51456165069131</v>
      </c>
      <c r="Q29" s="10">
        <f t="shared" ref="Q29" si="416">Q28*(1+K29)</f>
        <v>100.13247373899877</v>
      </c>
      <c r="R29" s="10">
        <f t="shared" ref="R29" si="417">R28*(1+L29)</f>
        <v>104.8722257069328</v>
      </c>
      <c r="S29" s="10">
        <f t="shared" ref="S29" si="418">S28*(1+M29)</f>
        <v>101.57369418736445</v>
      </c>
      <c r="T29" s="10">
        <f t="shared" ref="T29" si="419">T28*(1+N29)</f>
        <v>102.7097601021833</v>
      </c>
      <c r="V29" s="5">
        <f t="shared" ref="V29" si="420">P29/P$24-1</f>
        <v>2.03235172127747E-2</v>
      </c>
      <c r="W29" s="5">
        <f t="shared" ref="W29" si="421">Q29/Q$24-1</f>
        <v>-2.925317317370113E-3</v>
      </c>
      <c r="X29" s="5">
        <f t="shared" ref="X29" si="422">R29/R$24-1</f>
        <v>2.394309390239413E-2</v>
      </c>
      <c r="Y29" s="5">
        <f t="shared" ref="Y29" si="423">S29/S$24-1</f>
        <v>1.1006510443335449E-2</v>
      </c>
      <c r="Z29" s="5">
        <f t="shared" si="353"/>
        <v>1.2578616352201477E-2</v>
      </c>
      <c r="AB29" s="8">
        <f t="shared" ref="AB29" si="424">P29/$P$2-1</f>
        <v>2.5145616506913049E-2</v>
      </c>
      <c r="AC29" s="8">
        <f t="shared" ref="AC29" si="425">Q29/$P$2-1</f>
        <v>1.324737389987618E-3</v>
      </c>
      <c r="AD29" s="8">
        <f t="shared" ref="AD29" si="426">R29/$P$2-1</f>
        <v>4.8722257069327979E-2</v>
      </c>
      <c r="AE29" s="8">
        <f t="shared" ref="AE29" si="427">S29/$P$2-1</f>
        <v>1.5736941873644605E-2</v>
      </c>
      <c r="AF29" s="8">
        <f t="shared" ref="AF29" si="428">T29/$T$2-1</f>
        <v>2.7097601021832896E-2</v>
      </c>
    </row>
    <row r="30" spans="1:40" x14ac:dyDescent="0.25">
      <c r="A30" s="9">
        <v>43259</v>
      </c>
      <c r="B30" s="4">
        <f>D30-C30</f>
        <v>19892.22</v>
      </c>
      <c r="C30" s="4">
        <v>131</v>
      </c>
      <c r="D30" s="4">
        <v>20023.22</v>
      </c>
      <c r="E30" s="5">
        <f t="shared" ref="E30" si="429">D30/D29-1</f>
        <v>8.0421329795932195E-4</v>
      </c>
      <c r="F30" s="10">
        <f t="shared" ref="F30" si="430">F29*(1+E30)</f>
        <v>100.11609999999999</v>
      </c>
      <c r="G30" s="5">
        <f t="shared" si="361"/>
        <v>3.3819860260686507E-3</v>
      </c>
      <c r="H30" s="8">
        <f t="shared" ref="H30" si="431">F30/$F$2-1</f>
        <v>1.1609999999999676E-3</v>
      </c>
      <c r="J30" s="11">
        <f>VLOOKUP($A30,Prices!$A:$J,MATCH(J$1,Prices!$1:$1,0),0)</f>
        <v>2.0325203252034019E-3</v>
      </c>
      <c r="K30" s="11">
        <f>VLOOKUP($A30,Prices!$A:$J,MATCH(K$1,Prices!$1:$1,0),0)</f>
        <v>-1.4164305949009304E-3</v>
      </c>
      <c r="L30" s="11">
        <f>VLOOKUP($A30,Prices!$A:$J,MATCH(L$1,Prices!$1:$1,0),0)</f>
        <v>2.7930960395332605E-3</v>
      </c>
      <c r="M30" s="11">
        <f t="shared" ref="M30" si="432">0.6*J30 + 0.4*K30</f>
        <v>6.5293995716166878E-4</v>
      </c>
      <c r="N30" s="11">
        <f>VLOOKUP($A30,Prices!$A:$J,MATCH(N$1,Prices!$1:$1,0),0)</f>
        <v>2.5409373235458776E-3</v>
      </c>
      <c r="P30" s="10">
        <f t="shared" ref="P30" si="433">P29*(1+J30)</f>
        <v>102.72292458087566</v>
      </c>
      <c r="Q30" s="10">
        <f t="shared" ref="Q30" si="434">Q29*(1+K30)</f>
        <v>99.990643039651744</v>
      </c>
      <c r="R30" s="10">
        <f t="shared" ref="R30" si="435">R29*(1+L30)</f>
        <v>105.16514390521186</v>
      </c>
      <c r="S30" s="10">
        <f t="shared" ref="S30" si="436">S29*(1+M30)</f>
        <v>101.64001571089591</v>
      </c>
      <c r="T30" s="10">
        <f t="shared" ref="T30" si="437">T29*(1+N30)</f>
        <v>102.97073916511938</v>
      </c>
      <c r="V30" s="5">
        <f t="shared" ref="V30" si="438">P30/P$24-1</f>
        <v>2.2397345499792776E-2</v>
      </c>
      <c r="W30" s="5">
        <f t="shared" ref="W30" si="439">Q30/Q$24-1</f>
        <v>-4.337604403322759E-3</v>
      </c>
      <c r="X30" s="5">
        <f t="shared" ref="X30" si="440">R30/R$24-1</f>
        <v>2.6803065302680285E-2</v>
      </c>
      <c r="Y30" s="5">
        <f t="shared" ref="Y30" si="441">S30/S$24-1</f>
        <v>1.1666636990954604E-2</v>
      </c>
      <c r="Z30" s="5">
        <f t="shared" si="353"/>
        <v>1.515151515151536E-2</v>
      </c>
      <c r="AB30" s="8">
        <f t="shared" ref="AB30" si="442">P30/$P$2-1</f>
        <v>2.722924580875663E-2</v>
      </c>
      <c r="AC30" s="8">
        <f t="shared" ref="AC30" si="443">Q30/$P$2-1</f>
        <v>-9.3569603482612784E-5</v>
      </c>
      <c r="AD30" s="8">
        <f t="shared" ref="AD30" si="444">R30/$P$2-1</f>
        <v>5.1651439052118553E-2</v>
      </c>
      <c r="AE30" s="8">
        <f t="shared" ref="AE30" si="445">S30/$P$2-1</f>
        <v>1.6400157108959146E-2</v>
      </c>
      <c r="AF30" s="8">
        <f t="shared" ref="AF30" si="446">T30/$T$2-1</f>
        <v>2.9707391651193849E-2</v>
      </c>
    </row>
    <row r="31" spans="1:40" x14ac:dyDescent="0.25">
      <c r="A31" s="9">
        <v>43262</v>
      </c>
      <c r="B31" s="4">
        <v>19886.72</v>
      </c>
      <c r="C31" s="4">
        <v>131</v>
      </c>
      <c r="D31" s="4">
        <v>20017.73</v>
      </c>
      <c r="E31" s="5">
        <f t="shared" ref="E31" si="447">D31/D30-1</f>
        <v>-2.7418167507531344E-4</v>
      </c>
      <c r="F31" s="10">
        <f t="shared" ref="F31" si="448">F30*(1+E31)</f>
        <v>100.08864999999999</v>
      </c>
      <c r="G31" s="5">
        <f t="shared" si="361"/>
        <v>3.1068770723998718E-3</v>
      </c>
      <c r="H31" s="8">
        <f t="shared" ref="H31" si="449">F31/$F$2-1</f>
        <v>8.8649999999979023E-4</v>
      </c>
      <c r="J31" s="11">
        <f>VLOOKUP($A31,Prices!$A:$J,MATCH(J$1,Prices!$1:$1,0),0)</f>
        <v>3.2454361054765624E-3</v>
      </c>
      <c r="K31" s="11">
        <f>VLOOKUP($A31,Prices!$A:$J,MATCH(K$1,Prices!$1:$1,0),0)</f>
        <v>-1.0401891252954654E-3</v>
      </c>
      <c r="L31" s="11">
        <f>VLOOKUP($A31,Prices!$A:$J,MATCH(L$1,Prices!$1:$1,0),0)</f>
        <v>1.6783316669046755E-3</v>
      </c>
      <c r="M31" s="11">
        <f t="shared" ref="M31" si="450">0.6*J31 + 0.4*K31</f>
        <v>1.5311860131677511E-3</v>
      </c>
      <c r="N31" s="11">
        <f>VLOOKUP($A31,Prices!$A:$J,MATCH(N$1,Prices!$1:$1,0),0)</f>
        <v>-3.0977189524077353E-3</v>
      </c>
      <c r="P31" s="10">
        <f t="shared" ref="P31" si="451">P30*(1+J31)</f>
        <v>103.05630526917058</v>
      </c>
      <c r="Q31" s="10">
        <f t="shared" ref="Q31" si="452">Q30*(1+K31)</f>
        <v>99.886633860130601</v>
      </c>
      <c r="R31" s="10">
        <f t="shared" ref="R31" si="453">R30*(1+L31)</f>
        <v>105.34164589648256</v>
      </c>
      <c r="S31" s="10">
        <f t="shared" ref="S31" si="454">S30*(1+M31)</f>
        <v>101.79564548133058</v>
      </c>
      <c r="T31" s="10">
        <f t="shared" ref="T31" si="455">T30*(1+N31)</f>
        <v>102.65176475486416</v>
      </c>
      <c r="V31" s="5">
        <f t="shared" ref="V31" si="456">P31/P$24-1</f>
        <v>2.5715470759021253E-2</v>
      </c>
      <c r="W31" s="5">
        <f t="shared" ref="W31" si="457">Q31/Q$24-1</f>
        <v>-5.3732815996880845E-3</v>
      </c>
      <c r="X31" s="5">
        <f t="shared" ref="X31" si="458">R31/R$24-1</f>
        <v>2.8526381402852463E-2</v>
      </c>
      <c r="Y31" s="5">
        <f t="shared" ref="Y31" si="459">S31/S$24-1</f>
        <v>1.3215686795503556E-2</v>
      </c>
      <c r="Z31" s="5">
        <f t="shared" ref="Z31" si="460">T31/T$24-1</f>
        <v>1.2006861063464935E-2</v>
      </c>
      <c r="AB31" s="8">
        <f t="shared" ref="AB31" si="461">P31/$P$2-1</f>
        <v>3.0563052691705783E-2</v>
      </c>
      <c r="AC31" s="8">
        <f t="shared" ref="AC31" si="462">Q31/$P$2-1</f>
        <v>-1.1336613986939748E-3</v>
      </c>
      <c r="AD31" s="8">
        <f t="shared" ref="AD31" si="463">R31/$P$2-1</f>
        <v>5.3416458964825608E-2</v>
      </c>
      <c r="AE31" s="8">
        <f t="shared" ref="AE31" si="464">S31/$P$2-1</f>
        <v>1.7956454813305767E-2</v>
      </c>
      <c r="AF31" s="8">
        <f t="shared" ref="AF31" si="465">T31/$T$2-1</f>
        <v>2.6517647548641499E-2</v>
      </c>
      <c r="AI31" s="8">
        <f t="shared" ref="AI31:AI66" si="466">MIN(0,(F31-MAX(F2:F31))/MAX(F2:F31))</f>
        <v>-1.3953985540621123E-2</v>
      </c>
      <c r="AJ31" s="8">
        <f>MIN(0,(P31-MAX(P2:P31))/MAX(P2:P31))</f>
        <v>0</v>
      </c>
      <c r="AK31" s="8">
        <f t="shared" ref="AK31:AN31" si="467">MIN(0,(Q31-MAX(Q2:Q31))/MAX(Q2:Q31))</f>
        <v>-1.1046620483055401E-2</v>
      </c>
      <c r="AL31" s="8">
        <f t="shared" si="467"/>
        <v>0</v>
      </c>
      <c r="AM31" s="8">
        <f t="shared" si="467"/>
        <v>0</v>
      </c>
      <c r="AN31" s="8">
        <f t="shared" si="467"/>
        <v>-5.6179775280898988E-3</v>
      </c>
    </row>
    <row r="32" spans="1:40" x14ac:dyDescent="0.25">
      <c r="A32" s="9">
        <v>43263</v>
      </c>
      <c r="B32" s="4">
        <v>19890.78</v>
      </c>
      <c r="C32" s="4">
        <v>131</v>
      </c>
      <c r="D32" s="4">
        <v>20021.78</v>
      </c>
      <c r="E32" s="5">
        <f t="shared" ref="E32" si="468">D32/D31-1</f>
        <v>2.0232064275016448E-4</v>
      </c>
      <c r="F32" s="10">
        <f t="shared" ref="F32" si="469">F31*(1+E32)</f>
        <v>100.10889999999998</v>
      </c>
      <c r="G32" s="5">
        <f t="shared" ref="G32" si="470">F32/F$24-1</f>
        <v>3.3098263005160167E-3</v>
      </c>
      <c r="H32" s="8">
        <f t="shared" ref="H32" si="471">F32/$F$2-1</f>
        <v>1.0889999999996736E-3</v>
      </c>
      <c r="J32" s="11">
        <f>VLOOKUP($A32,Prices!$A:$J,MATCH(J$1,Prices!$1:$1,0),0)</f>
        <v>-1.3478905512871453E-3</v>
      </c>
      <c r="K32" s="11">
        <f>VLOOKUP($A32,Prices!$A:$J,MATCH(K$1,Prices!$1:$1,0),0)</f>
        <v>2.8398333964418931E-4</v>
      </c>
      <c r="L32" s="11">
        <f>VLOOKUP($A32,Prices!$A:$J,MATCH(L$1,Prices!$1:$1,0),0)</f>
        <v>1.3546754126412264E-3</v>
      </c>
      <c r="M32" s="11">
        <f t="shared" ref="M32" si="472">0.6*J32 + 0.4*K32</f>
        <v>-6.9514099491461143E-4</v>
      </c>
      <c r="N32" s="11">
        <f>VLOOKUP($A32,Prices!$A:$J,MATCH(N$1,Prices!$1:$1,0),0)</f>
        <v>-2.2598870056497189E-3</v>
      </c>
      <c r="P32" s="10">
        <f t="shared" ref="P32" si="473">P31*(1+J32)</f>
        <v>102.9173966490477</v>
      </c>
      <c r="Q32" s="10">
        <f t="shared" ref="Q32" si="474">Q31*(1+K32)</f>
        <v>99.91500000000002</v>
      </c>
      <c r="R32" s="10">
        <f t="shared" ref="R32" si="475">R31*(1+L32)</f>
        <v>105.48434963410568</v>
      </c>
      <c r="S32" s="10">
        <f t="shared" ref="S32" si="476">S31*(1+M32)</f>
        <v>101.72488315505271</v>
      </c>
      <c r="T32" s="10">
        <f t="shared" ref="T32" si="477">T31*(1+N32)</f>
        <v>102.41978336558763</v>
      </c>
      <c r="V32" s="5">
        <f t="shared" ref="V32" si="478">P32/P$24-1</f>
        <v>2.4332918567676165E-2</v>
      </c>
      <c r="W32" s="5">
        <f t="shared" ref="W32" si="479">Q32/Q$24-1</f>
        <v>-5.0908241824973999E-3</v>
      </c>
      <c r="X32" s="5">
        <f t="shared" ref="X32" si="480">R32/R$24-1</f>
        <v>2.9919700802991667E-2</v>
      </c>
      <c r="Y32" s="5">
        <f t="shared" ref="Y32" si="481">S32/S$24-1</f>
        <v>1.2511359034921288E-2</v>
      </c>
      <c r="Z32" s="5">
        <f t="shared" ref="Z32" si="482">T32/T$24-1</f>
        <v>9.7198399085194342E-3</v>
      </c>
      <c r="AB32" s="8">
        <f t="shared" ref="AB32" si="483">P32/$P$2-1</f>
        <v>2.9173966490477099E-2</v>
      </c>
      <c r="AC32" s="8">
        <f t="shared" ref="AC32" si="484">Q32/$P$2-1</f>
        <v>-8.4999999999979536E-4</v>
      </c>
      <c r="AD32" s="8">
        <f t="shared" ref="AD32" si="485">R32/$P$2-1</f>
        <v>5.4843496341056897E-2</v>
      </c>
      <c r="AE32" s="8">
        <f t="shared" ref="AE32" si="486">S32/$P$2-1</f>
        <v>1.7248831550527033E-2</v>
      </c>
      <c r="AF32" s="8">
        <f t="shared" ref="AF32" si="487">T32/$T$2-1</f>
        <v>2.4197833655876355E-2</v>
      </c>
      <c r="AI32" s="8">
        <f t="shared" si="466"/>
        <v>-1.3754488077194524E-2</v>
      </c>
      <c r="AJ32" s="8">
        <f t="shared" ref="AJ32:AJ66" si="488">MIN(0,(P32-MAX(P3:P32))/MAX(P3:P32))</f>
        <v>-1.3478905512871234E-3</v>
      </c>
      <c r="AK32" s="8">
        <f t="shared" ref="AK32:AK66" si="489">MIN(0,(Q32-MAX(Q3:Q32))/MAX(Q3:Q32))</f>
        <v>-1.0765774199587743E-2</v>
      </c>
      <c r="AL32" s="8">
        <f t="shared" ref="AL32:AL66" si="490">MIN(0,(R32-MAX(R3:R32))/MAX(R3:R32))</f>
        <v>0</v>
      </c>
      <c r="AM32" s="8">
        <f t="shared" ref="AM32:AM66" si="491">MIN(0,(S32-MAX(S3:S32))/MAX(S3:S32))</f>
        <v>-6.9514099491466326E-4</v>
      </c>
      <c r="AN32" s="8">
        <f t="shared" ref="AN32:AN66" si="492">MIN(0,(T32-MAX(T3:T32))/MAX(T3:T32))</f>
        <v>-7.865168539325831E-3</v>
      </c>
    </row>
    <row r="33" spans="1:40" x14ac:dyDescent="0.25">
      <c r="A33" s="9">
        <v>43264</v>
      </c>
      <c r="B33" s="4">
        <f>D33-C33</f>
        <v>19852.03</v>
      </c>
      <c r="C33" s="4">
        <v>131</v>
      </c>
      <c r="D33" s="4">
        <v>19983.03</v>
      </c>
      <c r="E33" s="5">
        <f t="shared" ref="E33" si="493">D33/D32-1</f>
        <v>-1.935392357722443E-3</v>
      </c>
      <c r="F33" s="10">
        <f t="shared" ref="F33" si="494">F32*(1+E33)</f>
        <v>99.915149999999983</v>
      </c>
      <c r="G33" s="5">
        <f t="shared" ref="G33" si="495">F33/F$24-1</f>
        <v>1.3680281302663744E-3</v>
      </c>
      <c r="H33" s="8">
        <f t="shared" ref="H33" si="496">F33/$F$2-1</f>
        <v>-8.4850000000014081E-4</v>
      </c>
      <c r="J33" s="11">
        <f>VLOOKUP($A33,Prices!$A:$J,MATCH(J$1,Prices!$1:$1,0),0)</f>
        <v>-2.0245647185855864E-3</v>
      </c>
      <c r="K33" s="11">
        <f>VLOOKUP($A33,Prices!$A:$J,MATCH(K$1,Prices!$1:$1,0),0)</f>
        <v>-9.4634238667556936E-4</v>
      </c>
      <c r="L33" s="11">
        <f>VLOOKUP($A33,Prices!$A:$J,MATCH(L$1,Prices!$1:$1,0),0)</f>
        <v>-3.4533091245682046E-3</v>
      </c>
      <c r="M33" s="11">
        <f t="shared" ref="M33" si="497">0.6*J33 + 0.4*K33</f>
        <v>-1.5932757858215796E-3</v>
      </c>
      <c r="N33" s="11">
        <f>VLOOKUP($A33,Prices!$A:$J,MATCH(N$1,Prices!$1:$1,0),0)</f>
        <v>1.0815402038504285E-3</v>
      </c>
      <c r="P33" s="10">
        <f t="shared" ref="P33" si="498">P32*(1+J33)</f>
        <v>102.70903371886337</v>
      </c>
      <c r="Q33" s="10">
        <f t="shared" ref="Q33" si="499">Q32*(1+K33)</f>
        <v>99.820446200435327</v>
      </c>
      <c r="R33" s="10">
        <f t="shared" ref="R33" si="500">R32*(1+L33)</f>
        <v>105.12007956701508</v>
      </c>
      <c r="S33" s="10">
        <f t="shared" ref="S33" si="501">S32*(1+M33)</f>
        <v>101.56280736190624</v>
      </c>
      <c r="T33" s="10">
        <f t="shared" ref="T33" si="502">T32*(1+N33)</f>
        <v>102.53055447896716</v>
      </c>
      <c r="V33" s="5">
        <f t="shared" ref="V33" si="503">P33/P$24-1</f>
        <v>2.2259090280658311E-2</v>
      </c>
      <c r="W33" s="5">
        <f t="shared" ref="W33" si="504">Q33/Q$24-1</f>
        <v>-6.0323489064659785E-3</v>
      </c>
      <c r="X33" s="5">
        <f t="shared" ref="X33" si="505">R33/R$24-1</f>
        <v>2.6363069702636244E-2</v>
      </c>
      <c r="Y33" s="5">
        <f t="shared" ref="Y33" si="506">S33/S$24-1</f>
        <v>1.089814920370169E-2</v>
      </c>
      <c r="Z33" s="5">
        <f t="shared" ref="Z33" si="507">T33/T$24-1</f>
        <v>1.0811892510005805E-2</v>
      </c>
      <c r="AB33" s="8">
        <f t="shared" ref="AB33" si="508">P33/$P$2-1</f>
        <v>2.709033718863374E-2</v>
      </c>
      <c r="AC33" s="8">
        <f t="shared" ref="AC33" si="509">Q33/$P$2-1</f>
        <v>-1.7955379956466899E-3</v>
      </c>
      <c r="AD33" s="8">
        <f t="shared" ref="AD33" si="510">R33/$P$2-1</f>
        <v>5.1200795670150789E-2</v>
      </c>
      <c r="AE33" s="8">
        <f t="shared" ref="AE33" si="511">S33/$P$2-1</f>
        <v>1.5628073619062377E-2</v>
      </c>
      <c r="AF33" s="8">
        <f t="shared" ref="AF33" si="512">T33/$T$2-1</f>
        <v>2.5305544789671508E-2</v>
      </c>
      <c r="AI33" s="8">
        <f t="shared" si="466"/>
        <v>-1.5663260103807922E-2</v>
      </c>
      <c r="AJ33" s="8">
        <f t="shared" si="488"/>
        <v>-3.3697263782180155E-3</v>
      </c>
      <c r="AK33" s="8">
        <f t="shared" si="489"/>
        <v>-1.1701928477812897E-2</v>
      </c>
      <c r="AL33" s="8">
        <f t="shared" si="490"/>
        <v>-3.4533091245682146E-3</v>
      </c>
      <c r="AM33" s="8">
        <f t="shared" si="491"/>
        <v>-2.2873092294212736E-3</v>
      </c>
      <c r="AN33" s="8">
        <f t="shared" si="492"/>
        <v>-6.7921348314608065E-3</v>
      </c>
    </row>
    <row r="34" spans="1:40" x14ac:dyDescent="0.25">
      <c r="A34" s="9">
        <v>43265</v>
      </c>
      <c r="B34" s="4">
        <v>19758.02</v>
      </c>
      <c r="C34" s="4">
        <v>131</v>
      </c>
      <c r="D34" s="4">
        <v>19889.02</v>
      </c>
      <c r="E34" s="5">
        <f t="shared" ref="E34" si="513">D34/D33-1</f>
        <v>-4.7044917612593107E-3</v>
      </c>
      <c r="F34" s="10">
        <f t="shared" ref="F34" si="514">F33*(1+E34)</f>
        <v>99.445099999999996</v>
      </c>
      <c r="G34" s="5">
        <f t="shared" ref="G34" si="515">F34/F$24-1</f>
        <v>-3.3428995080609925E-3</v>
      </c>
      <c r="H34" s="8">
        <f t="shared" ref="H34" si="516">F34/$F$2-1</f>
        <v>-5.5490000000000261E-3</v>
      </c>
      <c r="J34" s="11">
        <f>VLOOKUP($A34,Prices!$A:$J,MATCH(J$1,Prices!$1:$1,0),0)</f>
        <v>-2.7048958615083496E-4</v>
      </c>
      <c r="K34" s="11">
        <f>VLOOKUP($A34,Prices!$A:$J,MATCH(K$1,Prices!$1:$1,0),0)</f>
        <v>2.5575447570334031E-3</v>
      </c>
      <c r="L34" s="11">
        <f>VLOOKUP($A34,Prices!$A:$J,MATCH(L$1,Prices!$1:$1,0),0)</f>
        <v>2.8222349242639222E-3</v>
      </c>
      <c r="M34" s="11">
        <f t="shared" ref="M34" si="517">0.6*J34 + 0.4*K34</f>
        <v>8.6072415112286042E-4</v>
      </c>
      <c r="N34" s="11">
        <f>VLOOKUP($A34,Prices!$A:$J,MATCH(N$1,Prices!$1:$1,0),0)</f>
        <v>-8.4336872352097636E-3</v>
      </c>
      <c r="P34" s="10">
        <f t="shared" ref="P34" si="518">P33*(1+J34)</f>
        <v>102.6812519948388</v>
      </c>
      <c r="Q34" s="10">
        <f t="shared" ref="Q34" si="519">Q33*(1+K34)</f>
        <v>100.07574145925999</v>
      </c>
      <c r="R34" s="10">
        <f t="shared" ref="R34" si="520">R33*(1+L34)</f>
        <v>105.41675312681052</v>
      </c>
      <c r="S34" s="10">
        <f t="shared" ref="S34" si="521">S33*(1+M34)</f>
        <v>101.65022492305847</v>
      </c>
      <c r="T34" s="10">
        <f t="shared" ref="T34" si="522">T33*(1+N34)</f>
        <v>101.66584385043892</v>
      </c>
      <c r="V34" s="5">
        <f t="shared" ref="V34" si="523">P34/P$24-1</f>
        <v>2.1982579842389383E-2</v>
      </c>
      <c r="W34" s="5">
        <f t="shared" ref="W34" si="524">Q34/Q$24-1</f>
        <v>-3.4902321517509272E-3</v>
      </c>
      <c r="X34" s="5">
        <f t="shared" ref="X34" si="525">R34/R$24-1</f>
        <v>2.9259707402925716E-2</v>
      </c>
      <c r="Y34" s="5">
        <f t="shared" ref="Y34" si="526">S34/S$24-1</f>
        <v>1.1768253655046745E-2</v>
      </c>
      <c r="Z34" s="5">
        <f t="shared" ref="Z34" si="527">T34/T$24-1</f>
        <v>2.2870211549459452E-3</v>
      </c>
      <c r="AB34" s="8">
        <f t="shared" ref="AB34" si="528">P34/$P$2-1</f>
        <v>2.6812519948387958E-2</v>
      </c>
      <c r="AC34" s="8">
        <f t="shared" ref="AC34" si="529">Q34/$P$2-1</f>
        <v>7.5741459259992538E-4</v>
      </c>
      <c r="AD34" s="8">
        <f t="shared" ref="AD34" si="530">R34/$P$2-1</f>
        <v>5.416753126810514E-2</v>
      </c>
      <c r="AE34" s="8">
        <f t="shared" ref="AE34" si="531">S34/$P$2-1</f>
        <v>1.6502249230584631E-2</v>
      </c>
      <c r="AF34" s="8">
        <f t="shared" ref="AF34" si="532">T34/$T$2-1</f>
        <v>1.6658438504389084E-2</v>
      </c>
      <c r="AI34" s="8">
        <f t="shared" si="466"/>
        <v>-2.029406418695439E-2</v>
      </c>
      <c r="AJ34" s="8">
        <f t="shared" si="488"/>
        <v>-3.63930448847533E-3</v>
      </c>
      <c r="AK34" s="8">
        <f t="shared" si="489"/>
        <v>-9.1743119266050905E-3</v>
      </c>
      <c r="AL34" s="8">
        <f t="shared" si="490"/>
        <v>-6.4082024991988455E-4</v>
      </c>
      <c r="AM34" s="8">
        <f t="shared" si="491"/>
        <v>-1.4285538205932157E-3</v>
      </c>
      <c r="AN34" s="8">
        <f t="shared" si="492"/>
        <v>-1.5168539325842643E-2</v>
      </c>
    </row>
    <row r="35" spans="1:40" x14ac:dyDescent="0.25">
      <c r="A35" s="9">
        <v>43266</v>
      </c>
      <c r="B35" s="4">
        <f>D35-C35</f>
        <v>19462.27</v>
      </c>
      <c r="C35" s="4">
        <v>131</v>
      </c>
      <c r="D35" s="4">
        <v>19593.27</v>
      </c>
      <c r="E35" s="5">
        <f t="shared" ref="E35" si="533">D35/D34-1</f>
        <v>-1.4870013706054896E-2</v>
      </c>
      <c r="F35" s="10">
        <f t="shared" ref="F35" si="534">F34*(1+E35)</f>
        <v>97.966349999999991</v>
      </c>
      <c r="G35" s="5">
        <f t="shared" ref="G35" si="535">F35/F$24-1</f>
        <v>-1.8163204252613085E-2</v>
      </c>
      <c r="H35" s="8">
        <f t="shared" ref="H35" si="536">F35/$F$2-1</f>
        <v>-2.0336500000000091E-2</v>
      </c>
      <c r="J35" s="11">
        <f>VLOOKUP($A35,Prices!$A:$J,MATCH(J$1,Prices!$1:$1,0),0)</f>
        <v>-3.9231601731603005E-3</v>
      </c>
      <c r="K35" s="11">
        <f>VLOOKUP($A35,Prices!$A:$J,MATCH(K$1,Prices!$1:$1,0),0)</f>
        <v>3.7792894935750887E-4</v>
      </c>
      <c r="L35" s="11">
        <f>VLOOKUP($A35,Prices!$A:$J,MATCH(L$1,Prices!$1:$1,0),0)</f>
        <v>-1.4249581418545043E-3</v>
      </c>
      <c r="M35" s="11">
        <f t="shared" ref="M35" si="537">0.6*J35 + 0.4*K35</f>
        <v>-2.2027245241531767E-3</v>
      </c>
      <c r="N35" s="11">
        <f>VLOOKUP($A35,Prices!$A:$J,MATCH(N$1,Prices!$1:$1,0),0)</f>
        <v>-4.4609241300629376E-3</v>
      </c>
      <c r="P35" s="10">
        <f t="shared" ref="P35" si="538">P34*(1+J35)</f>
        <v>102.27841699648242</v>
      </c>
      <c r="Q35" s="10">
        <f t="shared" ref="Q35" si="539">Q34*(1+K35)</f>
        <v>100.11356297908586</v>
      </c>
      <c r="R35" s="10">
        <f t="shared" ref="R35" si="540">R34*(1+L35)</f>
        <v>105.2665386661546</v>
      </c>
      <c r="S35" s="10">
        <f t="shared" ref="S35" si="541">S34*(1+M35)</f>
        <v>101.42631747973476</v>
      </c>
      <c r="T35" s="10">
        <f t="shared" ref="T35" si="542">T34*(1+N35)</f>
        <v>101.21232023440328</v>
      </c>
      <c r="V35" s="5">
        <f t="shared" ref="V35" si="543">P35/P$24-1</f>
        <v>1.797317848748814E-2</v>
      </c>
      <c r="W35" s="5">
        <f t="shared" ref="W35" si="544">Q35/Q$24-1</f>
        <v>-3.1136222621634957E-3</v>
      </c>
      <c r="X35" s="5">
        <f t="shared" ref="X35" si="545">R35/R$24-1</f>
        <v>2.779305540277921E-2</v>
      </c>
      <c r="Y35" s="5">
        <f t="shared" ref="Y35" si="546">S35/S$24-1</f>
        <v>9.5396069099611402E-3</v>
      </c>
      <c r="Z35" s="5">
        <f t="shared" ref="Z35" si="547">T35/T$24-1</f>
        <v>-2.1841052029730745E-3</v>
      </c>
      <c r="AB35" s="8">
        <f t="shared" ref="AB35" si="548">P35/$P$2-1</f>
        <v>2.278416996482413E-2</v>
      </c>
      <c r="AC35" s="8">
        <f t="shared" ref="AC35" si="549">Q35/$P$2-1</f>
        <v>1.1356297908584612E-3</v>
      </c>
      <c r="AD35" s="8">
        <f t="shared" ref="AD35" si="550">R35/$P$2-1</f>
        <v>5.2665386661546076E-2</v>
      </c>
      <c r="AE35" s="8">
        <f t="shared" ref="AE35" si="551">S35/$P$2-1</f>
        <v>1.4263174797347622E-2</v>
      </c>
      <c r="AF35" s="8">
        <f t="shared" ref="AF35" si="552">T35/$T$2-1</f>
        <v>1.2123202344032746E-2</v>
      </c>
      <c r="AI35" s="8">
        <f t="shared" si="466"/>
        <v>-3.4862304880397772E-2</v>
      </c>
      <c r="AJ35" s="8">
        <f t="shared" si="488"/>
        <v>-7.5481870872083877E-3</v>
      </c>
      <c r="AK35" s="8">
        <f t="shared" si="489"/>
        <v>-8.7998502153151126E-3</v>
      </c>
      <c r="AL35" s="8">
        <f t="shared" si="490"/>
        <v>-2.0648652497418205E-3</v>
      </c>
      <c r="AM35" s="8">
        <f t="shared" si="491"/>
        <v>-3.6281316342117319E-3</v>
      </c>
      <c r="AN35" s="8">
        <f t="shared" si="492"/>
        <v>-1.9561797752809171E-2</v>
      </c>
    </row>
    <row r="36" spans="1:40" x14ac:dyDescent="0.25">
      <c r="A36" s="9">
        <v>43269</v>
      </c>
      <c r="B36" s="4">
        <v>19535.72</v>
      </c>
      <c r="C36" s="4">
        <v>131</v>
      </c>
      <c r="D36" s="4">
        <v>19666.72</v>
      </c>
      <c r="E36" s="5">
        <f t="shared" ref="E36" si="553">D36/D35-1</f>
        <v>3.7487361731860513E-3</v>
      </c>
      <c r="F36" s="10">
        <f t="shared" ref="F36" si="554">F35*(1+E36)</f>
        <v>98.33359999999999</v>
      </c>
      <c r="G36" s="5">
        <f t="shared" ref="G36" si="555">F36/F$24-1</f>
        <v>-1.4482557140229835E-2</v>
      </c>
      <c r="H36" s="8">
        <f t="shared" ref="H36" si="556">F36/$F$2-1</f>
        <v>-1.6664000000000123E-2</v>
      </c>
      <c r="J36" s="11">
        <f>VLOOKUP($A36,Prices!$A:$J,MATCH(J$1,Prices!$1:$1,0),0)</f>
        <v>-1.5231563221512978E-2</v>
      </c>
      <c r="K36" s="11">
        <f>VLOOKUP($A36,Prices!$A:$J,MATCH(K$1,Prices!$1:$1,0),0)</f>
        <v>1.8889308651304226E-4</v>
      </c>
      <c r="L36" s="11">
        <f>VLOOKUP($A36,Prices!$A:$J,MATCH(L$1,Prices!$1:$1,0),0)</f>
        <v>-2.1761621062396097E-3</v>
      </c>
      <c r="M36" s="11">
        <f t="shared" ref="M36" si="557">0.6*J36 + 0.4*K36</f>
        <v>-9.0633806983025696E-3</v>
      </c>
      <c r="N36" s="11">
        <f>VLOOKUP($A36,Prices!$A:$J,MATCH(N$1,Prices!$1:$1,0),0)</f>
        <v>-5.833209181860699E-3</v>
      </c>
      <c r="P36" s="10">
        <f t="shared" ref="P36" si="558">P35*(1+J36)</f>
        <v>100.72055682180424</v>
      </c>
      <c r="Q36" s="10">
        <f t="shared" ref="Q36" si="559">Q35*(1+K36)</f>
        <v>100.1324737389988</v>
      </c>
      <c r="R36" s="10">
        <f t="shared" ref="R36" si="560">R35*(1+L36)</f>
        <v>105.03746161365432</v>
      </c>
      <c r="S36" s="10">
        <f t="shared" ref="S36" si="561">S35*(1+M36)</f>
        <v>100.50705215158902</v>
      </c>
      <c r="T36" s="10">
        <f t="shared" ref="T36" si="562">T35*(1+N36)</f>
        <v>100.62192759869453</v>
      </c>
      <c r="V36" s="5">
        <f t="shared" ref="V36" si="563">P36/P$24-1</f>
        <v>2.467855661551388E-3</v>
      </c>
      <c r="W36" s="5">
        <f t="shared" ref="W36" si="564">Q36/Q$24-1</f>
        <v>-2.92531731736978E-3</v>
      </c>
      <c r="X36" s="5">
        <f t="shared" ref="X36" si="565">R36/R$24-1</f>
        <v>2.5556411102555465E-2</v>
      </c>
      <c r="Y36" s="5">
        <f t="shared" ref="Y36" si="566">S36/S$24-1</f>
        <v>3.8976512252131279E-4</v>
      </c>
      <c r="Z36" s="5">
        <f t="shared" ref="Z36" si="567">T36/T$24-1</f>
        <v>-8.0045740423096978E-3</v>
      </c>
      <c r="AB36" s="8">
        <f t="shared" ref="AB36" si="568">P36/$P$2-1</f>
        <v>7.205568218042302E-3</v>
      </c>
      <c r="AC36" s="8">
        <f t="shared" ref="AC36" si="569">Q36/$P$2-1</f>
        <v>1.3247373899880621E-3</v>
      </c>
      <c r="AD36" s="8">
        <f t="shared" ref="AD36" si="570">R36/$P$2-1</f>
        <v>5.037461613654326E-2</v>
      </c>
      <c r="AE36" s="8">
        <f t="shared" ref="AE36" si="571">S36/$P$2-1</f>
        <v>5.0705215158901584E-3</v>
      </c>
      <c r="AF36" s="8">
        <f t="shared" ref="AF36" si="572">T36/$T$2-1</f>
        <v>6.2192759869452718E-3</v>
      </c>
      <c r="AI36" s="8">
        <f t="shared" si="466"/>
        <v>-3.1244258290597571E-2</v>
      </c>
      <c r="AJ36" s="8">
        <f t="shared" si="488"/>
        <v>-2.2664779619894677E-2</v>
      </c>
      <c r="AK36" s="8">
        <f t="shared" si="489"/>
        <v>-8.6126193596700526E-3</v>
      </c>
      <c r="AL36" s="8">
        <f t="shared" si="490"/>
        <v>-4.2365338744704004E-3</v>
      </c>
      <c r="AM36" s="8">
        <f t="shared" si="491"/>
        <v>-1.2658629194289929E-2</v>
      </c>
      <c r="AN36" s="8">
        <f t="shared" si="492"/>
        <v>-2.5280898876404542E-2</v>
      </c>
    </row>
    <row r="37" spans="1:40" x14ac:dyDescent="0.25">
      <c r="A37" s="9">
        <v>43270</v>
      </c>
      <c r="B37" s="4">
        <f t="shared" ref="B37:B44" si="573">D37-C37</f>
        <v>19398.66</v>
      </c>
      <c r="C37" s="4">
        <v>131</v>
      </c>
      <c r="D37" s="4">
        <f>19535.26-5.6</f>
        <v>19529.66</v>
      </c>
      <c r="E37" s="5">
        <f t="shared" ref="E37" si="574">D37/D36-1</f>
        <v>-6.9691336430274253E-3</v>
      </c>
      <c r="F37" s="10">
        <f t="shared" ref="F37" si="575">F36*(1+E37)</f>
        <v>97.648299999999992</v>
      </c>
      <c r="G37" s="5">
        <f t="shared" ref="G37" si="576">F37/F$24-1</f>
        <v>-2.1350759907054151E-2</v>
      </c>
      <c r="H37" s="8">
        <f t="shared" ref="H37" si="577">F37/$F$2-1</f>
        <v>-2.3517000000000121E-2</v>
      </c>
      <c r="J37" s="11">
        <f>VLOOKUP($A37,Prices!$A:$J,MATCH(J$1,Prices!$1:$1,0),0)</f>
        <v>-6.8750560279138284E-3</v>
      </c>
      <c r="K37" s="11">
        <f>VLOOKUP($A37,Prices!$A:$J,MATCH(K$1,Prices!$1:$1,0),0)</f>
        <v>1.038715769593912E-3</v>
      </c>
      <c r="L37" s="11">
        <f>VLOOKUP($A37,Prices!$A:$J,MATCH(L$1,Prices!$1:$1,0),0)</f>
        <v>-3.682516982481121E-3</v>
      </c>
      <c r="M37" s="11">
        <f t="shared" ref="M37" si="578">0.6*J37 + 0.4*K37</f>
        <v>-3.7095473089107317E-3</v>
      </c>
      <c r="N37" s="11">
        <f>VLOOKUP($A37,Prices!$A:$J,MATCH(N$1,Prices!$1:$1,0),0)</f>
        <v>-2.8818443804035088E-3</v>
      </c>
      <c r="P37" s="10">
        <f t="shared" ref="P37" si="579">P36*(1+J37)</f>
        <v>100.02809735049165</v>
      </c>
      <c r="Q37" s="10">
        <f t="shared" ref="Q37" si="580">Q36*(1+K37)</f>
        <v>100.23648291851994</v>
      </c>
      <c r="R37" s="10">
        <f t="shared" ref="R37" si="581">R36*(1+L37)</f>
        <v>104.65065937746533</v>
      </c>
      <c r="S37" s="10">
        <f t="shared" ref="S37" si="582">S36*(1+M37)</f>
        <v>100.13421648675354</v>
      </c>
      <c r="T37" s="10">
        <f t="shared" ref="T37" si="583">T36*(1+N37)</f>
        <v>100.33195086209886</v>
      </c>
      <c r="V37" s="5">
        <f t="shared" ref="V37" si="584">P37/P$24-1</f>
        <v>-4.4241670123044141E-3</v>
      </c>
      <c r="W37" s="5">
        <f t="shared" ref="W37" si="585">Q37/Q$24-1</f>
        <v>-1.8896401210045655E-3</v>
      </c>
      <c r="X37" s="5">
        <f t="shared" ref="X37" si="586">R37/R$24-1</f>
        <v>2.1779782202177911E-2</v>
      </c>
      <c r="Y37" s="5">
        <f t="shared" ref="Y37" si="587">S37/S$24-1</f>
        <v>-3.3212280385507276E-3</v>
      </c>
      <c r="Z37" s="5">
        <f t="shared" ref="Z37" si="588">T37/T$24-1</f>
        <v>-1.0863350485991852E-2</v>
      </c>
      <c r="AB37" s="8">
        <f t="shared" ref="AB37" si="589">P37/$P$2-1</f>
        <v>2.8097350491651518E-4</v>
      </c>
      <c r="AC37" s="8">
        <f t="shared" ref="AC37" si="590">Q37/$P$2-1</f>
        <v>2.3648291851994241E-3</v>
      </c>
      <c r="AD37" s="8">
        <f t="shared" ref="AD37" si="591">R37/$P$2-1</f>
        <v>4.6506593774653382E-2</v>
      </c>
      <c r="AE37" s="8">
        <f t="shared" ref="AE37" si="592">S37/$P$2-1</f>
        <v>1.3421648675353559E-3</v>
      </c>
      <c r="AF37" s="8">
        <f t="shared" ref="AF37" si="593">T37/$T$2-1</f>
        <v>3.3195086209887315E-3</v>
      </c>
      <c r="AI37" s="8">
        <f t="shared" si="466"/>
        <v>-3.7995646522020518E-2</v>
      </c>
      <c r="AJ37" s="8">
        <f t="shared" si="488"/>
        <v>-2.9384014018061469E-2</v>
      </c>
      <c r="AK37" s="8">
        <f t="shared" si="489"/>
        <v>-7.5828496536225788E-3</v>
      </c>
      <c r="AL37" s="8">
        <f t="shared" si="490"/>
        <v>-7.9034497490118646E-3</v>
      </c>
      <c r="AM37" s="8">
        <f t="shared" si="491"/>
        <v>-1.6321218719338483E-2</v>
      </c>
      <c r="AN37" s="8">
        <f t="shared" si="492"/>
        <v>-2.8089887640449493E-2</v>
      </c>
    </row>
    <row r="38" spans="1:40" x14ac:dyDescent="0.25">
      <c r="A38" s="9">
        <v>43271</v>
      </c>
      <c r="B38" s="4">
        <f t="shared" si="573"/>
        <v>19431.399999999998</v>
      </c>
      <c r="C38" s="4">
        <v>131</v>
      </c>
      <c r="D38" s="4">
        <f>19560.8+1.6</f>
        <v>19562.399999999998</v>
      </c>
      <c r="E38" s="5">
        <f t="shared" ref="E38" si="594">D38/D37-1</f>
        <v>1.6764244743634471E-3</v>
      </c>
      <c r="F38" s="10">
        <f t="shared" ref="F38" si="595">F37*(1+E38)</f>
        <v>97.811999999999969</v>
      </c>
      <c r="G38" s="5">
        <f t="shared" ref="G38" si="596">F38/F$24-1</f>
        <v>-1.9710128369145208E-2</v>
      </c>
      <c r="H38" s="8">
        <f t="shared" ref="H38" si="597">F38/$F$2-1</f>
        <v>-2.1880000000000344E-2</v>
      </c>
      <c r="J38" s="11">
        <f>VLOOKUP($A38,Prices!$A:$J,MATCH(J$1,Prices!$1:$1,0),0)</f>
        <v>2.3607832245522431E-3</v>
      </c>
      <c r="K38" s="11">
        <f>VLOOKUP($A38,Prices!$A:$J,MATCH(K$1,Prices!$1:$1,0),0)</f>
        <v>-1.8866144703330034E-3</v>
      </c>
      <c r="L38" s="11">
        <f>VLOOKUP($A38,Prices!$A:$J,MATCH(L$1,Prices!$1:$1,0),0)</f>
        <v>2.0813148168083995E-3</v>
      </c>
      <c r="M38" s="11">
        <f t="shared" ref="M38" si="598">0.6*J38 + 0.4*K38</f>
        <v>6.6182414659814431E-4</v>
      </c>
      <c r="N38" s="11">
        <f>VLOOKUP($A38,Prices!$A:$J,MATCH(N$1,Prices!$1:$1,0),0)</f>
        <v>5.7803468208090791E-3</v>
      </c>
      <c r="P38" s="10">
        <f t="shared" ref="P38" si="599">P37*(1+J38)</f>
        <v>100.26424200470056</v>
      </c>
      <c r="Q38" s="10">
        <f t="shared" ref="Q38" si="600">Q37*(1+K38)</f>
        <v>100.04737531939057</v>
      </c>
      <c r="R38" s="10">
        <f t="shared" ref="R38" si="601">R37*(1+L38)</f>
        <v>104.86847034541641</v>
      </c>
      <c r="S38" s="10">
        <f t="shared" ref="S38" si="602">S37*(1+M38)</f>
        <v>100.20048772912516</v>
      </c>
      <c r="T38" s="10">
        <f t="shared" ref="T38" si="603">T37*(1+N38)</f>
        <v>100.91190433529017</v>
      </c>
      <c r="V38" s="5">
        <f t="shared" ref="V38" si="604">P38/P$24-1</f>
        <v>-2.0738282870174096E-3</v>
      </c>
      <c r="W38" s="5">
        <f t="shared" ref="W38" si="605">Q38/Q$24-1</f>
        <v>-3.7726895689416118E-3</v>
      </c>
      <c r="X38" s="5">
        <f t="shared" ref="X38" si="606">R38/R$24-1</f>
        <v>2.390642760239059E-2</v>
      </c>
      <c r="Y38" s="5">
        <f t="shared" ref="Y38" si="607">S38/S$24-1</f>
        <v>-2.6616019608648456E-3</v>
      </c>
      <c r="Z38" s="5">
        <f t="shared" ref="Z38" si="608">T38/T$24-1</f>
        <v>-5.145797598627766E-3</v>
      </c>
      <c r="AB38" s="8">
        <f t="shared" ref="AB38" si="609">P38/$P$2-1</f>
        <v>2.6424200470056558E-3</v>
      </c>
      <c r="AC38" s="8">
        <f t="shared" ref="AC38" si="610">Q38/$P$2-1</f>
        <v>4.7375319390563497E-4</v>
      </c>
      <c r="AD38" s="8">
        <f t="shared" ref="AD38" si="611">R38/$P$2-1</f>
        <v>4.8684703454164202E-2</v>
      </c>
      <c r="AE38" s="8">
        <f t="shared" ref="AE38" si="612">S38/$P$2-1</f>
        <v>2.0048772912515389E-3</v>
      </c>
      <c r="AF38" s="8">
        <f t="shared" ref="AF38" si="613">T38/$T$2-1</f>
        <v>9.1190433529018122E-3</v>
      </c>
      <c r="AI38" s="8">
        <f t="shared" si="466"/>
        <v>-3.6382918879405916E-2</v>
      </c>
      <c r="AJ38" s="8">
        <f t="shared" si="488"/>
        <v>-2.7092600080873126E-2</v>
      </c>
      <c r="AK38" s="8">
        <f t="shared" si="489"/>
        <v>-9.4551582100727491E-3</v>
      </c>
      <c r="AL38" s="8">
        <f t="shared" si="490"/>
        <v>-5.8385844992700445E-3</v>
      </c>
      <c r="AM38" s="8">
        <f t="shared" si="491"/>
        <v>-1.5670196349390771E-2</v>
      </c>
      <c r="AN38" s="8">
        <f t="shared" si="492"/>
        <v>-2.247191011235973E-2</v>
      </c>
    </row>
    <row r="39" spans="1:40" x14ac:dyDescent="0.25">
      <c r="A39" s="9">
        <v>43272</v>
      </c>
      <c r="B39" s="4">
        <f t="shared" si="573"/>
        <v>19315.63</v>
      </c>
      <c r="C39" s="4">
        <v>152.19</v>
      </c>
      <c r="D39" s="4">
        <f>19503.31-35.49</f>
        <v>19467.82</v>
      </c>
      <c r="E39" s="5">
        <f t="shared" ref="E39" si="614">D39/D38-1</f>
        <v>-4.8347850979428841E-3</v>
      </c>
      <c r="F39" s="10">
        <f t="shared" ref="F39" si="615">F38*(1+E39)</f>
        <v>97.339099999999974</v>
      </c>
      <c r="G39" s="5">
        <f t="shared" ref="G39" si="616">F39/F$24-1</f>
        <v>-2.4449619232170483E-2</v>
      </c>
      <c r="H39" s="8">
        <f t="shared" ref="H39" si="617">F39/$F$2-1</f>
        <v>-2.6609000000000216E-2</v>
      </c>
      <c r="J39" s="11">
        <f>VLOOKUP($A39,Prices!$A:$J,MATCH(J$1,Prices!$1:$1,0),0)</f>
        <v>-7.4812967581048273E-3</v>
      </c>
      <c r="K39" s="11">
        <f>VLOOKUP($A39,Prices!$A:$J,MATCH(K$1,Prices!$1:$1,0),0)</f>
        <v>2.8352707683576561E-4</v>
      </c>
      <c r="L39" s="11">
        <f>VLOOKUP($A39,Prices!$A:$J,MATCH(L$1,Prices!$1:$1,0),0)</f>
        <v>-6.9113697403759833E-3</v>
      </c>
      <c r="M39" s="11">
        <f t="shared" ref="M39" si="618">0.6*J39 + 0.4*K39</f>
        <v>-4.3753672241285896E-3</v>
      </c>
      <c r="N39" s="11">
        <f>VLOOKUP($A39,Prices!$A:$J,MATCH(N$1,Prices!$1:$1,0),0)</f>
        <v>5.1724137931035141E-3</v>
      </c>
      <c r="P39" s="10">
        <f t="shared" ref="P39" si="619">P38*(1+J39)</f>
        <v>99.514135456036954</v>
      </c>
      <c r="Q39" s="10">
        <f t="shared" ref="Q39" si="620">Q38*(1+K39)</f>
        <v>100.07574145925996</v>
      </c>
      <c r="R39" s="10">
        <f t="shared" ref="R39" si="621">R38*(1+L39)</f>
        <v>104.14368557275158</v>
      </c>
      <c r="S39" s="10">
        <f t="shared" ref="S39" si="622">S38*(1+M39)</f>
        <v>99.762073799273452</v>
      </c>
      <c r="T39" s="10">
        <f t="shared" ref="T39" si="623">T38*(1+N39)</f>
        <v>101.43386246116238</v>
      </c>
      <c r="V39" s="5">
        <f t="shared" ref="V39" si="624">P39/P$24-1</f>
        <v>-9.5396101202818162E-3</v>
      </c>
      <c r="W39" s="5">
        <f t="shared" ref="W39" si="625">Q39/Q$24-1</f>
        <v>-3.4902321517511492E-3</v>
      </c>
      <c r="X39" s="5">
        <f t="shared" ref="X39" si="626">R39/R$24-1</f>
        <v>1.682983170168284E-2</v>
      </c>
      <c r="Y39" s="5">
        <f t="shared" ref="Y39" si="627">S39/S$24-1</f>
        <v>-7.0253236990100998E-3</v>
      </c>
      <c r="Z39" s="5">
        <f t="shared" ref="Z39" si="628">T39/T$24-1</f>
        <v>0</v>
      </c>
      <c r="AB39" s="8">
        <f t="shared" ref="AB39" si="629">P39/$P$2-1</f>
        <v>-4.8586454396304379E-3</v>
      </c>
      <c r="AC39" s="8">
        <f t="shared" ref="AC39" si="630">Q39/$P$2-1</f>
        <v>7.574145925994813E-4</v>
      </c>
      <c r="AD39" s="8">
        <f t="shared" ref="AD39" si="631">R39/$P$2-1</f>
        <v>4.1436855727515765E-2</v>
      </c>
      <c r="AE39" s="8">
        <f t="shared" ref="AE39" si="632">S39/$P$2-1</f>
        <v>-2.3792620072654591E-3</v>
      </c>
      <c r="AF39" s="8">
        <f t="shared" ref="AF39" si="633">T39/$T$2-1</f>
        <v>1.4338624611623718E-2</v>
      </c>
      <c r="AI39" s="8">
        <f t="shared" si="466"/>
        <v>-4.1041800383331051E-2</v>
      </c>
      <c r="AJ39" s="8">
        <f t="shared" si="488"/>
        <v>-3.4371209057824335E-2</v>
      </c>
      <c r="AK39" s="8">
        <f t="shared" si="489"/>
        <v>-9.1743119266053715E-3</v>
      </c>
      <c r="AL39" s="8">
        <f t="shared" si="490"/>
        <v>-1.27096016234112E-2</v>
      </c>
      <c r="AM39" s="8">
        <f t="shared" si="491"/>
        <v>-1.9977000710016502E-2</v>
      </c>
      <c r="AN39" s="8">
        <f t="shared" si="492"/>
        <v>-1.7415730337078713E-2</v>
      </c>
    </row>
    <row r="40" spans="1:40" x14ac:dyDescent="0.25">
      <c r="A40" s="9">
        <v>43273</v>
      </c>
      <c r="B40" s="4">
        <f t="shared" si="573"/>
        <v>19601.5</v>
      </c>
      <c r="C40" s="4">
        <v>152.19</v>
      </c>
      <c r="D40" s="4">
        <f>19654.07+99.62</f>
        <v>19753.689999999999</v>
      </c>
      <c r="E40" s="5">
        <f t="shared" ref="E40" si="634">D40/D39-1</f>
        <v>1.4684232749224035E-2</v>
      </c>
      <c r="F40" s="10">
        <f t="shared" ref="F40" si="635">F39*(1+E40)</f>
        <v>98.768449999999973</v>
      </c>
      <c r="G40" s="5">
        <f t="shared" ref="G40" si="636">F40/F$24-1</f>
        <v>-1.0124410382381543E-2</v>
      </c>
      <c r="H40" s="8">
        <f t="shared" ref="H40" si="637">F40/$F$2-1</f>
        <v>-1.2315500000000257E-2</v>
      </c>
      <c r="J40" s="11">
        <f>VLOOKUP($A40,Prices!$A:$J,MATCH(J$1,Prices!$1:$1,0),0)</f>
        <v>5.3042992741485495E-3</v>
      </c>
      <c r="K40" s="11">
        <f>VLOOKUP($A40,Prices!$A:$J,MATCH(K$1,Prices!$1:$1,0),0)</f>
        <v>9.4482237339366115E-4</v>
      </c>
      <c r="L40" s="11">
        <f>VLOOKUP($A40,Prices!$A:$J,MATCH(L$1,Prices!$1:$1,0),0)</f>
        <v>2.0553872782345106E-3</v>
      </c>
      <c r="M40" s="11">
        <f t="shared" ref="M40" si="638">0.6*J40 + 0.4*K40</f>
        <v>3.5605085138465942E-3</v>
      </c>
      <c r="N40" s="11">
        <f>VLOOKUP($A40,Prices!$A:$J,MATCH(N$1,Prices!$1:$1,0),0)</f>
        <v>-6.2893081761006275E-3</v>
      </c>
      <c r="P40" s="10">
        <f t="shared" ref="P40" si="639">P39*(1+J40)</f>
        <v>100.04198821250392</v>
      </c>
      <c r="Q40" s="10">
        <f t="shared" ref="Q40" si="640">Q39*(1+K40)</f>
        <v>100.17029525882462</v>
      </c>
      <c r="R40" s="10">
        <f t="shared" ref="R40" si="641">R39*(1+L40)</f>
        <v>104.35774117918626</v>
      </c>
      <c r="S40" s="10">
        <f t="shared" ref="S40" si="642">S39*(1+M40)</f>
        <v>100.11727751239475</v>
      </c>
      <c r="T40" s="10">
        <f t="shared" ref="T40" si="643">T39*(1+N40)</f>
        <v>100.79591364065192</v>
      </c>
      <c r="V40" s="5">
        <f t="shared" ref="V40" si="644">P40/P$24-1</f>
        <v>-4.2859117931699497E-3</v>
      </c>
      <c r="W40" s="5">
        <f t="shared" ref="W40" si="645">Q40/Q$24-1</f>
        <v>-2.5487074277827926E-3</v>
      </c>
      <c r="X40" s="5">
        <f t="shared" ref="X40" si="646">R40/R$24-1</f>
        <v>1.8919810801891757E-2</v>
      </c>
      <c r="Y40" s="5">
        <f t="shared" ref="Y40" si="647">S40/S$24-1</f>
        <v>-3.4898289100064872E-3</v>
      </c>
      <c r="Z40" s="5">
        <f t="shared" ref="Z40" si="648">T40/T$24-1</f>
        <v>-6.2893081761005165E-3</v>
      </c>
      <c r="AB40" s="8">
        <f t="shared" ref="AB40" si="649">P40/$P$2-1</f>
        <v>4.1988212503918376E-4</v>
      </c>
      <c r="AC40" s="8">
        <f t="shared" ref="AC40" si="650">Q40/$P$2-1</f>
        <v>1.7029525882461538E-3</v>
      </c>
      <c r="AD40" s="8">
        <f t="shared" ref="AD40" si="651">R40/$P$2-1</f>
        <v>4.3577411791862586E-2</v>
      </c>
      <c r="AE40" s="8">
        <f t="shared" ref="AE40" si="652">S40/$P$2-1</f>
        <v>1.1727751239474227E-3</v>
      </c>
      <c r="AF40" s="8">
        <f t="shared" ref="AF40" si="653">T40/$T$2-1</f>
        <v>7.9591364065192405E-3</v>
      </c>
      <c r="AI40" s="8">
        <f t="shared" si="466"/>
        <v>-2.6960234983382975E-2</v>
      </c>
      <c r="AJ40" s="8">
        <f t="shared" si="488"/>
        <v>-2.924922496293288E-2</v>
      </c>
      <c r="AK40" s="8">
        <f t="shared" si="489"/>
        <v>-8.238157648380498E-3</v>
      </c>
      <c r="AL40" s="8">
        <f t="shared" si="490"/>
        <v>-1.0680337498664922E-2</v>
      </c>
      <c r="AM40" s="8">
        <f t="shared" si="491"/>
        <v>-1.648762047727911E-2</v>
      </c>
      <c r="AN40" s="8">
        <f t="shared" si="492"/>
        <v>-2.359550561797763E-2</v>
      </c>
    </row>
    <row r="41" spans="1:40" x14ac:dyDescent="0.25">
      <c r="A41" s="9">
        <v>43276</v>
      </c>
      <c r="B41" s="4">
        <f t="shared" si="573"/>
        <v>19409.620000000003</v>
      </c>
      <c r="C41" s="4">
        <v>152.19</v>
      </c>
      <c r="D41" s="4">
        <f>19534.65+27.16</f>
        <v>19561.810000000001</v>
      </c>
      <c r="E41" s="5">
        <f t="shared" ref="E41" si="654">D41/D40-1</f>
        <v>-9.7136281879485198E-3</v>
      </c>
      <c r="F41" s="10">
        <f t="shared" ref="F41" si="655">F40*(1+E41)</f>
        <v>97.809049999999985</v>
      </c>
      <c r="G41" s="5">
        <f t="shared" ref="G41" si="656">F41/F$24-1</f>
        <v>-1.9739693812253378E-2</v>
      </c>
      <c r="H41" s="8">
        <f t="shared" ref="H41" si="657">F41/$F$2-1</f>
        <v>-2.1909500000000137E-2</v>
      </c>
      <c r="J41" s="11">
        <f>VLOOKUP($A41,Prices!$A:$J,MATCH(J$1,Prices!$1:$1,0),0)</f>
        <v>-1.4162732574284909E-2</v>
      </c>
      <c r="K41" s="11">
        <f>VLOOKUP($A41,Prices!$A:$J,MATCH(K$1,Prices!$1:$1,0),0)</f>
        <v>-5.6635831602791509E-4</v>
      </c>
      <c r="L41" s="11">
        <f>VLOOKUP($A41,Prices!$A:$J,MATCH(L$1,Prices!$1:$1,0),0)</f>
        <v>-1.8248947425240081E-2</v>
      </c>
      <c r="M41" s="11">
        <f t="shared" ref="M41" si="658">0.6*J41 + 0.4*K41</f>
        <v>-8.7241828709821116E-3</v>
      </c>
      <c r="N41" s="11">
        <f>VLOOKUP($A41,Prices!$A:$J,MATCH(N$1,Prices!$1:$1,0),0)</f>
        <v>6.9044879171462625E-3</v>
      </c>
      <c r="P41" s="10">
        <f t="shared" ref="P41" si="659">P40*(1+J41)</f>
        <v>98.625120287250468</v>
      </c>
      <c r="Q41" s="10">
        <f t="shared" ref="Q41" si="660">Q40*(1+K41)</f>
        <v>100.11356297908581</v>
      </c>
      <c r="R41" s="10">
        <f t="shared" ref="R41" si="661">R40*(1+L41)</f>
        <v>102.45332224699048</v>
      </c>
      <c r="S41" s="10">
        <f t="shared" ref="S41" si="662">S40*(1+M41)</f>
        <v>99.243836074831762</v>
      </c>
      <c r="T41" s="10">
        <f t="shared" ref="T41" si="663">T40*(1+N41)</f>
        <v>101.49185780848151</v>
      </c>
      <c r="V41" s="5">
        <f t="shared" ref="V41" si="664">P41/P$24-1</f>
        <v>-1.8387944144891311E-2</v>
      </c>
      <c r="W41" s="5">
        <f t="shared" ref="W41" si="665">Q41/Q$24-1</f>
        <v>-3.1136222621639398E-3</v>
      </c>
      <c r="X41" s="5">
        <f t="shared" ref="X41" si="666">R41/R$24-1</f>
        <v>3.2559674403254135E-4</v>
      </c>
      <c r="Y41" s="5">
        <f t="shared" ref="Y41" si="667">S41/S$24-1</f>
        <v>-1.2183565875389157E-2</v>
      </c>
      <c r="Z41" s="5">
        <f t="shared" ref="Z41" si="668">T41/T$24-1</f>
        <v>5.717552887365418E-4</v>
      </c>
      <c r="AB41" s="8">
        <f t="shared" ref="AB41" si="669">P41/$P$2-1</f>
        <v>-1.3748797127495327E-2</v>
      </c>
      <c r="AC41" s="8">
        <f t="shared" ref="AC41" si="670">Q41/$P$2-1</f>
        <v>1.1356297908582391E-3</v>
      </c>
      <c r="AD41" s="8">
        <f t="shared" ref="AD41" si="671">R41/$P$2-1</f>
        <v>2.4533222469904858E-2</v>
      </c>
      <c r="AE41" s="8">
        <f t="shared" ref="AE41" si="672">S41/$P$2-1</f>
        <v>-7.561639251682406E-3</v>
      </c>
      <c r="AF41" s="8">
        <f t="shared" ref="AF41" si="673">T41/$T$2-1</f>
        <v>1.4918578084815115E-2</v>
      </c>
      <c r="AI41" s="8">
        <f t="shared" si="466"/>
        <v>-3.6411981472843233E-2</v>
      </c>
      <c r="AJ41" s="8">
        <f t="shared" si="488"/>
        <v>-4.2997708586062673E-2</v>
      </c>
      <c r="AK41" s="8">
        <f t="shared" si="489"/>
        <v>-8.7998502153155342E-3</v>
      </c>
      <c r="AL41" s="8">
        <f t="shared" si="490"/>
        <v>-2.8734380006408045E-2</v>
      </c>
      <c r="AM41" s="8">
        <f t="shared" si="491"/>
        <v>-2.5067962332110005E-2</v>
      </c>
      <c r="AN41" s="8">
        <f t="shared" si="492"/>
        <v>-1.6853932584269694E-2</v>
      </c>
    </row>
    <row r="42" spans="1:40" x14ac:dyDescent="0.25">
      <c r="A42" s="9">
        <v>43277</v>
      </c>
      <c r="B42" s="4">
        <f t="shared" si="573"/>
        <v>19500.59</v>
      </c>
      <c r="C42" s="4">
        <v>152.19</v>
      </c>
      <c r="D42" s="4">
        <f>19642.68+10.1</f>
        <v>19652.78</v>
      </c>
      <c r="E42" s="5">
        <f t="shared" ref="E42" si="674">D42/D41-1</f>
        <v>4.6503876686256884E-3</v>
      </c>
      <c r="F42" s="10">
        <f t="shared" ref="F42" si="675">F41*(1+E42)</f>
        <v>98.263899999999978</v>
      </c>
      <c r="G42" s="5">
        <f t="shared" ref="G42" si="676">F42/F$24-1</f>
        <v>-1.5181103372314708E-2</v>
      </c>
      <c r="H42" s="8">
        <f t="shared" ref="H42" si="677">F42/$F$2-1</f>
        <v>-1.7361000000000182E-2</v>
      </c>
      <c r="J42" s="11">
        <f>VLOOKUP($A42,Prices!$A:$J,MATCH(J$1,Prices!$1:$1,0),0)</f>
        <v>1.4084507042253502E-3</v>
      </c>
      <c r="K42" s="11">
        <f>VLOOKUP($A42,Prices!$A:$J,MATCH(K$1,Prices!$1:$1,0),0)</f>
        <v>1.6055912353607482E-3</v>
      </c>
      <c r="L42" s="11">
        <f>VLOOKUP($A42,Prices!$A:$J,MATCH(L$1,Prices!$1:$1,0),0)</f>
        <v>2.386932278860554E-3</v>
      </c>
      <c r="M42" s="11">
        <f t="shared" ref="M42" si="678">0.6*J42 + 0.4*K42</f>
        <v>1.4873069166795095E-3</v>
      </c>
      <c r="N42" s="11">
        <f>VLOOKUP($A42,Prices!$A:$J,MATCH(N$1,Prices!$1:$1,0),0)</f>
        <v>-8.0000000000000071E-3</v>
      </c>
      <c r="P42" s="10">
        <f t="shared" ref="P42" si="679">P41*(1+J42)</f>
        <v>98.764028907373358</v>
      </c>
      <c r="Q42" s="10">
        <f t="shared" ref="Q42" si="680">Q41*(1+K42)</f>
        <v>100.27430443834577</v>
      </c>
      <c r="R42" s="10">
        <f t="shared" ref="R42" si="681">R41*(1+L42)</f>
        <v>102.69787138893832</v>
      </c>
      <c r="S42" s="10">
        <f t="shared" ref="S42" si="682">S41*(1+M42)</f>
        <v>99.391442118663662</v>
      </c>
      <c r="T42" s="10">
        <f t="shared" ref="T42" si="683">T41*(1+N42)</f>
        <v>100.67992294601366</v>
      </c>
      <c r="V42" s="5">
        <f t="shared" ref="V42" si="684">P42/P$24-1</f>
        <v>-1.7005391953546001E-2</v>
      </c>
      <c r="W42" s="5">
        <f t="shared" ref="W42" si="685">Q42/Q$24-1</f>
        <v>-1.5130302314175781E-3</v>
      </c>
      <c r="X42" s="5">
        <f t="shared" ref="X42" si="686">R42/R$24-1</f>
        <v>2.713306200271326E-3</v>
      </c>
      <c r="Y42" s="5">
        <f t="shared" ref="Y42" si="687">S42/S$24-1</f>
        <v>-1.0714379660506035E-2</v>
      </c>
      <c r="Z42" s="5">
        <f t="shared" ref="Z42" si="688">T42/T$24-1</f>
        <v>-7.432818753573267E-3</v>
      </c>
      <c r="AB42" s="8">
        <f t="shared" ref="AB42" si="689">P42/$P$2-1</f>
        <v>-1.2359710926266421E-2</v>
      </c>
      <c r="AC42" s="8">
        <f t="shared" ref="AC42" si="690">Q42/$P$2-1</f>
        <v>2.7430443834577378E-3</v>
      </c>
      <c r="AD42" s="8">
        <f t="shared" ref="AD42" si="691">R42/$P$2-1</f>
        <v>2.6978713889383332E-2</v>
      </c>
      <c r="AE42" s="8">
        <f t="shared" ref="AE42" si="692">S42/$P$2-1</f>
        <v>-6.085578813363357E-3</v>
      </c>
      <c r="AF42" s="8">
        <f t="shared" ref="AF42" si="693">T42/$T$2-1</f>
        <v>6.7992294601366687E-3</v>
      </c>
      <c r="AI42" s="8">
        <f t="shared" si="466"/>
        <v>-2.6135036389647634E-2</v>
      </c>
      <c r="AJ42" s="8">
        <f t="shared" si="488"/>
        <v>-4.164981803477541E-2</v>
      </c>
      <c r="AK42" s="8">
        <f t="shared" si="489"/>
        <v>-7.2083879423330234E-3</v>
      </c>
      <c r="AL42" s="8">
        <f t="shared" si="490"/>
        <v>-2.6416034746697837E-2</v>
      </c>
      <c r="AM42" s="8">
        <f t="shared" si="491"/>
        <v>-2.3617939169194156E-2</v>
      </c>
      <c r="AN42" s="8">
        <f t="shared" si="492"/>
        <v>-2.4719101123595526E-2</v>
      </c>
    </row>
    <row r="43" spans="1:40" x14ac:dyDescent="0.25">
      <c r="A43" s="9">
        <v>43278</v>
      </c>
      <c r="B43" s="4">
        <f t="shared" si="573"/>
        <v>19487.84</v>
      </c>
      <c r="C43" s="4">
        <v>152.19</v>
      </c>
      <c r="D43" s="4">
        <f>19646.73-6.7</f>
        <v>19640.03</v>
      </c>
      <c r="E43" s="5">
        <f t="shared" ref="E43" si="694">D43/D42-1</f>
        <v>-6.4876317752504686E-4</v>
      </c>
      <c r="F43" s="10">
        <f t="shared" ref="F43" si="695">F42*(1+E43)</f>
        <v>98.200149999999979</v>
      </c>
      <c r="G43" s="5">
        <f t="shared" ref="G43" si="696">F43/F$24-1</f>
        <v>-1.5820017608977555E-2</v>
      </c>
      <c r="H43" s="8">
        <f t="shared" ref="H43" si="697">F43/$F$2-1</f>
        <v>-1.799850000000025E-2</v>
      </c>
      <c r="J43" s="11">
        <f>VLOOKUP($A43,Prices!$A:$J,MATCH(J$1,Prices!$1:$1,0),0)</f>
        <v>-9.7046413502109852E-3</v>
      </c>
      <c r="K43" s="11">
        <f>VLOOKUP($A43,Prices!$A:$J,MATCH(K$1,Prices!$1:$1,0),0)</f>
        <v>1.7916077322017721E-3</v>
      </c>
      <c r="L43" s="11">
        <f>VLOOKUP($A43,Prices!$A:$J,MATCH(L$1,Prices!$1:$1,0),0)</f>
        <v>-8.5932643434381006E-3</v>
      </c>
      <c r="M43" s="11">
        <f t="shared" ref="M43" si="698">0.6*J43 + 0.4*K43</f>
        <v>-5.1061417172458823E-3</v>
      </c>
      <c r="N43" s="11">
        <f>VLOOKUP($A43,Prices!$A:$J,MATCH(N$1,Prices!$1:$1,0),0)</f>
        <v>3.7096774193547954E-3</v>
      </c>
      <c r="P43" s="10">
        <f t="shared" ref="P43" si="699">P42*(1+J43)</f>
        <v>97.805559428525427</v>
      </c>
      <c r="Q43" s="10">
        <f t="shared" ref="Q43" si="700">Q42*(1+K43)</f>
        <v>100.45395665751866</v>
      </c>
      <c r="R43" s="10">
        <f t="shared" ref="R43" si="701">R42*(1+L43)</f>
        <v>101.81536143258477</v>
      </c>
      <c r="S43" s="10">
        <f t="shared" ref="S43" si="702">S42*(1+M43)</f>
        <v>98.883935329724324</v>
      </c>
      <c r="T43" s="10">
        <f t="shared" ref="T43" si="703">T42*(1+N43)</f>
        <v>101.05341298274887</v>
      </c>
      <c r="V43" s="5">
        <f t="shared" ref="V43" si="704">P43/P$24-1</f>
        <v>-2.6545002073828039E-2</v>
      </c>
      <c r="W43" s="5">
        <f t="shared" ref="W43" si="705">Q43/Q$24-1</f>
        <v>2.7586674412249934E-4</v>
      </c>
      <c r="X43" s="5">
        <f t="shared" ref="X43" si="706">R43/R$24-1</f>
        <v>-5.9032743005904553E-3</v>
      </c>
      <c r="Y43" s="5">
        <f t="shared" ref="Y43" si="707">S43/S$24-1</f>
        <v>-1.5765812236792964E-2</v>
      </c>
      <c r="Z43" s="5">
        <f t="shared" ref="Z43" si="708">T43/T$24-1</f>
        <v>-3.7507146941108127E-3</v>
      </c>
      <c r="AB43" s="8">
        <f t="shared" ref="AB43" si="709">P43/$P$2-1</f>
        <v>-2.1944405714745763E-2</v>
      </c>
      <c r="AC43" s="8">
        <f t="shared" ref="AC43" si="710">Q43/$P$2-1</f>
        <v>4.5395665751866154E-3</v>
      </c>
      <c r="AD43" s="8">
        <f t="shared" ref="AD43" si="711">R43/$P$2-1</f>
        <v>1.8153614325847611E-2</v>
      </c>
      <c r="AE43" s="8">
        <f t="shared" ref="AE43" si="712">S43/$P$2-1</f>
        <v>-1.1160646702756738E-2</v>
      </c>
      <c r="AF43" s="8">
        <f t="shared" ref="AF43" si="713">T43/$T$2-1</f>
        <v>1.0534129827488581E-2</v>
      </c>
      <c r="AI43" s="8">
        <f t="shared" si="466"/>
        <v>-2.6766844117919755E-2</v>
      </c>
      <c r="AJ43" s="8">
        <f t="shared" si="488"/>
        <v>-5.0950262838657376E-2</v>
      </c>
      <c r="AK43" s="8">
        <f t="shared" si="489"/>
        <v>-5.4296948137054525E-3</v>
      </c>
      <c r="AL43" s="8">
        <f t="shared" si="490"/>
        <v>-3.4782299120652151E-2</v>
      </c>
      <c r="AM43" s="8">
        <f t="shared" si="491"/>
        <v>-2.8603484341972841E-2</v>
      </c>
      <c r="AN43" s="8">
        <f t="shared" si="492"/>
        <v>-2.1101123595505703E-2</v>
      </c>
    </row>
    <row r="44" spans="1:40" x14ac:dyDescent="0.25">
      <c r="A44" s="9">
        <v>43279</v>
      </c>
      <c r="B44" s="4">
        <f t="shared" si="573"/>
        <v>19542.14</v>
      </c>
      <c r="C44" s="4">
        <v>152.19</v>
      </c>
      <c r="D44" s="4">
        <f>19706.73-12.4</f>
        <v>19694.329999999998</v>
      </c>
      <c r="E44" s="5">
        <f t="shared" ref="E44" si="714">D44/D43-1</f>
        <v>2.7647615609547316E-3</v>
      </c>
      <c r="F44" s="10">
        <f t="shared" ref="F44" si="715">F43*(1+E44)</f>
        <v>98.471649999999968</v>
      </c>
      <c r="G44" s="5">
        <f t="shared" ref="G44" si="716">F44/F$24-1</f>
        <v>-1.3098994624601734E-2</v>
      </c>
      <c r="H44" s="8">
        <f t="shared" ref="H44" si="717">F44/$F$2-1</f>
        <v>-1.5283500000000338E-2</v>
      </c>
      <c r="J44" s="11">
        <f>VLOOKUP($A44,Prices!$A:$J,MATCH(J$1,Prices!$1:$1,0),0)</f>
        <v>5.2549353784974162E-3</v>
      </c>
      <c r="K44" s="11">
        <f>VLOOKUP($A44,Prices!$A:$J,MATCH(K$1,Prices!$1:$1,0),0)</f>
        <v>-9.4126506024028167E-5</v>
      </c>
      <c r="L44" s="11">
        <f>VLOOKUP($A44,Prices!$A:$J,MATCH(L$1,Prices!$1:$1,0),0)</f>
        <v>6.2702862201238219E-3</v>
      </c>
      <c r="M44" s="11">
        <f t="shared" ref="M44" si="718">0.6*J44 + 0.4*K44</f>
        <v>3.1153106246888385E-3</v>
      </c>
      <c r="N44" s="11">
        <f>VLOOKUP($A44,Prices!$A:$J,MATCH(N$1,Prices!$1:$1,0),0)</f>
        <v>-5.9915979890268201E-3</v>
      </c>
      <c r="P44" s="10">
        <f t="shared" ref="P44" si="719">P43*(1+J44)</f>
        <v>98.319521322980123</v>
      </c>
      <c r="Q44" s="10">
        <f t="shared" ref="Q44" si="720">Q43*(1+K44)</f>
        <v>100.4445012775622</v>
      </c>
      <c r="R44" s="10">
        <f t="shared" ref="R44" si="721">R43*(1+L44)</f>
        <v>102.45377289037243</v>
      </c>
      <c r="S44" s="10">
        <f t="shared" ref="S44" si="722">S43*(1+M44)</f>
        <v>99.191989504068061</v>
      </c>
      <c r="T44" s="10">
        <f t="shared" ref="T44" si="723">T43*(1+N44)</f>
        <v>100.44794155673713</v>
      </c>
      <c r="V44" s="5">
        <f t="shared" ref="V44" si="724">P44/P$24-1</f>
        <v>-2.1429558965850637E-2</v>
      </c>
      <c r="W44" s="5">
        <f t="shared" ref="W44" si="725">Q44/Q$24-1</f>
        <v>1.817142717257525E-4</v>
      </c>
      <c r="X44" s="5">
        <f t="shared" ref="X44" si="726">R44/R$24-1</f>
        <v>3.2999670003275305E-4</v>
      </c>
      <c r="Y44" s="5">
        <f t="shared" ref="Y44" si="727">S44/S$24-1</f>
        <v>-1.2699617014472198E-2</v>
      </c>
      <c r="Z44" s="5">
        <f t="shared" ref="Z44" si="728">T44/T$24-1</f>
        <v>-9.7198399085189902E-3</v>
      </c>
      <c r="AB44" s="8">
        <f t="shared" ref="AB44" si="729">P44/$P$2-1</f>
        <v>-1.680478677019881E-2</v>
      </c>
      <c r="AC44" s="8">
        <f t="shared" ref="AC44" si="730">Q44/$P$2-1</f>
        <v>4.445012775621926E-3</v>
      </c>
      <c r="AD44" s="8">
        <f t="shared" ref="AD44" si="731">R44/$P$2-1</f>
        <v>2.4537728903724298E-2</v>
      </c>
      <c r="AE44" s="8">
        <f t="shared" ref="AE44" si="732">S44/$P$2-1</f>
        <v>-8.0801049593194341E-3</v>
      </c>
      <c r="AF44" s="8">
        <f t="shared" ref="AF44" si="733">T44/$T$2-1</f>
        <v>4.4794155673713032E-3</v>
      </c>
      <c r="AI44" s="8">
        <f t="shared" si="466"/>
        <v>-2.4076086498690315E-2</v>
      </c>
      <c r="AJ44" s="8">
        <f t="shared" si="488"/>
        <v>-4.5963067798894509E-2</v>
      </c>
      <c r="AK44" s="8">
        <f t="shared" si="489"/>
        <v>-5.5233102415279114E-3</v>
      </c>
      <c r="AL44" s="8">
        <f t="shared" si="490"/>
        <v>-2.8730107871408721E-2</v>
      </c>
      <c r="AM44" s="8">
        <f t="shared" si="491"/>
        <v>-2.5577282455957633E-2</v>
      </c>
      <c r="AN44" s="8">
        <f t="shared" si="492"/>
        <v>-2.6966292134831458E-2</v>
      </c>
    </row>
    <row r="45" spans="1:40" x14ac:dyDescent="0.25">
      <c r="A45" s="9">
        <v>43280</v>
      </c>
      <c r="B45" s="4">
        <f t="shared" ref="B45:B50" si="734">D45-C45</f>
        <v>19650.02</v>
      </c>
      <c r="C45" s="4">
        <v>198.34</v>
      </c>
      <c r="D45" s="4">
        <v>19848.36</v>
      </c>
      <c r="E45" s="5">
        <f t="shared" ref="E45:E47" si="735">D45/D44-1</f>
        <v>7.8210327540972902E-3</v>
      </c>
      <c r="F45" s="10">
        <f t="shared" ref="F45:F47" si="736">F44*(1+E45)</f>
        <v>99.241799999999969</v>
      </c>
      <c r="G45" s="5">
        <f t="shared" ref="G45" si="737">F45/F$24-1</f>
        <v>-5.3804095365092008E-3</v>
      </c>
      <c r="H45" s="8">
        <f t="shared" ref="H45:H47" si="738">F45/$F$2-1</f>
        <v>-7.5820000000003107E-3</v>
      </c>
      <c r="J45" s="11">
        <f>VLOOKUP($A45,Prices!$A:$J,MATCH(J$1,Prices!$1:$1,0),0)</f>
        <v>4.80361684091557E-3</v>
      </c>
      <c r="K45" s="11">
        <f>VLOOKUP($A45,Prices!$A:$J,MATCH(K$1,Prices!$1:$1,0),0)</f>
        <v>-1.3103643038689938E-3</v>
      </c>
      <c r="L45" s="11">
        <f>VLOOKUP($A45,Prices!$A:$J,MATCH(L$1,Prices!$1:$1,0),0)</f>
        <v>8.4304669745627336E-4</v>
      </c>
      <c r="M45" s="11">
        <f t="shared" ref="M45:M47" si="739">0.6*J45 + 0.4*K45</f>
        <v>2.3580243830017443E-3</v>
      </c>
      <c r="N45" s="11">
        <f>VLOOKUP($A45,Prices!$A:$J,MATCH(N$1,Prices!$1:$1,0),0)</f>
        <v>4.6189376443417363E-3</v>
      </c>
      <c r="P45" s="10">
        <f t="shared" ref="P45:P47" si="740">P44*(1+J45)</f>
        <v>98.791810631397951</v>
      </c>
      <c r="Q45" s="10">
        <f t="shared" ref="Q45:Q47" si="741">Q44*(1+K45)</f>
        <v>100.31288238856816</v>
      </c>
      <c r="R45" s="10">
        <f t="shared" ref="R45:R47" si="742">R44*(1+L45)</f>
        <v>102.5401462052496</v>
      </c>
      <c r="S45" s="10">
        <f t="shared" ref="S45:S47" si="743">S44*(1+M45)</f>
        <v>99.425886633917102</v>
      </c>
      <c r="T45" s="10">
        <f t="shared" ref="T45:T47" si="744">T44*(1+N45)</f>
        <v>100.91190433529019</v>
      </c>
      <c r="V45" s="5">
        <f t="shared" ref="V45" si="745">P45/P$24-1</f>
        <v>-1.672888151527685E-2</v>
      </c>
      <c r="W45" s="5">
        <f t="shared" ref="W45" si="746">Q45/Q$24-1</f>
        <v>-1.1288881440384424E-3</v>
      </c>
      <c r="X45" s="5">
        <f t="shared" ref="X45" si="747">R45/R$24-1</f>
        <v>1.1733216001172941E-3</v>
      </c>
      <c r="Y45" s="5">
        <f t="shared" ref="Y45" si="748">S45/S$24-1</f>
        <v>-1.0371538638045408E-2</v>
      </c>
      <c r="Z45" s="5">
        <f t="shared" ref="Z45" si="749">T45/T$24-1</f>
        <v>-5.145797598627655E-3</v>
      </c>
      <c r="AB45" s="8">
        <f t="shared" ref="AB45:AB47" si="750">P45/$P$2-1</f>
        <v>-1.2081893686020528E-2</v>
      </c>
      <c r="AC45" s="8">
        <f t="shared" ref="AC45:AC47" si="751">Q45/$P$2-1</f>
        <v>3.1288238856814754E-3</v>
      </c>
      <c r="AD45" s="8">
        <f t="shared" ref="AD45:AD47" si="752">R45/$P$2-1</f>
        <v>2.5401462052496049E-2</v>
      </c>
      <c r="AE45" s="8">
        <f t="shared" ref="AE45:AE47" si="753">S45/$P$2-1</f>
        <v>-5.7411336608289565E-3</v>
      </c>
      <c r="AF45" s="8">
        <f t="shared" ref="AF45:AF47" si="754">T45/$T$2-1</f>
        <v>9.1190433529018122E-3</v>
      </c>
      <c r="AI45" s="8">
        <f t="shared" si="466"/>
        <v>-1.6443353605689791E-2</v>
      </c>
      <c r="AJ45" s="8">
        <f t="shared" si="488"/>
        <v>-4.1380239924517816E-2</v>
      </c>
      <c r="AK45" s="8">
        <f t="shared" si="489"/>
        <v>-6.8264369968172095E-3</v>
      </c>
      <c r="AL45" s="8">
        <f t="shared" si="490"/>
        <v>-2.7911281996510991E-2</v>
      </c>
      <c r="AM45" s="8">
        <f t="shared" si="491"/>
        <v>-2.327956992863801E-2</v>
      </c>
      <c r="AN45" s="8">
        <f t="shared" si="492"/>
        <v>-2.2471910112359595E-2</v>
      </c>
    </row>
    <row r="46" spans="1:40" x14ac:dyDescent="0.25">
      <c r="A46" s="9">
        <v>43283</v>
      </c>
      <c r="B46" s="4">
        <f t="shared" si="734"/>
        <v>19432.47</v>
      </c>
      <c r="C46" s="4">
        <v>198.34</v>
      </c>
      <c r="D46" s="4">
        <v>19630.810000000001</v>
      </c>
      <c r="E46" s="5">
        <f t="shared" si="735"/>
        <v>-1.0960603294176363E-2</v>
      </c>
      <c r="F46" s="10">
        <f t="shared" si="736"/>
        <v>98.154049999999984</v>
      </c>
      <c r="G46" s="5">
        <f>F46/F$45-1</f>
        <v>-1.0960603294176252E-2</v>
      </c>
      <c r="H46" s="8">
        <f t="shared" si="738"/>
        <v>-1.8459500000000184E-2</v>
      </c>
      <c r="J46" s="11">
        <f>VLOOKUP($A46,Prices!$A:$J,MATCH(J$1,Prices!$1:$1,0),0)</f>
        <v>-2.9527559055119168E-3</v>
      </c>
      <c r="K46" s="11">
        <f>VLOOKUP($A46,Prices!$A:$J,MATCH(K$1,Prices!$1:$1,0),0)</f>
        <v>-9.5012951170136972E-4</v>
      </c>
      <c r="L46" s="11">
        <f>VLOOKUP($A46,Prices!$A:$J,MATCH(L$1,Prices!$1:$1,0),0)</f>
        <v>2.8199963376669412E-3</v>
      </c>
      <c r="M46" s="11">
        <f t="shared" si="739"/>
        <v>-2.151705347987698E-3</v>
      </c>
      <c r="N46" s="11">
        <f>VLOOKUP($A46,Prices!$A:$J,MATCH(N$1,Prices!$1:$1,0),0)</f>
        <v>9.7701149425288847E-3</v>
      </c>
      <c r="P46" s="10">
        <f t="shared" si="740"/>
        <v>98.50010252913988</v>
      </c>
      <c r="Q46" s="10">
        <f t="shared" si="741"/>
        <v>100.21757215860694</v>
      </c>
      <c r="R46" s="10">
        <f t="shared" si="742"/>
        <v>102.82930904201224</v>
      </c>
      <c r="S46" s="10">
        <f t="shared" si="743"/>
        <v>99.211951421918485</v>
      </c>
      <c r="T46" s="10">
        <f t="shared" si="744"/>
        <v>101.89782523971546</v>
      </c>
      <c r="V46" s="5">
        <f>P46/P$45-1</f>
        <v>-2.9527559055119168E-3</v>
      </c>
      <c r="W46" s="5">
        <f t="shared" ref="W46:Z47" si="755">Q46/Q$45-1</f>
        <v>-9.5012951170148074E-4</v>
      </c>
      <c r="X46" s="5">
        <f t="shared" si="755"/>
        <v>2.8199963376669412E-3</v>
      </c>
      <c r="Y46" s="5">
        <f t="shared" si="755"/>
        <v>-2.151705347987698E-3</v>
      </c>
      <c r="Z46" s="5">
        <f t="shared" si="755"/>
        <v>9.7701149425288847E-3</v>
      </c>
      <c r="AB46" s="8">
        <f t="shared" si="750"/>
        <v>-1.4998974708601231E-2</v>
      </c>
      <c r="AC46" s="8">
        <f t="shared" si="751"/>
        <v>2.175721586069379E-3</v>
      </c>
      <c r="AD46" s="8">
        <f t="shared" si="752"/>
        <v>2.8293090420122402E-2</v>
      </c>
      <c r="AE46" s="8">
        <f t="shared" si="753"/>
        <v>-7.8804857808151274E-3</v>
      </c>
      <c r="AF46" s="8">
        <f t="shared" si="754"/>
        <v>1.8978252397154671E-2</v>
      </c>
      <c r="AI46" s="8">
        <f t="shared" si="466"/>
        <v>-2.7223727824168265E-2</v>
      </c>
      <c r="AJ46" s="8">
        <f t="shared" si="488"/>
        <v>-4.4210810082221066E-2</v>
      </c>
      <c r="AK46" s="8">
        <f t="shared" si="489"/>
        <v>-7.7700805092682009E-3</v>
      </c>
      <c r="AL46" s="8">
        <f t="shared" si="490"/>
        <v>-2.5169995371853746E-2</v>
      </c>
      <c r="AM46" s="8">
        <f t="shared" si="491"/>
        <v>-2.5381184501511393E-2</v>
      </c>
      <c r="AN46" s="8">
        <f t="shared" si="492"/>
        <v>-1.2921348314606574E-2</v>
      </c>
    </row>
    <row r="47" spans="1:40" x14ac:dyDescent="0.25">
      <c r="A47" s="9">
        <v>43284</v>
      </c>
      <c r="B47" s="4">
        <f t="shared" si="734"/>
        <v>19448.28</v>
      </c>
      <c r="C47" s="4">
        <v>198.34</v>
      </c>
      <c r="D47" s="4">
        <f>19665.02-18.4</f>
        <v>19646.62</v>
      </c>
      <c r="E47" s="5">
        <f t="shared" si="735"/>
        <v>8.053666659704195E-4</v>
      </c>
      <c r="F47" s="10">
        <f t="shared" si="736"/>
        <v>98.233099999999979</v>
      </c>
      <c r="G47" s="5">
        <f>F47/F$45-1</f>
        <v>-1.0164063932737943E-2</v>
      </c>
      <c r="H47" s="8">
        <f t="shared" si="738"/>
        <v>-1.7669000000000157E-2</v>
      </c>
      <c r="J47" s="11">
        <f>VLOOKUP($A47,Prices!$A:$J,MATCH(J$1,Prices!$1:$1,0),0)</f>
        <v>-8.4614299816676564E-4</v>
      </c>
      <c r="K47" s="11">
        <f>VLOOKUP($A47,Prices!$A:$J,MATCH(K$1,Prices!$1:$1,0),0)</f>
        <v>2.0756675158033477E-3</v>
      </c>
      <c r="L47" s="11">
        <f>VLOOKUP($A47,Prices!$A:$J,MATCH(L$1,Prices!$1:$1,0),0)</f>
        <v>-3.9807172595134332E-3</v>
      </c>
      <c r="M47" s="11">
        <f t="shared" si="739"/>
        <v>3.2258120742127976E-4</v>
      </c>
      <c r="N47" s="11">
        <f>VLOOKUP($A47,Prices!$A:$J,MATCH(N$1,Prices!$1:$1,0),0)</f>
        <v>-7.9681274900398336E-3</v>
      </c>
      <c r="P47" s="10">
        <f t="shared" si="740"/>
        <v>98.416757357066146</v>
      </c>
      <c r="Q47" s="10">
        <f t="shared" si="741"/>
        <v>100.42559051764924</v>
      </c>
      <c r="R47" s="10">
        <f t="shared" si="742"/>
        <v>102.41997463672486</v>
      </c>
      <c r="S47" s="10">
        <f t="shared" si="743"/>
        <v>99.24395533299878</v>
      </c>
      <c r="T47" s="10">
        <f t="shared" si="744"/>
        <v>101.08589037724761</v>
      </c>
      <c r="V47" s="5">
        <f>P47/P$45-1</f>
        <v>-3.796400449943782E-3</v>
      </c>
      <c r="W47" s="5">
        <f t="shared" si="755"/>
        <v>1.1235658511385971E-3</v>
      </c>
      <c r="X47" s="5">
        <f t="shared" si="755"/>
        <v>-1.1719465299395715E-3</v>
      </c>
      <c r="Y47" s="5">
        <f t="shared" si="755"/>
        <v>-1.8298182402756158E-3</v>
      </c>
      <c r="Z47" s="5">
        <f t="shared" si="755"/>
        <v>1.7241379310346527E-3</v>
      </c>
      <c r="AB47" s="8">
        <f t="shared" si="750"/>
        <v>-1.5832426429338575E-2</v>
      </c>
      <c r="AC47" s="8">
        <f t="shared" si="751"/>
        <v>4.255905176492325E-3</v>
      </c>
      <c r="AD47" s="8">
        <f t="shared" si="752"/>
        <v>2.4199746367248531E-2</v>
      </c>
      <c r="AE47" s="8">
        <f t="shared" si="753"/>
        <v>-7.5604466700122108E-3</v>
      </c>
      <c r="AF47" s="8">
        <f t="shared" si="754"/>
        <v>1.0858903772476003E-2</v>
      </c>
      <c r="AI47" s="8">
        <f t="shared" si="466"/>
        <v>-2.525737136393208E-2</v>
      </c>
      <c r="AJ47" s="8">
        <f t="shared" si="488"/>
        <v>-4.5019544412993426E-2</v>
      </c>
      <c r="AK47" s="8">
        <f t="shared" si="489"/>
        <v>-5.710541097173112E-3</v>
      </c>
      <c r="AL47" s="8">
        <f t="shared" si="490"/>
        <v>-2.9050517996368593E-2</v>
      </c>
      <c r="AM47" s="8">
        <f t="shared" si="491"/>
        <v>-2.5066790787232479E-2</v>
      </c>
      <c r="AN47" s="8">
        <f t="shared" si="492"/>
        <v>-2.0786516853932405E-2</v>
      </c>
    </row>
    <row r="48" spans="1:40" x14ac:dyDescent="0.25">
      <c r="A48" s="9">
        <v>43286</v>
      </c>
      <c r="B48" s="4">
        <f t="shared" si="734"/>
        <v>19734.43</v>
      </c>
      <c r="C48" s="4">
        <v>95.36</v>
      </c>
      <c r="D48" s="4">
        <f>19808.91+20.88</f>
        <v>19829.79</v>
      </c>
      <c r="E48" s="5">
        <f t="shared" ref="E48" si="756">D48/D47-1</f>
        <v>9.3232321895573289E-3</v>
      </c>
      <c r="F48" s="10">
        <f t="shared" ref="F48" si="757">F47*(1+E48)</f>
        <v>99.148949999999985</v>
      </c>
      <c r="G48" s="5">
        <f>F48/F$45-1</f>
        <v>-9.3559367121498482E-4</v>
      </c>
      <c r="H48" s="8">
        <f t="shared" ref="H48" si="758">F48/$F$2-1</f>
        <v>-8.5105000000001985E-3</v>
      </c>
      <c r="J48" s="11">
        <f>VLOOKUP($A48,Prices!$A:$J,MATCH(J$1,Prices!$1:$1,0),0)</f>
        <v>7.1983062808751441E-3</v>
      </c>
      <c r="K48" s="11">
        <f>VLOOKUP($A48,Prices!$A:$J,MATCH(K$1,Prices!$1:$1,0),0)</f>
        <v>9.4153092929105675E-4</v>
      </c>
      <c r="L48" s="11">
        <f>VLOOKUP($A48,Prices!$A:$J,MATCH(L$1,Prices!$1:$1,0),0)</f>
        <v>8.5799142008577967E-3</v>
      </c>
      <c r="M48" s="11">
        <f t="shared" ref="M48" si="759">0.6*J48 + 0.4*K48</f>
        <v>4.6955961402415092E-3</v>
      </c>
      <c r="N48" s="11">
        <f>VLOOKUP($A48,Prices!$A:$J,MATCH(N$1,Prices!$1:$1,0),0)</f>
        <v>1.7510040160642504E-2</v>
      </c>
      <c r="P48" s="10">
        <f t="shared" ref="P48" si="760">P47*(1+J48)</f>
        <v>99.125191319692874</v>
      </c>
      <c r="Q48" s="10">
        <f t="shared" ref="Q48" si="761">Q47*(1+K48)</f>
        <v>100.52014431721392</v>
      </c>
      <c r="R48" s="10">
        <f t="shared" ref="R48" si="762">R47*(1+L48)</f>
        <v>103.29872923156199</v>
      </c>
      <c r="S48" s="10">
        <f t="shared" ref="S48" si="763">S47*(1+M48)</f>
        <v>99.709964866602704</v>
      </c>
      <c r="T48" s="10">
        <f t="shared" ref="T48" si="764">T47*(1+N48)</f>
        <v>102.85590837742753</v>
      </c>
      <c r="V48" s="5">
        <f>P48/P$45-1</f>
        <v>3.3745781777276829E-3</v>
      </c>
      <c r="W48" s="5">
        <f t="shared" ref="W48" si="765">Q48/Q$45-1</f>
        <v>2.0661546524296526E-3</v>
      </c>
      <c r="X48" s="5">
        <f t="shared" ref="X48" si="766">R48/R$45-1</f>
        <v>7.3979124702434618E-3</v>
      </c>
      <c r="Y48" s="5">
        <f t="shared" ref="Y48" si="767">S48/S$45-1</f>
        <v>2.8571858124994964E-3</v>
      </c>
      <c r="Z48" s="5">
        <f t="shared" ref="Z48" si="768">T48/T$45-1</f>
        <v>1.9264367816092198E-2</v>
      </c>
      <c r="AB48" s="8">
        <f t="shared" ref="AB48" si="769">P48/$P$2-1</f>
        <v>-8.7480868030712644E-3</v>
      </c>
      <c r="AC48" s="8">
        <f t="shared" ref="AC48" si="770">Q48/$P$2-1</f>
        <v>5.2014431721392196E-3</v>
      </c>
      <c r="AD48" s="8">
        <f t="shared" ref="AD48" si="771">R48/$P$2-1</f>
        <v>3.2987292315620032E-2</v>
      </c>
      <c r="AE48" s="8">
        <f t="shared" ref="AE48" si="772">S48/$P$2-1</f>
        <v>-2.9003513339729281E-3</v>
      </c>
      <c r="AF48" s="8">
        <f t="shared" ref="AF48" si="773">T48/$T$2-1</f>
        <v>2.8559083774275296E-2</v>
      </c>
      <c r="AI48" s="8">
        <f t="shared" si="466"/>
        <v>-1.5454988240446121E-2</v>
      </c>
      <c r="AJ48" s="8">
        <f t="shared" si="488"/>
        <v>-3.8145302601428531E-2</v>
      </c>
      <c r="AK48" s="8">
        <f t="shared" si="489"/>
        <v>-4.7743868189480971E-3</v>
      </c>
      <c r="AL48" s="8">
        <f t="shared" si="490"/>
        <v>-2.0719854747410095E-2</v>
      </c>
      <c r="AM48" s="8">
        <f t="shared" si="491"/>
        <v>-2.0488898173059801E-2</v>
      </c>
      <c r="AN48" s="8">
        <f t="shared" si="492"/>
        <v>-3.6404494382020749E-3</v>
      </c>
    </row>
    <row r="49" spans="1:40" x14ac:dyDescent="0.25">
      <c r="A49" s="9">
        <v>43287</v>
      </c>
      <c r="B49" s="4">
        <f t="shared" si="734"/>
        <v>19842.93</v>
      </c>
      <c r="C49" s="4">
        <v>95.36</v>
      </c>
      <c r="D49" s="4">
        <f>19951.45-13.16</f>
        <v>19938.29</v>
      </c>
      <c r="E49" s="5">
        <f t="shared" ref="E49" si="774">D49/D48-1</f>
        <v>5.4715657604038626E-3</v>
      </c>
      <c r="F49" s="10">
        <f t="shared" ref="F49" si="775">F48*(1+E49)</f>
        <v>99.691449999999975</v>
      </c>
      <c r="G49" s="5">
        <f>F49/F$45-1</f>
        <v>4.5308529268917042E-3</v>
      </c>
      <c r="H49" s="8">
        <f t="shared" ref="H49" si="776">F49/$F$2-1</f>
        <v>-3.0855000000002963E-3</v>
      </c>
      <c r="J49" s="11">
        <f>VLOOKUP($A49,Prices!$A:$J,MATCH(J$1,Prices!$1:$1,0),0)</f>
        <v>7.2869955156951161E-3</v>
      </c>
      <c r="K49" s="11">
        <f>VLOOKUP($A49,Prices!$A:$J,MATCH(K$1,Prices!$1:$1,0),0)</f>
        <v>1.0347098109302344E-3</v>
      </c>
      <c r="L49" s="11">
        <f>VLOOKUP($A49,Prices!$A:$J,MATCH(L$1,Prices!$1:$1,0),0)</f>
        <v>7.7798378594537976E-3</v>
      </c>
      <c r="M49" s="11">
        <f t="shared" ref="M49" si="777">0.6*J49 + 0.4*K49</f>
        <v>4.7860812337891636E-3</v>
      </c>
      <c r="N49" s="11">
        <f>VLOOKUP($A49,Prices!$A:$J,MATCH(N$1,Prices!$1:$1,0),0)</f>
        <v>2.5260498894854599E-3</v>
      </c>
      <c r="P49" s="10">
        <f t="shared" ref="P49" si="778">P48*(1+J49)</f>
        <v>99.847516144331891</v>
      </c>
      <c r="Q49" s="10">
        <f t="shared" ref="Q49" si="779">Q48*(1+K49)</f>
        <v>100.62415349673506</v>
      </c>
      <c r="R49" s="10">
        <f t="shared" ref="R49" si="780">R48*(1+L49)</f>
        <v>104.10237659607117</v>
      </c>
      <c r="S49" s="10">
        <f t="shared" ref="S49" si="781">S48*(1+M49)</f>
        <v>100.18718485827253</v>
      </c>
      <c r="T49" s="10">
        <f t="shared" ref="T49" si="782">T48*(1+N49)</f>
        <v>103.11572753341726</v>
      </c>
      <c r="V49" s="5">
        <f>P49/P$45-1</f>
        <v>1.0686164229471329E-2</v>
      </c>
      <c r="W49" s="5">
        <f t="shared" ref="W49" si="783">Q49/Q$45-1</f>
        <v>3.103002333849636E-3</v>
      </c>
      <c r="X49" s="5">
        <f t="shared" ref="X49" si="784">R49/R$45-1</f>
        <v>1.5235304889214207E-2</v>
      </c>
      <c r="Y49" s="5">
        <f t="shared" ref="Y49" si="785">S49/S$45-1</f>
        <v>7.6569417696872311E-3</v>
      </c>
      <c r="Z49" s="5">
        <f t="shared" ref="Z49" si="786">T49/T$45-1</f>
        <v>2.1839080459770566E-2</v>
      </c>
      <c r="AB49" s="8">
        <f t="shared" ref="AB49" si="787">P49/$P$2-1</f>
        <v>-1.5248385566810629E-3</v>
      </c>
      <c r="AC49" s="8">
        <f t="shared" ref="AC49" si="788">Q49/$P$2-1</f>
        <v>6.2415349673505816E-3</v>
      </c>
      <c r="AD49" s="8">
        <f t="shared" ref="AD49" si="789">R49/$P$2-1</f>
        <v>4.1023765960711778E-2</v>
      </c>
      <c r="AE49" s="8">
        <f t="shared" ref="AE49" si="790">S49/$P$2-1</f>
        <v>1.8718485827253772E-3</v>
      </c>
      <c r="AF49" s="8">
        <f t="shared" ref="AF49" si="791">T49/$T$2-1</f>
        <v>3.1157275334172674E-2</v>
      </c>
      <c r="AI49" s="8">
        <f t="shared" si="466"/>
        <v>-9.6751217399427252E-3</v>
      </c>
      <c r="AJ49" s="8">
        <f t="shared" si="488"/>
        <v>-3.1136271734734908E-2</v>
      </c>
      <c r="AK49" s="8">
        <f t="shared" si="489"/>
        <v>-3.7446171129006224E-3</v>
      </c>
      <c r="AL49" s="8">
        <f t="shared" si="490"/>
        <v>-1.3101213998362563E-2</v>
      </c>
      <c r="AM49" s="8">
        <f t="shared" si="491"/>
        <v>-1.5800878470317709E-2</v>
      </c>
      <c r="AN49" s="8">
        <f t="shared" si="492"/>
        <v>-1.1235955056176218E-3</v>
      </c>
    </row>
    <row r="50" spans="1:40" x14ac:dyDescent="0.25">
      <c r="A50" s="9">
        <v>43290</v>
      </c>
      <c r="B50" s="4">
        <f t="shared" si="734"/>
        <v>19867.100000000002</v>
      </c>
      <c r="C50" s="4">
        <v>95.36</v>
      </c>
      <c r="D50" s="4">
        <f>19977.06-14.6</f>
        <v>19962.460000000003</v>
      </c>
      <c r="E50" s="5">
        <f t="shared" ref="E50" si="792">D50/D49-1</f>
        <v>1.212240367654438E-3</v>
      </c>
      <c r="F50" s="10">
        <f t="shared" ref="F50" si="793">F49*(1+E50)</f>
        <v>99.812299999999979</v>
      </c>
      <c r="G50" s="5">
        <f t="shared" ref="G50" si="794">F50/F$45-1</f>
        <v>5.7485857773640348E-3</v>
      </c>
      <c r="H50" s="8">
        <f t="shared" ref="H50" si="795">F50/$F$2-1</f>
        <v>-1.8770000000002396E-3</v>
      </c>
      <c r="J50" s="11">
        <f>VLOOKUP($A50,Prices!$A:$J,MATCH(J$1,Prices!$1:$1,0),0)</f>
        <v>9.738452977184231E-3</v>
      </c>
      <c r="K50" s="11">
        <f>VLOOKUP($A50,Prices!$A:$J,MATCH(K$1,Prices!$1:$1,0),0)</f>
        <v>-9.3967299379826841E-4</v>
      </c>
      <c r="L50" s="11">
        <f>VLOOKUP($A50,Prices!$A:$J,MATCH(L$1,Prices!$1:$1,0),0)</f>
        <v>9.3791710255763938E-3</v>
      </c>
      <c r="M50" s="11">
        <f t="shared" ref="M50" si="796">0.6*J50 + 0.4*K50</f>
        <v>5.467202588791231E-3</v>
      </c>
      <c r="N50" s="11">
        <f>VLOOKUP($A50,Prices!$A:$J,MATCH(N$1,Prices!$1:$1,0),0)</f>
        <v>1.1248593925758943E-3</v>
      </c>
      <c r="P50" s="10">
        <f t="shared" ref="P50" si="797">P49*(1+J50)</f>
        <v>100.81987648519211</v>
      </c>
      <c r="Q50" s="10">
        <f t="shared" ref="Q50" si="798">Q49*(1+K50)</f>
        <v>100.52959969717037</v>
      </c>
      <c r="R50" s="10">
        <f t="shared" ref="R50" si="799">R49*(1+L50)</f>
        <v>105.07877059033468</v>
      </c>
      <c r="S50" s="10">
        <f t="shared" ref="S50" si="800">S49*(1+M50)</f>
        <v>100.73492849469338</v>
      </c>
      <c r="T50" s="10">
        <f t="shared" ref="T50" si="801">T49*(1+N50)</f>
        <v>103.23171822805551</v>
      </c>
      <c r="V50" s="5">
        <f t="shared" ref="V50" si="802">P50/P$45-1</f>
        <v>2.0528683914510681E-2</v>
      </c>
      <c r="W50" s="5">
        <f t="shared" ref="W50" si="803">Q50/Q$45-1</f>
        <v>2.1604135325585805E-3</v>
      </c>
      <c r="X50" s="5">
        <f t="shared" ref="X50" si="804">R50/R$45-1</f>
        <v>2.4757370444973281E-2</v>
      </c>
      <c r="Y50" s="5">
        <f t="shared" ref="Y50" si="805">S50/S$45-1</f>
        <v>1.3166006410343822E-2</v>
      </c>
      <c r="Z50" s="5">
        <f t="shared" ref="Z50" si="806">T50/T$45-1</f>
        <v>2.2988505747126853E-2</v>
      </c>
      <c r="AB50" s="8">
        <f t="shared" ref="AB50" si="807">P50/$P$2-1</f>
        <v>8.1987648519210587E-3</v>
      </c>
      <c r="AC50" s="8">
        <f t="shared" ref="AC50" si="808">Q50/$P$2-1</f>
        <v>5.295996971703687E-3</v>
      </c>
      <c r="AD50" s="8">
        <f t="shared" ref="AD50" si="809">R50/$P$2-1</f>
        <v>5.0787705903346803E-2</v>
      </c>
      <c r="AE50" s="8">
        <f t="shared" ref="AE50" si="810">S50/$P$2-1</f>
        <v>7.3492849469338761E-3</v>
      </c>
      <c r="AF50" s="8">
        <f t="shared" ref="AF50" si="811">T50/$T$2-1</f>
        <v>3.2317182280555024E-2</v>
      </c>
      <c r="AI50" s="8">
        <f t="shared" si="466"/>
        <v>-4.1236969397042359E-3</v>
      </c>
      <c r="AJ50" s="8">
        <f t="shared" si="488"/>
        <v>-2.1701037875724218E-2</v>
      </c>
      <c r="AK50" s="8">
        <f t="shared" si="489"/>
        <v>-4.6807713911257778E-3</v>
      </c>
      <c r="AL50" s="8">
        <f t="shared" si="490"/>
        <v>-3.8449214995194421E-3</v>
      </c>
      <c r="AM50" s="8">
        <f t="shared" si="491"/>
        <v>-1.0420062485204632E-2</v>
      </c>
      <c r="AN50" s="8">
        <f t="shared" si="492"/>
        <v>0</v>
      </c>
    </row>
    <row r="51" spans="1:40" x14ac:dyDescent="0.25">
      <c r="A51" s="9">
        <v>43291</v>
      </c>
      <c r="B51" s="4">
        <f t="shared" ref="B51:B83" si="812">D51-C51</f>
        <v>19902.79</v>
      </c>
      <c r="C51" s="4">
        <v>95.36</v>
      </c>
      <c r="D51" s="4">
        <f>19971.74+26.41</f>
        <v>19998.150000000001</v>
      </c>
      <c r="E51" s="5">
        <f t="shared" ref="E51" si="813">D51/D50-1</f>
        <v>1.7878558053465721E-3</v>
      </c>
      <c r="F51" s="10">
        <f t="shared" ref="F51" si="814">F50*(1+E51)</f>
        <v>99.990749999999977</v>
      </c>
      <c r="G51" s="5">
        <f t="shared" ref="G51" si="815">F51/F$45-1</f>
        <v>7.5467192251652548E-3</v>
      </c>
      <c r="H51" s="8">
        <f t="shared" ref="H51" si="816">F51/$F$2-1</f>
        <v>-9.2500000000272919E-5</v>
      </c>
      <c r="J51" s="11">
        <f>VLOOKUP($A51,Prices!$A:$J,MATCH(J$1,Prices!$1:$1,0),0)</f>
        <v>2.066685037200422E-3</v>
      </c>
      <c r="K51" s="11">
        <f>VLOOKUP($A51,Prices!$A:$J,MATCH(K$1,Prices!$1:$1,0),0)</f>
        <v>-7.5244544770503019E-4</v>
      </c>
      <c r="L51" s="11">
        <f>VLOOKUP($A51,Prices!$A:$J,MATCH(L$1,Prices!$1:$1,0),0)</f>
        <v>3.6453307601587159E-3</v>
      </c>
      <c r="M51" s="11">
        <f t="shared" ref="M51" si="817">0.6*J51 + 0.4*K51</f>
        <v>9.3903284323824097E-4</v>
      </c>
      <c r="N51" s="11">
        <f>VLOOKUP($A51,Prices!$A:$J,MATCH(N$1,Prices!$1:$1,0),0)</f>
        <v>5.0561797752808335E-3</v>
      </c>
      <c r="P51" s="10">
        <f t="shared" ref="P51" si="818">P50*(1+J51)</f>
        <v>101.02823941537645</v>
      </c>
      <c r="Q51" s="10">
        <f t="shared" ref="Q51" si="819">Q50*(1+K51)</f>
        <v>100.45395665751862</v>
      </c>
      <c r="R51" s="10">
        <f t="shared" ref="R51" si="820">R50*(1+L51)</f>
        <v>105.46181746500729</v>
      </c>
      <c r="S51" s="10">
        <f t="shared" ref="S51" si="821">S50*(1+M51)</f>
        <v>100.82952190101115</v>
      </c>
      <c r="T51" s="10">
        <f t="shared" ref="T51" si="822">T50*(1+N51)</f>
        <v>103.7536763539277</v>
      </c>
      <c r="V51" s="5">
        <f t="shared" ref="V51" si="823">P51/P$45-1</f>
        <v>2.2637795275590511E-2</v>
      </c>
      <c r="W51" s="5">
        <f t="shared" ref="W51" si="824">Q51/Q$45-1</f>
        <v>1.4063424915256029E-3</v>
      </c>
      <c r="X51" s="5">
        <f t="shared" ref="X51" si="825">R51/R$45-1</f>
        <v>2.8492950009155749E-2</v>
      </c>
      <c r="Y51" s="5">
        <f t="shared" ref="Y51" si="826">S51/S$45-1</f>
        <v>1.4117402566015791E-2</v>
      </c>
      <c r="Z51" s="5">
        <f t="shared" ref="Z51" si="827">T51/T$45-1</f>
        <v>2.8160919540230145E-2</v>
      </c>
      <c r="AB51" s="8">
        <f t="shared" ref="AB51" si="828">P51/$P$2-1</f>
        <v>1.0282394153764418E-2</v>
      </c>
      <c r="AC51" s="8">
        <f t="shared" ref="AC51" si="829">Q51/$P$2-1</f>
        <v>4.5395665751861713E-3</v>
      </c>
      <c r="AD51" s="8">
        <f t="shared" ref="AD51" si="830">R51/$P$2-1</f>
        <v>5.4618174650072904E-2</v>
      </c>
      <c r="AE51" s="8">
        <f t="shared" ref="AE51" si="831">S51/$P$2-1</f>
        <v>8.2952190101115431E-3</v>
      </c>
      <c r="AF51" s="8">
        <f t="shared" ref="AF51" si="832">T51/$T$2-1</f>
        <v>3.7536763539276929E-2</v>
      </c>
      <c r="AI51" s="8">
        <f t="shared" si="466"/>
        <v>-2.3432137098707605E-3</v>
      </c>
      <c r="AJ51" s="8">
        <f t="shared" si="488"/>
        <v>-1.9679202048793327E-2</v>
      </c>
      <c r="AK51" s="8">
        <f t="shared" si="489"/>
        <v>-5.4296948137058749E-3</v>
      </c>
      <c r="AL51" s="8">
        <f t="shared" si="490"/>
        <v>-2.1360674997338467E-4</v>
      </c>
      <c r="AM51" s="8">
        <f t="shared" si="491"/>
        <v>-9.4908144228686188E-3</v>
      </c>
      <c r="AN51" s="8">
        <f t="shared" si="492"/>
        <v>0</v>
      </c>
    </row>
    <row r="52" spans="1:40" x14ac:dyDescent="0.25">
      <c r="A52" s="9">
        <v>43292</v>
      </c>
      <c r="B52" s="4">
        <f t="shared" si="812"/>
        <v>19737.77</v>
      </c>
      <c r="C52" s="4">
        <v>95.36</v>
      </c>
      <c r="D52" s="4">
        <f>19866.43-33.3</f>
        <v>19833.13</v>
      </c>
      <c r="E52" s="5">
        <f t="shared" ref="E52" si="833">D52/D51-1</f>
        <v>-8.2517632881041747E-3</v>
      </c>
      <c r="F52" s="10">
        <f t="shared" ref="F52" si="834">F51*(1+E52)</f>
        <v>99.165649999999971</v>
      </c>
      <c r="G52" s="5">
        <f t="shared" ref="G52" si="835">F52/F$45-1</f>
        <v>-7.6731780358674229E-4</v>
      </c>
      <c r="H52" s="8">
        <f t="shared" ref="H52:H57" si="836">F52/$F$2-1</f>
        <v>-8.3435000000002812E-3</v>
      </c>
      <c r="J52" s="11">
        <f>VLOOKUP($A52,Prices!$A:$J,MATCH(J$1,Prices!$1:$1,0),0)</f>
        <v>-1.1824556579128287E-2</v>
      </c>
      <c r="K52" s="11">
        <f>VLOOKUP($A52,Prices!$A:$J,MATCH(K$1,Prices!$1:$1,0),0)</f>
        <v>3.7650602409633471E-4</v>
      </c>
      <c r="L52" s="11">
        <f>VLOOKUP($A52,Prices!$A:$J,MATCH(L$1,Prices!$1:$1,0),0)</f>
        <v>-7.4422248335290764E-3</v>
      </c>
      <c r="M52" s="11">
        <f t="shared" ref="M52" si="837">0.6*J52 + 0.4*K52</f>
        <v>-6.9441315378384379E-3</v>
      </c>
      <c r="N52" s="11">
        <f>VLOOKUP($A52,Prices!$A:$J,MATCH(N$1,Prices!$1:$1,0),0)</f>
        <v>-1.1179429849077605E-2</v>
      </c>
      <c r="P52" s="10">
        <f t="shared" ref="P52" si="838">P51*(1+J52)</f>
        <v>99.833625282319616</v>
      </c>
      <c r="Q52" s="10">
        <f t="shared" ref="Q52" si="839">Q51*(1+K52)</f>
        <v>100.49177817734449</v>
      </c>
      <c r="R52" s="10">
        <f t="shared" ref="R52" si="840">R51*(1+L52)</f>
        <v>104.6769469080801</v>
      </c>
      <c r="S52" s="10">
        <f t="shared" ref="S52" si="841">S51*(1+M52)</f>
        <v>100.12934843803316</v>
      </c>
      <c r="T52" s="10">
        <f t="shared" ref="T52" si="842">T51*(1+N52)</f>
        <v>102.59376940754507</v>
      </c>
      <c r="V52" s="5">
        <f t="shared" ref="V52" si="843">P52/P$45-1</f>
        <v>1.054555680539937E-2</v>
      </c>
      <c r="W52" s="5">
        <f t="shared" ref="W52" si="844">Q52/Q$45-1</f>
        <v>1.7833780120419807E-3</v>
      </c>
      <c r="X52" s="5">
        <f t="shared" ref="X52" si="845">R52/R$45-1</f>
        <v>2.0838674235488019E-2</v>
      </c>
      <c r="Y52" s="5">
        <f t="shared" ref="Y52" si="846">S52/S$45-1</f>
        <v>7.0752379277860822E-3</v>
      </c>
      <c r="Z52" s="5">
        <f t="shared" ref="Z52" si="847">T52/T$45-1</f>
        <v>1.6666666666667052E-2</v>
      </c>
      <c r="AB52" s="8">
        <f t="shared" ref="AB52" si="848">P52/$P$2-1</f>
        <v>-1.6637471768038425E-3</v>
      </c>
      <c r="AC52" s="8">
        <f t="shared" ref="AC52" si="849">Q52/$P$2-1</f>
        <v>4.9177817734449292E-3</v>
      </c>
      <c r="AD52" s="8">
        <f t="shared" ref="AD52" si="850">R52/$P$2-1</f>
        <v>4.6769469080800929E-2</v>
      </c>
      <c r="AE52" s="8">
        <f t="shared" ref="AE52" si="851">S52/$P$2-1</f>
        <v>1.293484380331611E-3</v>
      </c>
      <c r="AF52" s="8">
        <f t="shared" ref="AF52" si="852">T52/$T$2-1</f>
        <v>2.5937694075450768E-2</v>
      </c>
      <c r="AI52" s="8">
        <f t="shared" si="466"/>
        <v>-1.0575641353107679E-2</v>
      </c>
      <c r="AJ52" s="8">
        <f t="shared" si="488"/>
        <v>-3.1271060789863497E-2</v>
      </c>
      <c r="AK52" s="8">
        <f t="shared" si="489"/>
        <v>-2.5340215861105408E-3</v>
      </c>
      <c r="AL52" s="8">
        <f t="shared" si="490"/>
        <v>-7.6542418740432076E-3</v>
      </c>
      <c r="AM52" s="8">
        <f t="shared" si="491"/>
        <v>-1.6369040496953473E-2</v>
      </c>
      <c r="AN52" s="8">
        <f t="shared" si="492"/>
        <v>-1.1179429849077578E-2</v>
      </c>
    </row>
    <row r="53" spans="1:40" x14ac:dyDescent="0.25">
      <c r="A53" s="9">
        <v>43293</v>
      </c>
      <c r="B53" s="4">
        <f t="shared" si="812"/>
        <v>19835.82</v>
      </c>
      <c r="C53" s="4">
        <v>95.36</v>
      </c>
      <c r="D53" s="4">
        <f>19937.29-6.11</f>
        <v>19931.18</v>
      </c>
      <c r="E53" s="5">
        <f t="shared" ref="E53" si="853">D53/D52-1</f>
        <v>4.943748162796302E-3</v>
      </c>
      <c r="F53" s="10">
        <f t="shared" ref="F53" si="854">F52*(1+E53)</f>
        <v>99.655899999999974</v>
      </c>
      <c r="G53" s="5">
        <f t="shared" ref="G53" si="855">F53/F$45-1</f>
        <v>4.1726369332277802E-3</v>
      </c>
      <c r="H53" s="8">
        <f t="shared" si="836"/>
        <v>-3.4410000000002494E-3</v>
      </c>
      <c r="J53" s="11">
        <f>VLOOKUP($A53,Prices!$A:$J,MATCH(J$1,Prices!$1:$1,0),0)</f>
        <v>9.4615277584526591E-3</v>
      </c>
      <c r="K53" s="11">
        <f>VLOOKUP($A53,Prices!$A:$J,MATCH(K$1,Prices!$1:$1,0),0)</f>
        <v>1.2231840421528251E-3</v>
      </c>
      <c r="L53" s="11">
        <f>VLOOKUP($A53,Prices!$A:$J,MATCH(L$1,Prices!$1:$1,0),0)</f>
        <v>8.6101743560307309E-3</v>
      </c>
      <c r="M53" s="11">
        <f t="shared" ref="M53" si="856">0.6*J53 + 0.4*K53</f>
        <v>6.1661902719327257E-3</v>
      </c>
      <c r="N53" s="11">
        <f>VLOOKUP($A53,Prices!$A:$J,MATCH(N$1,Prices!$1:$1,0),0)</f>
        <v>1.6958733747878263E-3</v>
      </c>
      <c r="P53" s="10">
        <f t="shared" ref="P53" si="857">P52*(1+J53)</f>
        <v>100.77820389915524</v>
      </c>
      <c r="Q53" s="10">
        <f t="shared" ref="Q53" si="858">Q52*(1+K53)</f>
        <v>100.61469811677857</v>
      </c>
      <c r="R53" s="10">
        <f t="shared" ref="R53" si="859">R52*(1+L53)</f>
        <v>105.57823367201564</v>
      </c>
      <c r="S53" s="10">
        <f t="shared" ref="S53" si="860">S52*(1+M53)</f>
        <v>100.74676505230673</v>
      </c>
      <c r="T53" s="10">
        <f t="shared" ref="T53" si="861">T52*(1+N53)</f>
        <v>102.76775544950245</v>
      </c>
      <c r="V53" s="5">
        <f t="shared" ref="V53" si="862">P53/P$45-1</f>
        <v>2.0106861642294582E-2</v>
      </c>
      <c r="W53" s="5">
        <f t="shared" ref="W53" si="863">Q53/Q$45-1</f>
        <v>3.008743453720264E-3</v>
      </c>
      <c r="X53" s="5">
        <f t="shared" ref="X53" si="864">R53/R$45-1</f>
        <v>2.9628273210034806E-2</v>
      </c>
      <c r="Y53" s="5">
        <f t="shared" ref="Y53" si="865">S53/S$45-1</f>
        <v>1.328505546300085E-2</v>
      </c>
      <c r="Z53" s="5">
        <f t="shared" ref="Z53" si="866">T53/T$45-1</f>
        <v>1.8390804597701482E-2</v>
      </c>
      <c r="AB53" s="8">
        <f t="shared" ref="AB53" si="867">P53/$P$2-1</f>
        <v>7.7820389915523869E-3</v>
      </c>
      <c r="AC53" s="8">
        <f t="shared" ref="AC53" si="868">Q53/$P$2-1</f>
        <v>6.1469811677856701E-3</v>
      </c>
      <c r="AD53" s="8">
        <f t="shared" ref="AD53" si="869">R53/$P$2-1</f>
        <v>5.5782336720156422E-2</v>
      </c>
      <c r="AE53" s="8">
        <f t="shared" ref="AE53" si="870">S53/$P$2-1</f>
        <v>7.467650523067304E-3</v>
      </c>
      <c r="AF53" s="8">
        <f t="shared" ref="AF53" si="871">T53/$T$2-1</f>
        <v>2.7677554495024514E-2</v>
      </c>
      <c r="AI53" s="8">
        <f t="shared" si="466"/>
        <v>-4.5966632739391031E-3</v>
      </c>
      <c r="AJ53" s="8">
        <f t="shared" si="488"/>
        <v>-2.2105405041110394E-2</v>
      </c>
      <c r="AK53" s="8">
        <f t="shared" si="489"/>
        <v>-9.3967299380052287E-5</v>
      </c>
      <c r="AL53" s="8">
        <f t="shared" si="490"/>
        <v>0</v>
      </c>
      <c r="AM53" s="8">
        <f t="shared" si="491"/>
        <v>-1.0303784843293902E-2</v>
      </c>
      <c r="AN53" s="8">
        <f t="shared" si="492"/>
        <v>-9.5025153717161123E-3</v>
      </c>
    </row>
    <row r="54" spans="1:40" x14ac:dyDescent="0.25">
      <c r="A54" s="9">
        <v>43294</v>
      </c>
      <c r="B54" s="4">
        <f t="shared" si="812"/>
        <v>19845.239999999998</v>
      </c>
      <c r="C54" s="4">
        <v>95.36</v>
      </c>
      <c r="D54" s="4">
        <f>19935.32+5.28</f>
        <v>19940.599999999999</v>
      </c>
      <c r="E54" s="5">
        <f t="shared" ref="E54" si="872">D54/D53-1</f>
        <v>4.7262630712263665E-4</v>
      </c>
      <c r="F54" s="10">
        <f t="shared" ref="F54" si="873">F53*(1+E54)</f>
        <v>99.70299999999996</v>
      </c>
      <c r="G54" s="5">
        <f t="shared" ref="G54" si="874">F54/F$45-1</f>
        <v>4.6472353383351095E-3</v>
      </c>
      <c r="H54" s="8">
        <f t="shared" si="836"/>
        <v>-2.9700000000003612E-3</v>
      </c>
      <c r="J54" s="11">
        <f>VLOOKUP($A54,Prices!$A:$J,MATCH(J$1,Prices!$1:$1,0),0)</f>
        <v>1.5161957270848347E-3</v>
      </c>
      <c r="K54" s="11">
        <f>VLOOKUP($A54,Prices!$A:$J,MATCH(K$1,Prices!$1:$1,0),0)</f>
        <v>9.3976130062967123E-4</v>
      </c>
      <c r="L54" s="11">
        <f>VLOOKUP($A54,Prices!$A:$J,MATCH(L$1,Prices!$1:$1,0),0)</f>
        <v>1.0315145479120602E-3</v>
      </c>
      <c r="M54" s="11">
        <f t="shared" ref="M54" si="875">0.6*J54 + 0.4*K54</f>
        <v>1.2856219565027694E-3</v>
      </c>
      <c r="N54" s="11">
        <f>VLOOKUP($A54,Prices!$A:$J,MATCH(N$1,Prices!$1:$1,0),0)</f>
        <v>-7.1275395033860711E-3</v>
      </c>
      <c r="P54" s="10">
        <f t="shared" ref="P54" si="876">P53*(1+J54)</f>
        <v>100.93100338129042</v>
      </c>
      <c r="Q54" s="10">
        <f t="shared" ref="Q54" si="877">Q53*(1+K54)</f>
        <v>100.70925191634325</v>
      </c>
      <c r="R54" s="10">
        <f t="shared" ref="R54" si="878">R53*(1+L54)</f>
        <v>105.68713915599119</v>
      </c>
      <c r="S54" s="10">
        <f t="shared" ref="S54" si="879">S53*(1+M54)</f>
        <v>100.87628730550459</v>
      </c>
      <c r="T54" s="10">
        <f t="shared" ref="T54" si="880">T53*(1+N54)</f>
        <v>102.03527421286179</v>
      </c>
      <c r="V54" s="5">
        <f t="shared" ref="V54" si="881">P54/P$45-1</f>
        <v>2.1653543307086576E-2</v>
      </c>
      <c r="W54" s="5">
        <f t="shared" ref="W54" si="882">Q54/Q$45-1</f>
        <v>3.9513322550110974E-3</v>
      </c>
      <c r="X54" s="5">
        <f t="shared" ref="X54" si="883">R54/R$45-1</f>
        <v>3.0690349752792612E-2</v>
      </c>
      <c r="Y54" s="5">
        <f t="shared" ref="Y54" si="884">S54/S$45-1</f>
        <v>1.4587756978500233E-2</v>
      </c>
      <c r="Z54" s="5">
        <f t="shared" ref="Z54" si="885">T54/T$45-1</f>
        <v>1.1132183908046045E-2</v>
      </c>
      <c r="AB54" s="8">
        <f t="shared" ref="AB54" si="886">P54/$P$2-1</f>
        <v>9.3100338129041837E-3</v>
      </c>
      <c r="AC54" s="8">
        <f t="shared" ref="AC54" si="887">Q54/$P$2-1</f>
        <v>7.0925191634325646E-3</v>
      </c>
      <c r="AD54" s="8">
        <f t="shared" ref="AD54" si="888">R54/$P$2-1</f>
        <v>5.6871391559911944E-2</v>
      </c>
      <c r="AE54" s="8">
        <f t="shared" ref="AE54" si="889">S54/$P$2-1</f>
        <v>8.7628730550459721E-3</v>
      </c>
      <c r="AF54" s="8">
        <f t="shared" ref="AF54" si="890">T54/$T$2-1</f>
        <v>2.035274212861804E-2</v>
      </c>
      <c r="AI54" s="8">
        <f t="shared" si="466"/>
        <v>-4.1262094708046804E-3</v>
      </c>
      <c r="AJ54" s="8">
        <f t="shared" si="488"/>
        <v>-2.0622725434694407E-2</v>
      </c>
      <c r="AK54" s="8">
        <f t="shared" si="489"/>
        <v>0</v>
      </c>
      <c r="AL54" s="8">
        <f t="shared" si="490"/>
        <v>0</v>
      </c>
      <c r="AM54" s="8">
        <f t="shared" si="491"/>
        <v>-9.0314096588208406E-3</v>
      </c>
      <c r="AN54" s="8">
        <f t="shared" si="492"/>
        <v>-1.6562325321408784E-2</v>
      </c>
    </row>
    <row r="55" spans="1:40" x14ac:dyDescent="0.25">
      <c r="A55" s="9">
        <v>43297</v>
      </c>
      <c r="B55" s="4">
        <f t="shared" si="812"/>
        <v>19741.149999999998</v>
      </c>
      <c r="C55" s="4">
        <v>95.36</v>
      </c>
      <c r="D55" s="4">
        <f>19820.23+16.28</f>
        <v>19836.509999999998</v>
      </c>
      <c r="E55" s="5">
        <f t="shared" ref="E55" si="891">D55/D54-1</f>
        <v>-5.2200034101280712E-3</v>
      </c>
      <c r="F55" s="10">
        <f t="shared" ref="F55" si="892">F54*(1+E55)</f>
        <v>99.182549999999964</v>
      </c>
      <c r="G55" s="5">
        <f t="shared" ref="G55" si="893">F55/F$45-1</f>
        <v>-5.9702665610661398E-4</v>
      </c>
      <c r="H55" s="8">
        <f t="shared" si="836"/>
        <v>-8.1745000000004175E-3</v>
      </c>
      <c r="J55" s="11">
        <f>VLOOKUP($A55,Prices!$A:$J,MATCH(J$1,Prices!$1:$1,0),0)</f>
        <v>-1.3762730525735956E-3</v>
      </c>
      <c r="K55" s="11">
        <f>VLOOKUP($A55,Prices!$A:$J,MATCH(K$1,Prices!$1:$1,0),0)</f>
        <v>-1.126654774199598E-3</v>
      </c>
      <c r="L55" s="11">
        <f>VLOOKUP($A55,Prices!$A:$J,MATCH(L$1,Prices!$1:$1,0),0)</f>
        <v>-3.5532814554251058E-4</v>
      </c>
      <c r="M55" s="11">
        <f t="shared" ref="M55" si="894">0.6*J55 + 0.4*K55</f>
        <v>-1.2764257412239965E-3</v>
      </c>
      <c r="N55" s="11">
        <f>VLOOKUP($A55,Prices!$A:$J,MATCH(N$1,Prices!$1:$1,0),0)</f>
        <v>9.2646799706730398E-4</v>
      </c>
      <c r="P55" s="10">
        <f t="shared" ref="P55" si="895">P54*(1+J55)</f>
        <v>100.79209476116753</v>
      </c>
      <c r="Q55" s="10">
        <f t="shared" ref="Q55" si="896">Q54*(1+K55)</f>
        <v>100.59578735686563</v>
      </c>
      <c r="R55" s="10">
        <f t="shared" ref="R55" si="897">R54*(1+L55)</f>
        <v>105.6495855408272</v>
      </c>
      <c r="S55" s="10">
        <f t="shared" ref="S55" si="898">S54*(1+M55)</f>
        <v>100.74752621570873</v>
      </c>
      <c r="T55" s="10">
        <f t="shared" ref="T55" si="899">T54*(1+N55)</f>
        <v>102.129806628992</v>
      </c>
      <c r="V55" s="5">
        <f t="shared" ref="V55" si="900">P55/P$45-1</f>
        <v>2.0247469066366763E-2</v>
      </c>
      <c r="W55" s="5">
        <f t="shared" ref="W55" si="901">Q55/Q$45-1</f>
        <v>2.8202256934619641E-3</v>
      </c>
      <c r="X55" s="5">
        <f t="shared" ref="X55" si="902">R55/R$45-1</f>
        <v>3.0324116462186357E-2</v>
      </c>
      <c r="Y55" s="5">
        <f t="shared" ref="Y55" si="903">S55/S$45-1</f>
        <v>1.3292711048761952E-2</v>
      </c>
      <c r="Z55" s="5">
        <f t="shared" ref="Z55" si="904">T55/T$45-1</f>
        <v>1.2068965517241681E-2</v>
      </c>
      <c r="AB55" s="8">
        <f t="shared" ref="AB55" si="905">P55/$P$2-1</f>
        <v>7.9209476116752775E-3</v>
      </c>
      <c r="AC55" s="8">
        <f t="shared" ref="AC55" si="906">Q55/$P$2-1</f>
        <v>5.9578735686562911E-3</v>
      </c>
      <c r="AD55" s="8">
        <f t="shared" ref="AD55" si="907">R55/$P$2-1</f>
        <v>5.6495855408271956E-2</v>
      </c>
      <c r="AE55" s="8">
        <f t="shared" ref="AE55" si="908">S55/$P$2-1</f>
        <v>7.4752621570872702E-3</v>
      </c>
      <c r="AF55" s="8">
        <f t="shared" ref="AF55" si="909">T55/$T$2-1</f>
        <v>2.1298066289920037E-2</v>
      </c>
      <c r="AI55" s="8">
        <f t="shared" si="466"/>
        <v>-9.3246740534242267E-3</v>
      </c>
      <c r="AJ55" s="8">
        <f t="shared" si="488"/>
        <v>-2.197061598598167E-2</v>
      </c>
      <c r="AK55" s="8">
        <f t="shared" si="489"/>
        <v>-1.1266547741996188E-3</v>
      </c>
      <c r="AL55" s="8">
        <f t="shared" si="490"/>
        <v>-3.5532814554246097E-4</v>
      </c>
      <c r="AM55" s="8">
        <f t="shared" si="491"/>
        <v>-1.0296307476276828E-2</v>
      </c>
      <c r="AN55" s="8">
        <f t="shared" si="492"/>
        <v>-1.5651201788708748E-2</v>
      </c>
    </row>
    <row r="56" spans="1:40" x14ac:dyDescent="0.25">
      <c r="A56" s="9">
        <v>43298</v>
      </c>
      <c r="B56" s="4">
        <f t="shared" si="812"/>
        <v>19746.46</v>
      </c>
      <c r="C56" s="4">
        <v>95.36</v>
      </c>
      <c r="D56" s="4">
        <f>19843.7-1.88</f>
        <v>19841.82</v>
      </c>
      <c r="E56" s="5">
        <f t="shared" ref="E56" si="910">D56/D55-1</f>
        <v>2.6768821733269554E-4</v>
      </c>
      <c r="F56" s="10">
        <f t="shared" ref="F56" si="911">F55*(1+E56)</f>
        <v>99.209099999999978</v>
      </c>
      <c r="G56" s="5">
        <f t="shared" ref="G56" si="912">F56/F$45-1</f>
        <v>-3.2949825577521796E-4</v>
      </c>
      <c r="H56" s="8">
        <f t="shared" si="836"/>
        <v>-7.9090000000001659E-3</v>
      </c>
      <c r="J56" s="11">
        <f>VLOOKUP($A56,Prices!$A:$J,MATCH(J$1,Prices!$1:$1,0),0)</f>
        <v>3.8588754134509795E-3</v>
      </c>
      <c r="K56" s="11">
        <f>VLOOKUP($A56,Prices!$A:$J,MATCH(K$1,Prices!$1:$1,0),0)</f>
        <v>-3.7597518563781129E-4</v>
      </c>
      <c r="L56" s="11">
        <f>VLOOKUP($A56,Prices!$A:$J,MATCH(L$1,Prices!$1:$1,0),0)</f>
        <v>4.0521807130418086E-3</v>
      </c>
      <c r="M56" s="11">
        <f t="shared" ref="M56" si="913">0.6*J56 + 0.4*K56</f>
        <v>2.1649351738154631E-3</v>
      </c>
      <c r="N56" s="11">
        <f>VLOOKUP($A56,Prices!$A:$J,MATCH(N$1,Prices!$1:$1,0),0)</f>
        <v>-6.2464508801817198E-3</v>
      </c>
      <c r="P56" s="10">
        <f t="shared" ref="P56" si="914">P55*(1+J56)</f>
        <v>101.18103889751163</v>
      </c>
      <c r="Q56" s="10">
        <f t="shared" ref="Q56" si="915">Q55*(1+K56)</f>
        <v>100.55796583703975</v>
      </c>
      <c r="R56" s="10">
        <f t="shared" ref="R56" si="916">R55*(1+L56)</f>
        <v>106.0776967536966</v>
      </c>
      <c r="S56" s="10">
        <f t="shared" ref="S56" si="917">S55*(1+M56)</f>
        <v>100.96563807888802</v>
      </c>
      <c r="T56" s="10">
        <f t="shared" ref="T56" si="918">T55*(1+N56)</f>
        <v>101.49185780848154</v>
      </c>
      <c r="V56" s="5">
        <f t="shared" ref="V56" si="919">P56/P$45-1</f>
        <v>2.4184476940382504E-2</v>
      </c>
      <c r="W56" s="5">
        <f t="shared" ref="W56" si="920">Q56/Q$45-1</f>
        <v>2.4431901729455863E-3</v>
      </c>
      <c r="X56" s="5">
        <f t="shared" ref="X56" si="921">R56/R$45-1</f>
        <v>3.449917597509633E-2</v>
      </c>
      <c r="Y56" s="5">
        <f t="shared" ref="Y56" si="922">S56/S$45-1</f>
        <v>1.5486424080282335E-2</v>
      </c>
      <c r="Z56" s="5">
        <f t="shared" ref="Z56" si="923">T56/T$45-1</f>
        <v>5.7471264367818797E-3</v>
      </c>
      <c r="AB56" s="8">
        <f t="shared" ref="AB56" si="924">P56/$P$2-1</f>
        <v>1.1810388975116215E-2</v>
      </c>
      <c r="AC56" s="8">
        <f t="shared" ref="AC56" si="925">Q56/$P$2-1</f>
        <v>5.5796583703975333E-3</v>
      </c>
      <c r="AD56" s="8">
        <f t="shared" ref="AD56" si="926">R56/$P$2-1</f>
        <v>6.0776967536966042E-2</v>
      </c>
      <c r="AE56" s="8">
        <f t="shared" ref="AE56" si="927">S56/$P$2-1</f>
        <v>9.6563807888800923E-3</v>
      </c>
      <c r="AF56" s="8">
        <f t="shared" ref="AF56" si="928">T56/$T$2-1</f>
        <v>1.4918578084815337E-2</v>
      </c>
      <c r="AI56" s="8">
        <f t="shared" si="466"/>
        <v>-9.059481941466066E-3</v>
      </c>
      <c r="AJ56" s="8">
        <f t="shared" si="488"/>
        <v>-1.8196522442377339E-2</v>
      </c>
      <c r="AK56" s="8">
        <f t="shared" si="489"/>
        <v>-1.502206365599586E-3</v>
      </c>
      <c r="AL56" s="8">
        <f t="shared" si="490"/>
        <v>0</v>
      </c>
      <c r="AM56" s="8">
        <f t="shared" si="491"/>
        <v>-8.1536631406771264E-3</v>
      </c>
      <c r="AN56" s="8">
        <f t="shared" si="492"/>
        <v>-2.1799888205701518E-2</v>
      </c>
    </row>
    <row r="57" spans="1:40" x14ac:dyDescent="0.25">
      <c r="A57" s="9">
        <v>43299</v>
      </c>
      <c r="B57" s="4">
        <f t="shared" si="812"/>
        <v>19753.170000000002</v>
      </c>
      <c r="C57" s="4">
        <v>95.36</v>
      </c>
      <c r="D57" s="4">
        <f>19822.31+26.22</f>
        <v>19848.530000000002</v>
      </c>
      <c r="E57" s="5">
        <f t="shared" ref="E57" si="929">D57/D56-1</f>
        <v>3.3817462309415625E-4</v>
      </c>
      <c r="F57" s="10">
        <f t="shared" ref="F57" si="930">F56*(1+E57)</f>
        <v>99.242649999999983</v>
      </c>
      <c r="G57" s="5">
        <f t="shared" ref="G57" si="931">F57/F$45-1</f>
        <v>8.5649393704034793E-6</v>
      </c>
      <c r="H57" s="8">
        <f t="shared" si="836"/>
        <v>-7.5735000000001218E-3</v>
      </c>
      <c r="J57" s="11">
        <f>VLOOKUP($A57,Prices!$A:$J,MATCH(J$1,Prices!$1:$1,0),0)</f>
        <v>5.4914881932988102E-4</v>
      </c>
      <c r="K57" s="11">
        <f>VLOOKUP($A57,Prices!$A:$J,MATCH(K$1,Prices!$1:$1,0),0)</f>
        <v>-2.8208744710866984E-4</v>
      </c>
      <c r="L57" s="11">
        <f>VLOOKUP($A57,Prices!$A:$J,MATCH(L$1,Prices!$1:$1,0),0)</f>
        <v>2.1949233546922908E-3</v>
      </c>
      <c r="M57" s="11">
        <f t="shared" ref="M57" si="932">0.6*J57 + 0.4*K57</f>
        <v>2.1665431275446067E-4</v>
      </c>
      <c r="N57" s="11">
        <f>VLOOKUP($A57,Prices!$A:$J,MATCH(N$1,Prices!$1:$1,0),0)</f>
        <v>1.1428571428571122E-3</v>
      </c>
      <c r="P57" s="10">
        <f t="shared" ref="P57" si="933">P56*(1+J57)</f>
        <v>101.23660234556077</v>
      </c>
      <c r="Q57" s="10">
        <f t="shared" ref="Q57" si="934">Q56*(1+K57)</f>
        <v>100.52959969717034</v>
      </c>
      <c r="R57" s="10">
        <f t="shared" ref="R57" si="935">R56*(1+L57)</f>
        <v>106.31052916771326</v>
      </c>
      <c r="S57" s="10">
        <f t="shared" ref="S57" si="936">S56*(1+M57)</f>
        <v>100.98751271981781</v>
      </c>
      <c r="T57" s="10">
        <f t="shared" ref="T57" si="937">T56*(1+N57)</f>
        <v>101.6078485031198</v>
      </c>
      <c r="V57" s="5">
        <f t="shared" ref="V57" si="938">P57/P$45-1</f>
        <v>2.4746906636670341E-2</v>
      </c>
      <c r="W57" s="5">
        <f t="shared" ref="W57" si="939">Q57/Q$45-1</f>
        <v>2.1604135325581364E-3</v>
      </c>
      <c r="X57" s="5">
        <f t="shared" ref="X57" si="940">R57/R$45-1</f>
        <v>3.6769822376854E-2</v>
      </c>
      <c r="Y57" s="5">
        <f t="shared" ref="Y57" si="941">S57/S$45-1</f>
        <v>1.570643359360302E-2</v>
      </c>
      <c r="Z57" s="5">
        <f t="shared" ref="Z57" si="942">T57/T$45-1</f>
        <v>6.8965517241381669E-3</v>
      </c>
      <c r="AB57" s="8">
        <f t="shared" ref="AB57" si="943">P57/$P$2-1</f>
        <v>1.2366023455607777E-2</v>
      </c>
      <c r="AC57" s="8">
        <f t="shared" ref="AC57" si="944">Q57/$P$2-1</f>
        <v>5.295996971703465E-3</v>
      </c>
      <c r="AD57" s="8">
        <f t="shared" ref="AD57" si="945">R57/$P$2-1</f>
        <v>6.3105291677132636E-2</v>
      </c>
      <c r="AE57" s="8">
        <f t="shared" ref="AE57" si="946">S57/$P$2-1</f>
        <v>9.8751271981780686E-3</v>
      </c>
      <c r="AF57" s="8">
        <f t="shared" ref="AF57" si="947">T57/$T$2-1</f>
        <v>1.6078485031197909E-2</v>
      </c>
      <c r="AI57" s="8">
        <f t="shared" si="466"/>
        <v>-8.7243710052629445E-3</v>
      </c>
      <c r="AJ57" s="8">
        <f t="shared" si="488"/>
        <v>-1.7657366221862571E-2</v>
      </c>
      <c r="AK57" s="8">
        <f t="shared" si="489"/>
        <v>-1.7838700591494908E-3</v>
      </c>
      <c r="AL57" s="8">
        <f t="shared" si="490"/>
        <v>0</v>
      </c>
      <c r="AM57" s="8">
        <f t="shared" si="491"/>
        <v>-7.9387753542068604E-3</v>
      </c>
      <c r="AN57" s="8">
        <f t="shared" si="492"/>
        <v>-2.0681945220793828E-2</v>
      </c>
    </row>
    <row r="58" spans="1:40" x14ac:dyDescent="0.25">
      <c r="A58" s="9">
        <v>43300</v>
      </c>
      <c r="B58" s="4">
        <f t="shared" si="812"/>
        <v>19786.41</v>
      </c>
      <c r="C58" s="4">
        <v>95.36</v>
      </c>
      <c r="D58" s="4">
        <f>19865.49+16.28</f>
        <v>19881.77</v>
      </c>
      <c r="E58" s="5">
        <f t="shared" ref="E58" si="948">D58/D57-1</f>
        <v>1.6746832133158751E-3</v>
      </c>
      <c r="F58" s="10">
        <f t="shared" ref="F58" si="949">F57*(1+E58)</f>
        <v>99.408849999999973</v>
      </c>
      <c r="G58" s="5">
        <f t="shared" ref="G58" si="950">F58/F$45-1</f>
        <v>1.6832624962466181E-3</v>
      </c>
      <c r="H58" s="8">
        <f t="shared" ref="H58" si="951">F58/$F$2-1</f>
        <v>-5.9115000000002915E-3</v>
      </c>
      <c r="J58" s="11">
        <f>VLOOKUP($A58,Prices!$A:$J,MATCH(J$1,Prices!$1:$1,0),0)</f>
        <v>-4.6652030735454542E-3</v>
      </c>
      <c r="K58" s="11">
        <f>VLOOKUP($A58,Prices!$A:$J,MATCH(K$1,Prices!$1:$1,0),0)</f>
        <v>1.5048908954102824E-3</v>
      </c>
      <c r="L58" s="11">
        <f>VLOOKUP($A58,Prices!$A:$J,MATCH(L$1,Prices!$1:$1,0),0)</f>
        <v>-4.1329612490725864E-3</v>
      </c>
      <c r="M58" s="11">
        <f t="shared" ref="M58" si="952">0.6*J58 + 0.4*K58</f>
        <v>-2.1971654859631595E-3</v>
      </c>
      <c r="N58" s="11">
        <f>VLOOKUP($A58,Prices!$A:$J,MATCH(N$1,Prices!$1:$1,0),0)</f>
        <v>5.7077625570776114E-3</v>
      </c>
      <c r="P58" s="10">
        <f t="shared" ref="P58" si="953">P57*(1+J58)</f>
        <v>100.76431303714295</v>
      </c>
      <c r="Q58" s="10">
        <f t="shared" ref="Q58" si="954">Q57*(1+K58)</f>
        <v>100.68088577647386</v>
      </c>
      <c r="R58" s="10">
        <f t="shared" ref="R58" si="955">R57*(1+L58)</f>
        <v>105.8711518702947</v>
      </c>
      <c r="S58" s="10">
        <f t="shared" ref="S58" si="956">S57*(1+M58)</f>
        <v>100.76562644235656</v>
      </c>
      <c r="T58" s="10">
        <f t="shared" ref="T58" si="957">T57*(1+N58)</f>
        <v>102.18780197631112</v>
      </c>
      <c r="V58" s="5">
        <f t="shared" ref="V58" si="958">P58/P$45-1</f>
        <v>1.9966254218222623E-2</v>
      </c>
      <c r="W58" s="5">
        <f t="shared" ref="W58" si="959">Q58/Q$45-1</f>
        <v>3.6685556146240916E-3</v>
      </c>
      <c r="X58" s="5">
        <f t="shared" ref="X58" si="960">R58/R$45-1</f>
        <v>3.2484892876762483E-2</v>
      </c>
      <c r="Y58" s="5">
        <f t="shared" ref="Y58" si="961">S58/S$45-1</f>
        <v>1.3474758473840387E-2</v>
      </c>
      <c r="Z58" s="5">
        <f t="shared" ref="Z58" si="962">T58/T$45-1</f>
        <v>1.2643678160919825E-2</v>
      </c>
      <c r="AB58" s="8">
        <f t="shared" ref="AB58" si="963">P58/$P$2-1</f>
        <v>7.6431303714294963E-3</v>
      </c>
      <c r="AC58" s="8">
        <f t="shared" ref="AC58" si="964">Q58/$P$2-1</f>
        <v>6.8088577647384962E-3</v>
      </c>
      <c r="AD58" s="8">
        <f t="shared" ref="AD58" si="965">R58/$P$2-1</f>
        <v>5.8711518702946996E-2</v>
      </c>
      <c r="AE58" s="8">
        <f t="shared" ref="AE58" si="966">S58/$P$2-1</f>
        <v>7.6562644235655952E-3</v>
      </c>
      <c r="AF58" s="8">
        <f t="shared" ref="AF58" si="967">T58/$T$2-1</f>
        <v>2.1878019763111212E-2</v>
      </c>
      <c r="AI58" s="8">
        <f t="shared" si="466"/>
        <v>-7.0642983496162579E-3</v>
      </c>
      <c r="AJ58" s="8">
        <f t="shared" si="488"/>
        <v>-2.2240194096239122E-2</v>
      </c>
      <c r="AK58" s="8">
        <f t="shared" si="489"/>
        <v>-2.816636935497636E-4</v>
      </c>
      <c r="AL58" s="8">
        <f t="shared" si="490"/>
        <v>-4.132961249072583E-3</v>
      </c>
      <c r="AM58" s="8">
        <f t="shared" si="491"/>
        <v>-1.0118498036960967E-2</v>
      </c>
      <c r="AN58" s="8">
        <f t="shared" si="492"/>
        <v>-1.5092230296254972E-2</v>
      </c>
    </row>
    <row r="59" spans="1:40" x14ac:dyDescent="0.25">
      <c r="A59" s="9">
        <v>43301</v>
      </c>
      <c r="B59" s="4">
        <f t="shared" si="812"/>
        <v>19709.62</v>
      </c>
      <c r="C59" s="4">
        <v>95.36</v>
      </c>
      <c r="D59" s="4">
        <f>19796.12+8.86</f>
        <v>19804.98</v>
      </c>
      <c r="E59" s="5">
        <f t="shared" ref="E59" si="968">D59/D58-1</f>
        <v>-3.8623321766624308E-3</v>
      </c>
      <c r="F59" s="10">
        <f t="shared" ref="F59" si="969">F58*(1+E59)</f>
        <v>99.02489999999996</v>
      </c>
      <c r="G59" s="5">
        <f t="shared" ref="G59" si="970">F59/F$45-1</f>
        <v>-2.1855709993169326E-3</v>
      </c>
      <c r="H59" s="8">
        <f t="shared" ref="H59" si="971">F59/$F$2-1</f>
        <v>-9.7510000000003982E-3</v>
      </c>
      <c r="J59" s="11">
        <f>VLOOKUP($A59,Prices!$A:$J,MATCH(J$1,Prices!$1:$1,0),0)</f>
        <v>3.4463744141164376E-3</v>
      </c>
      <c r="K59" s="11">
        <f>VLOOKUP($A59,Prices!$A:$J,MATCH(K$1,Prices!$1:$1,0),0)</f>
        <v>-1.9722013523667536E-3</v>
      </c>
      <c r="L59" s="11">
        <f>VLOOKUP($A59,Prices!$A:$J,MATCH(L$1,Prices!$1:$1,0),0)</f>
        <v>-1.0641316685584545E-3</v>
      </c>
      <c r="M59" s="11">
        <f t="shared" ref="M59" si="972">0.6*J59 + 0.4*K59</f>
        <v>1.2789441075231611E-3</v>
      </c>
      <c r="N59" s="11">
        <f>VLOOKUP($A59,Prices!$A:$J,MATCH(N$1,Prices!$1:$1,0),0)</f>
        <v>-3.9727582292848895E-3</v>
      </c>
      <c r="P59" s="10">
        <f t="shared" ref="P59" si="973">P58*(1+J59)</f>
        <v>101.11158458745018</v>
      </c>
      <c r="Q59" s="10">
        <f t="shared" ref="Q59" si="974">Q58*(1+K59)</f>
        <v>100.48232279738801</v>
      </c>
      <c r="R59" s="10">
        <f t="shared" ref="R59" si="975">R58*(1+L59)</f>
        <v>105.75849102480275</v>
      </c>
      <c r="S59" s="10">
        <f t="shared" ref="S59" si="976">S58*(1+M59)</f>
        <v>100.8945000465359</v>
      </c>
      <c r="T59" s="10">
        <f t="shared" ref="T59" si="977">T58*(1+N59)</f>
        <v>101.7818345450772</v>
      </c>
      <c r="V59" s="5">
        <f t="shared" ref="V59" si="978">P59/P$45-1</f>
        <v>2.3481439820022487E-2</v>
      </c>
      <c r="W59" s="5">
        <f t="shared" ref="W59" si="979">Q59/Q$45-1</f>
        <v>1.6891191319128307E-3</v>
      </c>
      <c r="X59" s="5">
        <f t="shared" ref="X59" si="980">R59/R$45-1</f>
        <v>3.1386193004944163E-2</v>
      </c>
      <c r="Y59" s="5">
        <f t="shared" ref="Y59" si="981">S59/S$45-1</f>
        <v>1.4770936044314009E-2</v>
      </c>
      <c r="Z59" s="5">
        <f t="shared" ref="Z59" si="982">T59/T$45-1</f>
        <v>8.6206896551728196E-3</v>
      </c>
      <c r="AB59" s="8">
        <f t="shared" ref="AB59" si="983">P59/$P$2-1</f>
        <v>1.1115845874501762E-2</v>
      </c>
      <c r="AC59" s="8">
        <f t="shared" ref="AC59" si="984">Q59/$P$2-1</f>
        <v>4.8232279738800177E-3</v>
      </c>
      <c r="AD59" s="8">
        <f t="shared" ref="AD59" si="985">R59/$P$2-1</f>
        <v>5.7584910248027477E-2</v>
      </c>
      <c r="AE59" s="8">
        <f t="shared" ref="AE59" si="986">S59/$P$2-1</f>
        <v>8.9450004653590653E-3</v>
      </c>
      <c r="AF59" s="8">
        <f t="shared" ref="AF59" si="987">T59/$T$2-1</f>
        <v>1.78183454507721E-2</v>
      </c>
      <c r="AI59" s="8">
        <f t="shared" si="466"/>
        <v>-1.0899345859457461E-2</v>
      </c>
      <c r="AJ59" s="8">
        <f t="shared" si="488"/>
        <v>-1.8870467718020967E-2</v>
      </c>
      <c r="AK59" s="8">
        <f t="shared" si="489"/>
        <v>-2.2533095483992377E-3</v>
      </c>
      <c r="AL59" s="8">
        <f t="shared" si="490"/>
        <v>-5.1926949026809997E-3</v>
      </c>
      <c r="AM59" s="8">
        <f t="shared" si="491"/>
        <v>-8.852494922879154E-3</v>
      </c>
      <c r="AN59" s="8">
        <f t="shared" si="492"/>
        <v>-1.9005030743432089E-2</v>
      </c>
    </row>
    <row r="60" spans="1:40" x14ac:dyDescent="0.25">
      <c r="A60" s="9">
        <v>43304</v>
      </c>
      <c r="B60" s="4">
        <f t="shared" si="812"/>
        <v>19672.309999999998</v>
      </c>
      <c r="C60" s="4">
        <v>95.36</v>
      </c>
      <c r="D60" s="4">
        <f>19797.25-29.58</f>
        <v>19767.669999999998</v>
      </c>
      <c r="E60" s="5">
        <f t="shared" ref="E60" si="988">D60/D59-1</f>
        <v>-1.8838696125924592E-3</v>
      </c>
      <c r="F60" s="10">
        <f t="shared" ref="F60" si="989">F59*(1+E60)</f>
        <v>98.838349999999949</v>
      </c>
      <c r="G60" s="5">
        <f t="shared" ref="G60" si="990">F60/F$45-1</f>
        <v>-4.0653232811176387E-3</v>
      </c>
      <c r="H60" s="8">
        <f t="shared" ref="H60" si="991">F60/$F$2-1</f>
        <v>-1.1616500000000474E-2</v>
      </c>
      <c r="J60" s="11">
        <f>VLOOKUP($A60,Prices!$A:$J,MATCH(J$1,Prices!$1:$1,0),0)</f>
        <v>0</v>
      </c>
      <c r="K60" s="11">
        <f>VLOOKUP($A60,Prices!$A:$J,MATCH(K$1,Prices!$1:$1,0),0)</f>
        <v>-3.4816975628115809E-3</v>
      </c>
      <c r="L60" s="11">
        <f>VLOOKUP($A60,Prices!$A:$J,MATCH(L$1,Prices!$1:$1,0),0)</f>
        <v>1.8464597684821893E-3</v>
      </c>
      <c r="M60" s="11">
        <f t="shared" ref="M60" si="992">0.6*J60 + 0.4*K60</f>
        <v>-1.3926790251246324E-3</v>
      </c>
      <c r="N60" s="11">
        <f>VLOOKUP($A60,Prices!$A:$J,MATCH(N$1,Prices!$1:$1,0),0)</f>
        <v>2.8490028490029129E-3</v>
      </c>
      <c r="P60" s="10">
        <f t="shared" ref="P60" si="993">P59*(1+J60)</f>
        <v>101.11158458745018</v>
      </c>
      <c r="Q60" s="10">
        <f t="shared" ref="Q60" si="994">Q59*(1+K60)</f>
        <v>100.1324737389987</v>
      </c>
      <c r="R60" s="10">
        <f t="shared" ref="R60" si="995">R59*(1+L60)</f>
        <v>105.95376982365543</v>
      </c>
      <c r="S60" s="10">
        <f t="shared" ref="S60" si="996">S59*(1+M60)</f>
        <v>100.75398639257065</v>
      </c>
      <c r="T60" s="10">
        <f t="shared" ref="T60" si="997">T59*(1+N60)</f>
        <v>102.07181128167286</v>
      </c>
      <c r="V60" s="5">
        <f t="shared" ref="V60" si="998">P60/P$45-1</f>
        <v>2.3481439820022487E-2</v>
      </c>
      <c r="W60" s="5">
        <f t="shared" ref="W60" si="999">Q60/Q$45-1</f>
        <v>-1.7984594328636083E-3</v>
      </c>
      <c r="X60" s="5">
        <f t="shared" ref="X60" si="1000">R60/R$45-1</f>
        <v>3.32906061160958E-2</v>
      </c>
      <c r="Y60" s="5">
        <f t="shared" ref="Y60" si="1001">S60/S$45-1</f>
        <v>1.3357685846378864E-2</v>
      </c>
      <c r="Z60" s="5">
        <f t="shared" ref="Z60" si="1002">T60/T$45-1</f>
        <v>1.1494252873563537E-2</v>
      </c>
      <c r="AB60" s="8">
        <f t="shared" ref="AB60" si="1003">P60/$P$2-1</f>
        <v>1.1115845874501762E-2</v>
      </c>
      <c r="AC60" s="8">
        <f t="shared" ref="AC60" si="1004">Q60/$P$2-1</f>
        <v>1.3247373899869519E-3</v>
      </c>
      <c r="AD60" s="8">
        <f t="shared" ref="AD60" si="1005">R60/$P$2-1</f>
        <v>5.9537698236554304E-2</v>
      </c>
      <c r="AE60" s="8">
        <f t="shared" ref="AE60" si="1006">S60/$P$2-1</f>
        <v>7.5398639257064914E-3</v>
      </c>
      <c r="AF60" s="8">
        <f t="shared" ref="AF60" si="1007">T60/$T$2-1</f>
        <v>2.071811281672864E-2</v>
      </c>
      <c r="AI60" s="8">
        <f t="shared" si="466"/>
        <v>-1.2691678761828657E-2</v>
      </c>
      <c r="AJ60" s="8">
        <f t="shared" si="488"/>
        <v>-1.8870467718020967E-2</v>
      </c>
      <c r="AK60" s="8">
        <f t="shared" si="489"/>
        <v>-5.7271617688478748E-3</v>
      </c>
      <c r="AL60" s="8">
        <f t="shared" si="490"/>
        <v>-3.3558232364266074E-3</v>
      </c>
      <c r="AM60" s="8">
        <f t="shared" si="491"/>
        <v>-1.0232845264004635E-2</v>
      </c>
      <c r="AN60" s="8">
        <f t="shared" si="492"/>
        <v>-1.621017328116266E-2</v>
      </c>
    </row>
    <row r="61" spans="1:40" x14ac:dyDescent="0.25">
      <c r="A61" s="9">
        <v>43305</v>
      </c>
      <c r="B61" s="4">
        <f t="shared" si="812"/>
        <v>19722.330000000002</v>
      </c>
      <c r="C61" s="4">
        <v>95.36</v>
      </c>
      <c r="D61" s="4">
        <f>19807.29+10.4</f>
        <v>19817.690000000002</v>
      </c>
      <c r="E61" s="5">
        <f t="shared" ref="E61" si="1008">D61/D60-1</f>
        <v>2.5303943256844708E-3</v>
      </c>
      <c r="F61" s="10">
        <f t="shared" ref="F61" si="1009">F60*(1+E61)</f>
        <v>99.088449999999966</v>
      </c>
      <c r="G61" s="5">
        <f t="shared" ref="G61" si="1010">F61/F$45-1</f>
        <v>-1.5452158263957738E-3</v>
      </c>
      <c r="H61" s="8">
        <f t="shared" ref="H61" si="1011">F61/$F$2-1</f>
        <v>-9.1155000000003872E-3</v>
      </c>
      <c r="J61" s="11">
        <f>VLOOKUP($A61,Prices!$A:$J,MATCH(J$1,Prices!$1:$1,0),0)</f>
        <v>5.0831158126114495E-3</v>
      </c>
      <c r="K61" s="11">
        <f>VLOOKUP($A61,Prices!$A:$J,MATCH(K$1,Prices!$1:$1,0),0)</f>
        <v>1.4164305949007083E-3</v>
      </c>
      <c r="L61" s="11">
        <f>VLOOKUP($A61,Prices!$A:$J,MATCH(L$1,Prices!$1:$1,0),0)</f>
        <v>4.9975189622173399E-3</v>
      </c>
      <c r="M61" s="11">
        <f t="shared" ref="M61" si="1012">0.6*J61 + 0.4*K61</f>
        <v>3.6164417255271529E-3</v>
      </c>
      <c r="N61" s="11">
        <f>VLOOKUP($A61,Prices!$A:$J,MATCH(N$1,Prices!$1:$1,0),0)</f>
        <v>1.1420454545454373E-3</v>
      </c>
      <c r="P61" s="10">
        <f t="shared" ref="P61" si="1013">P60*(1+J61)</f>
        <v>101.62554648190485</v>
      </c>
      <c r="Q61" s="10">
        <f t="shared" ref="Q61" si="1014">Q60*(1+K61)</f>
        <v>100.27430443834571</v>
      </c>
      <c r="R61" s="10">
        <f t="shared" ref="R61" si="1015">R60*(1+L61)</f>
        <v>106.48327579746757</v>
      </c>
      <c r="S61" s="10">
        <f t="shared" ref="S61" si="1016">S60*(1+M61)</f>
        <v>101.11835731297394</v>
      </c>
      <c r="T61" s="10">
        <f t="shared" ref="T61" si="1017">T60*(1+N61)</f>
        <v>102.18838192978431</v>
      </c>
      <c r="V61" s="5">
        <f t="shared" ref="V61" si="1018">P61/P$45-1</f>
        <v>2.8683914510686082E-2</v>
      </c>
      <c r="W61" s="5">
        <f t="shared" ref="W61" si="1019">Q61/Q$45-1</f>
        <v>-3.8457623092724713E-4</v>
      </c>
      <c r="X61" s="5">
        <f t="shared" ref="X61" si="1020">R61/R$45-1</f>
        <v>3.8454495513642106E-2</v>
      </c>
      <c r="Y61" s="5">
        <f t="shared" ref="Y61" si="1021">S61/S$45-1</f>
        <v>1.7022434864357505E-2</v>
      </c>
      <c r="Z61" s="5">
        <f t="shared" ref="Z61" si="1022">T61/T$45-1</f>
        <v>1.2649425287356575E-2</v>
      </c>
      <c r="AB61" s="8">
        <f t="shared" ref="AB61" si="1023">P61/$P$2-1</f>
        <v>1.6255464819048493E-2</v>
      </c>
      <c r="AC61" s="8">
        <f t="shared" ref="AC61" si="1024">Q61/$P$2-1</f>
        <v>2.7430443834570717E-3</v>
      </c>
      <c r="AD61" s="8">
        <f t="shared" ref="AD61" si="1025">R61/$P$2-1</f>
        <v>6.4832757974675692E-2</v>
      </c>
      <c r="AE61" s="8">
        <f t="shared" ref="AE61" si="1026">S61/$P$2-1</f>
        <v>1.1183573129739388E-2</v>
      </c>
      <c r="AF61" s="8">
        <f t="shared" ref="AF61" si="1027">T61/$T$2-1</f>
        <v>2.1883819297843221E-2</v>
      </c>
      <c r="AI61" s="8">
        <f t="shared" si="466"/>
        <v>-1.0193399388066508E-2</v>
      </c>
      <c r="AJ61" s="8">
        <f t="shared" si="488"/>
        <v>-1.2552301255230089E-2</v>
      </c>
      <c r="AK61" s="8">
        <f t="shared" si="489"/>
        <v>-4.3188433010984918E-3</v>
      </c>
      <c r="AL61" s="8">
        <f t="shared" si="490"/>
        <v>0</v>
      </c>
      <c r="AM61" s="8">
        <f t="shared" si="491"/>
        <v>-5.9624137503729423E-3</v>
      </c>
      <c r="AN61" s="8">
        <f t="shared" si="492"/>
        <v>-1.5086640581330425E-2</v>
      </c>
    </row>
    <row r="62" spans="1:40" x14ac:dyDescent="0.25">
      <c r="A62" s="9">
        <v>43306</v>
      </c>
      <c r="B62" s="4">
        <f t="shared" si="812"/>
        <v>19867.530000000002</v>
      </c>
      <c r="C62" s="4">
        <v>95.36</v>
      </c>
      <c r="D62" s="4">
        <f>19932.9+29.99</f>
        <v>19962.890000000003</v>
      </c>
      <c r="E62" s="5">
        <f t="shared" ref="E62" si="1028">D62/D61-1</f>
        <v>7.3267873299058817E-3</v>
      </c>
      <c r="F62" s="10">
        <f t="shared" ref="F62" si="1029">F61*(1+E62)</f>
        <v>99.814449999999979</v>
      </c>
      <c r="G62" s="5">
        <f t="shared" ref="G62" si="1030">F62/F$45-1</f>
        <v>5.7702500357712516E-3</v>
      </c>
      <c r="H62" s="8">
        <f t="shared" ref="H62" si="1031">F62/$F$2-1</f>
        <v>-1.855500000000232E-3</v>
      </c>
      <c r="J62" s="11">
        <f>VLOOKUP($A62,Prices!$A:$J,MATCH(J$1,Prices!$1:$1,0),0)</f>
        <v>9.8414434117004568E-3</v>
      </c>
      <c r="K62" s="11">
        <f>VLOOKUP($A62,Prices!$A:$J,MATCH(K$1,Prices!$1:$1,0),0)</f>
        <v>9.4295143800104952E-5</v>
      </c>
      <c r="L62" s="11">
        <f>VLOOKUP($A62,Prices!$A:$J,MATCH(L$1,Prices!$1:$1,0),0)</f>
        <v>9.2752600952212827E-3</v>
      </c>
      <c r="M62" s="11">
        <f t="shared" ref="M62" si="1032">0.6*J62 + 0.4*K62</f>
        <v>5.9425841045403155E-3</v>
      </c>
      <c r="N62" s="11">
        <f>VLOOKUP($A62,Prices!$A:$J,MATCH(N$1,Prices!$1:$1,0),0)</f>
        <v>6.2371950215946992E-3</v>
      </c>
      <c r="P62" s="10">
        <f t="shared" ref="P62" si="1033">P61*(1+J62)</f>
        <v>102.62568854678965</v>
      </c>
      <c r="Q62" s="10">
        <f t="shared" ref="Q62" si="1034">Q61*(1+K62)</f>
        <v>100.28375981830217</v>
      </c>
      <c r="R62" s="10">
        <f t="shared" ref="R62" si="1035">R61*(1+L62)</f>
        <v>107.47093587628027</v>
      </c>
      <c r="S62" s="10">
        <f t="shared" ref="S62" si="1036">S61*(1+M62)</f>
        <v>101.71926165581925</v>
      </c>
      <c r="T62" s="10">
        <f t="shared" ref="T62" si="1037">T61*(1+N62)</f>
        <v>102.82575079682158</v>
      </c>
      <c r="V62" s="5">
        <f t="shared" ref="V62" si="1038">P62/P$45-1</f>
        <v>3.8807649043869352E-2</v>
      </c>
      <c r="W62" s="5">
        <f t="shared" ref="W62" si="1039">Q62/Q$45-1</f>
        <v>-2.903173507982082E-4</v>
      </c>
      <c r="X62" s="5">
        <f t="shared" ref="X62" si="1040">R62/R$45-1</f>
        <v>4.8086431056582946E-2</v>
      </c>
      <c r="Y62" s="5">
        <f t="shared" ref="Y62" si="1041">S62/S$45-1</f>
        <v>2.3066176219743273E-2</v>
      </c>
      <c r="Z62" s="5">
        <f t="shared" ref="Z62" si="1042">T62/T$45-1</f>
        <v>1.8965517241379626E-2</v>
      </c>
      <c r="AB62" s="8">
        <f t="shared" ref="AB62" si="1043">P62/$P$2-1</f>
        <v>2.6256885467896396E-2</v>
      </c>
      <c r="AC62" s="8">
        <f t="shared" ref="AC62" si="1044">Q62/$P$2-1</f>
        <v>2.8375981830217611E-3</v>
      </c>
      <c r="AD62" s="8">
        <f t="shared" ref="AD62" si="1045">R62/$P$2-1</f>
        <v>7.4709358762802713E-2</v>
      </c>
      <c r="AE62" s="8">
        <f t="shared" ref="AE62" si="1046">S62/$P$2-1</f>
        <v>1.7192616558192597E-2</v>
      </c>
      <c r="AF62" s="8">
        <f t="shared" ref="AF62" si="1047">T62/$T$2-1</f>
        <v>2.8257507968215911E-2</v>
      </c>
      <c r="AI62" s="8">
        <f t="shared" si="466"/>
        <v>-1.7631630925860414E-3</v>
      </c>
      <c r="AJ62" s="8">
        <f t="shared" si="488"/>
        <v>-8.1146875845267673E-4</v>
      </c>
      <c r="AK62" s="8">
        <f t="shared" si="489"/>
        <v>-4.2249554032485707E-3</v>
      </c>
      <c r="AL62" s="8">
        <f t="shared" si="490"/>
        <v>0</v>
      </c>
      <c r="AM62" s="8">
        <f t="shared" si="491"/>
        <v>0</v>
      </c>
      <c r="AN62" s="8">
        <f t="shared" si="492"/>
        <v>-8.9435438792621995E-3</v>
      </c>
    </row>
    <row r="63" spans="1:40" x14ac:dyDescent="0.25">
      <c r="A63" s="9">
        <v>43307</v>
      </c>
      <c r="B63" s="4">
        <f t="shared" si="812"/>
        <v>19842.649999999998</v>
      </c>
      <c r="C63" s="4">
        <v>95.36</v>
      </c>
      <c r="D63" s="4">
        <f>19951.35-13.34</f>
        <v>19938.009999999998</v>
      </c>
      <c r="E63" s="5">
        <f t="shared" ref="E63" si="1048">D63/D62-1</f>
        <v>-1.2463125329050806E-3</v>
      </c>
      <c r="F63" s="10">
        <f t="shared" ref="F63" si="1049">F62*(1+E63)</f>
        <v>99.690049999999957</v>
      </c>
      <c r="G63" s="5">
        <f t="shared" ref="G63" si="1050">F63/F$45-1</f>
        <v>4.5167459679287258E-3</v>
      </c>
      <c r="H63" s="8">
        <f t="shared" ref="H63" si="1051">F63/$F$2-1</f>
        <v>-3.0995000000004769E-3</v>
      </c>
      <c r="J63" s="11">
        <f>VLOOKUP($A63,Prices!$A:$J,MATCH(J$1,Prices!$1:$1,0),0)</f>
        <v>-4.195993502977835E-3</v>
      </c>
      <c r="K63" s="11">
        <f>VLOOKUP($A63,Prices!$A:$J,MATCH(K$1,Prices!$1:$1,0),0)</f>
        <v>-5.6571751838585538E-4</v>
      </c>
      <c r="L63" s="11">
        <f>VLOOKUP($A63,Prices!$A:$J,MATCH(L$1,Prices!$1:$1,0),0)</f>
        <v>-3.4593612411769614E-3</v>
      </c>
      <c r="M63" s="11">
        <f t="shared" ref="M63" si="1052">0.6*J63 + 0.4*K63</f>
        <v>-2.7438831091410433E-3</v>
      </c>
      <c r="N63" s="11">
        <f>VLOOKUP($A63,Prices!$A:$J,MATCH(N$1,Prices!$1:$1,0),0)</f>
        <v>-2.2560631697686739E-3</v>
      </c>
      <c r="P63" s="10">
        <f t="shared" ref="P63" si="1053">P62*(1+J63)</f>
        <v>102.19507182440869</v>
      </c>
      <c r="Q63" s="10">
        <f t="shared" ref="Q63" si="1054">Q62*(1+K63)</f>
        <v>100.22702753856336</v>
      </c>
      <c r="R63" s="10">
        <f t="shared" ref="R63" si="1055">R62*(1+L63)</f>
        <v>107.09915508615684</v>
      </c>
      <c r="S63" s="10">
        <f t="shared" ref="S63" si="1056">S62*(1+M63)</f>
        <v>101.44015589188754</v>
      </c>
      <c r="T63" s="10">
        <f t="shared" ref="T63" si="1057">T62*(1+N63)</f>
        <v>102.59376940754505</v>
      </c>
      <c r="V63" s="5">
        <f t="shared" ref="V63" si="1058">P63/P$45-1</f>
        <v>3.4448818897637512E-2</v>
      </c>
      <c r="W63" s="5">
        <f t="shared" ref="W63" si="1059">Q63/Q$45-1</f>
        <v>-8.5587063157277488E-4</v>
      </c>
      <c r="X63" s="5">
        <f t="shared" ref="X63" si="1060">R63/R$45-1</f>
        <v>4.4460721479582244E-2</v>
      </c>
      <c r="Y63" s="5">
        <f t="shared" ref="Y63" si="1061">S63/S$45-1</f>
        <v>2.0259002219280342E-2</v>
      </c>
      <c r="Z63" s="5">
        <f t="shared" ref="Z63" si="1062">T63/T$45-1</f>
        <v>1.6666666666667052E-2</v>
      </c>
      <c r="AB63" s="8">
        <f t="shared" ref="AB63" si="1063">P63/$P$2-1</f>
        <v>2.1950718244086787E-2</v>
      </c>
      <c r="AC63" s="8">
        <f t="shared" ref="AC63" si="1064">Q63/$P$2-1</f>
        <v>2.2702753856336244E-3</v>
      </c>
      <c r="AD63" s="8">
        <f t="shared" ref="AD63" si="1065">R63/$P$2-1</f>
        <v>7.0991550861568387E-2</v>
      </c>
      <c r="AE63" s="8">
        <f t="shared" ref="AE63" si="1066">S63/$P$2-1</f>
        <v>1.4401558918875512E-2</v>
      </c>
      <c r="AF63" s="8">
        <f t="shared" ref="AF63" si="1067">T63/$T$2-1</f>
        <v>2.5937694075450546E-2</v>
      </c>
      <c r="AI63" s="8">
        <f t="shared" si="466"/>
        <v>-3.0072781732312284E-3</v>
      </c>
      <c r="AJ63" s="8">
        <f t="shared" si="488"/>
        <v>-4.7348484848485743E-3</v>
      </c>
      <c r="AK63" s="8">
        <f t="shared" si="489"/>
        <v>-4.7882827903483801E-3</v>
      </c>
      <c r="AL63" s="8">
        <f t="shared" si="490"/>
        <v>-3.4593612411770104E-3</v>
      </c>
      <c r="AM63" s="8">
        <f t="shared" si="491"/>
        <v>-2.7438831091411379E-3</v>
      </c>
      <c r="AN63" s="8">
        <f t="shared" si="492"/>
        <v>-1.1179429849077716E-2</v>
      </c>
    </row>
    <row r="64" spans="1:40" x14ac:dyDescent="0.25">
      <c r="A64" s="9">
        <v>43308</v>
      </c>
      <c r="B64" s="4">
        <f t="shared" si="812"/>
        <v>19742.14</v>
      </c>
      <c r="C64" s="4">
        <v>95.36</v>
      </c>
      <c r="D64" s="4">
        <f>19820.45+17.05</f>
        <v>19837.5</v>
      </c>
      <c r="E64" s="5">
        <f t="shared" ref="E64" si="1068">D64/D63-1</f>
        <v>-5.0411249668346203E-3</v>
      </c>
      <c r="F64" s="10">
        <f t="shared" ref="F64" si="1069">F63*(1+E64)</f>
        <v>99.187499999999972</v>
      </c>
      <c r="G64" s="5">
        <f t="shared" ref="G64" si="1070">F64/F$45-1</f>
        <v>-5.4714847977366254E-4</v>
      </c>
      <c r="H64" s="8">
        <f t="shared" ref="H64" si="1071">F64/$F$2-1</f>
        <v>-8.1250000000002709E-3</v>
      </c>
      <c r="J64" s="11">
        <f>VLOOKUP($A64,Prices!$A:$J,MATCH(J$1,Prices!$1:$1,0),0)</f>
        <v>-2.9903493271713488E-3</v>
      </c>
      <c r="K64" s="11">
        <f>VLOOKUP($A64,Prices!$A:$J,MATCH(K$1,Prices!$1:$1,0),0)</f>
        <v>7.5471698113216412E-4</v>
      </c>
      <c r="L64" s="11">
        <f>VLOOKUP($A64,Prices!$A:$J,MATCH(L$1,Prices!$1:$1,0),0)</f>
        <v>-6.4167747817244214E-3</v>
      </c>
      <c r="M64" s="11">
        <f t="shared" ref="M64" si="1072">0.6*J64 + 0.4*K64</f>
        <v>-1.4923228038499436E-3</v>
      </c>
      <c r="N64" s="11">
        <f>VLOOKUP($A64,Prices!$A:$J,MATCH(N$1,Prices!$1:$1,0),0)</f>
        <v>-1.6958733747880483E-3</v>
      </c>
      <c r="P64" s="10">
        <f t="shared" ref="P64" si="1073">P63*(1+J64)</f>
        <v>101.88947286013834</v>
      </c>
      <c r="Q64" s="10">
        <f t="shared" ref="Q64" si="1074">Q63*(1+K64)</f>
        <v>100.30267057821511</v>
      </c>
      <c r="R64" s="10">
        <f t="shared" ref="R64" si="1075">R63*(1+L64)</f>
        <v>106.41192392865599</v>
      </c>
      <c r="S64" s="10">
        <f t="shared" ref="S64" si="1076">S63*(1+M64)</f>
        <v>101.28877443402399</v>
      </c>
      <c r="T64" s="10">
        <f t="shared" ref="T64" si="1077">T63*(1+N64)</f>
        <v>102.41978336558765</v>
      </c>
      <c r="V64" s="5">
        <f t="shared" ref="V64" si="1078">P64/P$45-1</f>
        <v>3.1355455568053969E-2</v>
      </c>
      <c r="W64" s="5">
        <f t="shared" ref="W64" si="1079">Q64/Q$45-1</f>
        <v>-1.017995905400193E-4</v>
      </c>
      <c r="X64" s="5">
        <f t="shared" ref="X64" si="1080">R64/R$45-1</f>
        <v>3.7758652261490333E-2</v>
      </c>
      <c r="Y64" s="5">
        <f t="shared" ref="Y64" si="1081">S64/S$45-1</f>
        <v>1.8736446444435284E-2</v>
      </c>
      <c r="Z64" s="5">
        <f t="shared" ref="Z64" si="1082">T64/T$45-1</f>
        <v>1.4942528735632399E-2</v>
      </c>
      <c r="AB64" s="8">
        <f t="shared" ref="AB64" si="1083">P64/$P$2-1</f>
        <v>1.8894728601383415E-2</v>
      </c>
      <c r="AC64" s="8">
        <f t="shared" ref="AC64" si="1084">Q64/$P$2-1</f>
        <v>3.0267057821511401E-3</v>
      </c>
      <c r="AD64" s="8">
        <f t="shared" ref="AD64" si="1085">R64/$P$2-1</f>
        <v>6.4119239286559937E-2</v>
      </c>
      <c r="AE64" s="8">
        <f t="shared" ref="AE64" si="1086">S64/$P$2-1</f>
        <v>1.2887744340239982E-2</v>
      </c>
      <c r="AF64" s="8">
        <f t="shared" ref="AF64" si="1087">T64/$T$2-1</f>
        <v>2.4197833655876577E-2</v>
      </c>
      <c r="AI64" s="8">
        <f t="shared" si="466"/>
        <v>-8.0332430749844932E-3</v>
      </c>
      <c r="AJ64" s="8">
        <f t="shared" si="488"/>
        <v>-7.1737953438007554E-3</v>
      </c>
      <c r="AK64" s="8">
        <f t="shared" si="489"/>
        <v>-4.0371796075485871E-3</v>
      </c>
      <c r="AL64" s="8">
        <f t="shared" si="490"/>
        <v>-9.8539380809281978E-3</v>
      </c>
      <c r="AM64" s="8">
        <f t="shared" si="491"/>
        <v>-4.232111153656147E-3</v>
      </c>
      <c r="AN64" s="8">
        <f t="shared" si="492"/>
        <v>-1.2856344326439456E-2</v>
      </c>
    </row>
    <row r="65" spans="1:40" x14ac:dyDescent="0.25">
      <c r="A65" s="9">
        <v>43311</v>
      </c>
      <c r="B65" s="4">
        <f t="shared" si="812"/>
        <v>19705.219999999998</v>
      </c>
      <c r="C65" s="4">
        <v>95.36</v>
      </c>
      <c r="D65" s="4">
        <f>19847.64-47.06</f>
        <v>19800.579999999998</v>
      </c>
      <c r="E65" s="5">
        <f t="shared" ref="E65" si="1088">D65/D64-1</f>
        <v>-1.8611216131065866E-3</v>
      </c>
      <c r="F65" s="10">
        <f t="shared" ref="F65" si="1089">F64*(1+E65)</f>
        <v>99.002899999999968</v>
      </c>
      <c r="G65" s="5">
        <f t="shared" ref="G65" si="1090">F65/F$45-1</f>
        <v>-2.4072517830188156E-3</v>
      </c>
      <c r="H65" s="8">
        <f t="shared" ref="H65" si="1091">F65/$F$2-1</f>
        <v>-9.9710000000002852E-3</v>
      </c>
      <c r="J65" s="11">
        <f>VLOOKUP($A65,Prices!$A:$J,MATCH(J$1,Prices!$1:$1,0),0)</f>
        <v>-3.2719836400817437E-3</v>
      </c>
      <c r="K65" s="11">
        <f>VLOOKUP($A65,Prices!$A:$J,MATCH(K$1,Prices!$1:$1,0),0)</f>
        <v>-1.0369532428355921E-3</v>
      </c>
      <c r="L65" s="11">
        <f>VLOOKUP($A65,Prices!$A:$J,MATCH(L$1,Prices!$1:$1,0),0)</f>
        <v>-5.6112365894975813E-3</v>
      </c>
      <c r="M65" s="11">
        <f t="shared" ref="M65" si="1092">0.6*J65 + 0.4*K65</f>
        <v>-2.3779714811832829E-3</v>
      </c>
      <c r="N65" s="11">
        <f>VLOOKUP($A65,Prices!$A:$J,MATCH(N$1,Prices!$1:$1,0),0)</f>
        <v>-2.0385050962627993E-3</v>
      </c>
      <c r="P65" s="10">
        <f t="shared" ref="P65" si="1093">P64*(1+J65)</f>
        <v>101.55609217184342</v>
      </c>
      <c r="Q65" s="10">
        <f t="shared" ref="Q65" si="1094">Q64*(1+K65)</f>
        <v>100.19866139869396</v>
      </c>
      <c r="R65" s="10">
        <f t="shared" ref="R65" si="1095">R64*(1+L65)</f>
        <v>105.81482144754868</v>
      </c>
      <c r="S65" s="10">
        <f t="shared" ref="S65" si="1096">S64*(1+M65)</f>
        <v>101.04791261705589</v>
      </c>
      <c r="T65" s="10">
        <f t="shared" ref="T65" si="1097">T64*(1+N65)</f>
        <v>102.21100011523876</v>
      </c>
      <c r="V65" s="5">
        <f t="shared" ref="V65" si="1098">P65/P$45-1</f>
        <v>2.7980877390326064E-2</v>
      </c>
      <c r="W65" s="5">
        <f t="shared" ref="W65" si="1099">Q65/Q$45-1</f>
        <v>-1.1386472719601137E-3</v>
      </c>
      <c r="X65" s="5">
        <f t="shared" ref="X65" si="1100">R65/R$45-1</f>
        <v>3.193554294085299E-2</v>
      </c>
      <c r="Y65" s="5">
        <f t="shared" ref="Y65" si="1101">S65/S$45-1</f>
        <v>1.6313920227948531E-2</v>
      </c>
      <c r="Z65" s="5">
        <f t="shared" ref="Z65" si="1102">T65/T$45-1</f>
        <v>1.2873563218390949E-2</v>
      </c>
      <c r="AB65" s="8">
        <f t="shared" ref="AB65" si="1103">P65/$P$2-1</f>
        <v>1.5560921718434262E-2</v>
      </c>
      <c r="AC65" s="8">
        <f t="shared" ref="AC65" si="1104">Q65/$P$2-1</f>
        <v>1.986613986939556E-3</v>
      </c>
      <c r="AD65" s="8">
        <f t="shared" ref="AD65" si="1105">R65/$P$2-1</f>
        <v>5.8148214475486792E-2</v>
      </c>
      <c r="AE65" s="8">
        <f t="shared" ref="AE65" si="1106">S65/$P$2-1</f>
        <v>1.0479126170558795E-2</v>
      </c>
      <c r="AF65" s="8">
        <f t="shared" ref="AF65" si="1107">T65/$T$2-1</f>
        <v>2.2110001152387593E-2</v>
      </c>
      <c r="AI65" s="8">
        <f t="shared" si="466"/>
        <v>-9.8794138457808239E-3</v>
      </c>
      <c r="AJ65" s="8">
        <f t="shared" si="488"/>
        <v>-1.0422306442880266E-2</v>
      </c>
      <c r="AK65" s="8">
        <f t="shared" si="489"/>
        <v>-5.0699464838982848E-3</v>
      </c>
      <c r="AL65" s="8">
        <f t="shared" si="490"/>
        <v>-1.5409881892515485E-2</v>
      </c>
      <c r="AM65" s="8">
        <f t="shared" si="491"/>
        <v>-6.6000187952107471E-3</v>
      </c>
      <c r="AN65" s="8">
        <f t="shared" si="492"/>
        <v>-1.4868641699273542E-2</v>
      </c>
    </row>
    <row r="66" spans="1:40" x14ac:dyDescent="0.25">
      <c r="A66" s="9">
        <v>43312</v>
      </c>
      <c r="B66" s="4">
        <f t="shared" si="812"/>
        <v>19828.12</v>
      </c>
      <c r="C66" s="4">
        <v>95.38</v>
      </c>
      <c r="D66" s="4">
        <f>19892.43+31.07</f>
        <v>19923.5</v>
      </c>
      <c r="E66" s="5">
        <f t="shared" ref="E66" si="1108">D66/D65-1</f>
        <v>6.2078989605356405E-3</v>
      </c>
      <c r="F66" s="10">
        <f t="shared" ref="F66" si="1109">F65*(1+E66)</f>
        <v>99.617499999999978</v>
      </c>
      <c r="G66" s="5">
        <f t="shared" ref="G66" si="1110">F66/F$45-1</f>
        <v>3.7857032016752612E-3</v>
      </c>
      <c r="H66" s="8">
        <f t="shared" ref="H66" si="1111">F66/$F$2-1</f>
        <v>-3.8250000000001894E-3</v>
      </c>
      <c r="J66" s="11">
        <f>VLOOKUP($A66,Prices!$A:$J,MATCH(J$1,Prices!$1:$1,0),0)</f>
        <v>2.5988236903295991E-3</v>
      </c>
      <c r="K66" s="11">
        <f>VLOOKUP($A66,Prices!$A:$J,MATCH(K$1,Prices!$1:$1,0),0)</f>
        <v>8.4929697084090705E-4</v>
      </c>
      <c r="L66" s="11">
        <f>VLOOKUP($A66,Prices!$A:$J,MATCH(L$1,Prices!$1:$1,0),0)</f>
        <v>5.3589807289633473E-3</v>
      </c>
      <c r="M66" s="11">
        <f t="shared" ref="M66" si="1112">0.6*J66 + 0.4*K66</f>
        <v>1.8990130025341224E-3</v>
      </c>
      <c r="N66" s="11">
        <f>VLOOKUP($A66,Prices!$A:$J,MATCH(N$1,Prices!$1:$1,0),0)</f>
        <v>9.9863822060828333E-3</v>
      </c>
      <c r="P66" s="10">
        <f t="shared" ref="P66" si="1113">P65*(1+J66)</f>
        <v>101.8200185500769</v>
      </c>
      <c r="Q66" s="10">
        <f t="shared" ref="Q66" si="1114">Q65*(1+K66)</f>
        <v>100.28375981830219</v>
      </c>
      <c r="R66" s="10">
        <f t="shared" ref="R66" si="1115">R65*(1+L66)</f>
        <v>106.38188103652479</v>
      </c>
      <c r="S66" s="10">
        <f t="shared" ref="S66" si="1116">S65*(1+M66)</f>
        <v>101.2398039169946</v>
      </c>
      <c r="T66" s="10">
        <f t="shared" ref="T66" si="1117">T65*(1+N66)</f>
        <v>103.23171822805551</v>
      </c>
      <c r="V66" s="5">
        <f t="shared" ref="V66" si="1118">P66/P$45-1</f>
        <v>3.0652418447693952E-2</v>
      </c>
      <c r="W66" s="5">
        <f t="shared" ref="W66" si="1119">Q66/Q$45-1</f>
        <v>-2.9031735079809717E-4</v>
      </c>
      <c r="X66" s="5">
        <f t="shared" ref="X66" si="1120">R66/R$45-1</f>
        <v>3.7465665629005329E-2</v>
      </c>
      <c r="Y66" s="5">
        <f t="shared" ref="Y66" si="1121">S66/S$45-1</f>
        <v>1.8243913577117965E-2</v>
      </c>
      <c r="Z66" s="5">
        <f t="shared" ref="Z66" si="1122">T66/T$45-1</f>
        <v>2.2988505747126853E-2</v>
      </c>
      <c r="AB66" s="8">
        <f t="shared" ref="AB66" si="1123">P66/$P$2-1</f>
        <v>1.8200185500768962E-2</v>
      </c>
      <c r="AC66" s="8">
        <f t="shared" ref="AC66" si="1124">Q66/$P$2-1</f>
        <v>2.8375981830217611E-3</v>
      </c>
      <c r="AD66" s="8">
        <f t="shared" ref="AD66" si="1125">R66/$P$2-1</f>
        <v>6.3818810365247947E-2</v>
      </c>
      <c r="AE66" s="8">
        <f t="shared" ref="AE66" si="1126">S66/$P$2-1</f>
        <v>1.2398039169946085E-2</v>
      </c>
      <c r="AF66" s="8">
        <f t="shared" ref="AF66" si="1127">T66/$T$2-1</f>
        <v>3.2317182280555024E-2</v>
      </c>
      <c r="AI66" s="8">
        <f t="shared" si="466"/>
        <v>-3.732845288189146E-3</v>
      </c>
      <c r="AJ66" s="8">
        <f t="shared" si="488"/>
        <v>-7.85056848944235E-3</v>
      </c>
      <c r="AK66" s="8">
        <f t="shared" si="489"/>
        <v>-4.2249554032484302E-3</v>
      </c>
      <c r="AL66" s="8">
        <f t="shared" si="490"/>
        <v>-1.0133482423649762E-2</v>
      </c>
      <c r="AM66" s="8">
        <f t="shared" si="491"/>
        <v>-4.7135393141857339E-3</v>
      </c>
      <c r="AN66" s="8">
        <f t="shared" si="492"/>
        <v>-5.0307434320849449E-3</v>
      </c>
    </row>
    <row r="67" spans="1:40" x14ac:dyDescent="0.25">
      <c r="A67" s="9">
        <v>43313</v>
      </c>
      <c r="B67" s="4">
        <f t="shared" si="812"/>
        <v>19743.699999999997</v>
      </c>
      <c r="C67" s="4">
        <v>95.38</v>
      </c>
      <c r="D67" s="4">
        <f>19805.92+33.16</f>
        <v>19839.079999999998</v>
      </c>
      <c r="E67" s="5">
        <f t="shared" ref="E67" si="1128">D67/D66-1</f>
        <v>-4.2372073179913761E-3</v>
      </c>
      <c r="F67" s="10">
        <f t="shared" ref="F67" si="1129">F66*(1+E67)</f>
        <v>99.195399999999978</v>
      </c>
      <c r="G67" s="5">
        <f t="shared" ref="G67" si="1130">F67/F$45-1</f>
        <v>-4.675449256260622E-4</v>
      </c>
      <c r="H67" s="8">
        <f t="shared" ref="H67" si="1131">F67/$F$2-1</f>
        <v>-8.0460000000002196E-3</v>
      </c>
      <c r="J67" s="11">
        <f>VLOOKUP($A67,Prices!$A:$J,MATCH(J$1,Prices!$1:$1,0),0)</f>
        <v>-2.1828103683492195E-3</v>
      </c>
      <c r="K67" s="11">
        <f>VLOOKUP($A67,Prices!$A:$J,MATCH(K$1,Prices!$1:$1,0),0)</f>
        <v>-3.3943051103149102E-3</v>
      </c>
      <c r="L67" s="11">
        <f>VLOOKUP($A67,Prices!$A:$J,MATCH(L$1,Prices!$1:$1,0),0)</f>
        <v>-1.4120304998587185E-3</v>
      </c>
      <c r="M67" s="11">
        <f t="shared" ref="M67" si="1132">0.6*J67 + 0.4*K67</f>
        <v>-2.6674082651354956E-3</v>
      </c>
      <c r="N67" s="11">
        <f>VLOOKUP($A67,Prices!$A:$J,MATCH(N$1,Prices!$1:$1,0),0)</f>
        <v>-7.3033707865167719E-3</v>
      </c>
      <c r="P67" s="10">
        <f t="shared" ref="P67" si="1133">P66*(1+J67)</f>
        <v>101.59776475788028</v>
      </c>
      <c r="Q67" s="10">
        <f t="shared" ref="Q67" si="1134">Q66*(1+K67)</f>
        <v>99.943366139869326</v>
      </c>
      <c r="R67" s="10">
        <f t="shared" ref="R67" si="1135">R66*(1+L67)</f>
        <v>106.23166657586887</v>
      </c>
      <c r="S67" s="10">
        <f t="shared" ref="S67" si="1136">S66*(1+M67)</f>
        <v>100.96975602726572</v>
      </c>
      <c r="T67" s="10">
        <f t="shared" ref="T67" si="1137">T66*(1+N67)</f>
        <v>102.4777787129068</v>
      </c>
      <c r="V67" s="5">
        <f t="shared" ref="V67" si="1138">P67/P$45-1</f>
        <v>2.8402699662542163E-2</v>
      </c>
      <c r="W67" s="5">
        <f t="shared" ref="W67" si="1139">Q67/Q$45-1</f>
        <v>-3.6836370354456083E-3</v>
      </c>
      <c r="X67" s="5">
        <f t="shared" ref="X67" si="1140">R67/R$45-1</f>
        <v>3.6000732466580754E-2</v>
      </c>
      <c r="Y67" s="5">
        <f t="shared" ref="Y67" si="1141">S67/S$45-1</f>
        <v>1.5527841346118398E-2</v>
      </c>
      <c r="Z67" s="5">
        <f t="shared" ref="Z67" si="1142">T67/T$45-1</f>
        <v>1.5517241379310764E-2</v>
      </c>
      <c r="AB67" s="8">
        <f t="shared" ref="AB67" si="1143">P67/$P$2-1</f>
        <v>1.5977647578802934E-2</v>
      </c>
      <c r="AC67" s="8">
        <f t="shared" ref="AC67" si="1144">Q67/$P$2-1</f>
        <v>-5.663386013067262E-4</v>
      </c>
      <c r="AD67" s="8">
        <f t="shared" ref="AD67" si="1145">R67/$P$2-1</f>
        <v>6.2316665758688661E-2</v>
      </c>
      <c r="AE67" s="8">
        <f t="shared" ref="AE67" si="1146">S67/$P$2-1</f>
        <v>9.6975602726572241E-3</v>
      </c>
      <c r="AF67" s="8">
        <f t="shared" ref="AF67" si="1147">T67/$T$2-1</f>
        <v>2.4777787129067974E-2</v>
      </c>
      <c r="AI67" s="8">
        <f t="shared" ref="AI67" si="1148">MIN(0,(F67-MAX(F38:F67))/MAX(F38:F67))</f>
        <v>-7.9542357668084228E-3</v>
      </c>
      <c r="AJ67" s="8">
        <f t="shared" ref="AJ67" si="1149">MIN(0,(P67-MAX(P38:P67))/MAX(P38:P67))</f>
        <v>-1.0016242555495311E-2</v>
      </c>
      <c r="AK67" s="8">
        <f t="shared" ref="AK67" si="1150">MIN(0,(Q67-MAX(Q38:Q67))/MAX(Q38:Q67))</f>
        <v>-7.6049197258472867E-3</v>
      </c>
      <c r="AL67" s="8">
        <f t="shared" ref="AL67" si="1151">MIN(0,(R67-MAX(R38:R67))/MAX(R38:R67))</f>
        <v>-1.1531204137256525E-2</v>
      </c>
      <c r="AM67" s="8">
        <f t="shared" ref="AM67" si="1152">MIN(0,(S67-MAX(S38:S67))/MAX(S38:S67))</f>
        <v>-7.3683746455965064E-3</v>
      </c>
      <c r="AN67" s="8">
        <f t="shared" ref="AN67" si="1153">MIN(0,(T67-MAX(T38:T67))/MAX(T38:T67))</f>
        <v>-1.2297372833985406E-2</v>
      </c>
    </row>
    <row r="68" spans="1:40" x14ac:dyDescent="0.25">
      <c r="A68" s="9">
        <v>43314</v>
      </c>
      <c r="B68" s="4">
        <f t="shared" si="812"/>
        <v>19791.82</v>
      </c>
      <c r="C68" s="4">
        <v>95.38</v>
      </c>
      <c r="D68" s="4">
        <f>19912.2-25</f>
        <v>19887.2</v>
      </c>
      <c r="E68" s="5">
        <f t="shared" ref="E68" si="1154">D68/D67-1</f>
        <v>2.4255156993169269E-3</v>
      </c>
      <c r="F68" s="10">
        <f t="shared" ref="F68" si="1155">F67*(1+E68)</f>
        <v>99.436000000000007</v>
      </c>
      <c r="G68" s="5">
        <f t="shared" ref="G68" si="1156">F68/F$45-1</f>
        <v>1.9568367361337824E-3</v>
      </c>
      <c r="H68" s="8">
        <f t="shared" ref="H68" si="1157">F68/$F$2-1</f>
        <v>-5.6399999999999784E-3</v>
      </c>
      <c r="J68" s="11">
        <f>VLOOKUP($A68,Prices!$A:$J,MATCH(J$1,Prices!$1:$1,0),0)</f>
        <v>-5.4689636313931533E-4</v>
      </c>
      <c r="K68" s="11">
        <f>VLOOKUP($A68,Prices!$A:$J,MATCH(K$1,Prices!$1:$1,0),0)</f>
        <v>3.784295175022212E-4</v>
      </c>
      <c r="L68" s="11">
        <f>VLOOKUP($A68,Prices!$A:$J,MATCH(L$1,Prices!$1:$1,0),0)</f>
        <v>4.7723416289593423E-3</v>
      </c>
      <c r="M68" s="11">
        <f t="shared" ref="M68" si="1158">0.6*J68 + 0.4*K68</f>
        <v>-1.7676601088270069E-4</v>
      </c>
      <c r="N68" s="11">
        <f>VLOOKUP($A68,Prices!$A:$J,MATCH(N$1,Prices!$1:$1,0),0)</f>
        <v>5.6593095642321067E-4</v>
      </c>
      <c r="P68" s="10">
        <f t="shared" ref="P68" si="1159">P67*(1+J68)</f>
        <v>101.54220130983111</v>
      </c>
      <c r="Q68" s="10">
        <f t="shared" ref="Q68" si="1160">Q67*(1+K68)</f>
        <v>99.981187659695181</v>
      </c>
      <c r="R68" s="10">
        <f t="shared" ref="R68" si="1161">R67*(1+L68)</f>
        <v>106.73864038058262</v>
      </c>
      <c r="S68" s="10">
        <f t="shared" ref="S68" si="1162">S67*(1+M68)</f>
        <v>100.95190800627299</v>
      </c>
      <c r="T68" s="10">
        <f t="shared" ref="T68" si="1163">T67*(1+N68)</f>
        <v>102.53577406022592</v>
      </c>
      <c r="V68" s="5">
        <f t="shared" ref="V68" si="1164">P68/P$45-1</f>
        <v>2.7840269966254105E-2</v>
      </c>
      <c r="W68" s="5">
        <f t="shared" ref="W68" si="1165">Q68/Q$45-1</f>
        <v>-3.3066015149294525E-3</v>
      </c>
      <c r="X68" s="5">
        <f t="shared" ref="X68" si="1166">R68/R$45-1</f>
        <v>4.0944881889763529E-2</v>
      </c>
      <c r="Y68" s="5">
        <f t="shared" ref="Y68" si="1167">S68/S$45-1</f>
        <v>1.5348330540663424E-2</v>
      </c>
      <c r="Z68" s="5">
        <f t="shared" ref="Z68" si="1168">T68/T$45-1</f>
        <v>1.6091954022988686E-2</v>
      </c>
      <c r="AB68" s="8">
        <f t="shared" ref="AB68" si="1169">P68/$P$2-1</f>
        <v>1.5422013098311149E-2</v>
      </c>
      <c r="AC68" s="8">
        <f t="shared" ref="AC68" si="1170">Q68/$P$2-1</f>
        <v>-1.8812340304819042E-4</v>
      </c>
      <c r="AD68" s="8">
        <f t="shared" ref="AD68" si="1171">R68/$P$2-1</f>
        <v>6.7386403805826278E-2</v>
      </c>
      <c r="AE68" s="8">
        <f t="shared" ref="AE68" si="1172">S68/$P$2-1</f>
        <v>9.5190800627298344E-3</v>
      </c>
      <c r="AF68" s="8">
        <f t="shared" ref="AF68" si="1173">T68/$T$2-1</f>
        <v>2.5357740602259149E-2</v>
      </c>
      <c r="AI68" s="8">
        <f t="shared" ref="AI68" si="1174">MIN(0,(F68-MAX(F39:F68))/MAX(F39:F68))</f>
        <v>-5.5480131912198898E-3</v>
      </c>
      <c r="AJ68" s="8">
        <f t="shared" ref="AJ68" si="1175">MIN(0,(P68-MAX(P39:P68))/MAX(P39:P68))</f>
        <v>-1.0557661072008725E-2</v>
      </c>
      <c r="AK68" s="8">
        <f t="shared" ref="AK68" si="1176">MIN(0,(Q68-MAX(Q39:Q68))/MAX(Q39:Q68))</f>
        <v>-7.2293681344476014E-3</v>
      </c>
      <c r="AL68" s="8">
        <f t="shared" ref="AL68" si="1177">MIN(0,(R68-MAX(R39:R68))/MAX(R39:R68))</f>
        <v>-6.8138933538334015E-3</v>
      </c>
      <c r="AM68" s="8">
        <f t="shared" ref="AM68" si="1178">MIN(0,(S68-MAX(S39:S68))/MAX(S39:S68))</f>
        <v>-7.5438381782863256E-3</v>
      </c>
      <c r="AN68" s="8">
        <f t="shared" ref="AN68" si="1179">MIN(0,(T68-MAX(T39:T68))/MAX(T39:T68))</f>
        <v>-1.1738401341531628E-2</v>
      </c>
    </row>
    <row r="69" spans="1:40" x14ac:dyDescent="0.25">
      <c r="A69" s="9">
        <v>43315</v>
      </c>
      <c r="B69" s="4">
        <f t="shared" si="812"/>
        <v>19913.150000000001</v>
      </c>
      <c r="C69" s="4">
        <v>95.38</v>
      </c>
      <c r="D69" s="4">
        <f>20015.2-6.67</f>
        <v>20008.530000000002</v>
      </c>
      <c r="E69" s="5">
        <f t="shared" ref="E69" si="1180">D69/D68-1</f>
        <v>6.1009091274790705E-3</v>
      </c>
      <c r="F69" s="10">
        <f t="shared" ref="F69" si="1181">F68*(1+E69)</f>
        <v>100.04265000000001</v>
      </c>
      <c r="G69" s="5">
        <f t="shared" ref="G69" si="1182">F69/F$45-1</f>
        <v>8.0696843467171764E-3</v>
      </c>
      <c r="H69" s="8">
        <f t="shared" ref="H69" si="1183">F69/$F$2-1</f>
        <v>4.2650000000010735E-4</v>
      </c>
      <c r="J69" s="11">
        <f>VLOOKUP($A69,Prices!$A:$J,MATCH(J$1,Prices!$1:$1,0),0)</f>
        <v>3.6935704514364787E-3</v>
      </c>
      <c r="K69" s="11">
        <f>VLOOKUP($A69,Prices!$A:$J,MATCH(K$1,Prices!$1:$1,0),0)</f>
        <v>2.175146585965626E-3</v>
      </c>
      <c r="L69" s="11">
        <f>VLOOKUP($A69,Prices!$A:$J,MATCH(L$1,Prices!$1:$1,0),0)</f>
        <v>4.6441262357950208E-3</v>
      </c>
      <c r="M69" s="11">
        <f t="shared" ref="M69" si="1184">0.6*J69 + 0.4*K69</f>
        <v>3.0862009052481376E-3</v>
      </c>
      <c r="N69" s="11">
        <f>VLOOKUP($A69,Prices!$A:$J,MATCH(N$1,Prices!$1:$1,0),0)</f>
        <v>-1.6968325791856254E-3</v>
      </c>
      <c r="P69" s="10">
        <f t="shared" ref="P69" si="1185">P68*(1+J69)</f>
        <v>101.91725458416292</v>
      </c>
      <c r="Q69" s="10">
        <f t="shared" ref="Q69" si="1186">Q68*(1+K69)</f>
        <v>100.19866139869396</v>
      </c>
      <c r="R69" s="10">
        <f t="shared" ref="R69" si="1187">R68*(1+L69)</f>
        <v>107.23434810074718</v>
      </c>
      <c r="S69" s="10">
        <f t="shared" ref="S69" si="1188">S68*(1+M69)</f>
        <v>101.26346587614847</v>
      </c>
      <c r="T69" s="10">
        <f t="shared" ref="T69" si="1189">T68*(1+N69)</f>
        <v>102.36178801826851</v>
      </c>
      <c r="V69" s="5">
        <f t="shared" ref="V69" si="1190">P69/P$45-1</f>
        <v>3.1636670416197887E-2</v>
      </c>
      <c r="W69" s="5">
        <f t="shared" ref="W69" si="1191">Q69/Q$45-1</f>
        <v>-1.1386472719601137E-3</v>
      </c>
      <c r="X69" s="5">
        <f t="shared" ref="X69" si="1192">R69/R$45-1</f>
        <v>4.5779161325764317E-2</v>
      </c>
      <c r="Y69" s="5">
        <f t="shared" ref="Y69" si="1193">S69/S$45-1</f>
        <v>1.8481899477520214E-2</v>
      </c>
      <c r="Z69" s="5">
        <f t="shared" ref="Z69" si="1194">T69/T$45-1</f>
        <v>1.4367816091954255E-2</v>
      </c>
      <c r="AB69" s="8">
        <f t="shared" ref="AB69" si="1195">P69/$P$2-1</f>
        <v>1.9172545841629196E-2</v>
      </c>
      <c r="AC69" s="8">
        <f t="shared" ref="AC69" si="1196">Q69/$P$2-1</f>
        <v>1.986613986939556E-3</v>
      </c>
      <c r="AD69" s="8">
        <f t="shared" ref="AD69" si="1197">R69/$P$2-1</f>
        <v>7.2343481007471899E-2</v>
      </c>
      <c r="AE69" s="8">
        <f t="shared" ref="AE69" si="1198">S69/$P$2-1</f>
        <v>1.2634658761484729E-2</v>
      </c>
      <c r="AF69" s="8">
        <f t="shared" ref="AF69" si="1199">T69/$T$2-1</f>
        <v>2.361788018268518E-2</v>
      </c>
      <c r="AI69" s="8">
        <f t="shared" ref="AI69" si="1200">MIN(0,(F69-MAX(F40:F69))/MAX(F40:F69))</f>
        <v>0</v>
      </c>
      <c r="AJ69" s="8">
        <f t="shared" ref="AJ69" si="1201">MIN(0,(P69-MAX(P40:P69))/MAX(P40:P69))</f>
        <v>-6.9030860855441179E-3</v>
      </c>
      <c r="AK69" s="8">
        <f t="shared" ref="AK69" si="1202">MIN(0,(Q69-MAX(Q40:Q69))/MAX(Q40:Q69))</f>
        <v>-5.0699464838982848E-3</v>
      </c>
      <c r="AL69" s="8">
        <f t="shared" ref="AL69" si="1203">MIN(0,(R69-MAX(R40:R69))/MAX(R40:R69))</f>
        <v>-2.2014116989307647E-3</v>
      </c>
      <c r="AM69" s="8">
        <f t="shared" ref="AM69" si="1204">MIN(0,(S69-MAX(S40:S69))/MAX(S40:S69))</f>
        <v>-4.4809190732530649E-3</v>
      </c>
      <c r="AN69" s="8">
        <f t="shared" ref="AN69" si="1205">MIN(0,(T69-MAX(T40:T69))/MAX(T40:T69))</f>
        <v>-1.3415315818893369E-2</v>
      </c>
    </row>
    <row r="70" spans="1:40" x14ac:dyDescent="0.25">
      <c r="A70" s="9">
        <v>43318</v>
      </c>
      <c r="B70" s="4">
        <f t="shared" si="812"/>
        <v>19940.739999999998</v>
      </c>
      <c r="C70" s="4">
        <v>104.72</v>
      </c>
      <c r="D70" s="4">
        <f>20072.78-27.32</f>
        <v>20045.46</v>
      </c>
      <c r="E70" s="5">
        <f t="shared" ref="E70" si="1206">D70/D69-1</f>
        <v>1.845712803489219E-3</v>
      </c>
      <c r="F70" s="10">
        <f t="shared" ref="F70" si="1207">F69*(1+E70)</f>
        <v>100.2273</v>
      </c>
      <c r="G70" s="5">
        <f t="shared" ref="G70" si="1208">F70/F$45-1</f>
        <v>9.9302914699253009E-3</v>
      </c>
      <c r="H70" s="8">
        <f t="shared" ref="H70" si="1209">F70/$F$2-1</f>
        <v>2.2729999999999695E-3</v>
      </c>
      <c r="J70" s="11">
        <f>VLOOKUP($A70,Prices!$A:$J,MATCH(J$1,Prices!$1:$1,0),0)</f>
        <v>-1.3629548861937568E-4</v>
      </c>
      <c r="K70" s="11">
        <f>VLOOKUP($A70,Prices!$A:$J,MATCH(K$1,Prices!$1:$1,0),0)</f>
        <v>6.6056431065408816E-4</v>
      </c>
      <c r="L70" s="11">
        <f>VLOOKUP($A70,Prices!$A:$J,MATCH(L$1,Prices!$1:$1,0),0)</f>
        <v>3.8522150236384167E-3</v>
      </c>
      <c r="M70" s="11">
        <f t="shared" ref="M70" si="1210">0.6*J70 + 0.4*K70</f>
        <v>1.8244843109000989E-4</v>
      </c>
      <c r="N70" s="11">
        <f>VLOOKUP($A70,Prices!$A:$J,MATCH(N$1,Prices!$1:$1,0),0)</f>
        <v>5.6657223796041656E-4</v>
      </c>
      <c r="P70" s="10">
        <f t="shared" ref="P70" si="1211">P69*(1+J70)</f>
        <v>101.90336372215063</v>
      </c>
      <c r="Q70" s="10">
        <f t="shared" ref="Q70" si="1212">Q69*(1+K70)</f>
        <v>100.26484905838925</v>
      </c>
      <c r="R70" s="10">
        <f t="shared" ref="R70" si="1213">R69*(1+L70)</f>
        <v>107.64743786755095</v>
      </c>
      <c r="S70" s="10">
        <f t="shared" ref="S70" si="1214">S69*(1+M70)</f>
        <v>101.28194123662431</v>
      </c>
      <c r="T70" s="10">
        <f t="shared" ref="T70" si="1215">T69*(1+N70)</f>
        <v>102.41978336558765</v>
      </c>
      <c r="V70" s="5">
        <f t="shared" ref="V70" si="1216">P70/P$45-1</f>
        <v>3.1496062992125928E-2</v>
      </c>
      <c r="W70" s="5">
        <f t="shared" ref="W70" si="1217">Q70/Q$45-1</f>
        <v>-4.7883511105628607E-4</v>
      </c>
      <c r="X70" s="5">
        <f t="shared" ref="X70" si="1218">R70/R$45-1</f>
        <v>4.9807727522431344E-2</v>
      </c>
      <c r="Y70" s="5">
        <f t="shared" ref="Y70" si="1219">S70/S$45-1</f>
        <v>1.8667719902173419E-2</v>
      </c>
      <c r="Z70" s="5">
        <f t="shared" ref="Z70" si="1220">T70/T$45-1</f>
        <v>1.4942528735632399E-2</v>
      </c>
      <c r="AB70" s="8">
        <f t="shared" ref="AB70" si="1221">P70/$P$2-1</f>
        <v>1.9033637221506305E-2</v>
      </c>
      <c r="AC70" s="8">
        <f t="shared" ref="AC70" si="1222">Q70/$P$2-1</f>
        <v>2.6484905838923822E-3</v>
      </c>
      <c r="AD70" s="8">
        <f t="shared" ref="AD70" si="1223">R70/$P$2-1</f>
        <v>7.6474378675509547E-2</v>
      </c>
      <c r="AE70" s="8">
        <f t="shared" ref="AE70" si="1224">S70/$P$2-1</f>
        <v>1.2819412366243066E-2</v>
      </c>
      <c r="AF70" s="8">
        <f t="shared" ref="AF70" si="1225">T70/$T$2-1</f>
        <v>2.4197833655876577E-2</v>
      </c>
      <c r="AI70" s="8">
        <f t="shared" ref="AI70" si="1226">MIN(0,(F70-MAX(F41:F70))/MAX(F41:F70))</f>
        <v>0</v>
      </c>
      <c r="AJ70" s="8">
        <f t="shared" ref="AJ70" si="1227">MIN(0,(P70-MAX(P41:P70))/MAX(P41:P70))</f>
        <v>-7.0384407146724367E-3</v>
      </c>
      <c r="AK70" s="8">
        <f t="shared" ref="AK70" si="1228">MIN(0,(Q70-MAX(Q41:Q70))/MAX(Q41:Q70))</f>
        <v>-4.4127311989484138E-3</v>
      </c>
      <c r="AL70" s="8">
        <f t="shared" ref="AL70" si="1229">MIN(0,(R70-MAX(R41:R70))/MAX(R41:R70))</f>
        <v>0</v>
      </c>
      <c r="AM70" s="8">
        <f t="shared" ref="AM70" si="1230">MIN(0,(S70-MAX(S41:S70))/MAX(S41:S70))</f>
        <v>-4.2992881788178833E-3</v>
      </c>
      <c r="AN70" s="8">
        <f t="shared" ref="AN70" si="1231">MIN(0,(T70-MAX(T41:T70))/MAX(T41:T70))</f>
        <v>-1.2856344326439456E-2</v>
      </c>
    </row>
    <row r="71" spans="1:40" x14ac:dyDescent="0.25">
      <c r="A71" s="9">
        <v>43319</v>
      </c>
      <c r="B71" s="4">
        <f t="shared" si="812"/>
        <v>19873.25</v>
      </c>
      <c r="C71" s="4">
        <v>104.72</v>
      </c>
      <c r="D71" s="4">
        <f>20064.97-87</f>
        <v>19977.97</v>
      </c>
      <c r="E71" s="5">
        <f t="shared" ref="E71" si="1232">D71/D70-1</f>
        <v>-3.3668471564133329E-3</v>
      </c>
      <c r="F71" s="10">
        <f t="shared" ref="F71" si="1233">F70*(1+E71)</f>
        <v>99.88985000000001</v>
      </c>
      <c r="G71" s="5">
        <f t="shared" ref="G71" si="1234">F71/F$45-1</f>
        <v>6.5300105399139774E-3</v>
      </c>
      <c r="H71" s="8">
        <f t="shared" ref="H71" si="1235">F71/$F$2-1</f>
        <v>-1.1014999999998665E-3</v>
      </c>
      <c r="J71" s="11">
        <f>VLOOKUP($A71,Prices!$A:$J,MATCH(J$1,Prices!$1:$1,0),0)</f>
        <v>4.6346782988004875E-3</v>
      </c>
      <c r="K71" s="11">
        <f>VLOOKUP($A71,Prices!$A:$J,MATCH(K$1,Prices!$1:$1,0),0)</f>
        <v>-1.7917766880423125E-3</v>
      </c>
      <c r="L71" s="11">
        <f>VLOOKUP($A71,Prices!$A:$J,MATCH(L$1,Prices!$1:$1,0),0)</f>
        <v>2.8606314320602788E-3</v>
      </c>
      <c r="M71" s="11">
        <f t="shared" ref="M71" si="1236">0.6*J71 + 0.4*K71</f>
        <v>2.0640963040633674E-3</v>
      </c>
      <c r="N71" s="11">
        <f>VLOOKUP($A71,Prices!$A:$J,MATCH(N$1,Prices!$1:$1,0),0)</f>
        <v>1.1325028312569874E-3</v>
      </c>
      <c r="P71" s="10">
        <f t="shared" ref="P71" si="1237">P70*(1+J71)</f>
        <v>102.37565303056846</v>
      </c>
      <c r="Q71" s="10">
        <f t="shared" ref="Q71" si="1238">Q70*(1+K71)</f>
        <v>100.08519683921634</v>
      </c>
      <c r="R71" s="10">
        <f t="shared" ref="R71" si="1239">R70*(1+L71)</f>
        <v>107.95537751189562</v>
      </c>
      <c r="S71" s="10">
        <f t="shared" ref="S71" si="1240">S70*(1+M71)</f>
        <v>101.4909969171992</v>
      </c>
      <c r="T71" s="10">
        <f t="shared" ref="T71" si="1241">T70*(1+N71)</f>
        <v>102.5357740602259</v>
      </c>
      <c r="V71" s="5">
        <f t="shared" ref="V71" si="1242">P71/P$45-1</f>
        <v>3.6276715410573646E-2</v>
      </c>
      <c r="W71" s="5">
        <f t="shared" ref="W71" si="1243">Q71/Q$45-1</f>
        <v>-2.2697538335092471E-3</v>
      </c>
      <c r="X71" s="5">
        <f t="shared" ref="X71" si="1244">R71/R$45-1</f>
        <v>5.2810840505401746E-2</v>
      </c>
      <c r="Y71" s="5">
        <f t="shared" ref="Y71" si="1245">S71/S$45-1</f>
        <v>2.0770348177892251E-2</v>
      </c>
      <c r="Z71" s="5">
        <f t="shared" ref="Z71" si="1246">T71/T$45-1</f>
        <v>1.6091954022988686E-2</v>
      </c>
      <c r="AB71" s="8">
        <f t="shared" ref="AB71" si="1247">P71/$P$2-1</f>
        <v>2.3756530305684587E-2</v>
      </c>
      <c r="AC71" s="8">
        <f t="shared" ref="AC71" si="1248">Q71/$P$2-1</f>
        <v>8.5196839216328257E-4</v>
      </c>
      <c r="AD71" s="8">
        <f t="shared" ref="AD71" si="1249">R71/$P$2-1</f>
        <v>7.9553775118956116E-2</v>
      </c>
      <c r="AE71" s="8">
        <f t="shared" ref="AE71" si="1250">S71/$P$2-1</f>
        <v>1.4909969171992055E-2</v>
      </c>
      <c r="AF71" s="8">
        <f t="shared" ref="AF71" si="1251">T71/$T$2-1</f>
        <v>2.5357740602259149E-2</v>
      </c>
      <c r="AI71" s="8">
        <f t="shared" ref="AI71" si="1252">MIN(0,(F71-MAX(F42:F71))/MAX(F42:F71))</f>
        <v>-3.3668471564133706E-3</v>
      </c>
      <c r="AJ71" s="8">
        <f t="shared" ref="AJ71" si="1253">MIN(0,(P71-MAX(P42:P71))/MAX(P42:P71))</f>
        <v>-2.436383324309599E-3</v>
      </c>
      <c r="AK71" s="8">
        <f t="shared" ref="AK71" si="1254">MIN(0,(Q71-MAX(Q42:Q71))/MAX(Q42:Q71))</f>
        <v>-6.1966012580979037E-3</v>
      </c>
      <c r="AL71" s="8">
        <f t="shared" ref="AL71" si="1255">MIN(0,(R71-MAX(R42:R71))/MAX(R42:R71))</f>
        <v>0</v>
      </c>
      <c r="AM71" s="8">
        <f t="shared" ref="AM71" si="1256">MIN(0,(S71-MAX(S42:S71))/MAX(S42:S71))</f>
        <v>-2.2440660195943954E-3</v>
      </c>
      <c r="AN71" s="8">
        <f t="shared" ref="AN71" si="1257">MIN(0,(T71-MAX(T42:T71))/MAX(T42:T71))</f>
        <v>-1.1738401341531765E-2</v>
      </c>
    </row>
    <row r="72" spans="1:40" x14ac:dyDescent="0.25">
      <c r="A72" s="9">
        <v>43320</v>
      </c>
      <c r="B72" s="4">
        <f t="shared" si="812"/>
        <v>19897.259999999998</v>
      </c>
      <c r="C72" s="4">
        <v>104.72</v>
      </c>
      <c r="D72" s="4">
        <f>20007.38-5.4</f>
        <v>20001.98</v>
      </c>
      <c r="E72" s="5">
        <f t="shared" ref="E72" si="1258">D72/D71-1</f>
        <v>1.2018238089255284E-3</v>
      </c>
      <c r="F72" s="10">
        <f t="shared" ref="F72" si="1259">F71*(1+E72)</f>
        <v>100.00990000000002</v>
      </c>
      <c r="G72" s="5">
        <f t="shared" ref="G72" si="1260">F72/F$45-1</f>
        <v>7.739682270978987E-3</v>
      </c>
      <c r="H72" s="8">
        <f t="shared" ref="H72" si="1261">F72/$F$2-1</f>
        <v>9.9000000000071253E-5</v>
      </c>
      <c r="J72" s="11">
        <f>VLOOKUP($A72,Prices!$A:$J,MATCH(J$1,Prices!$1:$1,0),0)</f>
        <v>1.3568521031204206E-4</v>
      </c>
      <c r="K72" s="11">
        <f>VLOOKUP($A72,Prices!$A:$J,MATCH(K$1,Prices!$1:$1,0),0)</f>
        <v>0</v>
      </c>
      <c r="L72" s="11">
        <f>VLOOKUP($A72,Prices!$A:$J,MATCH(L$1,Prices!$1:$1,0),0)</f>
        <v>-3.4786238564032956E-4</v>
      </c>
      <c r="M72" s="11">
        <f t="shared" ref="M72" si="1262">0.6*J72 + 0.4*K72</f>
        <v>8.141112618722523E-5</v>
      </c>
      <c r="N72" s="11">
        <f>VLOOKUP($A72,Prices!$A:$J,MATCH(N$1,Prices!$1:$1,0),0)</f>
        <v>2.8280542986425239E-3</v>
      </c>
      <c r="P72" s="10">
        <f t="shared" ref="P72" si="1263">P71*(1+J72)</f>
        <v>102.38954389258075</v>
      </c>
      <c r="Q72" s="10">
        <f t="shared" ref="Q72" si="1264">Q71*(1+K72)</f>
        <v>100.08519683921634</v>
      </c>
      <c r="R72" s="10">
        <f t="shared" ref="R72" si="1265">R71*(1+L72)</f>
        <v>107.91782389673163</v>
      </c>
      <c r="S72" s="10">
        <f t="shared" ref="S72" si="1266">S71*(1+M72)</f>
        <v>101.4992594135561</v>
      </c>
      <c r="T72" s="10">
        <f t="shared" ref="T72" si="1267">T71*(1+N72)</f>
        <v>102.82575079682157</v>
      </c>
      <c r="V72" s="5">
        <f t="shared" ref="V72" si="1268">P72/P$45-1</f>
        <v>3.6417322834645605E-2</v>
      </c>
      <c r="W72" s="5">
        <f t="shared" ref="W72" si="1269">Q72/Q$45-1</f>
        <v>-2.2697538335092471E-3</v>
      </c>
      <c r="X72" s="5">
        <f t="shared" ref="X72" si="1270">R72/R$45-1</f>
        <v>5.2444607214795713E-2</v>
      </c>
      <c r="Y72" s="5">
        <f t="shared" ref="Y72" si="1271">S72/S$45-1</f>
        <v>2.0853450241516081E-2</v>
      </c>
      <c r="Z72" s="5">
        <f t="shared" ref="Z72" si="1272">T72/T$45-1</f>
        <v>1.8965517241379404E-2</v>
      </c>
      <c r="AB72" s="8">
        <f t="shared" ref="AB72" si="1273">P72/$P$2-1</f>
        <v>2.3895438925807477E-2</v>
      </c>
      <c r="AC72" s="8">
        <f t="shared" ref="AC72" si="1274">Q72/$P$2-1</f>
        <v>8.5196839216328257E-4</v>
      </c>
      <c r="AD72" s="8">
        <f t="shared" ref="AD72" si="1275">R72/$P$2-1</f>
        <v>7.917823896731635E-2</v>
      </c>
      <c r="AE72" s="8">
        <f t="shared" ref="AE72" si="1276">S72/$P$2-1</f>
        <v>1.4992594135561088E-2</v>
      </c>
      <c r="AF72" s="8">
        <f t="shared" ref="AF72" si="1277">T72/$T$2-1</f>
        <v>2.8257507968215689E-2</v>
      </c>
      <c r="AI72" s="8">
        <f t="shared" ref="AI72" si="1278">MIN(0,(F72-MAX(F43:F72))/MAX(F43:F72))</f>
        <v>-2.169069704561368E-3</v>
      </c>
      <c r="AJ72" s="8">
        <f t="shared" ref="AJ72" si="1279">MIN(0,(P72-MAX(P43:P72))/MAX(P43:P72))</f>
        <v>-2.3010286951812803E-3</v>
      </c>
      <c r="AK72" s="8">
        <f t="shared" ref="AK72" si="1280">MIN(0,(Q72-MAX(Q43:Q72))/MAX(Q43:Q72))</f>
        <v>-6.1966012580979037E-3</v>
      </c>
      <c r="AL72" s="8">
        <f t="shared" ref="AL72" si="1281">MIN(0,(R72-MAX(R43:R72))/MAX(R43:R72))</f>
        <v>-3.4786238564029221E-4</v>
      </c>
      <c r="AM72" s="8">
        <f t="shared" ref="AM72" si="1282">MIN(0,(S72-MAX(S43:S72))/MAX(S43:S72))</f>
        <v>-2.1628375853489398E-3</v>
      </c>
      <c r="AN72" s="8">
        <f t="shared" ref="AN72" si="1283">MIN(0,(T72-MAX(T43:T72))/MAX(T43:T72))</f>
        <v>-8.9435438792623365E-3</v>
      </c>
    </row>
    <row r="73" spans="1:40" x14ac:dyDescent="0.25">
      <c r="A73" s="9">
        <v>43321</v>
      </c>
      <c r="B73" s="4">
        <f t="shared" si="812"/>
        <v>19917.810000000001</v>
      </c>
      <c r="C73" s="4">
        <v>104.71</v>
      </c>
      <c r="D73" s="4">
        <f>19988.44+34.08</f>
        <v>20022.52</v>
      </c>
      <c r="E73" s="5">
        <f t="shared" ref="E73" si="1284">D73/D72-1</f>
        <v>1.0268983370647078E-3</v>
      </c>
      <c r="F73" s="10">
        <f t="shared" ref="F73" si="1285">F72*(1+E73)</f>
        <v>100.11260000000003</v>
      </c>
      <c r="G73" s="5">
        <f t="shared" ref="G73" si="1286">F73/F$45-1</f>
        <v>8.7745284748972363E-3</v>
      </c>
      <c r="H73" s="8">
        <f t="shared" ref="H73" si="1287">F73/$F$2-1</f>
        <v>1.1260000000001824E-3</v>
      </c>
      <c r="J73" s="11">
        <f>VLOOKUP($A73,Prices!$A:$J,MATCH(J$1,Prices!$1:$1,0),0)</f>
        <v>-2.5776692443358895E-3</v>
      </c>
      <c r="K73" s="11">
        <f>VLOOKUP($A73,Prices!$A:$J,MATCH(K$1,Prices!$1:$1,0),0)</f>
        <v>1.4170996693434468E-3</v>
      </c>
      <c r="L73" s="11">
        <f>VLOOKUP($A73,Prices!$A:$J,MATCH(L$1,Prices!$1:$1,0),0)</f>
        <v>-9.0475693356995013E-4</v>
      </c>
      <c r="M73" s="11">
        <f t="shared" ref="M73" si="1288">0.6*J73 + 0.4*K73</f>
        <v>-9.7976167886415499E-4</v>
      </c>
      <c r="N73" s="11">
        <f>VLOOKUP($A73,Prices!$A:$J,MATCH(N$1,Prices!$1:$1,0),0)</f>
        <v>-6.2041737168639921E-3</v>
      </c>
      <c r="P73" s="10">
        <f t="shared" ref="P73" si="1289">P72*(1+J73)</f>
        <v>102.12561751434727</v>
      </c>
      <c r="Q73" s="10">
        <f t="shared" ref="Q73" si="1290">Q72*(1+K73)</f>
        <v>100.22702753856336</v>
      </c>
      <c r="R73" s="10">
        <f t="shared" ref="R73" si="1291">R72*(1+L73)</f>
        <v>107.82018449730529</v>
      </c>
      <c r="S73" s="10">
        <f t="shared" ref="S73" si="1292">S72*(1+M73)</f>
        <v>101.39981432874961</v>
      </c>
      <c r="T73" s="10">
        <f t="shared" ref="T73" si="1293">T72*(1+N73)</f>
        <v>102.18780197631112</v>
      </c>
      <c r="V73" s="5">
        <f t="shared" ref="V73" si="1294">P73/P$45-1</f>
        <v>3.3745781777277939E-2</v>
      </c>
      <c r="W73" s="5">
        <f t="shared" ref="W73" si="1295">Q73/Q$45-1</f>
        <v>-8.5587063157277488E-4</v>
      </c>
      <c r="X73" s="5">
        <f t="shared" ref="X73" si="1296">R73/R$45-1</f>
        <v>5.1492400659219895E-2</v>
      </c>
      <c r="Y73" s="5">
        <f t="shared" ref="Y73" si="1297">S73/S$45-1</f>
        <v>1.9853257151233095E-2</v>
      </c>
      <c r="Z73" s="5">
        <f t="shared" ref="Z73" si="1298">T73/T$45-1</f>
        <v>1.2643678160919825E-2</v>
      </c>
      <c r="AB73" s="8">
        <f t="shared" ref="AB73" si="1299">P73/$P$2-1</f>
        <v>2.1256175143472777E-2</v>
      </c>
      <c r="AC73" s="8">
        <f t="shared" ref="AC73" si="1300">Q73/$P$2-1</f>
        <v>2.2702753856336244E-3</v>
      </c>
      <c r="AD73" s="8">
        <f t="shared" ref="AD73" si="1301">R73/$P$2-1</f>
        <v>7.8201844973052825E-2</v>
      </c>
      <c r="AE73" s="8">
        <f t="shared" ref="AE73" si="1302">S73/$P$2-1</f>
        <v>1.3998143287496045E-2</v>
      </c>
      <c r="AF73" s="8">
        <f t="shared" ref="AF73" si="1303">T73/$T$2-1</f>
        <v>2.1878019763111212E-2</v>
      </c>
      <c r="AI73" s="8">
        <f t="shared" ref="AI73" si="1304">MIN(0,(F73-MAX(F44:F73))/MAX(F44:F73))</f>
        <v>-1.1443987815692004E-3</v>
      </c>
      <c r="AJ73" s="8">
        <f t="shared" ref="AJ73" si="1305">MIN(0,(P73-MAX(P44:P73))/MAX(P44:P73))</f>
        <v>-4.872766648619198E-3</v>
      </c>
      <c r="AK73" s="8">
        <f t="shared" ref="AK73" si="1306">MIN(0,(Q73-MAX(Q44:Q73))/MAX(Q44:Q73))</f>
        <v>-4.7882827903483801E-3</v>
      </c>
      <c r="AL73" s="8">
        <f t="shared" ref="AL73" si="1307">MIN(0,(R73-MAX(R44:R73))/MAX(R44:R73))</f>
        <v>-1.2523045883048413E-3</v>
      </c>
      <c r="AM73" s="8">
        <f t="shared" ref="AM73" si="1308">MIN(0,(S73-MAX(S44:S73))/MAX(S44:S73))</f>
        <v>-3.140480198829323E-3</v>
      </c>
      <c r="AN73" s="8">
        <f t="shared" ref="AN73" si="1309">MIN(0,(T73-MAX(T44:T73))/MAX(T44:T73))</f>
        <v>-1.5092230296254972E-2</v>
      </c>
    </row>
    <row r="74" spans="1:40" x14ac:dyDescent="0.25">
      <c r="A74" s="9">
        <v>43322</v>
      </c>
      <c r="B74" s="4">
        <f t="shared" si="812"/>
        <v>19849.68</v>
      </c>
      <c r="C74" s="4">
        <v>104.72</v>
      </c>
      <c r="D74" s="4">
        <f>19950.61+3.79</f>
        <v>19954.400000000001</v>
      </c>
      <c r="E74" s="5">
        <f t="shared" ref="E74" si="1310">D74/D73-1</f>
        <v>-3.4021691575285562E-3</v>
      </c>
      <c r="F74" s="10">
        <f t="shared" ref="F74" si="1311">F73*(1+E74)</f>
        <v>99.772000000000034</v>
      </c>
      <c r="G74" s="5">
        <f t="shared" ref="G74" si="1312">F74/F$45-1</f>
        <v>5.3425068872194892E-3</v>
      </c>
      <c r="H74" s="8">
        <f t="shared" ref="H74" si="1313">F74/$F$2-1</f>
        <v>-2.2799999999996157E-3</v>
      </c>
      <c r="J74" s="11">
        <f>VLOOKUP($A74,Prices!$A:$J,MATCH(J$1,Prices!$1:$1,0),0)</f>
        <v>-1.1833514689880142E-2</v>
      </c>
      <c r="K74" s="11">
        <f>VLOOKUP($A74,Prices!$A:$J,MATCH(K$1,Prices!$1:$1,0),0)</f>
        <v>2.1698113207546665E-3</v>
      </c>
      <c r="L74" s="11">
        <f>VLOOKUP($A74,Prices!$A:$J,MATCH(L$1,Prices!$1:$1,0),0)</f>
        <v>-7.1052906551496431E-3</v>
      </c>
      <c r="M74" s="11">
        <f t="shared" ref="M74" si="1314">0.6*J74 + 0.4*K74</f>
        <v>-6.2321842856262188E-3</v>
      </c>
      <c r="N74" s="11">
        <f>VLOOKUP($A74,Prices!$A:$J,MATCH(N$1,Prices!$1:$1,0),0)</f>
        <v>-3.9727582292848895E-3</v>
      </c>
      <c r="P74" s="10">
        <f t="shared" ref="P74" si="1315">P73*(1+J74)</f>
        <v>100.91711251927816</v>
      </c>
      <c r="Q74" s="10">
        <f t="shared" ref="Q74" si="1316">Q73*(1+K74)</f>
        <v>100.44450127756213</v>
      </c>
      <c r="R74" s="10">
        <f t="shared" ref="R74" si="1317">R73*(1+L74)</f>
        <v>107.05409074796007</v>
      </c>
      <c r="S74" s="10">
        <f t="shared" ref="S74" si="1318">S73*(1+M74)</f>
        <v>100.76787199932457</v>
      </c>
      <c r="T74" s="10">
        <f t="shared" ref="T74" si="1319">T73*(1+N74)</f>
        <v>101.7818345450772</v>
      </c>
      <c r="V74" s="5">
        <f t="shared" ref="V74" si="1320">P74/P$45-1</f>
        <v>2.1512935883014839E-2</v>
      </c>
      <c r="W74" s="5">
        <f t="shared" ref="W74" si="1321">Q74/Q$45-1</f>
        <v>1.3120836113964529E-3</v>
      </c>
      <c r="X74" s="5">
        <f t="shared" ref="X74" si="1322">R74/R$45-1</f>
        <v>4.402124153085496E-2</v>
      </c>
      <c r="Y74" s="5">
        <f t="shared" ref="Y74" si="1323">S74/S$45-1</f>
        <v>1.3497343708370524E-2</v>
      </c>
      <c r="Z74" s="5">
        <f t="shared" ref="Z74" si="1324">T74/T$45-1</f>
        <v>8.6206896551728196E-3</v>
      </c>
      <c r="AB74" s="8">
        <f t="shared" ref="AB74" si="1325">P74/$P$2-1</f>
        <v>9.1711251927817372E-3</v>
      </c>
      <c r="AC74" s="8">
        <f t="shared" ref="AC74" si="1326">Q74/$P$2-1</f>
        <v>4.4450127756212598E-3</v>
      </c>
      <c r="AD74" s="8">
        <f t="shared" ref="AD74" si="1327">R74/$P$2-1</f>
        <v>7.0540907479600845E-2</v>
      </c>
      <c r="AE74" s="8">
        <f t="shared" ref="AE74" si="1328">S74/$P$2-1</f>
        <v>7.6787199932457639E-3</v>
      </c>
      <c r="AF74" s="8">
        <f t="shared" ref="AF74" si="1329">T74/$T$2-1</f>
        <v>1.78183454507721E-2</v>
      </c>
      <c r="AI74" s="8">
        <f t="shared" ref="AI74" si="1330">MIN(0,(F74-MAX(F45:F74))/MAX(F45:F74))</f>
        <v>-4.5426745008592031E-3</v>
      </c>
      <c r="AJ74" s="8">
        <f t="shared" ref="AJ74" si="1331">MIN(0,(P74-MAX(P45:P74))/MAX(P45:P74))</f>
        <v>-1.6648619382782514E-2</v>
      </c>
      <c r="AK74" s="8">
        <f t="shared" ref="AK74" si="1332">MIN(0,(Q74-MAX(Q45:Q74))/MAX(Q45:Q74))</f>
        <v>-2.6288611397992049E-3</v>
      </c>
      <c r="AL74" s="8">
        <f t="shared" ref="AL74" si="1333">MIN(0,(R74-MAX(R45:R74))/MAX(R45:R74))</f>
        <v>-8.3486972553658279E-3</v>
      </c>
      <c r="AM74" s="8">
        <f t="shared" ref="AM74" si="1334">MIN(0,(S74-MAX(S45:S74))/MAX(S45:S74))</f>
        <v>-9.3530924331110231E-3</v>
      </c>
      <c r="AN74" s="8">
        <f t="shared" ref="AN74" si="1335">MIN(0,(T74-MAX(T45:T74))/MAX(T45:T74))</f>
        <v>-1.9005030743432089E-2</v>
      </c>
    </row>
    <row r="75" spans="1:40" x14ac:dyDescent="0.25">
      <c r="A75" s="9">
        <v>43325</v>
      </c>
      <c r="B75" s="4">
        <f t="shared" si="812"/>
        <v>19795.09</v>
      </c>
      <c r="C75" s="4">
        <v>104.72</v>
      </c>
      <c r="D75" s="4">
        <f>19924.66-24.85</f>
        <v>19899.810000000001</v>
      </c>
      <c r="E75" s="5">
        <f t="shared" ref="E75" si="1336">D75/D74-1</f>
        <v>-2.7357374814577229E-3</v>
      </c>
      <c r="F75" s="10">
        <f t="shared" ref="F75" si="1337">F74*(1+E75)</f>
        <v>99.49905000000004</v>
      </c>
      <c r="G75" s="5">
        <f t="shared" ref="G75" si="1338">F75/F$45-1</f>
        <v>2.5921537094255598E-3</v>
      </c>
      <c r="H75" s="8">
        <f t="shared" ref="H75" si="1339">F75/$F$2-1</f>
        <v>-5.009499999999556E-3</v>
      </c>
      <c r="J75" s="11">
        <f>VLOOKUP($A75,Prices!$A:$J,MATCH(J$1,Prices!$1:$1,0),0)</f>
        <v>-5.9187887130076611E-3</v>
      </c>
      <c r="K75" s="11">
        <f>VLOOKUP($A75,Prices!$A:$J,MATCH(K$1,Prices!$1:$1,0),0)</f>
        <v>5.6481219994353182E-4</v>
      </c>
      <c r="L75" s="11">
        <f>VLOOKUP($A75,Prices!$A:$J,MATCH(L$1,Prices!$1:$1,0),0)</f>
        <v>-3.3675939242991948E-3</v>
      </c>
      <c r="M75" s="11">
        <f t="shared" ref="M75" si="1340">0.6*J75 + 0.4*K75</f>
        <v>-3.3253483478271838E-3</v>
      </c>
      <c r="N75" s="11">
        <f>VLOOKUP($A75,Prices!$A:$J,MATCH(N$1,Prices!$1:$1,0),0)</f>
        <v>-9.1168091168091214E-3</v>
      </c>
      <c r="P75" s="10">
        <f t="shared" ref="P75" si="1341">P74*(1+J75)</f>
        <v>100.31980545274973</v>
      </c>
      <c r="Q75" s="10">
        <f t="shared" ref="Q75" si="1342">Q74*(1+K75)</f>
        <v>100.50123355730094</v>
      </c>
      <c r="R75" s="10">
        <f t="shared" ref="R75" si="1343">R74*(1+L75)</f>
        <v>106.69357604238587</v>
      </c>
      <c r="S75" s="10">
        <f t="shared" ref="S75" si="1344">S74*(1+M75)</f>
        <v>100.43278372265756</v>
      </c>
      <c r="T75" s="10">
        <f t="shared" ref="T75" si="1345">T74*(1+N75)</f>
        <v>100.85390898797108</v>
      </c>
      <c r="V75" s="5">
        <f t="shared" ref="V75" si="1346">P75/P$45-1</f>
        <v>1.5466816647919268E-2</v>
      </c>
      <c r="W75" s="5">
        <f t="shared" ref="W75" si="1347">Q75/Q$45-1</f>
        <v>1.8776368921709086E-3</v>
      </c>
      <c r="X75" s="5">
        <f t="shared" ref="X75" si="1348">R75/R$45-1</f>
        <v>4.0505401941036467E-2</v>
      </c>
      <c r="Y75" s="5">
        <f t="shared" ref="Y75" si="1349">S75/S$45-1</f>
        <v>1.0127111990942739E-2</v>
      </c>
      <c r="Z75" s="5">
        <f t="shared" ref="Z75" si="1350">T75/T$45-1</f>
        <v>-5.7471264367792152E-4</v>
      </c>
      <c r="AB75" s="8">
        <f t="shared" ref="AB75" si="1351">P75/$P$2-1</f>
        <v>3.1980545274974403E-3</v>
      </c>
      <c r="AC75" s="8">
        <f t="shared" ref="AC75" si="1352">Q75/$P$2-1</f>
        <v>5.0123355730093966E-3</v>
      </c>
      <c r="AD75" s="8">
        <f t="shared" ref="AD75" si="1353">R75/$P$2-1</f>
        <v>6.6935760423858737E-2</v>
      </c>
      <c r="AE75" s="8">
        <f t="shared" ref="AE75" si="1354">S75/$P$2-1</f>
        <v>4.3278372265755927E-3</v>
      </c>
      <c r="AF75" s="8">
        <f t="shared" ref="AF75" si="1355">T75/$T$2-1</f>
        <v>8.5390898797108594E-3</v>
      </c>
      <c r="AI75" s="8">
        <f t="shared" ref="AI75" si="1356">MIN(0,(F75-MAX(F46:F75))/MAX(F46:F75))</f>
        <v>-7.2659844174188084E-3</v>
      </c>
      <c r="AJ75" s="8">
        <f t="shared" ref="AJ75" si="1357">MIN(0,(P75-MAX(P46:P75))/MAX(P46:P75))</f>
        <v>-2.2468868435300222E-2</v>
      </c>
      <c r="AK75" s="8">
        <f t="shared" ref="AK75" si="1358">MIN(0,(Q75-MAX(Q46:Q75))/MAX(Q46:Q75))</f>
        <v>-2.0655337526993955E-3</v>
      </c>
      <c r="AL75" s="8">
        <f t="shared" ref="AL75" si="1359">MIN(0,(R75-MAX(R46:R75))/MAX(R46:R75))</f>
        <v>-1.1688176157512029E-2</v>
      </c>
      <c r="AM75" s="8">
        <f t="shared" ref="AM75" si="1360">MIN(0,(S75-MAX(S46:S75))/MAX(S46:S75))</f>
        <v>-1.264733849046862E-2</v>
      </c>
      <c r="AN75" s="8">
        <f t="shared" ref="AN75" si="1361">MIN(0,(T75-MAX(T46:T75))/MAX(T46:T75))</f>
        <v>-2.7948574622694289E-2</v>
      </c>
    </row>
    <row r="76" spans="1:40" x14ac:dyDescent="0.25">
      <c r="A76" s="9">
        <v>43326</v>
      </c>
      <c r="B76" s="4">
        <f>D76-C76</f>
        <v>19867.46</v>
      </c>
      <c r="C76" s="4">
        <v>104.72</v>
      </c>
      <c r="D76" s="4">
        <f>19930.15+42.03</f>
        <v>19972.18</v>
      </c>
      <c r="E76" s="5">
        <f t="shared" ref="E76" si="1362">D76/D75-1</f>
        <v>3.6367181395198234E-3</v>
      </c>
      <c r="F76" s="10">
        <f t="shared" ref="F76" si="1363">F75*(1+E76)</f>
        <v>99.860900000000029</v>
      </c>
      <c r="G76" s="5">
        <f t="shared" ref="G76" si="1364">F76/F$45-1</f>
        <v>6.2382987813609514E-3</v>
      </c>
      <c r="H76" s="8">
        <f t="shared" ref="H76" si="1365">F76/$F$2-1</f>
        <v>-1.390999999999698E-3</v>
      </c>
      <c r="J76" s="11">
        <f>VLOOKUP($A76,Prices!$A:$J,MATCH(J$1,Prices!$1:$1,0),0)</f>
        <v>4.5693713652728007E-3</v>
      </c>
      <c r="K76" s="11">
        <f>VLOOKUP($A76,Prices!$A:$J,MATCH(K$1,Prices!$1:$1,0),0)</f>
        <v>-9.4082227867164914E-4</v>
      </c>
      <c r="L76" s="11">
        <f>VLOOKUP($A76,Prices!$A:$J,MATCH(L$1,Prices!$1:$1,0),0)</f>
        <v>6.405969518848309E-3</v>
      </c>
      <c r="M76" s="11">
        <f t="shared" ref="M76" si="1366">0.6*J76 + 0.4*K76</f>
        <v>2.3652939076950208E-3</v>
      </c>
      <c r="N76" s="11">
        <f>VLOOKUP($A76,Prices!$A:$J,MATCH(N$1,Prices!$1:$1,0),0)</f>
        <v>4.025301897642386E-3</v>
      </c>
      <c r="P76" s="10">
        <f t="shared" ref="P76" si="1367">P75*(1+J76)</f>
        <v>100.77820389915527</v>
      </c>
      <c r="Q76" s="10">
        <f t="shared" ref="Q76" si="1368">Q75*(1+K76)</f>
        <v>100.40667975773624</v>
      </c>
      <c r="R76" s="10">
        <f t="shared" ref="R76" si="1369">R75*(1+L76)</f>
        <v>107.37705183837032</v>
      </c>
      <c r="S76" s="10">
        <f t="shared" ref="S76" si="1370">S75*(1+M76)</f>
        <v>100.67033677412961</v>
      </c>
      <c r="T76" s="10">
        <f t="shared" ref="T76" si="1371">T75*(1+N76)</f>
        <v>101.25987641920501</v>
      </c>
      <c r="V76" s="5">
        <f t="shared" ref="V76" si="1372">P76/P$45-1</f>
        <v>2.0106861642295026E-2</v>
      </c>
      <c r="W76" s="5">
        <f t="shared" ref="W76" si="1373">Q76/Q$45-1</f>
        <v>9.3504809087985308E-4</v>
      </c>
      <c r="X76" s="5">
        <f t="shared" ref="X76" si="1374">R76/R$45-1</f>
        <v>4.7170847830067641E-2</v>
      </c>
      <c r="Y76" s="5">
        <f t="shared" ref="Y76" si="1375">S76/S$45-1</f>
        <v>1.2516359494932461E-2</v>
      </c>
      <c r="Z76" s="5">
        <f t="shared" ref="Z76" si="1376">T76/T$45-1</f>
        <v>3.4482758620693055E-3</v>
      </c>
      <c r="AB76" s="8">
        <f t="shared" ref="AB76" si="1377">P76/$P$2-1</f>
        <v>7.782038991552831E-3</v>
      </c>
      <c r="AC76" s="8">
        <f t="shared" ref="AC76" si="1378">Q76/$P$2-1</f>
        <v>4.066797577362502E-3</v>
      </c>
      <c r="AD76" s="8">
        <f t="shared" ref="AD76" si="1379">R76/$P$2-1</f>
        <v>7.3770518383703187E-2</v>
      </c>
      <c r="AE76" s="8">
        <f t="shared" ref="AE76" si="1380">S76/$P$2-1</f>
        <v>6.7033677412959847E-3</v>
      </c>
      <c r="AF76" s="8">
        <f t="shared" ref="AF76" si="1381">T76/$T$2-1</f>
        <v>1.2598764192050194E-2</v>
      </c>
      <c r="AI76" s="8">
        <f t="shared" ref="AI76" si="1382">MIN(0,(F76-MAX(F47:F76))/MAX(F47:F76))</f>
        <v>-3.6556906152312822E-3</v>
      </c>
      <c r="AJ76" s="8">
        <f t="shared" ref="AJ76" si="1383">MIN(0,(P76-MAX(P47:P76))/MAX(P47:P76))</f>
        <v>-1.8002165674065703E-2</v>
      </c>
      <c r="AK76" s="8">
        <f t="shared" ref="AK76" si="1384">MIN(0,(Q76-MAX(Q47:Q76))/MAX(Q47:Q76))</f>
        <v>-3.0044127311991721E-3</v>
      </c>
      <c r="AL76" s="8">
        <f t="shared" ref="AL76" si="1385">MIN(0,(R76-MAX(R47:R76))/MAX(R47:R76))</f>
        <v>-5.3570807388596577E-3</v>
      </c>
      <c r="AM76" s="8">
        <f t="shared" ref="AM76" si="1386">MIN(0,(S76-MAX(S47:S76))/MAX(S47:S76))</f>
        <v>-1.0311959255453714E-2</v>
      </c>
      <c r="AN76" s="8">
        <f t="shared" ref="AN76" si="1387">MIN(0,(T76-MAX(T47:T76))/MAX(T47:T76))</f>
        <v>-2.4035774175517034E-2</v>
      </c>
    </row>
    <row r="77" spans="1:40" x14ac:dyDescent="0.25">
      <c r="A77" s="9">
        <v>43327</v>
      </c>
      <c r="B77" s="4">
        <f t="shared" si="812"/>
        <v>19793.66</v>
      </c>
      <c r="C77" s="4">
        <v>104.72</v>
      </c>
      <c r="D77" s="4">
        <f>19938.52-40.14</f>
        <v>19898.38</v>
      </c>
      <c r="E77" s="5">
        <f t="shared" ref="E77" si="1388">D77/D76-1</f>
        <v>-3.6951399396559781E-3</v>
      </c>
      <c r="F77" s="10">
        <f t="shared" ref="F77" si="1389">F76*(1+E77)</f>
        <v>99.491900000000044</v>
      </c>
      <c r="G77" s="5">
        <f t="shared" ref="G77" si="1390">F77/F$45-1</f>
        <v>2.5201074547225311E-3</v>
      </c>
      <c r="H77" s="8">
        <f t="shared" ref="H77" si="1391">F77/$F$2-1</f>
        <v>-5.0809999999995581E-3</v>
      </c>
      <c r="J77" s="11">
        <f>VLOOKUP($A77,Prices!$A:$J,MATCH(J$1,Prices!$1:$1,0),0)</f>
        <v>-1.1853893866299092E-2</v>
      </c>
      <c r="K77" s="11">
        <f>VLOOKUP($A77,Prices!$A:$J,MATCH(K$1,Prices!$1:$1,0),0)</f>
        <v>1.4125623881722227E-3</v>
      </c>
      <c r="L77" s="11">
        <f>VLOOKUP($A77,Prices!$A:$J,MATCH(L$1,Prices!$1:$1,0),0)</f>
        <v>-7.9739796453678347E-3</v>
      </c>
      <c r="M77" s="11">
        <f t="shared" ref="M77" si="1392">0.6*J77 + 0.4*K77</f>
        <v>-6.5473113645105659E-3</v>
      </c>
      <c r="N77" s="11">
        <f>VLOOKUP($A77,Prices!$A:$J,MATCH(N$1,Prices!$1:$1,0),0)</f>
        <v>-8.1443298969073874E-3</v>
      </c>
      <c r="P77" s="10">
        <f t="shared" ref="P77" si="1393">P76*(1+J77)</f>
        <v>99.583589766098441</v>
      </c>
      <c r="Q77" s="10">
        <f t="shared" ref="Q77" si="1394">Q76*(1+K77)</f>
        <v>100.54851045708327</v>
      </c>
      <c r="R77" s="10">
        <f t="shared" ref="R77" si="1395">R76*(1+L77)</f>
        <v>106.52082941263154</v>
      </c>
      <c r="S77" s="10">
        <f t="shared" ref="S77" si="1396">S76*(1+M77)</f>
        <v>100.01121673409924</v>
      </c>
      <c r="T77" s="10">
        <f t="shared" ref="T77" si="1397">T76*(1+N77)</f>
        <v>100.43518258032694</v>
      </c>
      <c r="V77" s="5">
        <f t="shared" ref="V77" si="1398">P77/P$45-1</f>
        <v>8.0146231721038852E-3</v>
      </c>
      <c r="W77" s="5">
        <f t="shared" ref="W77" si="1399">Q77/Q$45-1</f>
        <v>2.3489312928164363E-3</v>
      </c>
      <c r="X77" s="5">
        <f t="shared" ref="X77" si="1400">R77/R$45-1</f>
        <v>3.8820728804248139E-2</v>
      </c>
      <c r="Y77" s="5">
        <f t="shared" ref="Y77" si="1401">S77/S$45-1</f>
        <v>5.887099627658321E-3</v>
      </c>
      <c r="Z77" s="5">
        <f t="shared" ref="Z77" si="1402">T77/T$45-1</f>
        <v>-4.7241379310343223E-3</v>
      </c>
      <c r="AB77" s="8">
        <f t="shared" ref="AB77" si="1403">P77/$P$2-1</f>
        <v>-4.1641023390155407E-3</v>
      </c>
      <c r="AC77" s="8">
        <f t="shared" ref="AC77" si="1404">Q77/$P$2-1</f>
        <v>5.4851045708326218E-3</v>
      </c>
      <c r="AD77" s="8">
        <f t="shared" ref="AD77" si="1405">R77/$P$2-1</f>
        <v>6.5208294126315458E-2</v>
      </c>
      <c r="AE77" s="8">
        <f t="shared" ref="AE77" si="1406">S77/$P$2-1</f>
        <v>1.1216734099228631E-4</v>
      </c>
      <c r="AF77" s="8">
        <f t="shared" ref="AF77" si="1407">T77/$T$2-1</f>
        <v>4.3518258032693158E-3</v>
      </c>
      <c r="AI77" s="8">
        <f t="shared" ref="AI77" si="1408">MIN(0,(F77-MAX(F48:F77))/MAX(F48:F77))</f>
        <v>-7.3373222664878321E-3</v>
      </c>
      <c r="AJ77" s="8">
        <f t="shared" ref="AJ77" si="1409">MIN(0,(P77-MAX(P48:P77))/MAX(P48:P77))</f>
        <v>-2.9642663779100839E-2</v>
      </c>
      <c r="AK77" s="8">
        <f t="shared" ref="AK77" si="1410">MIN(0,(Q77-MAX(Q48:Q77))/MAX(Q48:Q77))</f>
        <v>-1.5960942634496483E-3</v>
      </c>
      <c r="AL77" s="8">
        <f t="shared" ref="AL77" si="1411">MIN(0,(R77-MAX(R48:R77))/MAX(R48:R77))</f>
        <v>-1.3288343131457294E-2</v>
      </c>
      <c r="AM77" s="8">
        <f t="shared" ref="AM77" si="1412">MIN(0,(S77-MAX(S48:S77))/MAX(S48:S77))</f>
        <v>-1.6791755011940763E-2</v>
      </c>
      <c r="AN77" s="8">
        <f t="shared" ref="AN77" si="1413">MIN(0,(T77-MAX(T48:T77))/MAX(T48:T77))</f>
        <v>-3.1984348798211416E-2</v>
      </c>
    </row>
    <row r="78" spans="1:40" x14ac:dyDescent="0.25">
      <c r="A78" s="9">
        <v>43328</v>
      </c>
      <c r="B78" s="4">
        <f t="shared" si="812"/>
        <v>19922.879999999997</v>
      </c>
      <c r="C78" s="4">
        <v>104.72</v>
      </c>
      <c r="D78" s="4">
        <f>20034.32-6.72</f>
        <v>20027.599999999999</v>
      </c>
      <c r="E78" s="5">
        <f t="shared" ref="E78" si="1414">D78/D77-1</f>
        <v>6.493995993643642E-3</v>
      </c>
      <c r="F78" s="10">
        <f t="shared" ref="F78" si="1415">F77*(1+E78)</f>
        <v>100.13800000000003</v>
      </c>
      <c r="G78" s="5">
        <f t="shared" ref="G78" si="1416">F78/F$45-1</f>
        <v>9.0304690160805112E-3</v>
      </c>
      <c r="H78" s="8">
        <f t="shared" ref="H78" si="1417">F78/$F$2-1</f>
        <v>1.3800000000003809E-3</v>
      </c>
      <c r="J78" s="11">
        <f>VLOOKUP($A78,Prices!$A:$J,MATCH(J$1,Prices!$1:$1,0),0)</f>
        <v>7.5324313014368816E-3</v>
      </c>
      <c r="K78" s="11">
        <f>VLOOKUP($A78,Prices!$A:$J,MATCH(K$1,Prices!$1:$1,0),0)</f>
        <v>5.6422794809107835E-4</v>
      </c>
      <c r="L78" s="11">
        <f>VLOOKUP($A78,Prices!$A:$J,MATCH(L$1,Prices!$1:$1,0),0)</f>
        <v>8.6374052529527567E-3</v>
      </c>
      <c r="M78" s="11">
        <f t="shared" ref="M78" si="1418">0.6*J78 + 0.4*K78</f>
        <v>4.7451499600985603E-3</v>
      </c>
      <c r="N78" s="11">
        <f>VLOOKUP($A78,Prices!$A:$J,MATCH(N$1,Prices!$1:$1,0),0)</f>
        <v>-7.3796902608874726E-3</v>
      </c>
      <c r="P78" s="10">
        <f t="shared" ref="P78" si="1419">P77*(1+J78)</f>
        <v>100.33369631476205</v>
      </c>
      <c r="Q78" s="10">
        <f t="shared" ref="Q78" si="1420">Q77*(1+K78)</f>
        <v>100.60524273682208</v>
      </c>
      <c r="R78" s="10">
        <f t="shared" ref="R78" si="1421">R77*(1+L78)</f>
        <v>107.44089298414909</v>
      </c>
      <c r="S78" s="10">
        <f t="shared" ref="S78" si="1422">S77*(1+M78)</f>
        <v>100.48578495519446</v>
      </c>
      <c r="T78" s="10">
        <f t="shared" ref="T78" si="1423">T77*(1+N78)</f>
        <v>99.694002041588448</v>
      </c>
      <c r="V78" s="5">
        <f t="shared" ref="V78" si="1424">P78/P$45-1</f>
        <v>1.5607424071991449E-2</v>
      </c>
      <c r="W78" s="5">
        <f t="shared" ref="W78" si="1425">Q78/Q$45-1</f>
        <v>2.914484573590892E-3</v>
      </c>
      <c r="X78" s="5">
        <f t="shared" ref="X78" si="1426">R78/R$45-1</f>
        <v>4.7793444424098164E-2</v>
      </c>
      <c r="Y78" s="5">
        <f t="shared" ref="Y78" si="1427">S78/S$45-1</f>
        <v>1.0660184758320312E-2</v>
      </c>
      <c r="Z78" s="5">
        <f t="shared" ref="Z78" si="1428">T78/T$45-1</f>
        <v>-1.2068965517241015E-2</v>
      </c>
      <c r="AB78" s="8">
        <f t="shared" ref="AB78" si="1429">P78/$P$2-1</f>
        <v>3.336963147620553E-3</v>
      </c>
      <c r="AC78" s="8">
        <f t="shared" ref="AC78" si="1430">Q78/$P$2-1</f>
        <v>6.0524273682207586E-3</v>
      </c>
      <c r="AD78" s="8">
        <f t="shared" ref="AD78" si="1431">R78/$P$2-1</f>
        <v>7.4408929841490945E-2</v>
      </c>
      <c r="AE78" s="8">
        <f t="shared" ref="AE78" si="1432">S78/$P$2-1</f>
        <v>4.8578495519446818E-3</v>
      </c>
      <c r="AF78" s="8">
        <f t="shared" ref="AF78" si="1433">T78/$T$2-1</f>
        <v>-3.0599795841155242E-3</v>
      </c>
      <c r="AI78" s="8">
        <f t="shared" ref="AI78" si="1434">MIN(0,(F78-MAX(F49:F78))/MAX(F49:F78))</f>
        <v>-8.9097481424687652E-4</v>
      </c>
      <c r="AJ78" s="8">
        <f t="shared" ref="AJ78" si="1435">MIN(0,(P78-MAX(P49:P78))/MAX(P49:P78))</f>
        <v>-2.2333513806171625E-2</v>
      </c>
      <c r="AK78" s="8">
        <f t="shared" ref="AK78" si="1436">MIN(0,(Q78-MAX(Q49:Q78))/MAX(Q49:Q78))</f>
        <v>-1.0327668763498389E-3</v>
      </c>
      <c r="AL78" s="8">
        <f t="shared" ref="AL78" si="1437">MIN(0,(R78-MAX(R49:R78))/MAX(R49:R78))</f>
        <v>-4.7657146832712528E-3</v>
      </c>
      <c r="AM78" s="8">
        <f t="shared" ref="AM78" si="1438">MIN(0,(S78-MAX(S49:S78))/MAX(S49:S78))</f>
        <v>-1.212628444746704E-2</v>
      </c>
      <c r="AN78" s="8">
        <f t="shared" ref="AN78" si="1439">MIN(0,(T78-MAX(T49:T78))/MAX(T49:T78))</f>
        <v>-3.9128004471771866E-2</v>
      </c>
    </row>
    <row r="79" spans="1:40" x14ac:dyDescent="0.25">
      <c r="A79" s="9">
        <v>43329</v>
      </c>
      <c r="B79" s="4">
        <f t="shared" si="812"/>
        <v>20007.669999999998</v>
      </c>
      <c r="C79" s="4">
        <v>104.72</v>
      </c>
      <c r="D79" s="4">
        <f>20124.46-12.07</f>
        <v>20112.39</v>
      </c>
      <c r="E79" s="5">
        <f t="shared" ref="E79" si="1440">D79/D78-1</f>
        <v>4.23365755257743E-3</v>
      </c>
      <c r="F79" s="10">
        <f t="shared" ref="F79" si="1441">F78*(1+E79)</f>
        <v>100.56195000000004</v>
      </c>
      <c r="G79" s="5">
        <f t="shared" ref="G79" si="1442">F79/F$45-1</f>
        <v>1.3302358482011334E-2</v>
      </c>
      <c r="H79" s="8">
        <f t="shared" ref="H79" si="1443">F79/$F$2-1</f>
        <v>5.6195000000003326E-3</v>
      </c>
      <c r="J79" s="11">
        <f>VLOOKUP($A79,Prices!$A:$J,MATCH(J$1,Prices!$1:$1,0),0)</f>
        <v>4.568738751211443E-3</v>
      </c>
      <c r="K79" s="11">
        <f>VLOOKUP($A79,Prices!$A:$J,MATCH(K$1,Prices!$1:$1,0),0)</f>
        <v>5.6390977443587786E-4</v>
      </c>
      <c r="L79" s="11">
        <f>VLOOKUP($A79,Prices!$A:$J,MATCH(L$1,Prices!$1:$1,0),0)</f>
        <v>3.2855644879412615E-3</v>
      </c>
      <c r="M79" s="11">
        <f t="shared" ref="M79" si="1444">0.6*J79 + 0.4*K79</f>
        <v>2.966807160501217E-3</v>
      </c>
      <c r="N79" s="11">
        <f>VLOOKUP($A79,Prices!$A:$J,MATCH(N$1,Prices!$1:$1,0),0)</f>
        <v>1.4543339150669077E-2</v>
      </c>
      <c r="P79" s="10">
        <f t="shared" ref="P79" si="1445">P78*(1+J79)</f>
        <v>100.79209476116759</v>
      </c>
      <c r="Q79" s="10">
        <f t="shared" ref="Q79" si="1446">Q78*(1+K79)</f>
        <v>100.66197501656086</v>
      </c>
      <c r="R79" s="10">
        <f t="shared" ref="R79" si="1447">R78*(1+L79)</f>
        <v>107.79389696669051</v>
      </c>
      <c r="S79" s="10">
        <f t="shared" ref="S79" si="1448">S78*(1+M79)</f>
        <v>100.78390690152811</v>
      </c>
      <c r="T79" s="10">
        <f t="shared" ref="T79" si="1449">T78*(1+N79)</f>
        <v>101.14388572456676</v>
      </c>
      <c r="V79" s="5">
        <f t="shared" ref="V79" si="1450">P79/P$45-1</f>
        <v>2.0247469066367207E-2</v>
      </c>
      <c r="W79" s="5">
        <f t="shared" ref="W79" si="1451">Q79/Q$45-1</f>
        <v>3.4800378543651256E-3</v>
      </c>
      <c r="X79" s="5">
        <f t="shared" ref="X79" si="1452">R79/R$45-1</f>
        <v>5.1236037355795627E-2</v>
      </c>
      <c r="Y79" s="5">
        <f t="shared" ref="Y79" si="1453">S79/S$45-1</f>
        <v>1.3658618631294583E-2</v>
      </c>
      <c r="Z79" s="5">
        <f t="shared" ref="Z79" si="1454">T79/T$45-1</f>
        <v>2.2988505747130183E-3</v>
      </c>
      <c r="AB79" s="8">
        <f t="shared" ref="AB79" si="1455">P79/$P$2-1</f>
        <v>7.9209476116759436E-3</v>
      </c>
      <c r="AC79" s="8">
        <f t="shared" ref="AC79" si="1456">Q79/$P$2-1</f>
        <v>6.6197501656086732E-3</v>
      </c>
      <c r="AD79" s="8">
        <f t="shared" ref="AD79" si="1457">R79/$P$2-1</f>
        <v>7.7938969666905056E-2</v>
      </c>
      <c r="AE79" s="8">
        <f t="shared" ref="AE79" si="1458">S79/$P$2-1</f>
        <v>7.839069015281197E-3</v>
      </c>
      <c r="AF79" s="8">
        <f t="shared" ref="AF79" si="1459">T79/$T$2-1</f>
        <v>1.1438857245667622E-2</v>
      </c>
      <c r="AI79" s="8">
        <f t="shared" ref="AI79" si="1460">MIN(0,(F79-MAX(F50:F79))/MAX(F50:F79))</f>
        <v>0</v>
      </c>
      <c r="AJ79" s="8">
        <f t="shared" ref="AJ79" si="1461">MIN(0,(P79-MAX(P50:P79))/MAX(P50:P79))</f>
        <v>-1.7866811044937106E-2</v>
      </c>
      <c r="AK79" s="8">
        <f t="shared" ref="AK79" si="1462">MIN(0,(Q79-MAX(Q50:Q79))/MAX(Q50:Q79))</f>
        <v>-4.6943948925031159E-4</v>
      </c>
      <c r="AL79" s="8">
        <f t="shared" ref="AL79" si="1463">MIN(0,(R79-MAX(R50:R79))/MAX(R50:R79))</f>
        <v>-1.4958082582529537E-3</v>
      </c>
      <c r="AM79" s="8">
        <f t="shared" ref="AM79" si="1464">MIN(0,(S79-MAX(S50:S79))/MAX(S50:S79))</f>
        <v>-9.1954536344948917E-3</v>
      </c>
      <c r="AN79" s="8">
        <f t="shared" ref="AN79" si="1465">MIN(0,(T79-MAX(T50:T79))/MAX(T50:T79))</f>
        <v>-2.5153717160424725E-2</v>
      </c>
    </row>
    <row r="80" spans="1:40" x14ac:dyDescent="0.25">
      <c r="A80" s="9">
        <v>43332</v>
      </c>
      <c r="B80" s="4">
        <f t="shared" si="812"/>
        <v>20068.62</v>
      </c>
      <c r="C80" s="4">
        <v>104.72</v>
      </c>
      <c r="D80" s="4">
        <f>20175.06-1.72</f>
        <v>20173.34</v>
      </c>
      <c r="E80" s="5">
        <f t="shared" ref="E80" si="1466">D80/D79-1</f>
        <v>3.0304702723047416E-3</v>
      </c>
      <c r="F80" s="10">
        <f t="shared" ref="F80" si="1467">F79*(1+E80)</f>
        <v>100.86670000000004</v>
      </c>
      <c r="G80" s="5">
        <f t="shared" ref="G80" si="1468">F80/F$45-1</f>
        <v>1.6373141156247328E-2</v>
      </c>
      <c r="H80" s="8">
        <f t="shared" ref="H80" si="1469">F80/$F$2-1</f>
        <v>8.6670000000004244E-3</v>
      </c>
      <c r="J80" s="11">
        <f>VLOOKUP($A80,Prices!$A:$J,MATCH(J$1,Prices!$1:$1,0),0)</f>
        <v>3.7210584343989606E-3</v>
      </c>
      <c r="K80" s="11">
        <f>VLOOKUP($A80,Prices!$A:$J,MATCH(K$1,Prices!$1:$1,0),0)</f>
        <v>1.9725718579748364E-3</v>
      </c>
      <c r="L80" s="11">
        <f>VLOOKUP($A80,Prices!$A:$J,MATCH(L$1,Prices!$1:$1,0),0)</f>
        <v>2.4386845039019445E-3</v>
      </c>
      <c r="M80" s="11">
        <f t="shared" ref="M80" si="1470">0.6*J80 + 0.4*K80</f>
        <v>3.0216638038293108E-3</v>
      </c>
      <c r="N80" s="11">
        <f>VLOOKUP($A80,Prices!$A:$J,MATCH(N$1,Prices!$1:$1,0),0)</f>
        <v>9.0309633027523262E-3</v>
      </c>
      <c r="P80" s="10">
        <f t="shared" ref="P80" si="1471">P79*(1+J80)</f>
        <v>101.16714803549937</v>
      </c>
      <c r="Q80" s="10">
        <f t="shared" ref="Q80" si="1472">Q79*(1+K80)</f>
        <v>100.86053799564669</v>
      </c>
      <c r="R80" s="10">
        <f t="shared" ref="R80" si="1473">R79*(1+L80)</f>
        <v>108.05677227283839</v>
      </c>
      <c r="S80" s="10">
        <f t="shared" ref="S80" si="1474">S79*(1+M80)</f>
        <v>101.08844198502098</v>
      </c>
      <c r="T80" s="10">
        <f t="shared" ref="T80" si="1475">T79*(1+N80)</f>
        <v>102.05731244484309</v>
      </c>
      <c r="V80" s="5">
        <f t="shared" ref="V80" si="1476">P80/P$45-1</f>
        <v>2.4043869516310767E-2</v>
      </c>
      <c r="W80" s="5">
        <f t="shared" ref="W80" si="1477">Q80/Q$45-1</f>
        <v>5.4594743370763865E-3</v>
      </c>
      <c r="X80" s="5">
        <f t="shared" ref="X80" si="1478">R80/R$45-1</f>
        <v>5.3799670390038523E-2</v>
      </c>
      <c r="Y80" s="5">
        <f t="shared" ref="Y80" si="1479">S80/S$45-1</f>
        <v>1.672155418865251E-2</v>
      </c>
      <c r="Z80" s="5">
        <f t="shared" ref="Z80" si="1480">T80/T$45-1</f>
        <v>1.1350574712644113E-2</v>
      </c>
      <c r="AB80" s="8">
        <f t="shared" ref="AB80" si="1481">P80/$P$2-1</f>
        <v>1.1671480354993768E-2</v>
      </c>
      <c r="AC80" s="8">
        <f t="shared" ref="AC80" si="1482">Q80/$P$2-1</f>
        <v>8.6053799564669298E-3</v>
      </c>
      <c r="AD80" s="8">
        <f t="shared" ref="AD80" si="1483">R80/$P$2-1</f>
        <v>8.0567722728383862E-2</v>
      </c>
      <c r="AE80" s="8">
        <f t="shared" ref="AE80" si="1484">S80/$P$2-1</f>
        <v>1.0884419850209825E-2</v>
      </c>
      <c r="AF80" s="8">
        <f t="shared" ref="AF80" si="1485">T80/$T$2-1</f>
        <v>2.0573124448430846E-2</v>
      </c>
      <c r="AI80" s="8">
        <f t="shared" ref="AI80" si="1486">MIN(0,(F80-MAX(F51:F80))/MAX(F51:F80))</f>
        <v>0</v>
      </c>
      <c r="AJ80" s="8">
        <f t="shared" ref="AJ80" si="1487">MIN(0,(P80-MAX(P51:P80))/MAX(P51:P80))</f>
        <v>-1.4212236058472777E-2</v>
      </c>
      <c r="AK80" s="8">
        <f t="shared" ref="AK80" si="1488">MIN(0,(Q80-MAX(Q51:Q80))/MAX(Q51:Q80))</f>
        <v>0</v>
      </c>
      <c r="AL80" s="8">
        <f t="shared" ref="AL80" si="1489">MIN(0,(R80-MAX(R51:R80))/MAX(R51:R80))</f>
        <v>0</v>
      </c>
      <c r="AM80" s="8">
        <f t="shared" ref="AM80" si="1490">MIN(0,(S80-MAX(S51:S80))/MAX(S51:S80))</f>
        <v>-6.2015754000725775E-3</v>
      </c>
      <c r="AN80" s="8">
        <f t="shared" ref="AN80" si="1491">MIN(0,(T80-MAX(T51:T80))/MAX(T51:T80))</f>
        <v>-1.6349916154276035E-2</v>
      </c>
    </row>
    <row r="81" spans="1:40" x14ac:dyDescent="0.25">
      <c r="A81" s="9">
        <v>43333</v>
      </c>
      <c r="B81" s="4">
        <f t="shared" si="812"/>
        <v>20043.52</v>
      </c>
      <c r="C81" s="4">
        <v>104.72</v>
      </c>
      <c r="D81" s="4">
        <f>20138.34+9.9</f>
        <v>20148.240000000002</v>
      </c>
      <c r="E81" s="5">
        <f t="shared" ref="E81" si="1492">D81/D80-1</f>
        <v>-1.2442163766633874E-3</v>
      </c>
      <c r="F81" s="10">
        <f t="shared" ref="F81" si="1493">F80*(1+E81)</f>
        <v>100.74120000000005</v>
      </c>
      <c r="G81" s="5">
        <f t="shared" ref="G81" si="1494">F81/F$45-1</f>
        <v>1.5108553049220097E-2</v>
      </c>
      <c r="H81" s="8">
        <f t="shared" ref="H81" si="1495">F81/$F$2-1</f>
        <v>7.4120000000004183E-3</v>
      </c>
      <c r="J81" s="11">
        <f>VLOOKUP($A81,Prices!$A:$J,MATCH(J$1,Prices!$1:$1,0),0)</f>
        <v>4.6684058766992553E-3</v>
      </c>
      <c r="K81" s="11">
        <f>VLOOKUP($A81,Prices!$A:$J,MATCH(K$1,Prices!$1:$1,0),0)</f>
        <v>-8.4372363363649505E-4</v>
      </c>
      <c r="L81" s="11">
        <f>VLOOKUP($A81,Prices!$A:$J,MATCH(L$1,Prices!$1:$1,0),0)</f>
        <v>1.7029262528671651E-3</v>
      </c>
      <c r="M81" s="11">
        <f t="shared" ref="M81" si="1496">0.6*J81 + 0.4*K81</f>
        <v>2.4635540725649551E-3</v>
      </c>
      <c r="N81" s="11">
        <f>VLOOKUP($A81,Prices!$A:$J,MATCH(N$1,Prices!$1:$1,0),0)</f>
        <v>5.2564284699532227E-3</v>
      </c>
      <c r="P81" s="10">
        <f t="shared" ref="P81" si="1497">P80*(1+J81)</f>
        <v>101.63943734391719</v>
      </c>
      <c r="Q81" s="10">
        <f t="shared" ref="Q81" si="1498">Q80*(1+K81)</f>
        <v>100.77543957603848</v>
      </c>
      <c r="R81" s="10">
        <f t="shared" ref="R81" si="1499">R80*(1+L81)</f>
        <v>108.24078498714189</v>
      </c>
      <c r="S81" s="10">
        <f t="shared" ref="S81" si="1500">S80*(1+M81)</f>
        <v>101.33747882796243</v>
      </c>
      <c r="T81" s="10">
        <f t="shared" ref="T81" si="1501">T80*(1+N81)</f>
        <v>102.59376940754508</v>
      </c>
      <c r="V81" s="5">
        <f t="shared" ref="V81" si="1502">P81/P$45-1</f>
        <v>2.8824521934758485E-2</v>
      </c>
      <c r="W81" s="5">
        <f t="shared" ref="W81" si="1503">Q81/Q$45-1</f>
        <v>4.611144415914481E-3</v>
      </c>
      <c r="X81" s="5">
        <f t="shared" ref="X81" si="1504">R81/R$45-1</f>
        <v>5.5594213514008395E-2</v>
      </c>
      <c r="Y81" s="5">
        <f t="shared" ref="Y81" si="1505">S81/S$45-1</f>
        <v>1.922630271413861E-2</v>
      </c>
      <c r="Z81" s="5">
        <f t="shared" ref="Z81" si="1506">T81/T$45-1</f>
        <v>1.6666666666667274E-2</v>
      </c>
      <c r="AB81" s="8">
        <f t="shared" ref="AB81" si="1507">P81/$P$2-1</f>
        <v>1.639437343917205E-2</v>
      </c>
      <c r="AC81" s="8">
        <f t="shared" ref="AC81" si="1508">Q81/$P$2-1</f>
        <v>7.7543957603847247E-3</v>
      </c>
      <c r="AD81" s="8">
        <f t="shared" ref="AD81" si="1509">R81/$P$2-1</f>
        <v>8.2407849871418914E-2</v>
      </c>
      <c r="AE81" s="8">
        <f t="shared" ref="AE81" si="1510">S81/$P$2-1</f>
        <v>1.3374788279624239E-2</v>
      </c>
      <c r="AF81" s="8">
        <f t="shared" ref="AF81" si="1511">T81/$T$2-1</f>
        <v>2.5937694075450768E-2</v>
      </c>
      <c r="AI81" s="8">
        <f t="shared" ref="AI81" si="1512">MIN(0,(F81-MAX(F52:F81))/MAX(F52:F81))</f>
        <v>-1.2442163766633401E-3</v>
      </c>
      <c r="AJ81" s="8">
        <f t="shared" ref="AJ81" si="1513">MIN(0,(P81-MAX(P52:P81))/MAX(P52:P81))</f>
        <v>-9.6101786681099394E-3</v>
      </c>
      <c r="AK81" s="8">
        <f t="shared" ref="AK81" si="1514">MIN(0,(Q81-MAX(Q52:Q81))/MAX(Q52:Q81))</f>
        <v>-8.4372363363645916E-4</v>
      </c>
      <c r="AL81" s="8">
        <f t="shared" ref="AL81" si="1515">MIN(0,(R81-MAX(R52:R81))/MAX(R52:R81))</f>
        <v>0</v>
      </c>
      <c r="AM81" s="8">
        <f t="shared" ref="AM81" si="1516">MIN(0,(S81-MAX(S52:S81))/MAX(S52:S81))</f>
        <v>-3.7532992438407348E-3</v>
      </c>
      <c r="AN81" s="8">
        <f t="shared" ref="AN81" si="1517">MIN(0,(T81-MAX(T52:T81))/MAX(T52:T81))</f>
        <v>-6.1797752808986387E-3</v>
      </c>
    </row>
    <row r="82" spans="1:40" x14ac:dyDescent="0.25">
      <c r="A82" s="9">
        <v>43334</v>
      </c>
      <c r="B82" s="4">
        <f t="shared" si="812"/>
        <v>20077.429999999997</v>
      </c>
      <c r="C82" s="4">
        <v>104.72</v>
      </c>
      <c r="D82" s="4">
        <f>20180.05+2.1</f>
        <v>20182.149999999998</v>
      </c>
      <c r="E82" s="5">
        <f t="shared" ref="E82" si="1518">D82/D81-1</f>
        <v>1.6830254156192659E-3</v>
      </c>
      <c r="F82" s="10">
        <f t="shared" ref="F82" si="1519">F81*(1+E82)</f>
        <v>100.91075000000004</v>
      </c>
      <c r="G82" s="5">
        <f t="shared" ref="G82" si="1520">F82/F$45-1</f>
        <v>1.6817006543614399E-2</v>
      </c>
      <c r="H82" s="8">
        <f t="shared" ref="H82" si="1521">F82/$F$2-1</f>
        <v>9.1075000000002682E-3</v>
      </c>
      <c r="J82" s="11">
        <f>VLOOKUP($A82,Prices!$A:$J,MATCH(J$1,Prices!$1:$1,0),0)</f>
        <v>1.5033483668169811E-3</v>
      </c>
      <c r="K82" s="11">
        <f>VLOOKUP($A82,Prices!$A:$J,MATCH(K$1,Prices!$1:$1,0),0)</f>
        <v>8.444361043347115E-4</v>
      </c>
      <c r="L82" s="11">
        <f>VLOOKUP($A82,Prices!$A:$J,MATCH(L$1,Prices!$1:$1,0),0)</f>
        <v>-3.4694514797206644E-5</v>
      </c>
      <c r="M82" s="11">
        <f t="shared" ref="M82" si="1522">0.6*J82 + 0.4*K82</f>
        <v>1.2397834618240733E-3</v>
      </c>
      <c r="N82" s="11">
        <f>VLOOKUP($A82,Prices!$A:$J,MATCH(N$1,Prices!$1:$1,0),0)</f>
        <v>-5.6529112492942346E-4</v>
      </c>
      <c r="P82" s="10">
        <f t="shared" ref="P82" si="1523">P81*(1+J82)</f>
        <v>101.79223682605237</v>
      </c>
      <c r="Q82" s="10">
        <f t="shared" ref="Q82" si="1524">Q81*(1+K82)</f>
        <v>100.86053799564668</v>
      </c>
      <c r="R82" s="10">
        <f t="shared" ref="R82" si="1525">R81*(1+L82)</f>
        <v>108.2370296256255</v>
      </c>
      <c r="S82" s="10">
        <f t="shared" ref="S82" si="1526">S81*(1+M82)</f>
        <v>101.46311535827628</v>
      </c>
      <c r="T82" s="10">
        <f t="shared" ref="T82" si="1527">T81*(1+N82)</f>
        <v>102.53577406022595</v>
      </c>
      <c r="V82" s="5">
        <f t="shared" ref="V82" si="1528">P82/P$45-1</f>
        <v>3.0371203599550478E-2</v>
      </c>
      <c r="W82" s="5">
        <f t="shared" ref="W82" si="1529">Q82/Q$45-1</f>
        <v>5.4594743370761645E-3</v>
      </c>
      <c r="X82" s="5">
        <f t="shared" ref="X82" si="1530">R82/R$45-1</f>
        <v>5.555759018494788E-2</v>
      </c>
      <c r="Y82" s="5">
        <f t="shared" ref="Y82" si="1531">S82/S$45-1</f>
        <v>2.0489922628099677E-2</v>
      </c>
      <c r="Z82" s="5">
        <f t="shared" ref="Z82" si="1532">T82/T$45-1</f>
        <v>1.609195402298913E-2</v>
      </c>
      <c r="AB82" s="8">
        <f t="shared" ref="AB82" si="1533">P82/$P$2-1</f>
        <v>1.7922368260523847E-2</v>
      </c>
      <c r="AC82" s="8">
        <f t="shared" ref="AC82" si="1534">Q82/$P$2-1</f>
        <v>8.6053799564667077E-3</v>
      </c>
      <c r="AD82" s="8">
        <f t="shared" ref="AD82" si="1535">R82/$P$2-1</f>
        <v>8.2370296256254916E-2</v>
      </c>
      <c r="AE82" s="8">
        <f t="shared" ref="AE82" si="1536">S82/$P$2-1</f>
        <v>1.463115358276279E-2</v>
      </c>
      <c r="AF82" s="8">
        <f t="shared" ref="AF82" si="1537">T82/$T$2-1</f>
        <v>2.5357740602259371E-2</v>
      </c>
      <c r="AI82" s="8">
        <f t="shared" ref="AI82" si="1538">MIN(0,(F82-MAX(F53:F82))/MAX(F53:F82))</f>
        <v>0</v>
      </c>
      <c r="AJ82" s="8">
        <f t="shared" ref="AJ82" si="1539">MIN(0,(P82-MAX(P53:P82))/MAX(P53:P82))</f>
        <v>-8.1212777476984323E-3</v>
      </c>
      <c r="AK82" s="8">
        <f t="shared" ref="AK82" si="1540">MIN(0,(Q82-MAX(Q53:Q82))/MAX(Q53:Q82))</f>
        <v>-1.4089608282493365E-16</v>
      </c>
      <c r="AL82" s="8">
        <f t="shared" ref="AL82" si="1541">MIN(0,(R82-MAX(R53:R82))/MAX(R53:R82))</f>
        <v>-3.4694514797202564E-5</v>
      </c>
      <c r="AM82" s="8">
        <f t="shared" ref="AM82" si="1542">MIN(0,(S82-MAX(S53:S82))/MAX(S53:S82))</f>
        <v>-2.5181690603464507E-3</v>
      </c>
      <c r="AN82" s="8">
        <f t="shared" ref="AN82" si="1543">MIN(0,(T82-MAX(T53:T82))/MAX(T53:T82))</f>
        <v>-6.7415730337076563E-3</v>
      </c>
    </row>
    <row r="83" spans="1:40" x14ac:dyDescent="0.25">
      <c r="A83" s="9">
        <v>43335</v>
      </c>
      <c r="B83" s="4">
        <f t="shared" si="812"/>
        <v>20054.87</v>
      </c>
      <c r="C83" s="4">
        <v>104.72</v>
      </c>
      <c r="D83" s="4">
        <f>20175.75-16.16</f>
        <v>20159.59</v>
      </c>
      <c r="E83" s="5">
        <f t="shared" ref="E83" si="1544">D83/D82-1</f>
        <v>-1.1178194592745827E-3</v>
      </c>
      <c r="F83" s="10">
        <f t="shared" ref="F83" si="1545">F82*(1+E83)</f>
        <v>100.79795000000004</v>
      </c>
      <c r="G83" s="5">
        <f t="shared" ref="G83" si="1546">F83/F$45-1</f>
        <v>1.5680388707178583E-2</v>
      </c>
      <c r="H83" s="8">
        <f t="shared" ref="H83" si="1547">F83/$F$2-1</f>
        <v>7.9795000000004723E-3</v>
      </c>
      <c r="J83" s="11">
        <f>VLOOKUP($A83,Prices!$A:$J,MATCH(J$1,Prices!$1:$1,0),0)</f>
        <v>-4.7762008733623906E-3</v>
      </c>
      <c r="K83" s="11">
        <f>VLOOKUP($A83,Prices!$A:$J,MATCH(K$1,Prices!$1:$1,0),0)</f>
        <v>-5.6248242242429303E-4</v>
      </c>
      <c r="L83" s="11">
        <f>VLOOKUP($A83,Prices!$A:$J,MATCH(L$1,Prices!$1:$1,0),0)</f>
        <v>-1.700090208868299E-3</v>
      </c>
      <c r="M83" s="11">
        <f t="shared" ref="M83" si="1548">0.6*J83 + 0.4*K83</f>
        <v>-3.0907134929871517E-3</v>
      </c>
      <c r="N83" s="11">
        <f>VLOOKUP($A83,Prices!$A:$J,MATCH(N$1,Prices!$1:$1,0),0)</f>
        <v>-8.4841628959275717E-3</v>
      </c>
      <c r="P83" s="10">
        <f t="shared" ref="P83" si="1549">P82*(1+J83)</f>
        <v>101.30605665562227</v>
      </c>
      <c r="Q83" s="10">
        <f t="shared" ref="Q83" si="1550">Q82*(1+K83)</f>
        <v>100.80380571590787</v>
      </c>
      <c r="R83" s="10">
        <f t="shared" ref="R83" si="1551">R82*(1+L83)</f>
        <v>108.05301691132198</v>
      </c>
      <c r="S83" s="10">
        <f t="shared" ref="S83" si="1552">S82*(1+M83)</f>
        <v>101.14952193859794</v>
      </c>
      <c r="T83" s="10">
        <f t="shared" ref="T83" si="1553">T82*(1+N83)</f>
        <v>101.66584385043896</v>
      </c>
      <c r="V83" s="5">
        <f t="shared" ref="V83" si="1554">P83/P$45-1</f>
        <v>2.5449943757030802E-2</v>
      </c>
      <c r="W83" s="5">
        <f t="shared" ref="W83" si="1555">Q83/Q$45-1</f>
        <v>4.8939210563014868E-3</v>
      </c>
      <c r="X83" s="5">
        <f t="shared" ref="X83" si="1556">R83/R$45-1</f>
        <v>5.3763047060977787E-2</v>
      </c>
      <c r="Y83" s="5">
        <f t="shared" ref="Y83" si="1557">S83/S$45-1</f>
        <v>1.7335880654775648E-2</v>
      </c>
      <c r="Z83" s="5">
        <f t="shared" ref="Z83" si="1558">T83/T$45-1</f>
        <v>7.4712643678165325E-3</v>
      </c>
      <c r="AB83" s="8">
        <f t="shared" ref="AB83" si="1559">P83/$P$2-1</f>
        <v>1.3060566556222675E-2</v>
      </c>
      <c r="AC83" s="8">
        <f t="shared" ref="AC83" si="1560">Q83/$P$2-1</f>
        <v>8.038057159078793E-3</v>
      </c>
      <c r="AD83" s="8">
        <f t="shared" ref="AD83" si="1561">R83/$P$2-1</f>
        <v>8.0530169113219863E-2</v>
      </c>
      <c r="AE83" s="8">
        <f t="shared" ref="AE83" si="1562">S83/$P$2-1</f>
        <v>1.1495219385979416E-2</v>
      </c>
      <c r="AF83" s="8">
        <f t="shared" ref="AF83" si="1563">T83/$T$2-1</f>
        <v>1.6658438504389528E-2</v>
      </c>
      <c r="AI83" s="8">
        <f t="shared" ref="AI83" si="1564">MIN(0,(F83-MAX(F54:F83))/MAX(F54:F83))</f>
        <v>-1.1178194592745853E-3</v>
      </c>
      <c r="AJ83" s="8">
        <f t="shared" ref="AJ83" si="1565">MIN(0,(P83-MAX(P54:P83))/MAX(P54:P83))</f>
        <v>-1.285868976718945E-2</v>
      </c>
      <c r="AK83" s="8">
        <f t="shared" ref="AK83" si="1566">MIN(0,(Q83-MAX(Q54:Q83))/MAX(Q54:Q83))</f>
        <v>-5.6248242242444698E-4</v>
      </c>
      <c r="AL83" s="8">
        <f t="shared" ref="AL83" si="1567">MIN(0,(R83-MAX(R54:R83))/MAX(R54:R83))</f>
        <v>-1.7347257398606533E-3</v>
      </c>
      <c r="AM83" s="8">
        <f t="shared" ref="AM83" si="1568">MIN(0,(S83-MAX(S54:S83))/MAX(S54:S83))</f>
        <v>-5.6010996142412117E-3</v>
      </c>
      <c r="AN83" s="8">
        <f t="shared" ref="AN83" si="1569">MIN(0,(T83-MAX(T54:T83))/MAX(T54:T83))</f>
        <v>-1.5168539325842502E-2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87"/>
  <sheetViews>
    <sheetView topLeftCell="A56" zoomScale="90" zoomScaleNormal="90" workbookViewId="0">
      <selection activeCell="I92" sqref="I92"/>
    </sheetView>
  </sheetViews>
  <sheetFormatPr defaultRowHeight="15" x14ac:dyDescent="0.25"/>
  <cols>
    <col min="1" max="1" width="10.42578125" bestFit="1" customWidth="1"/>
    <col min="2" max="5" width="14.85546875" customWidth="1"/>
    <col min="7" max="10" width="17.140625" customWidth="1"/>
  </cols>
  <sheetData>
    <row r="1" spans="1:10" x14ac:dyDescent="0.25">
      <c r="B1" t="s">
        <v>24</v>
      </c>
      <c r="C1" t="s">
        <v>23</v>
      </c>
      <c r="D1" t="s">
        <v>9</v>
      </c>
      <c r="E1" t="s">
        <v>56</v>
      </c>
      <c r="G1" t="s">
        <v>39</v>
      </c>
      <c r="H1" t="s">
        <v>40</v>
      </c>
      <c r="I1" t="s">
        <v>41</v>
      </c>
      <c r="J1" t="s">
        <v>52</v>
      </c>
    </row>
    <row r="2" spans="1:10" x14ac:dyDescent="0.25">
      <c r="B2" t="s">
        <v>39</v>
      </c>
      <c r="C2" t="s">
        <v>40</v>
      </c>
      <c r="D2" t="s">
        <v>41</v>
      </c>
      <c r="E2" t="s">
        <v>52</v>
      </c>
    </row>
    <row r="3" spans="1:10" x14ac:dyDescent="0.25">
      <c r="A3" s="9">
        <v>43220</v>
      </c>
      <c r="B3">
        <f t="array" ref="B3">_xll.HistoricalData(B$1,"Adj. Close",$A3,$A3,"Daily","RemoveHeaders = True","ReverseOrder =True","RemoveDates =""True")</f>
        <v>71.989999999999995</v>
      </c>
      <c r="C3">
        <f t="array" ref="C3">_xll.HistoricalData(C$1,"Adj. Close",$A3,$A3,"Daily","RemoveHeaders = True","ReverseOrder =True","RemoveDates =""True")</f>
        <v>105.7599</v>
      </c>
      <c r="D3">
        <f t="array" ref="D3">_xll.HistoricalData(D$1,"Adj. Close",$A3,$A3,"Daily","RemoveHeaders = True","ReverseOrder =True","RemoveDates =""True")</f>
        <v>266.31</v>
      </c>
      <c r="E3">
        <f t="array" ref="E3">_xll.HistoricalData(E$1,"Adj. Close",$A3,$A3,"Daily","RemoveHeaders = True","ReverseOrder =True","RemoveDates =""True")</f>
        <v>17.245899999999999</v>
      </c>
    </row>
    <row r="4" spans="1:10" x14ac:dyDescent="0.25">
      <c r="A4" s="9">
        <v>43221</v>
      </c>
      <c r="B4">
        <f t="array" ref="B4">_xll.HistoricalData(B$1,"Adj. Close",$A4,$A4,"Daily","RemoveHeaders = True","ReverseOrder =True","RemoveDates =""True")</f>
        <v>71.91</v>
      </c>
      <c r="C4">
        <f t="array" ref="C4">_xll.HistoricalData(C$1,"Adj. Close",$A4,$A4,"Daily","RemoveHeaders = True","ReverseOrder =True","RemoveDates =""True")</f>
        <v>105.67</v>
      </c>
      <c r="D4">
        <f t="array" ref="D4">_xll.HistoricalData(D$1,"Adj. Close",$A4,$A4,"Daily","RemoveHeaders = True","ReverseOrder =True","RemoveDates =""True")</f>
        <v>266.83</v>
      </c>
      <c r="E4">
        <f t="array" ref="E4">_xll.HistoricalData(E$1,"Adj. Close",$A4,$A4,"Daily","RemoveHeaders = True","ReverseOrder =True","RemoveDates =""True")</f>
        <v>17.1159</v>
      </c>
      <c r="G4" s="5">
        <f t="shared" ref="G4:G9" si="0">B4/B3-1</f>
        <v>-1.1112654535352373E-3</v>
      </c>
      <c r="H4" s="5">
        <f t="shared" ref="H4:J4" si="1">C4/C3-1</f>
        <v>-8.5003862522559093E-4</v>
      </c>
      <c r="I4" s="5">
        <f t="shared" si="1"/>
        <v>1.9526116180390574E-3</v>
      </c>
      <c r="J4" s="5">
        <f t="shared" si="1"/>
        <v>-7.5380235302303644E-3</v>
      </c>
    </row>
    <row r="5" spans="1:10" x14ac:dyDescent="0.25">
      <c r="A5" s="9">
        <v>43222</v>
      </c>
      <c r="B5">
        <f t="array" ref="B5">_xll.HistoricalData(B$1,"Adj. Close",$A5,$A5,"Daily","RemoveHeaders = True","ReverseOrder =True","RemoveDates =""True")</f>
        <v>71.61</v>
      </c>
      <c r="C5">
        <f t="array" ref="C5">_xll.HistoricalData(C$1,"Adj. Close",$A5,$A5,"Daily","RemoveHeaders = True","ReverseOrder =True","RemoveDates =""True")</f>
        <v>105.67</v>
      </c>
      <c r="D5">
        <f t="array" ref="D5">_xll.HistoricalData(D$1,"Adj. Close",$A5,$A5,"Daily","RemoveHeaders = True","ReverseOrder =True","RemoveDates =""True")</f>
        <v>264.97000000000003</v>
      </c>
      <c r="E5">
        <f t="array" ref="E5">_xll.HistoricalData(E$1,"Adj. Close",$A5,$A5,"Daily","RemoveHeaders = True","ReverseOrder =True","RemoveDates =""True")</f>
        <v>17.3414</v>
      </c>
      <c r="G5" s="5">
        <f t="shared" si="0"/>
        <v>-4.1718815185648461E-3</v>
      </c>
      <c r="H5" s="5">
        <f t="shared" ref="H5" si="2">C5/C4-1</f>
        <v>0</v>
      </c>
      <c r="I5" s="5">
        <f t="shared" ref="I5" si="3">D5/D4-1</f>
        <v>-6.9707304276128701E-3</v>
      </c>
      <c r="J5" s="5">
        <f t="shared" ref="J5" si="4">E5/E4-1</f>
        <v>1.3174884172027168E-2</v>
      </c>
    </row>
    <row r="6" spans="1:10" x14ac:dyDescent="0.25">
      <c r="A6" s="13">
        <v>43223</v>
      </c>
      <c r="B6">
        <f t="array" ref="B6">_xll.HistoricalData(B$1,"Adj. Close",$A6,$A6,"Daily","RemoveHeaders = True","ReverseOrder =True","RemoveDates =""True")</f>
        <v>71.62</v>
      </c>
      <c r="C6">
        <f t="array" ref="C6">_xll.HistoricalData(C$1,"Adj. Close",$A6,$A6,"Daily","RemoveHeaders = True","ReverseOrder =True","RemoveDates =""True")</f>
        <v>105.79</v>
      </c>
      <c r="D6">
        <f t="array" ref="D6">_xll.HistoricalData(D$1,"Adj. Close",$A6,$A6,"Daily","RemoveHeaders = True","ReverseOrder =True","RemoveDates =""True")</f>
        <v>264.39999999999998</v>
      </c>
      <c r="E6">
        <f t="array" ref="E6">_xll.HistoricalData(E$1,"Adj. Close",$A6,$A6,"Daily","RemoveHeaders = True","ReverseOrder =True","RemoveDates =""True")</f>
        <v>17.0059</v>
      </c>
      <c r="G6" s="5">
        <f t="shared" si="0"/>
        <v>1.3964530093568683E-4</v>
      </c>
      <c r="H6" s="5">
        <f t="shared" ref="H6" si="5">C6/C5-1</f>
        <v>1.1356108640105944E-3</v>
      </c>
      <c r="I6" s="5">
        <f t="shared" ref="I6" si="6">D6/D5-1</f>
        <v>-2.1511869268221462E-3</v>
      </c>
      <c r="J6" s="5">
        <f t="shared" ref="J6" si="7">E6/E5-1</f>
        <v>-1.9346765543727718E-2</v>
      </c>
    </row>
    <row r="7" spans="1:10" x14ac:dyDescent="0.25">
      <c r="A7" s="13">
        <v>43224</v>
      </c>
      <c r="B7">
        <f t="array" ref="B7">_xll.HistoricalData(B$1,"Adj. Close",$A7,$A7,"Daily","RemoveHeaders = True","ReverseOrder =True","RemoveDates =""True")</f>
        <v>72.22</v>
      </c>
      <c r="C7">
        <f t="array" ref="C7">_xll.HistoricalData(C$1,"Adj. Close",$A7,$A7,"Daily","RemoveHeaders = True","ReverseOrder =True","RemoveDates =""True")</f>
        <v>105.86</v>
      </c>
      <c r="D7">
        <f t="array" ref="D7">_xll.HistoricalData(D$1,"Adj. Close",$A7,$A7,"Daily","RemoveHeaders = True","ReverseOrder =True","RemoveDates =""True")</f>
        <v>267.82</v>
      </c>
      <c r="E7">
        <f t="array" ref="E7">_xll.HistoricalData(E$1,"Adj. Close",$A7,$A7,"Daily","RemoveHeaders = True","ReverseOrder =True","RemoveDates =""True")</f>
        <v>17.073</v>
      </c>
      <c r="G7" s="5">
        <f t="shared" si="0"/>
        <v>8.3775481709018607E-3</v>
      </c>
      <c r="H7" s="5">
        <f t="shared" ref="H7" si="8">C7/C6-1</f>
        <v>6.6168825030721301E-4</v>
      </c>
      <c r="I7" s="5">
        <f t="shared" ref="I7" si="9">D7/D6-1</f>
        <v>1.2934947049924483E-2</v>
      </c>
      <c r="J7" s="5">
        <f t="shared" ref="J7" si="10">E7/E6-1</f>
        <v>3.945689437195421E-3</v>
      </c>
    </row>
    <row r="8" spans="1:10" x14ac:dyDescent="0.25">
      <c r="A8" s="13">
        <v>43227</v>
      </c>
      <c r="B8">
        <f t="array" ref="B8">_xll.HistoricalData(B$1,"Adj. Close",$A8,$A8,"Daily","RemoveHeaders = True","ReverseOrder =True","RemoveDates =""True")</f>
        <v>72.34</v>
      </c>
      <c r="C8">
        <f t="array" ref="C8">_xll.HistoricalData(C$1,"Adj. Close",$A8,$A8,"Daily","RemoveHeaders = True","ReverseOrder =True","RemoveDates =""True")</f>
        <v>105.81</v>
      </c>
      <c r="D8">
        <f t="array" ref="D8">_xll.HistoricalData(D$1,"Adj. Close",$A8,$A8,"Daily","RemoveHeaders = True","ReverseOrder =True","RemoveDates =""True")</f>
        <v>268.79000000000002</v>
      </c>
      <c r="E8">
        <f t="array" ref="E8">_xll.HistoricalData(E$1,"Adj. Close",$A8,$A8,"Daily","RemoveHeaders = True","ReverseOrder =True","RemoveDates =""True")</f>
        <v>17.2759</v>
      </c>
      <c r="G8" s="5">
        <f t="shared" si="0"/>
        <v>1.6615895873719477E-3</v>
      </c>
      <c r="H8" s="5">
        <f t="shared" ref="H8" si="11">C8/C7-1</f>
        <v>-4.7232193463064842E-4</v>
      </c>
      <c r="I8" s="5">
        <f t="shared" ref="I8" si="12">D8/D7-1</f>
        <v>3.6218355611978836E-3</v>
      </c>
      <c r="J8" s="5">
        <f t="shared" ref="J8" si="13">E8/E7-1</f>
        <v>1.1884261699759868E-2</v>
      </c>
    </row>
    <row r="9" spans="1:10" x14ac:dyDescent="0.25">
      <c r="A9" s="13">
        <v>43228</v>
      </c>
      <c r="B9">
        <f t="array" ref="B9">_xll.HistoricalData(B$1,"Adj. Close",$A9,$A9,"Daily","RemoveHeaders = True","ReverseOrder =True","RemoveDates =""True")</f>
        <v>72.37</v>
      </c>
      <c r="C9">
        <f t="array" ref="C9">_xll.HistoricalData(C$1,"Adj. Close",$A9,$A9,"Daily","RemoveHeaders = True","ReverseOrder =True","RemoveDates =""True")</f>
        <v>105.69</v>
      </c>
      <c r="D9">
        <f t="array" ref="D9">_xll.HistoricalData(D$1,"Adj. Close",$A9,$A9,"Daily","RemoveHeaders = True","ReverseOrder =True","RemoveDates =""True")</f>
        <v>268.68</v>
      </c>
      <c r="E9">
        <f t="array" ref="E9">_xll.HistoricalData(E$1,"Adj. Close",$A9,$A9,"Daily","RemoveHeaders = True","ReverseOrder =True","RemoveDates =""True")</f>
        <v>17.3659</v>
      </c>
      <c r="G9" s="5">
        <f t="shared" si="0"/>
        <v>4.147083218137837E-4</v>
      </c>
      <c r="H9" s="5">
        <f t="shared" ref="H9" si="14">C9/C8-1</f>
        <v>-1.1341083073433955E-3</v>
      </c>
      <c r="I9" s="5">
        <f t="shared" ref="I9" si="15">D9/D8-1</f>
        <v>-4.0924141523124291E-4</v>
      </c>
      <c r="J9" s="5">
        <f t="shared" ref="J9" si="16">E9/E8-1</f>
        <v>5.2095694001470516E-3</v>
      </c>
    </row>
    <row r="10" spans="1:10" x14ac:dyDescent="0.25">
      <c r="A10" s="13">
        <v>43229</v>
      </c>
      <c r="B10">
        <f t="array" ref="B10">_xll.HistoricalData(B$1,"Adj. Close",$A10,$A10,"Daily","RemoveHeaders = True","ReverseOrder =True","RemoveDates =""True")</f>
        <v>72.790000000000006</v>
      </c>
      <c r="C10">
        <f t="array" ref="C10">_xll.HistoricalData(C$1,"Adj. Close",$A10,$A10,"Daily","RemoveHeaders = True","ReverseOrder =True","RemoveDates =""True")</f>
        <v>105.57</v>
      </c>
      <c r="D10">
        <f t="array" ref="D10">_xll.HistoricalData(D$1,"Adj. Close",$A10,$A10,"Daily","RemoveHeaders = True","ReverseOrder =True","RemoveDates =""True")</f>
        <v>271.44</v>
      </c>
      <c r="E10">
        <f t="array" ref="E10">_xll.HistoricalData(E$1,"Adj. Close",$A10,$A10,"Daily","RemoveHeaders = True","ReverseOrder =True","RemoveDates =""True")</f>
        <v>17.375900000000001</v>
      </c>
      <c r="G10" s="5">
        <f t="shared" ref="G10" si="17">B10/B9-1</f>
        <v>5.8035097416055947E-3</v>
      </c>
      <c r="H10" s="5">
        <f t="shared" ref="H10" si="18">C10/C9-1</f>
        <v>-1.1353959693443105E-3</v>
      </c>
      <c r="I10" s="5">
        <f t="shared" ref="I10" si="19">D10/D9-1</f>
        <v>1.0272443054935243E-2</v>
      </c>
      <c r="J10" s="5">
        <f t="shared" ref="J10" si="20">E10/E9-1</f>
        <v>5.7584115997455498E-4</v>
      </c>
    </row>
    <row r="11" spans="1:10" x14ac:dyDescent="0.25">
      <c r="A11" s="13">
        <v>43230</v>
      </c>
      <c r="B11">
        <f t="array" ref="B11">_xll.HistoricalData(B$1,"Adj. Close",$A11,$A11,"Daily","RemoveHeaders = True","ReverseOrder =True","RemoveDates =""True")</f>
        <v>73.53</v>
      </c>
      <c r="C11">
        <f t="array" ref="C11">_xll.HistoricalData(C$1,"Adj. Close",$A11,$A11,"Daily","RemoveHeaders = True","ReverseOrder =True","RemoveDates =""True")</f>
        <v>105.81</v>
      </c>
      <c r="D11">
        <f t="array" ref="D11">_xll.HistoricalData(D$1,"Adj. Close",$A11,$A11,"Daily","RemoveHeaders = True","ReverseOrder =True","RemoveDates =""True")</f>
        <v>273.89999999999998</v>
      </c>
      <c r="E11">
        <f t="array" ref="E11">_xll.HistoricalData(E$1,"Adj. Close",$A11,$A11,"Daily","RemoveHeaders = True","ReverseOrder =True","RemoveDates =""True")</f>
        <v>17.4359</v>
      </c>
      <c r="G11" s="5">
        <f t="shared" ref="G11" si="21">B11/B10-1</f>
        <v>1.0166231625223121E-2</v>
      </c>
      <c r="H11" s="5">
        <f t="shared" ref="H11" si="22">C11/C10-1</f>
        <v>2.2733731173629756E-3</v>
      </c>
      <c r="I11" s="5">
        <f t="shared" ref="I11" si="23">D11/D10-1</f>
        <v>9.0627763041555287E-3</v>
      </c>
      <c r="J11" s="5">
        <f t="shared" ref="J11" si="24">E11/E10-1</f>
        <v>3.4530585466074903E-3</v>
      </c>
    </row>
    <row r="12" spans="1:10" x14ac:dyDescent="0.25">
      <c r="A12" s="13">
        <v>43231</v>
      </c>
      <c r="B12">
        <f t="array" ref="B12">_xll.HistoricalData(B$1,"Adj. Close",$A12,$A12,"Daily","RemoveHeaders = True","ReverseOrder =True","RemoveDates =""True")</f>
        <v>73.69</v>
      </c>
      <c r="C12">
        <f t="array" ref="C12">_xll.HistoricalData(C$1,"Adj. Close",$A12,$A12,"Daily","RemoveHeaders = True","ReverseOrder =True","RemoveDates =""True")</f>
        <v>105.86</v>
      </c>
      <c r="D12">
        <f t="array" ref="D12">_xll.HistoricalData(D$1,"Adj. Close",$A12,$A12,"Daily","RemoveHeaders = True","ReverseOrder =True","RemoveDates =""True")</f>
        <v>274.47000000000003</v>
      </c>
      <c r="E12">
        <f t="array" ref="E12">_xll.HistoricalData(E$1,"Adj. Close",$A12,$A12,"Daily","RemoveHeaders = True","ReverseOrder =True","RemoveDates =""True")</f>
        <v>17.445900000000002</v>
      </c>
      <c r="G12" s="5">
        <f t="shared" ref="G12" si="25">B12/B11-1</f>
        <v>2.1759825921392473E-3</v>
      </c>
      <c r="H12" s="5">
        <f t="shared" ref="H12" si="26">C12/C11-1</f>
        <v>4.7254512805960935E-4</v>
      </c>
      <c r="I12" s="5">
        <f t="shared" ref="I12" si="27">D12/D11-1</f>
        <v>2.0810514786420153E-3</v>
      </c>
      <c r="J12" s="5">
        <f t="shared" ref="J12" si="28">E12/E11-1</f>
        <v>5.7352932742227303E-4</v>
      </c>
    </row>
    <row r="13" spans="1:10" x14ac:dyDescent="0.25">
      <c r="A13" s="13">
        <v>43234</v>
      </c>
      <c r="B13">
        <f t="array" ref="B13">_xll.HistoricalData(B$1,"Adj. Close",$A13,$A13,"Daily","RemoveHeaders = True","ReverseOrder =True","RemoveDates =""True")</f>
        <v>73.8</v>
      </c>
      <c r="C13">
        <f t="array" ref="C13">_xll.HistoricalData(C$1,"Adj. Close",$A13,$A13,"Daily","RemoveHeaders = True","ReverseOrder =True","RemoveDates =""True")</f>
        <v>105.76</v>
      </c>
      <c r="D13">
        <f t="array" ref="D13">_xll.HistoricalData(D$1,"Adj. Close",$A13,$A13,"Daily","RemoveHeaders = True","ReverseOrder =True","RemoveDates =""True")</f>
        <v>274.82</v>
      </c>
      <c r="E13">
        <f t="array" ref="E13">_xll.HistoricalData(E$1,"Adj. Close",$A13,$A13,"Daily","RemoveHeaders = True","ReverseOrder =True","RemoveDates =""True")</f>
        <v>17.675899999999999</v>
      </c>
      <c r="G13" s="5">
        <f t="shared" ref="G13" si="29">B13/B12-1</f>
        <v>1.4927398561541683E-3</v>
      </c>
      <c r="H13" s="5">
        <f t="shared" ref="H13" si="30">C13/C12-1</f>
        <v>-9.4464386926118582E-4</v>
      </c>
      <c r="I13" s="5">
        <f t="shared" ref="I13" si="31">D13/D12-1</f>
        <v>1.2751849018106665E-3</v>
      </c>
      <c r="J13" s="5">
        <f t="shared" ref="J13" si="32">E13/E12-1</f>
        <v>1.3183613341816613E-2</v>
      </c>
    </row>
    <row r="14" spans="1:10" x14ac:dyDescent="0.25">
      <c r="A14" s="13">
        <v>43235</v>
      </c>
      <c r="B14">
        <f t="array" ref="B14">_xll.HistoricalData(B$1,"Adj. Close",$A14,$A14,"Daily","RemoveHeaders = True","ReverseOrder =True","RemoveDates =""True")</f>
        <v>73.16</v>
      </c>
      <c r="C14">
        <f t="array" ref="C14">_xll.HistoricalData(C$1,"Adj. Close",$A14,$A14,"Daily","RemoveHeaders = True","ReverseOrder =True","RemoveDates =""True")</f>
        <v>105.29</v>
      </c>
      <c r="D14">
        <f t="array" ref="D14">_xll.HistoricalData(D$1,"Adj. Close",$A14,$A14,"Daily","RemoveHeaders = True","ReverseOrder =True","RemoveDates =""True")</f>
        <v>272.81</v>
      </c>
      <c r="E14">
        <f t="array" ref="E14">_xll.HistoricalData(E$1,"Adj. Close",$A14,$A14,"Daily","RemoveHeaders = True","ReverseOrder =True","RemoveDates =""True")</f>
        <v>17.2959</v>
      </c>
      <c r="G14" s="5">
        <f t="shared" ref="G14" si="33">B14/B13-1</f>
        <v>-8.672086720867167E-3</v>
      </c>
      <c r="H14" s="5">
        <f t="shared" ref="H14" si="34">C14/C13-1</f>
        <v>-4.4440242057488533E-3</v>
      </c>
      <c r="I14" s="5">
        <f t="shared" ref="I14" si="35">D14/D13-1</f>
        <v>-7.3138781748053328E-3</v>
      </c>
      <c r="J14" s="5">
        <f t="shared" ref="J14" si="36">E14/E13-1</f>
        <v>-2.1498198111552957E-2</v>
      </c>
    </row>
    <row r="15" spans="1:10" x14ac:dyDescent="0.25">
      <c r="A15" s="13">
        <v>43236</v>
      </c>
      <c r="B15">
        <f t="array" ref="B15">_xll.HistoricalData(B$1,"Adj. Close",$A15,$A15,"Daily","RemoveHeaders = True","ReverseOrder =True","RemoveDates =""True")</f>
        <v>73.489999999999995</v>
      </c>
      <c r="C15">
        <f t="array" ref="C15">_xll.HistoricalData(C$1,"Adj. Close",$A15,$A15,"Daily","RemoveHeaders = True","ReverseOrder =True","RemoveDates =""True")</f>
        <v>105.17</v>
      </c>
      <c r="D15">
        <f t="array" ref="D15">_xll.HistoricalData(D$1,"Adj. Close",$A15,$A15,"Daily","RemoveHeaders = True","ReverseOrder =True","RemoveDates =""True")</f>
        <v>274.10000000000002</v>
      </c>
      <c r="E15">
        <f t="array" ref="E15">_xll.HistoricalData(E$1,"Adj. Close",$A15,$A15,"Daily","RemoveHeaders = True","ReverseOrder =True","RemoveDates =""True")</f>
        <v>17.5367</v>
      </c>
      <c r="G15" s="5">
        <f t="shared" ref="G15" si="37">B15/B14-1</f>
        <v>4.5106615636960612E-3</v>
      </c>
      <c r="H15" s="5">
        <f t="shared" ref="H15" si="38">C15/C14-1</f>
        <v>-1.1397093741096764E-3</v>
      </c>
      <c r="I15" s="5">
        <f t="shared" ref="I15" si="39">D15/D14-1</f>
        <v>4.7285656684139532E-3</v>
      </c>
      <c r="J15" s="5">
        <f t="shared" ref="J15" si="40">E15/E14-1</f>
        <v>1.3922374666828663E-2</v>
      </c>
    </row>
    <row r="16" spans="1:10" x14ac:dyDescent="0.25">
      <c r="A16" s="13">
        <v>43237</v>
      </c>
      <c r="B16">
        <f t="array" ref="B16">_xll.HistoricalData(B$1,"Adj. Close",$A16,$A16,"Daily","RemoveHeaders = True","ReverseOrder =True","RemoveDates =""True")</f>
        <v>73.400000000000006</v>
      </c>
      <c r="C16">
        <f t="array" ref="C16">_xll.HistoricalData(C$1,"Adj. Close",$A16,$A16,"Daily","RemoveHeaders = True","ReverseOrder =True","RemoveDates =""True")</f>
        <v>105.03</v>
      </c>
      <c r="D16">
        <f t="array" ref="D16">_xll.HistoricalData(D$1,"Adj. Close",$A16,$A16,"Daily","RemoveHeaders = True","ReverseOrder =True","RemoveDates =""True")</f>
        <v>273.88</v>
      </c>
      <c r="E16">
        <f t="array" ref="E16">_xll.HistoricalData(E$1,"Adj. Close",$A16,$A16,"Daily","RemoveHeaders = True","ReverseOrder =True","RemoveDates =""True")</f>
        <v>17.37</v>
      </c>
      <c r="G16" s="5">
        <f t="shared" ref="G16" si="41">B16/B15-1</f>
        <v>-1.2246564158386875E-3</v>
      </c>
      <c r="H16" s="5">
        <f t="shared" ref="H16" si="42">C16/C15-1</f>
        <v>-1.3311780926119621E-3</v>
      </c>
      <c r="I16" s="5">
        <f t="shared" ref="I16" si="43">D16/D15-1</f>
        <v>-8.0262677854803233E-4</v>
      </c>
      <c r="J16" s="5">
        <f t="shared" ref="J16" si="44">E16/E15-1</f>
        <v>-9.505779308535689E-3</v>
      </c>
    </row>
    <row r="17" spans="1:10" x14ac:dyDescent="0.25">
      <c r="A17" s="13">
        <v>43238</v>
      </c>
      <c r="B17">
        <f t="array" ref="B17">_xll.HistoricalData(B$1,"Adj. Close",$A17,$A17,"Daily","RemoveHeaders = True","ReverseOrder =True","RemoveDates =""True")</f>
        <v>73.150000000000006</v>
      </c>
      <c r="C17">
        <f t="array" ref="C17">_xll.HistoricalData(C$1,"Adj. Close",$A17,$A17,"Daily","RemoveHeaders = True","ReverseOrder =True","RemoveDates =""True")</f>
        <v>105.3</v>
      </c>
      <c r="D17">
        <f t="array" ref="D17">_xll.HistoricalData(D$1,"Adj. Close",$A17,$A17,"Daily","RemoveHeaders = True","ReverseOrder =True","RemoveDates =""True")</f>
        <v>273.20999999999998</v>
      </c>
      <c r="E17">
        <f t="array" ref="E17">_xll.HistoricalData(E$1,"Adj. Close",$A17,$A17,"Daily","RemoveHeaders = True","ReverseOrder =True","RemoveDates =""True")</f>
        <v>17.489999999999998</v>
      </c>
      <c r="G17" s="5">
        <f t="shared" ref="G17" si="45">B17/B16-1</f>
        <v>-3.4059945504086864E-3</v>
      </c>
      <c r="H17" s="5">
        <f t="shared" ref="H17" si="46">C17/C16-1</f>
        <v>2.5706940874035134E-3</v>
      </c>
      <c r="I17" s="5">
        <f t="shared" ref="I17" si="47">D17/D16-1</f>
        <v>-2.4463268584782316E-3</v>
      </c>
      <c r="J17" s="5">
        <f t="shared" ref="J17" si="48">E17/E16-1</f>
        <v>6.9084628670119663E-3</v>
      </c>
    </row>
    <row r="18" spans="1:10" x14ac:dyDescent="0.25">
      <c r="A18" s="13">
        <v>43241</v>
      </c>
      <c r="B18">
        <f t="array" ref="B18">_xll.HistoricalData(B$1,"Adj. Close",$A18,$A18,"Daily","RemoveHeaders = True","ReverseOrder =True","RemoveDates =""True")</f>
        <v>73.62</v>
      </c>
      <c r="C18">
        <f t="array" ref="C18">_xll.HistoricalData(C$1,"Adj. Close",$A18,$A18,"Daily","RemoveHeaders = True","ReverseOrder =True","RemoveDates =""True")</f>
        <v>105.31</v>
      </c>
      <c r="D18">
        <f t="array" ref="D18">_xll.HistoricalData(D$1,"Adj. Close",$A18,$A18,"Daily","RemoveHeaders = True","ReverseOrder =True","RemoveDates =""True")</f>
        <v>275.20999999999998</v>
      </c>
      <c r="E18">
        <f t="array" ref="E18">_xll.HistoricalData(E$1,"Adj. Close",$A18,$A18,"Daily","RemoveHeaders = True","ReverseOrder =True","RemoveDates =""True")</f>
        <v>17.61</v>
      </c>
      <c r="G18" s="5">
        <f t="shared" ref="G18" si="49">B18/B17-1</f>
        <v>6.4251537935748892E-3</v>
      </c>
      <c r="H18" s="5">
        <f t="shared" ref="H18" si="50">C18/C17-1</f>
        <v>9.4966761633452634E-5</v>
      </c>
      <c r="I18" s="5">
        <f t="shared" ref="I18" si="51">D18/D17-1</f>
        <v>7.3203762673401673E-3</v>
      </c>
      <c r="J18" s="5">
        <f t="shared" ref="J18" si="52">E18/E17-1</f>
        <v>6.8610634648371693E-3</v>
      </c>
    </row>
    <row r="19" spans="1:10" x14ac:dyDescent="0.25">
      <c r="A19" s="13">
        <v>43242</v>
      </c>
      <c r="B19">
        <f t="array" ref="B19">_xll.HistoricalData(B$1,"Adj. Close",$A19,$A19,"Daily","RemoveHeaders = True","ReverseOrder =True","RemoveDates =""True")</f>
        <v>73.540000000000006</v>
      </c>
      <c r="C19">
        <f t="array" ref="C19">_xll.HistoricalData(C$1,"Adj. Close",$A19,$A19,"Daily","RemoveHeaders = True","ReverseOrder =True","RemoveDates =""True")</f>
        <v>105.31</v>
      </c>
      <c r="D19">
        <f t="array" ref="D19">_xll.HistoricalData(D$1,"Adj. Close",$A19,$A19,"Daily","RemoveHeaders = True","ReverseOrder =True","RemoveDates =""True")</f>
        <v>274.47000000000003</v>
      </c>
      <c r="E19">
        <f t="array" ref="E19">_xll.HistoricalData(E$1,"Adj. Close",$A19,$A19,"Daily","RemoveHeaders = True","ReverseOrder =True","RemoveDates =""True")</f>
        <v>17.399999999999999</v>
      </c>
      <c r="G19" s="5">
        <f t="shared" ref="G19" si="53">B19/B18-1</f>
        <v>-1.0866612333604309E-3</v>
      </c>
      <c r="H19" s="5">
        <f t="shared" ref="H19" si="54">C19/C18-1</f>
        <v>0</v>
      </c>
      <c r="I19" s="5">
        <f t="shared" ref="I19" si="55">D19/D18-1</f>
        <v>-2.6888557828566029E-3</v>
      </c>
      <c r="J19" s="5">
        <f t="shared" ref="J19" si="56">E19/E18-1</f>
        <v>-1.1925042589437829E-2</v>
      </c>
    </row>
    <row r="20" spans="1:10" x14ac:dyDescent="0.25">
      <c r="A20" s="13">
        <v>43243</v>
      </c>
      <c r="B20">
        <f t="array" ref="B20">_xll.HistoricalData(B$1,"Adj. Close",$A20,$A20,"Daily","RemoveHeaders = True","ReverseOrder =True","RemoveDates =""True")</f>
        <v>73.39</v>
      </c>
      <c r="C20">
        <f t="array" ref="C20">_xll.HistoricalData(C$1,"Adj. Close",$A20,$A20,"Daily","RemoveHeaders = True","ReverseOrder =True","RemoveDates =""True")</f>
        <v>105.6</v>
      </c>
      <c r="D20">
        <f t="array" ref="D20">_xll.HistoricalData(D$1,"Adj. Close",$A20,$A20,"Daily","RemoveHeaders = True","ReverseOrder =True","RemoveDates =""True")</f>
        <v>275.25</v>
      </c>
      <c r="E20">
        <f t="array" ref="E20">_xll.HistoricalData(E$1,"Adj. Close",$A20,$A20,"Daily","RemoveHeaders = True","ReverseOrder =True","RemoveDates =""True")</f>
        <v>17.584499999999998</v>
      </c>
      <c r="G20" s="5">
        <f t="shared" ref="G20" si="57">B20/B19-1</f>
        <v>-2.0397062822954393E-3</v>
      </c>
      <c r="H20" s="5">
        <f t="shared" ref="H20:J21" si="58">C20/C19-1</f>
        <v>2.7537745703161143E-3</v>
      </c>
      <c r="I20" s="5">
        <f t="shared" si="58"/>
        <v>2.8418406383210471E-3</v>
      </c>
      <c r="J20" s="5">
        <f t="shared" si="58"/>
        <v>1.0603448275862126E-2</v>
      </c>
    </row>
    <row r="21" spans="1:10" x14ac:dyDescent="0.25">
      <c r="A21" s="13">
        <v>43244</v>
      </c>
      <c r="B21">
        <f t="array" ref="B21">_xll.HistoricalData(B$1,"Adj. Close",$A21,$A21,"Daily","RemoveHeaders = True","ReverseOrder =True","RemoveDates =""True")</f>
        <v>73.12</v>
      </c>
      <c r="C21">
        <f t="array" ref="C21">_xll.HistoricalData(C$1,"Adj. Close",$A21,$A21,"Daily","RemoveHeaders = True","ReverseOrder =True","RemoveDates =""True")</f>
        <v>105.89</v>
      </c>
      <c r="D21">
        <f t="array" ref="D21">_xll.HistoricalData(D$1,"Adj. Close",$A21,$A21,"Daily","RemoveHeaders = True","ReverseOrder =True","RemoveDates =""True")</f>
        <v>274.75</v>
      </c>
      <c r="E21">
        <f t="array" ref="E21">_xll.HistoricalData(E$1,"Adj. Close",$A21,$A21,"Daily","RemoveHeaders = True","ReverseOrder =True","RemoveDates =""True")</f>
        <v>17.489999999999998</v>
      </c>
      <c r="G21" s="5">
        <f t="shared" ref="G21" si="59">B21/B20-1</f>
        <v>-3.6789753372393763E-3</v>
      </c>
      <c r="H21" s="5">
        <f t="shared" si="58"/>
        <v>2.7462121212122881E-3</v>
      </c>
      <c r="I21" s="5">
        <f t="shared" si="58"/>
        <v>-1.8165304268846771E-3</v>
      </c>
      <c r="J21" s="5">
        <f t="shared" si="58"/>
        <v>-5.3740510108334361E-3</v>
      </c>
    </row>
    <row r="22" spans="1:10" x14ac:dyDescent="0.25">
      <c r="A22" s="13">
        <v>43245</v>
      </c>
      <c r="B22">
        <f t="array" ref="B22">_xll.HistoricalData(B$1,"Adj. Close",$A22,$A22,"Daily","RemoveHeaders = True","ReverseOrder =True","RemoveDates =""True")</f>
        <v>72.91</v>
      </c>
      <c r="C22">
        <f t="array" ref="C22">_xll.HistoricalData(C$1,"Adj. Close",$A22,$A22,"Daily","RemoveHeaders = True","ReverseOrder =True","RemoveDates =""True")</f>
        <v>106.12</v>
      </c>
      <c r="D22">
        <f t="array" ref="D22">_xll.HistoricalData(D$1,"Adj. Close",$A22,$A22,"Daily","RemoveHeaders = True","ReverseOrder =True","RemoveDates =""True")</f>
        <v>273.98</v>
      </c>
      <c r="E22">
        <f t="array" ref="E22">_xll.HistoricalData(E$1,"Adj. Close",$A22,$A22,"Daily","RemoveHeaders = True","ReverseOrder =True","RemoveDates =""True")</f>
        <v>17.37</v>
      </c>
      <c r="G22" s="5">
        <f t="shared" ref="G22" si="60">B22/B21-1</f>
        <v>-2.8719912472648934E-3</v>
      </c>
      <c r="H22" s="5">
        <f t="shared" ref="H22" si="61">C22/C21-1</f>
        <v>2.1720653508359167E-3</v>
      </c>
      <c r="I22" s="5">
        <f t="shared" ref="I22" si="62">D22/D21-1</f>
        <v>-2.8025477707005475E-3</v>
      </c>
      <c r="J22" s="5">
        <f t="shared" ref="J22" si="63">E22/E21-1</f>
        <v>-6.8610634648369473E-3</v>
      </c>
    </row>
    <row r="23" spans="1:10" x14ac:dyDescent="0.25">
      <c r="A23" s="13">
        <v>43249</v>
      </c>
      <c r="B23">
        <f t="array" ref="B23">_xll.HistoricalData(B$1,"Adj. Close",$A23,$A23,"Daily","RemoveHeaders = True","ReverseOrder =True","RemoveDates =""True")</f>
        <v>71.8</v>
      </c>
      <c r="C23">
        <f t="array" ref="C23">_xll.HistoricalData(C$1,"Adj. Close",$A23,$A23,"Daily","RemoveHeaders = True","ReverseOrder =True","RemoveDates =""True")</f>
        <v>106.82</v>
      </c>
      <c r="D23">
        <f t="array" ref="D23">_xll.HistoricalData(D$1,"Adj. Close",$A23,$A23,"Daily","RemoveHeaders = True","ReverseOrder =True","RemoveDates =""True")</f>
        <v>270.93</v>
      </c>
      <c r="E23">
        <f t="array" ref="E23">_xll.HistoricalData(E$1,"Adj. Close",$A23,$A23,"Daily","RemoveHeaders = True","ReverseOrder =True","RemoveDates =""True")</f>
        <v>17.39</v>
      </c>
      <c r="G23" s="5">
        <f t="shared" ref="G23" si="64">B23/B22-1</f>
        <v>-1.5224249074201057E-2</v>
      </c>
      <c r="H23" s="5">
        <f t="shared" ref="H23" si="65">C23/C22-1</f>
        <v>6.5963060686013986E-3</v>
      </c>
      <c r="I23" s="5">
        <f t="shared" ref="I23" si="66">D23/D22-1</f>
        <v>-1.1132199430615386E-2</v>
      </c>
      <c r="J23" s="5">
        <f t="shared" ref="J23" si="67">E23/E22-1</f>
        <v>1.1514104778354017E-3</v>
      </c>
    </row>
    <row r="24" spans="1:10" x14ac:dyDescent="0.25">
      <c r="A24" s="13">
        <v>43250</v>
      </c>
      <c r="B24">
        <f t="array" ref="B24">_xll.HistoricalData(B$1,"Adj. Close",$A24,$A24,"Daily","RemoveHeaders = True","ReverseOrder =True","RemoveDates =""True")</f>
        <v>72.739999999999995</v>
      </c>
      <c r="C24">
        <f t="array" ref="C24">_xll.HistoricalData(C$1,"Adj. Close",$A24,$A24,"Daily","RemoveHeaders = True","ReverseOrder =True","RemoveDates =""True")</f>
        <v>106.55</v>
      </c>
      <c r="D24">
        <f t="array" ref="D24">_xll.HistoricalData(D$1,"Adj. Close",$A24,$A24,"Daily","RemoveHeaders = True","ReverseOrder =True","RemoveDates =""True")</f>
        <v>274.55</v>
      </c>
      <c r="E24">
        <f t="array" ref="E24">_xll.HistoricalData(E$1,"Adj. Close",$A24,$A24,"Daily","RemoveHeaders = True","ReverseOrder =True","RemoveDates =""True")</f>
        <v>17.72</v>
      </c>
      <c r="G24" s="5">
        <f t="shared" ref="G24" si="68">B24/B23-1</f>
        <v>1.3091922005570966E-2</v>
      </c>
      <c r="H24" s="5">
        <f t="shared" ref="H24" si="69">C24/C23-1</f>
        <v>-2.5276165512075899E-3</v>
      </c>
      <c r="I24" s="5">
        <f t="shared" ref="I24" si="70">D24/D23-1</f>
        <v>1.3361384859557734E-2</v>
      </c>
      <c r="J24" s="5">
        <f t="shared" ref="J24" si="71">E24/E23-1</f>
        <v>1.8976423231742201E-2</v>
      </c>
    </row>
    <row r="25" spans="1:10" x14ac:dyDescent="0.25">
      <c r="A25" s="13">
        <v>43251</v>
      </c>
      <c r="B25">
        <f t="array" ref="B25">_xll.HistoricalData(B$1,"Adj. Close",$A25,$A25,"Daily","RemoveHeaders = True","ReverseOrder =True","RemoveDates =""True")</f>
        <v>72.33</v>
      </c>
      <c r="C25">
        <f t="array" ref="C25">_xll.HistoricalData(C$1,"Adj. Close",$A25,$A25,"Daily","RemoveHeaders = True","ReverseOrder =True","RemoveDates =""True")</f>
        <v>106.2107</v>
      </c>
      <c r="D25">
        <f t="array" ref="D25">_xll.HistoricalData(D$1,"Adj. Close",$A25,$A25,"Daily","RemoveHeaders = True","ReverseOrder =True","RemoveDates =""True")</f>
        <v>272.73</v>
      </c>
      <c r="E25">
        <f t="array" ref="E25">_xll.HistoricalData(E$1,"Adj. Close",$A25,$A25,"Daily","RemoveHeaders = True","ReverseOrder =True","RemoveDates =""True")</f>
        <v>17.489999999999998</v>
      </c>
      <c r="G25" s="5">
        <f t="shared" ref="G25" si="72">B25/B24-1</f>
        <v>-5.6365136101181879E-3</v>
      </c>
      <c r="H25" s="5">
        <f t="shared" ref="H25" si="73">C25/C24-1</f>
        <v>-3.1844204598779902E-3</v>
      </c>
      <c r="I25" s="5">
        <f t="shared" ref="I25" si="74">D25/D24-1</f>
        <v>-6.6290293207066364E-3</v>
      </c>
      <c r="J25" s="5">
        <f t="shared" ref="J25" si="75">E25/E24-1</f>
        <v>-1.2979683972911937E-2</v>
      </c>
    </row>
    <row r="26" spans="1:10" x14ac:dyDescent="0.25">
      <c r="A26" s="13">
        <v>43252</v>
      </c>
      <c r="B26">
        <f t="array" ref="B26">_xll.HistoricalData(B$1,"Adj. Close",$A26,$A26,"Daily","RemoveHeaders = True","ReverseOrder =True","RemoveDates =""True")</f>
        <v>73.08</v>
      </c>
      <c r="C26">
        <f t="array" ref="C26">_xll.HistoricalData(C$1,"Adj. Close",$A26,$A26,"Daily","RemoveHeaders = True","ReverseOrder =True","RemoveDates =""True")</f>
        <v>106.08</v>
      </c>
      <c r="D26">
        <f t="array" ref="D26">_xll.HistoricalData(D$1,"Adj. Close",$A26,$A26,"Daily","RemoveHeaders = True","ReverseOrder =True","RemoveDates =""True")</f>
        <v>275.52999999999997</v>
      </c>
      <c r="E26">
        <f t="array" ref="E26">_xll.HistoricalData(E$1,"Adj. Close",$A26,$A26,"Daily","RemoveHeaders = True","ReverseOrder =True","RemoveDates =""True")</f>
        <v>17.8</v>
      </c>
      <c r="G26" s="5">
        <f t="shared" ref="G26" si="76">B26/B25-1</f>
        <v>1.0369141435089269E-2</v>
      </c>
      <c r="H26" s="5">
        <f t="shared" ref="H26" si="77">C26/C25-1</f>
        <v>-1.2305728142268935E-3</v>
      </c>
      <c r="I26" s="5">
        <f t="shared" ref="I26" si="78">D26/D25-1</f>
        <v>1.0266564001026435E-2</v>
      </c>
      <c r="J26" s="5">
        <f t="shared" ref="J26" si="79">E26/E25-1</f>
        <v>1.7724413950829243E-2</v>
      </c>
    </row>
    <row r="27" spans="1:10" x14ac:dyDescent="0.25">
      <c r="A27" s="13">
        <v>43255</v>
      </c>
      <c r="B27">
        <f t="array" ref="B27">_xll.HistoricalData(B$1,"Adj. Close",$A27,$A27,"Daily","RemoveHeaders = True","ReverseOrder =True","RemoveDates =""True")</f>
        <v>73.510000000000005</v>
      </c>
      <c r="C27">
        <f t="array" ref="C27">_xll.HistoricalData(C$1,"Adj. Close",$A27,$A27,"Daily","RemoveHeaders = True","ReverseOrder =True","RemoveDates =""True")</f>
        <v>105.83</v>
      </c>
      <c r="D27">
        <f t="array" ref="D27">_xll.HistoricalData(D$1,"Adj. Close",$A27,$A27,"Daily","RemoveHeaders = True","ReverseOrder =True","RemoveDates =""True")</f>
        <v>276.81</v>
      </c>
      <c r="E27">
        <f t="array" ref="E27">_xll.HistoricalData(E$1,"Adj. Close",$A27,$A27,"Daily","RemoveHeaders = True","ReverseOrder =True","RemoveDates =""True")</f>
        <v>17.670000000000002</v>
      </c>
      <c r="G27" s="5">
        <f t="shared" ref="G27" si="80">B27/B26-1</f>
        <v>5.8839627805145067E-3</v>
      </c>
      <c r="H27" s="5">
        <f t="shared" ref="H27" si="81">C27/C26-1</f>
        <v>-2.3567119155354366E-3</v>
      </c>
      <c r="I27" s="5">
        <f t="shared" ref="I27" si="82">D27/D26-1</f>
        <v>4.6455921315284865E-3</v>
      </c>
      <c r="J27" s="5">
        <f t="shared" ref="J27" si="83">E27/E26-1</f>
        <v>-7.3033707865167719E-3</v>
      </c>
    </row>
    <row r="28" spans="1:10" x14ac:dyDescent="0.25">
      <c r="A28" s="13">
        <v>43256</v>
      </c>
      <c r="B28">
        <f t="array" ref="B28">_xll.HistoricalData(B$1,"Adj. Close",$A28,$A28,"Daily","RemoveHeaders = True","ReverseOrder =True","RemoveDates =""True")</f>
        <v>73.430000000000007</v>
      </c>
      <c r="C28">
        <f t="array" ref="C28">_xll.HistoricalData(C$1,"Adj. Close",$A28,$A28,"Daily","RemoveHeaders = True","ReverseOrder =True","RemoveDates =""True")</f>
        <v>105.91</v>
      </c>
      <c r="D28">
        <f t="array" ref="D28">_xll.HistoricalData(D$1,"Adj. Close",$A28,$A28,"Daily","RemoveHeaders = True","ReverseOrder =True","RemoveDates =""True")</f>
        <v>277.06</v>
      </c>
      <c r="E28">
        <f t="array" ref="E28">_xll.HistoricalData(E$1,"Adj. Close",$A28,$A28,"Daily","RemoveHeaders = True","ReverseOrder =True","RemoveDates =""True")</f>
        <v>17.71</v>
      </c>
      <c r="G28" s="5">
        <f t="shared" ref="G28" si="84">B28/B27-1</f>
        <v>-1.0882873078492672E-3</v>
      </c>
      <c r="H28" s="5">
        <f t="shared" ref="H28" si="85">C28/C27-1</f>
        <v>7.5592932060852824E-4</v>
      </c>
      <c r="I28" s="5">
        <f t="shared" ref="I28" si="86">D28/D27-1</f>
        <v>9.0314656262413529E-4</v>
      </c>
      <c r="J28" s="5">
        <f t="shared" ref="J28" si="87">E28/E27-1</f>
        <v>2.2637238256932868E-3</v>
      </c>
    </row>
    <row r="29" spans="1:10" x14ac:dyDescent="0.25">
      <c r="A29" s="13">
        <v>43257</v>
      </c>
      <c r="B29">
        <f t="array" ref="B29">_xll.HistoricalData(B$1,"Adj. Close",$A29,$A29,"Daily","RemoveHeaders = True","ReverseOrder =True","RemoveDates =""True")</f>
        <v>74.13</v>
      </c>
      <c r="C29">
        <f t="array" ref="C29">_xll.HistoricalData(C$1,"Adj. Close",$A29,$A29,"Daily","RemoveHeaders = True","ReverseOrder =True","RemoveDates =""True")</f>
        <v>105.67</v>
      </c>
      <c r="D29">
        <f t="array" ref="D29">_xll.HistoricalData(D$1,"Adj. Close",$A29,$A29,"Daily","RemoveHeaders = True","ReverseOrder =True","RemoveDates =""True")</f>
        <v>279.44</v>
      </c>
      <c r="E29">
        <f t="array" ref="E29">_xll.HistoricalData(E$1,"Adj. Close",$A29,$A29,"Daily","RemoveHeaders = True","ReverseOrder =True","RemoveDates =""True")</f>
        <v>17.75</v>
      </c>
      <c r="G29" s="5">
        <f t="shared" ref="G29" si="88">B29/B28-1</f>
        <v>9.5328884652048362E-3</v>
      </c>
      <c r="H29" s="5">
        <f t="shared" ref="H29" si="89">C29/C28-1</f>
        <v>-2.2660749693135251E-3</v>
      </c>
      <c r="I29" s="5">
        <f t="shared" ref="I29" si="90">D29/D28-1</f>
        <v>8.5901970692268126E-3</v>
      </c>
      <c r="J29" s="5">
        <f t="shared" ref="J29" si="91">E29/E28-1</f>
        <v>2.2586109542630517E-3</v>
      </c>
    </row>
    <row r="30" spans="1:10" x14ac:dyDescent="0.25">
      <c r="A30" s="13">
        <v>43258</v>
      </c>
      <c r="B30">
        <f t="array" ref="B30">_xll.HistoricalData(B$1,"Adj. Close",$A30,$A30,"Daily","RemoveHeaders = True","ReverseOrder =True","RemoveDates =""True")</f>
        <v>73.8</v>
      </c>
      <c r="C30">
        <f t="array" ref="C30">_xll.HistoricalData(C$1,"Adj. Close",$A30,$A30,"Daily","RemoveHeaders = True","ReverseOrder =True","RemoveDates =""True")</f>
        <v>105.9</v>
      </c>
      <c r="D30">
        <f t="array" ref="D30">_xll.HistoricalData(D$1,"Adj. Close",$A30,$A30,"Daily","RemoveHeaders = True","ReverseOrder =True","RemoveDates =""True")</f>
        <v>279.26</v>
      </c>
      <c r="E30">
        <f t="array" ref="E30">_xll.HistoricalData(E$1,"Adj. Close",$A30,$A30,"Daily","RemoveHeaders = True","ReverseOrder =True","RemoveDates =""True")</f>
        <v>17.71</v>
      </c>
      <c r="G30" s="5">
        <f t="shared" ref="G30" si="92">B30/B29-1</f>
        <v>-4.4516390125455274E-3</v>
      </c>
      <c r="H30" s="5">
        <f t="shared" ref="H30" si="93">C30/C29-1</f>
        <v>2.1765874893537873E-3</v>
      </c>
      <c r="I30" s="5">
        <f t="shared" ref="I30" si="94">D30/D29-1</f>
        <v>-6.4414543372459665E-4</v>
      </c>
      <c r="J30" s="5">
        <f t="shared" ref="J30" si="95">E30/E29-1</f>
        <v>-2.2535211267604716E-3</v>
      </c>
    </row>
    <row r="31" spans="1:10" x14ac:dyDescent="0.25">
      <c r="A31" s="13">
        <v>43259</v>
      </c>
      <c r="B31">
        <f t="array" ref="B31">_xll.HistoricalData(B$1,"Adj. Close",$A31,$A31,"Daily","RemoveHeaders = True","ReverseOrder =True","RemoveDates =""True")</f>
        <v>73.95</v>
      </c>
      <c r="C31">
        <f t="array" ref="C31">_xll.HistoricalData(C$1,"Adj. Close",$A31,$A31,"Daily","RemoveHeaders = True","ReverseOrder =True","RemoveDates =""True")</f>
        <v>105.75</v>
      </c>
      <c r="D31">
        <f t="array" ref="D31">_xll.HistoricalData(D$1,"Adj. Close",$A31,$A31,"Daily","RemoveHeaders = True","ReverseOrder =True","RemoveDates =""True")</f>
        <v>280.04000000000002</v>
      </c>
      <c r="E31">
        <f t="array" ref="E31">_xll.HistoricalData(E$1,"Adj. Close",$A31,$A31,"Daily","RemoveHeaders = True","ReverseOrder =True","RemoveDates =""True")</f>
        <v>17.754999999999999</v>
      </c>
      <c r="G31" s="5">
        <f t="shared" ref="G31" si="96">B31/B30-1</f>
        <v>2.0325203252034019E-3</v>
      </c>
      <c r="H31" s="5">
        <f t="shared" ref="H31" si="97">C31/C30-1</f>
        <v>-1.4164305949009304E-3</v>
      </c>
      <c r="I31" s="5">
        <f t="shared" ref="I31" si="98">D31/D30-1</f>
        <v>2.7930960395332605E-3</v>
      </c>
      <c r="J31" s="5">
        <f t="shared" ref="J31" si="99">E31/E30-1</f>
        <v>2.5409373235458776E-3</v>
      </c>
    </row>
    <row r="32" spans="1:10" x14ac:dyDescent="0.25">
      <c r="A32" s="13">
        <v>43262</v>
      </c>
      <c r="B32">
        <f t="array" ref="B32">_xll.HistoricalData(B$1,"Adj. Close",$A32,$A32,"Daily","RemoveHeaders = True","ReverseOrder =True","RemoveDates =""True")</f>
        <v>74.19</v>
      </c>
      <c r="C32">
        <f t="array" ref="C32">_xll.HistoricalData(C$1,"Adj. Close",$A32,$A32,"Daily","RemoveHeaders = True","ReverseOrder =True","RemoveDates =""True")</f>
        <v>105.64</v>
      </c>
      <c r="D32">
        <f t="array" ref="D32">_xll.HistoricalData(D$1,"Adj. Close",$A32,$A32,"Daily","RemoveHeaders = True","ReverseOrder =True","RemoveDates =""True")</f>
        <v>280.51</v>
      </c>
      <c r="E32">
        <f t="array" ref="E32">_xll.HistoricalData(E$1,"Adj. Close",$A32,$A32,"Daily","RemoveHeaders = True","ReverseOrder =True","RemoveDates =""True")</f>
        <v>17.7</v>
      </c>
      <c r="G32" s="5">
        <f t="shared" ref="G32" si="100">B32/B31-1</f>
        <v>3.2454361054765624E-3</v>
      </c>
      <c r="H32" s="5">
        <f t="shared" ref="H32" si="101">C32/C31-1</f>
        <v>-1.0401891252954654E-3</v>
      </c>
      <c r="I32" s="5">
        <f t="shared" ref="I32" si="102">D32/D31-1</f>
        <v>1.6783316669046755E-3</v>
      </c>
      <c r="J32" s="5">
        <f t="shared" ref="J32" si="103">E32/E31-1</f>
        <v>-3.0977189524077353E-3</v>
      </c>
    </row>
    <row r="33" spans="1:10" x14ac:dyDescent="0.25">
      <c r="A33" s="13">
        <v>43263</v>
      </c>
      <c r="B33">
        <f t="array" ref="B33">_xll.HistoricalData(B$1,"Adj. Close",$A33,$A33,"Daily","RemoveHeaders = True","ReverseOrder =True","RemoveDates =""True")</f>
        <v>74.09</v>
      </c>
      <c r="C33">
        <f t="array" ref="C33">_xll.HistoricalData(C$1,"Adj. Close",$A33,$A33,"Daily","RemoveHeaders = True","ReverseOrder =True","RemoveDates =""True")</f>
        <v>105.67</v>
      </c>
      <c r="D33">
        <f t="array" ref="D33">_xll.HistoricalData(D$1,"Adj. Close",$A33,$A33,"Daily","RemoveHeaders = True","ReverseOrder =True","RemoveDates =""True")</f>
        <v>280.89</v>
      </c>
      <c r="E33">
        <f t="array" ref="E33">_xll.HistoricalData(E$1,"Adj. Close",$A33,$A33,"Daily","RemoveHeaders = True","ReverseOrder =True","RemoveDates =""True")</f>
        <v>17.66</v>
      </c>
      <c r="G33" s="5">
        <f t="shared" ref="G33" si="104">B33/B32-1</f>
        <v>-1.3478905512871453E-3</v>
      </c>
      <c r="H33" s="5">
        <f t="shared" ref="H33" si="105">C33/C32-1</f>
        <v>2.8398333964418931E-4</v>
      </c>
      <c r="I33" s="5">
        <f t="shared" ref="I33" si="106">D33/D32-1</f>
        <v>1.3546754126412264E-3</v>
      </c>
      <c r="J33" s="5">
        <f t="shared" ref="J33" si="107">E33/E32-1</f>
        <v>-2.2598870056497189E-3</v>
      </c>
    </row>
    <row r="34" spans="1:10" x14ac:dyDescent="0.25">
      <c r="A34" s="13">
        <v>43264</v>
      </c>
      <c r="B34">
        <f t="array" ref="B34">_xll.HistoricalData(B$1,"Adj. Close",$A34,$A34,"Daily","RemoveHeaders = True","ReverseOrder =True","RemoveDates =""True")</f>
        <v>73.94</v>
      </c>
      <c r="C34">
        <f t="array" ref="C34">_xll.HistoricalData(C$1,"Adj. Close",$A34,$A34,"Daily","RemoveHeaders = True","ReverseOrder =True","RemoveDates =""True")</f>
        <v>105.57</v>
      </c>
      <c r="D34">
        <f t="array" ref="D34">_xll.HistoricalData(D$1,"Adj. Close",$A34,$A34,"Daily","RemoveHeaders = True","ReverseOrder =True","RemoveDates =""True")</f>
        <v>279.92</v>
      </c>
      <c r="E34">
        <f t="array" ref="E34">_xll.HistoricalData(E$1,"Adj. Close",$A34,$A34,"Daily","RemoveHeaders = True","ReverseOrder =True","RemoveDates =""True")</f>
        <v>17.679099999999998</v>
      </c>
      <c r="G34" s="5">
        <f t="shared" ref="G34" si="108">B34/B33-1</f>
        <v>-2.0245647185855864E-3</v>
      </c>
      <c r="H34" s="5">
        <f t="shared" ref="H34" si="109">C34/C33-1</f>
        <v>-9.4634238667556936E-4</v>
      </c>
      <c r="I34" s="5">
        <f t="shared" ref="I34" si="110">D34/D33-1</f>
        <v>-3.4533091245682046E-3</v>
      </c>
      <c r="J34" s="5">
        <f t="shared" ref="J34" si="111">E34/E33-1</f>
        <v>1.0815402038504285E-3</v>
      </c>
    </row>
    <row r="35" spans="1:10" x14ac:dyDescent="0.25">
      <c r="A35" s="13">
        <v>43265</v>
      </c>
      <c r="B35">
        <f t="array" ref="B35">_xll.HistoricalData(B$1,"Adj. Close",$A35,$A35,"Daily","RemoveHeaders = True","ReverseOrder =True","RemoveDates =""True")</f>
        <v>73.92</v>
      </c>
      <c r="C35">
        <f t="array" ref="C35">_xll.HistoricalData(C$1,"Adj. Close",$A35,$A35,"Daily","RemoveHeaders = True","ReverseOrder =True","RemoveDates =""True")</f>
        <v>105.84</v>
      </c>
      <c r="D35">
        <f t="array" ref="D35">_xll.HistoricalData(D$1,"Adj. Close",$A35,$A35,"Daily","RemoveHeaders = True","ReverseOrder =True","RemoveDates =""True")</f>
        <v>280.70999999999998</v>
      </c>
      <c r="E35">
        <f t="array" ref="E35">_xll.HistoricalData(E$1,"Adj. Close",$A35,$A35,"Daily","RemoveHeaders = True","ReverseOrder =True","RemoveDates =""True")</f>
        <v>17.53</v>
      </c>
      <c r="G35" s="5">
        <f t="shared" ref="G35" si="112">B35/B34-1</f>
        <v>-2.7048958615083496E-4</v>
      </c>
      <c r="H35" s="5">
        <f t="shared" ref="H35" si="113">C35/C34-1</f>
        <v>2.5575447570334031E-3</v>
      </c>
      <c r="I35" s="5">
        <f t="shared" ref="I35" si="114">D35/D34-1</f>
        <v>2.8222349242639222E-3</v>
      </c>
      <c r="J35" s="5">
        <f t="shared" ref="J35" si="115">E35/E34-1</f>
        <v>-8.4336872352097636E-3</v>
      </c>
    </row>
    <row r="36" spans="1:10" x14ac:dyDescent="0.25">
      <c r="A36" s="13">
        <v>43266</v>
      </c>
      <c r="B36">
        <f t="array" ref="B36">_xll.HistoricalData(B$1,"Adj. Close",$A36,$A36,"Daily","RemoveHeaders = True","ReverseOrder =True","RemoveDates =""True")</f>
        <v>73.63</v>
      </c>
      <c r="C36">
        <f t="array" ref="C36">_xll.HistoricalData(C$1,"Adj. Close",$A36,$A36,"Daily","RemoveHeaders = True","ReverseOrder =True","RemoveDates =""True")</f>
        <v>105.88</v>
      </c>
      <c r="D36">
        <f t="array" ref="D36">_xll.HistoricalData(D$1,"Adj. Close",$A36,$A36,"Daily","RemoveHeaders = True","ReverseOrder =True","RemoveDates =""True")</f>
        <v>280.31</v>
      </c>
      <c r="E36">
        <f t="array" ref="E36">_xll.HistoricalData(E$1,"Adj. Close",$A36,$A36,"Daily","RemoveHeaders = True","ReverseOrder =True","RemoveDates =""True")</f>
        <v>17.451799999999999</v>
      </c>
      <c r="G36" s="5">
        <f t="shared" ref="G36" si="116">B36/B35-1</f>
        <v>-3.9231601731603005E-3</v>
      </c>
      <c r="H36" s="5">
        <f t="shared" ref="H36" si="117">C36/C35-1</f>
        <v>3.7792894935750887E-4</v>
      </c>
      <c r="I36" s="5">
        <f t="shared" ref="I36" si="118">D36/D35-1</f>
        <v>-1.4249581418545043E-3</v>
      </c>
      <c r="J36" s="5">
        <f t="shared" ref="J36" si="119">E36/E35-1</f>
        <v>-4.4609241300629376E-3</v>
      </c>
    </row>
    <row r="37" spans="1:10" x14ac:dyDescent="0.25">
      <c r="A37" s="13">
        <v>43269</v>
      </c>
      <c r="B37">
        <f t="array" ref="B37">_xll.HistoricalData(B$1,"Adj. Close",$A37,$A37,"Daily","RemoveHeaders = True","ReverseOrder =True","RemoveDates =""True")</f>
        <v>72.508499999999998</v>
      </c>
      <c r="C37">
        <f t="array" ref="C37">_xll.HistoricalData(C$1,"Adj. Close",$A37,$A37,"Daily","RemoveHeaders = True","ReverseOrder =True","RemoveDates =""True")</f>
        <v>105.9</v>
      </c>
      <c r="D37">
        <f t="array" ref="D37">_xll.HistoricalData(D$1,"Adj. Close",$A37,$A37,"Daily","RemoveHeaders = True","ReverseOrder =True","RemoveDates =""True")</f>
        <v>279.7</v>
      </c>
      <c r="E37">
        <f t="array" ref="E37">_xll.HistoricalData(E$1,"Adj. Close",$A37,$A37,"Daily","RemoveHeaders = True","ReverseOrder =True","RemoveDates =""True")</f>
        <v>17.350000000000001</v>
      </c>
      <c r="G37" s="5">
        <f t="shared" ref="G37" si="120">B37/B36-1</f>
        <v>-1.5231563221512978E-2</v>
      </c>
      <c r="H37" s="5">
        <f t="shared" ref="H37" si="121">C37/C36-1</f>
        <v>1.8889308651304226E-4</v>
      </c>
      <c r="I37" s="5">
        <f t="shared" ref="I37" si="122">D37/D36-1</f>
        <v>-2.1761621062396097E-3</v>
      </c>
      <c r="J37" s="5">
        <f t="shared" ref="J37" si="123">E37/E36-1</f>
        <v>-5.833209181860699E-3</v>
      </c>
    </row>
    <row r="38" spans="1:10" x14ac:dyDescent="0.25">
      <c r="A38" s="13">
        <v>43270</v>
      </c>
      <c r="B38">
        <f t="array" ref="B38">_xll.HistoricalData(B$1,"Adj. Close",$A38,$A38,"Daily","RemoveHeaders = True","ReverseOrder =True","RemoveDates =""True")</f>
        <v>72.010000000000005</v>
      </c>
      <c r="C38">
        <f t="array" ref="C38">_xll.HistoricalData(C$1,"Adj. Close",$A38,$A38,"Daily","RemoveHeaders = True","ReverseOrder =True","RemoveDates =""True")</f>
        <v>106.01</v>
      </c>
      <c r="D38">
        <f t="array" ref="D38">_xll.HistoricalData(D$1,"Adj. Close",$A38,$A38,"Daily","RemoveHeaders = True","ReverseOrder =True","RemoveDates =""True")</f>
        <v>278.67</v>
      </c>
      <c r="E38">
        <f t="array" ref="E38">_xll.HistoricalData(E$1,"Adj. Close",$A38,$A38,"Daily","RemoveHeaders = True","ReverseOrder =True","RemoveDates =""True")</f>
        <v>17.3</v>
      </c>
      <c r="G38" s="5">
        <f t="shared" ref="G38" si="124">B38/B37-1</f>
        <v>-6.8750560279138284E-3</v>
      </c>
      <c r="H38" s="5">
        <f t="shared" ref="H38" si="125">C38/C37-1</f>
        <v>1.038715769593912E-3</v>
      </c>
      <c r="I38" s="5">
        <f t="shared" ref="I38" si="126">D38/D37-1</f>
        <v>-3.682516982481121E-3</v>
      </c>
      <c r="J38" s="5">
        <f t="shared" ref="J38" si="127">E38/E37-1</f>
        <v>-2.8818443804035088E-3</v>
      </c>
    </row>
    <row r="39" spans="1:10" x14ac:dyDescent="0.25">
      <c r="A39" s="13">
        <v>43271</v>
      </c>
      <c r="B39">
        <f t="array" ref="B39">_xll.HistoricalData(B$1,"Adj. Close",$A39,$A39,"Daily","RemoveHeaders = True","ReverseOrder =True","RemoveDates =""True")</f>
        <v>72.180000000000007</v>
      </c>
      <c r="C39">
        <f t="array" ref="C39">_xll.HistoricalData(C$1,"Adj. Close",$A39,$A39,"Daily","RemoveHeaders = True","ReverseOrder =True","RemoveDates =""True")</f>
        <v>105.81</v>
      </c>
      <c r="D39">
        <f t="array" ref="D39">_xll.HistoricalData(D$1,"Adj. Close",$A39,$A39,"Daily","RemoveHeaders = True","ReverseOrder =True","RemoveDates =""True")</f>
        <v>279.25</v>
      </c>
      <c r="E39">
        <f t="array" ref="E39">_xll.HistoricalData(E$1,"Adj. Close",$A39,$A39,"Daily","RemoveHeaders = True","ReverseOrder =True","RemoveDates =""True")</f>
        <v>17.399999999999999</v>
      </c>
      <c r="G39" s="5">
        <f t="shared" ref="G39" si="128">B39/B38-1</f>
        <v>2.3607832245522431E-3</v>
      </c>
      <c r="H39" s="5">
        <f t="shared" ref="H39" si="129">C39/C38-1</f>
        <v>-1.8866144703330034E-3</v>
      </c>
      <c r="I39" s="5">
        <f t="shared" ref="I39" si="130">D39/D38-1</f>
        <v>2.0813148168083995E-3</v>
      </c>
      <c r="J39" s="5">
        <f t="shared" ref="J39" si="131">E39/E38-1</f>
        <v>5.7803468208090791E-3</v>
      </c>
    </row>
    <row r="40" spans="1:10" x14ac:dyDescent="0.25">
      <c r="A40" s="13">
        <v>43272</v>
      </c>
      <c r="B40">
        <f t="array" ref="B40">_xll.HistoricalData(B$1,"Adj. Close",$A40,$A40,"Daily","RemoveHeaders = True","ReverseOrder =True","RemoveDates =""True")</f>
        <v>71.64</v>
      </c>
      <c r="C40">
        <f t="array" ref="C40">_xll.HistoricalData(C$1,"Adj. Close",$A40,$A40,"Daily","RemoveHeaders = True","ReverseOrder =True","RemoveDates =""True")</f>
        <v>105.84</v>
      </c>
      <c r="D40">
        <f t="array" ref="D40">_xll.HistoricalData(D$1,"Adj. Close",$A40,$A40,"Daily","RemoveHeaders = True","ReverseOrder =True","RemoveDates =""True")</f>
        <v>277.32</v>
      </c>
      <c r="E40">
        <f t="array" ref="E40">_xll.HistoricalData(E$1,"Adj. Close",$A40,$A40,"Daily","RemoveHeaders = True","ReverseOrder =True","RemoveDates =""True")</f>
        <v>17.489999999999998</v>
      </c>
      <c r="G40" s="5">
        <f t="shared" ref="G40" si="132">B40/B39-1</f>
        <v>-7.4812967581048273E-3</v>
      </c>
      <c r="H40" s="5">
        <f t="shared" ref="H40" si="133">C40/C39-1</f>
        <v>2.8352707683576561E-4</v>
      </c>
      <c r="I40" s="5">
        <f t="shared" ref="I40" si="134">D40/D39-1</f>
        <v>-6.9113697403759833E-3</v>
      </c>
      <c r="J40" s="5">
        <f t="shared" ref="J40" si="135">E40/E39-1</f>
        <v>5.1724137931035141E-3</v>
      </c>
    </row>
    <row r="41" spans="1:10" x14ac:dyDescent="0.25">
      <c r="A41" s="13">
        <v>43273</v>
      </c>
      <c r="B41">
        <f t="array" ref="B41">_xll.HistoricalData(B$1,"Adj. Close",$A41,$A41,"Daily","RemoveHeaders = True","ReverseOrder =True","RemoveDates =""True")</f>
        <v>72.02</v>
      </c>
      <c r="C41">
        <f t="array" ref="C41">_xll.HistoricalData(C$1,"Adj. Close",$A41,$A41,"Daily","RemoveHeaders = True","ReverseOrder =True","RemoveDates =""True")</f>
        <v>105.94</v>
      </c>
      <c r="D41">
        <f t="array" ref="D41">_xll.HistoricalData(D$1,"Adj. Close",$A41,$A41,"Daily","RemoveHeaders = True","ReverseOrder =True","RemoveDates =""True")</f>
        <v>277.89</v>
      </c>
      <c r="E41">
        <f t="array" ref="E41">_xll.HistoricalData(E$1,"Adj. Close",$A41,$A41,"Daily","RemoveHeaders = True","ReverseOrder =True","RemoveDates =""True")</f>
        <v>17.38</v>
      </c>
      <c r="G41" s="5">
        <f t="shared" ref="G41" si="136">B41/B40-1</f>
        <v>5.3042992741485495E-3</v>
      </c>
      <c r="H41" s="5">
        <f t="shared" ref="H41" si="137">C41/C40-1</f>
        <v>9.4482237339366115E-4</v>
      </c>
      <c r="I41" s="5">
        <f t="shared" ref="I41" si="138">D41/D40-1</f>
        <v>2.0553872782345106E-3</v>
      </c>
      <c r="J41" s="5">
        <f t="shared" ref="J41" si="139">E41/E40-1</f>
        <v>-6.2893081761006275E-3</v>
      </c>
    </row>
    <row r="42" spans="1:10" x14ac:dyDescent="0.25">
      <c r="A42" s="13">
        <v>43276</v>
      </c>
      <c r="B42">
        <f t="array" ref="B42">_xll.HistoricalData(B$1,"Adj. Close",$A42,$A42,"Daily","RemoveHeaders = True","ReverseOrder =True","RemoveDates =""True")</f>
        <v>71</v>
      </c>
      <c r="C42">
        <f t="array" ref="C42">_xll.HistoricalData(C$1,"Adj. Close",$A42,$A42,"Daily","RemoveHeaders = True","ReverseOrder =True","RemoveDates =""True")</f>
        <v>105.88</v>
      </c>
      <c r="D42">
        <f t="array" ref="D42">_xll.HistoricalData(D$1,"Adj. Close",$A42,$A42,"Daily","RemoveHeaders = True","ReverseOrder =True","RemoveDates =""True")</f>
        <v>272.81880000000001</v>
      </c>
      <c r="E42">
        <f t="array" ref="E42">_xll.HistoricalData(E$1,"Adj. Close",$A42,$A42,"Daily","RemoveHeaders = True","ReverseOrder =True","RemoveDates =""True")</f>
        <v>17.5</v>
      </c>
      <c r="G42" s="5">
        <f t="shared" ref="G42" si="140">B42/B41-1</f>
        <v>-1.4162732574284909E-2</v>
      </c>
      <c r="H42" s="5">
        <f t="shared" ref="H42" si="141">C42/C41-1</f>
        <v>-5.6635831602791509E-4</v>
      </c>
      <c r="I42" s="5">
        <f t="shared" ref="I42" si="142">D42/D41-1</f>
        <v>-1.8248947425240081E-2</v>
      </c>
      <c r="J42" s="5">
        <f t="shared" ref="J42" si="143">E42/E41-1</f>
        <v>6.9044879171462625E-3</v>
      </c>
    </row>
    <row r="43" spans="1:10" x14ac:dyDescent="0.25">
      <c r="A43" s="13">
        <v>43277</v>
      </c>
      <c r="B43">
        <f t="array" ref="B43">_xll.HistoricalData(B$1,"Adj. Close",$A43,$A43,"Daily","RemoveHeaders = True","ReverseOrder =True","RemoveDates =""True")</f>
        <v>71.099999999999994</v>
      </c>
      <c r="C43">
        <f t="array" ref="C43">_xll.HistoricalData(C$1,"Adj. Close",$A43,$A43,"Daily","RemoveHeaders = True","ReverseOrder =True","RemoveDates =""True")</f>
        <v>106.05</v>
      </c>
      <c r="D43">
        <f t="array" ref="D43">_xll.HistoricalData(D$1,"Adj. Close",$A43,$A43,"Daily","RemoveHeaders = True","ReverseOrder =True","RemoveDates =""True")</f>
        <v>273.47000000000003</v>
      </c>
      <c r="E43">
        <f t="array" ref="E43">_xll.HistoricalData(E$1,"Adj. Close",$A43,$A43,"Daily","RemoveHeaders = True","ReverseOrder =True","RemoveDates =""True")</f>
        <v>17.36</v>
      </c>
      <c r="G43" s="5">
        <f t="shared" ref="G43" si="144">B43/B42-1</f>
        <v>1.4084507042253502E-3</v>
      </c>
      <c r="H43" s="5">
        <f t="shared" ref="H43" si="145">C43/C42-1</f>
        <v>1.6055912353607482E-3</v>
      </c>
      <c r="I43" s="5">
        <f t="shared" ref="I43" si="146">D43/D42-1</f>
        <v>2.386932278860554E-3</v>
      </c>
      <c r="J43" s="5">
        <f t="shared" ref="J43" si="147">E43/E42-1</f>
        <v>-8.0000000000000071E-3</v>
      </c>
    </row>
    <row r="44" spans="1:10" x14ac:dyDescent="0.25">
      <c r="A44" s="13">
        <v>43278</v>
      </c>
      <c r="B44">
        <f t="array" ref="B44">_xll.HistoricalData(B$1,"Adj. Close",$A44,$A44,"Daily","RemoveHeaders = True","ReverseOrder =True","RemoveDates =""True")</f>
        <v>70.41</v>
      </c>
      <c r="C44">
        <f t="array" ref="C44">_xll.HistoricalData(C$1,"Adj. Close",$A44,$A44,"Daily","RemoveHeaders = True","ReverseOrder =True","RemoveDates =""True")</f>
        <v>106.24</v>
      </c>
      <c r="D44">
        <f t="array" ref="D44">_xll.HistoricalData(D$1,"Adj. Close",$A44,$A44,"Daily","RemoveHeaders = True","ReverseOrder =True","RemoveDates =""True")</f>
        <v>271.12</v>
      </c>
      <c r="E44">
        <f t="array" ref="E44">_xll.HistoricalData(E$1,"Adj. Close",$A44,$A44,"Daily","RemoveHeaders = True","ReverseOrder =True","RemoveDates =""True")</f>
        <v>17.424399999999999</v>
      </c>
      <c r="G44" s="5">
        <f t="shared" ref="G44" si="148">B44/B43-1</f>
        <v>-9.7046413502109852E-3</v>
      </c>
      <c r="H44" s="5">
        <f t="shared" ref="H44" si="149">C44/C43-1</f>
        <v>1.7916077322017721E-3</v>
      </c>
      <c r="I44" s="5">
        <f t="shared" ref="I44" si="150">D44/D43-1</f>
        <v>-8.5932643434381006E-3</v>
      </c>
      <c r="J44" s="5">
        <f t="shared" ref="J44" si="151">E44/E43-1</f>
        <v>3.7096774193547954E-3</v>
      </c>
    </row>
    <row r="45" spans="1:10" x14ac:dyDescent="0.25">
      <c r="A45" s="13">
        <v>43279</v>
      </c>
      <c r="B45">
        <f t="array" ref="B45">_xll.HistoricalData(B$1,"Adj. Close",$A45,$A45,"Daily","RemoveHeaders = True","ReverseOrder =True","RemoveDates =""True")</f>
        <v>70.78</v>
      </c>
      <c r="C45">
        <f t="array" ref="C45">_xll.HistoricalData(C$1,"Adj. Close",$A45,$A45,"Daily","RemoveHeaders = True","ReverseOrder =True","RemoveDates =""True")</f>
        <v>106.23</v>
      </c>
      <c r="D45">
        <f t="array" ref="D45">_xll.HistoricalData(D$1,"Adj. Close",$A45,$A45,"Daily","RemoveHeaders = True","ReverseOrder =True","RemoveDates =""True")</f>
        <v>272.82</v>
      </c>
      <c r="E45">
        <f t="array" ref="E45">_xll.HistoricalData(E$1,"Adj. Close",$A45,$A45,"Daily","RemoveHeaders = True","ReverseOrder =True","RemoveDates =""True")</f>
        <v>17.32</v>
      </c>
      <c r="G45" s="5">
        <f t="shared" ref="G45" si="152">B45/B44-1</f>
        <v>5.2549353784974162E-3</v>
      </c>
      <c r="H45" s="5">
        <f t="shared" ref="H45" si="153">C45/C44-1</f>
        <v>-9.4126506024028167E-5</v>
      </c>
      <c r="I45" s="5">
        <f t="shared" ref="I45" si="154">D45/D44-1</f>
        <v>6.2702862201238219E-3</v>
      </c>
      <c r="J45" s="5">
        <f t="shared" ref="J45" si="155">E45/E44-1</f>
        <v>-5.9915979890268201E-3</v>
      </c>
    </row>
    <row r="46" spans="1:10" x14ac:dyDescent="0.25">
      <c r="A46" s="9">
        <v>43280</v>
      </c>
      <c r="B46">
        <f t="array" ref="B46">_xll.HistoricalData(B$1,"Adj. Close",$A46,$A46,"Daily","RemoveHeaders = True","ReverseOrder =True","RemoveDates =""True")</f>
        <v>71.12</v>
      </c>
      <c r="C46">
        <f t="array" ref="C46">_xll.HistoricalData(C$1,"Adj. Close",$A46,$A46,"Daily","RemoveHeaders = True","ReverseOrder =True","RemoveDates =""True")</f>
        <v>106.0908</v>
      </c>
      <c r="D46">
        <f t="array" ref="D46">_xll.HistoricalData(D$1,"Adj. Close",$A46,$A46,"Daily","RemoveHeaders = True","ReverseOrder =True","RemoveDates =""True")</f>
        <v>273.05</v>
      </c>
      <c r="E46">
        <f t="array" ref="E46">_xll.HistoricalData(E$1,"Adj. Close",$A46,$A46,"Daily","RemoveHeaders = True","ReverseOrder =True","RemoveDates =""True")</f>
        <v>17.399999999999999</v>
      </c>
      <c r="G46" s="5">
        <f t="shared" ref="G46:G48" si="156">B46/B45-1</f>
        <v>4.80361684091557E-3</v>
      </c>
      <c r="H46" s="5">
        <f t="shared" ref="H46:H48" si="157">C46/C45-1</f>
        <v>-1.3103643038689938E-3</v>
      </c>
      <c r="I46" s="5">
        <f t="shared" ref="I46:I48" si="158">D46/D45-1</f>
        <v>8.4304669745627336E-4</v>
      </c>
      <c r="J46" s="5">
        <f t="shared" ref="J46:J48" si="159">E46/E45-1</f>
        <v>4.6189376443417363E-3</v>
      </c>
    </row>
    <row r="47" spans="1:10" x14ac:dyDescent="0.25">
      <c r="A47" s="9">
        <v>43283</v>
      </c>
      <c r="B47">
        <f t="array" ref="B47">_xll.HistoricalData(B$1,"Adj. Close",$A47,$A47,"Daily","RemoveHeaders = True","ReverseOrder =True","RemoveDates =""True")</f>
        <v>70.91</v>
      </c>
      <c r="C47">
        <f t="array" ref="C47">_xll.HistoricalData(C$1,"Adj. Close",$A47,$A47,"Daily","RemoveHeaders = True","ReverseOrder =True","RemoveDates =""True")</f>
        <v>105.99</v>
      </c>
      <c r="D47">
        <f t="array" ref="D47">_xll.HistoricalData(D$1,"Adj. Close",$A47,$A47,"Daily","RemoveHeaders = True","ReverseOrder =True","RemoveDates =""True")</f>
        <v>273.82</v>
      </c>
      <c r="E47">
        <f t="array" ref="E47">_xll.HistoricalData(E$1,"Adj. Close",$A47,$A47,"Daily","RemoveHeaders = True","ReverseOrder =True","RemoveDates =""True")</f>
        <v>17.57</v>
      </c>
      <c r="G47" s="5">
        <f t="shared" si="156"/>
        <v>-2.9527559055119168E-3</v>
      </c>
      <c r="H47" s="5">
        <f t="shared" si="157"/>
        <v>-9.5012951170136972E-4</v>
      </c>
      <c r="I47" s="5">
        <f t="shared" si="158"/>
        <v>2.8199963376669412E-3</v>
      </c>
      <c r="J47" s="5">
        <f t="shared" si="159"/>
        <v>9.7701149425288847E-3</v>
      </c>
    </row>
    <row r="48" spans="1:10" x14ac:dyDescent="0.25">
      <c r="A48" s="9">
        <v>43284</v>
      </c>
      <c r="B48">
        <f t="array" ref="B48">_xll.HistoricalData(B$1,"Adj. Close",$A48,$A48,"Daily","RemoveHeaders = True","ReverseOrder =True","RemoveDates =""True")</f>
        <v>70.849999999999994</v>
      </c>
      <c r="C48">
        <f t="array" ref="C48">_xll.HistoricalData(C$1,"Adj. Close",$A48,$A48,"Daily","RemoveHeaders = True","ReverseOrder =True","RemoveDates =""True")</f>
        <v>106.21</v>
      </c>
      <c r="D48">
        <f t="array" ref="D48">_xll.HistoricalData(D$1,"Adj. Close",$A48,$A48,"Daily","RemoveHeaders = True","ReverseOrder =True","RemoveDates =""True")</f>
        <v>272.73</v>
      </c>
      <c r="E48">
        <f t="array" ref="E48">_xll.HistoricalData(E$1,"Adj. Close",$A48,$A48,"Daily","RemoveHeaders = True","ReverseOrder =True","RemoveDates =""True")</f>
        <v>17.43</v>
      </c>
      <c r="G48" s="5">
        <f t="shared" si="156"/>
        <v>-8.4614299816676564E-4</v>
      </c>
      <c r="H48" s="5">
        <f t="shared" si="157"/>
        <v>2.0756675158033477E-3</v>
      </c>
      <c r="I48" s="5">
        <f t="shared" si="158"/>
        <v>-3.9807172595134332E-3</v>
      </c>
      <c r="J48" s="5">
        <f t="shared" si="159"/>
        <v>-7.9681274900398336E-3</v>
      </c>
    </row>
    <row r="49" spans="1:10" x14ac:dyDescent="0.25">
      <c r="A49" s="9">
        <v>43286</v>
      </c>
      <c r="B49">
        <f t="array" ref="B49">_xll.HistoricalData(B$1,"Adj. Close",$A49,$A49,"Daily","RemoveHeaders = True","ReverseOrder =True","RemoveDates =""True")</f>
        <v>71.36</v>
      </c>
      <c r="C49">
        <f t="array" ref="C49">_xll.HistoricalData(C$1,"Adj. Close",$A49,$A49,"Daily","RemoveHeaders = True","ReverseOrder =True","RemoveDates =""True")</f>
        <v>106.31</v>
      </c>
      <c r="D49">
        <f t="array" ref="D49">_xll.HistoricalData(D$1,"Adj. Close",$A49,$A49,"Daily","RemoveHeaders = True","ReverseOrder =True","RemoveDates =""True")</f>
        <v>275.07</v>
      </c>
      <c r="E49">
        <f t="array" ref="E49">_xll.HistoricalData(E$1,"Adj. Close",$A49,$A49,"Daily","RemoveHeaders = True","ReverseOrder =True","RemoveDates =""True")</f>
        <v>17.735199999999999</v>
      </c>
      <c r="G49" s="5">
        <f t="shared" ref="G49" si="160">B49/B48-1</f>
        <v>7.1983062808751441E-3</v>
      </c>
      <c r="H49" s="5">
        <f t="shared" ref="H49" si="161">C49/C48-1</f>
        <v>9.4153092929105675E-4</v>
      </c>
      <c r="I49" s="5">
        <f t="shared" ref="I49" si="162">D49/D48-1</f>
        <v>8.5799142008577967E-3</v>
      </c>
      <c r="J49" s="5">
        <f t="shared" ref="J49" si="163">E49/E48-1</f>
        <v>1.7510040160642504E-2</v>
      </c>
    </row>
    <row r="50" spans="1:10" x14ac:dyDescent="0.25">
      <c r="A50" s="9">
        <v>43287</v>
      </c>
      <c r="B50">
        <f t="array" ref="B50">_xll.HistoricalData(B$1,"Adj. Close",$A50,$A50,"Daily","RemoveHeaders = True","ReverseOrder =True","RemoveDates =""True")</f>
        <v>71.88</v>
      </c>
      <c r="C50">
        <f t="array" ref="C50">_xll.HistoricalData(C$1,"Adj. Close",$A50,$A50,"Daily","RemoveHeaders = True","ReverseOrder =True","RemoveDates =""True")</f>
        <v>106.42</v>
      </c>
      <c r="D50">
        <f t="array" ref="D50">_xll.HistoricalData(D$1,"Adj. Close",$A50,$A50,"Daily","RemoveHeaders = True","ReverseOrder =True","RemoveDates =""True")</f>
        <v>277.20999999999998</v>
      </c>
      <c r="E50">
        <f t="array" ref="E50">_xll.HistoricalData(E$1,"Adj. Close",$A50,$A50,"Daily","RemoveHeaders = True","ReverseOrder =True","RemoveDates =""True")</f>
        <v>17.78</v>
      </c>
      <c r="G50" s="5">
        <f t="shared" ref="G50" si="164">B50/B49-1</f>
        <v>7.2869955156951161E-3</v>
      </c>
      <c r="H50" s="5">
        <f t="shared" ref="H50" si="165">C50/C49-1</f>
        <v>1.0347098109302344E-3</v>
      </c>
      <c r="I50" s="5">
        <f t="shared" ref="I50" si="166">D50/D49-1</f>
        <v>7.7798378594537976E-3</v>
      </c>
      <c r="J50" s="5">
        <f t="shared" ref="J50" si="167">E50/E49-1</f>
        <v>2.5260498894854599E-3</v>
      </c>
    </row>
    <row r="51" spans="1:10" x14ac:dyDescent="0.25">
      <c r="A51" s="13">
        <v>43290</v>
      </c>
      <c r="B51">
        <f t="array" ref="B51">_xll.HistoricalData(B$1,"Adj. Close",$A51,$A51,"Daily","RemoveHeaders = True","ReverseOrder =True","RemoveDates =""True")</f>
        <v>72.58</v>
      </c>
      <c r="C51">
        <f t="array" ref="C51">_xll.HistoricalData(C$1,"Adj. Close",$A51,$A51,"Daily","RemoveHeaders = True","ReverseOrder =True","RemoveDates =""True")</f>
        <v>106.32</v>
      </c>
      <c r="D51">
        <f t="array" ref="D51">_xll.HistoricalData(D$1,"Adj. Close",$A51,$A51,"Daily","RemoveHeaders = True","ReverseOrder =True","RemoveDates =""True")</f>
        <v>279.81</v>
      </c>
      <c r="E51">
        <f t="array" ref="E51">_xll.HistoricalData(E$1,"Adj. Close",$A51,$A51,"Daily","RemoveHeaders = True","ReverseOrder =True","RemoveDates =""True")</f>
        <v>17.8</v>
      </c>
      <c r="G51" s="5">
        <f t="shared" ref="G51:G55" si="168">B51/B50-1</f>
        <v>9.738452977184231E-3</v>
      </c>
      <c r="H51" s="5">
        <f t="shared" ref="H51:H55" si="169">C51/C50-1</f>
        <v>-9.3967299379826841E-4</v>
      </c>
      <c r="I51" s="5">
        <f t="shared" ref="I51:I55" si="170">D51/D50-1</f>
        <v>9.3791710255763938E-3</v>
      </c>
      <c r="J51" s="5">
        <f t="shared" ref="J51:J55" si="171">E51/E50-1</f>
        <v>1.1248593925758943E-3</v>
      </c>
    </row>
    <row r="52" spans="1:10" x14ac:dyDescent="0.25">
      <c r="A52" s="13">
        <v>43291</v>
      </c>
      <c r="B52">
        <f t="array" ref="B52">_xll.HistoricalData(B$1,"Adj. Close",$A52,$A52,"Daily","RemoveHeaders = True","ReverseOrder =True","RemoveDates =""True")</f>
        <v>72.73</v>
      </c>
      <c r="C52">
        <f t="array" ref="C52">_xll.HistoricalData(C$1,"Adj. Close",$A52,$A52,"Daily","RemoveHeaders = True","ReverseOrder =True","RemoveDates =""True")</f>
        <v>106.24</v>
      </c>
      <c r="D52">
        <f t="array" ref="D52">_xll.HistoricalData(D$1,"Adj. Close",$A52,$A52,"Daily","RemoveHeaders = True","ReverseOrder =True","RemoveDates =""True")</f>
        <v>280.83</v>
      </c>
      <c r="E52">
        <f t="array" ref="E52">_xll.HistoricalData(E$1,"Adj. Close",$A52,$A52,"Daily","RemoveHeaders = True","ReverseOrder =True","RemoveDates =""True")</f>
        <v>17.89</v>
      </c>
      <c r="G52" s="5">
        <f t="shared" si="168"/>
        <v>2.066685037200422E-3</v>
      </c>
      <c r="H52" s="5">
        <f t="shared" si="169"/>
        <v>-7.5244544770503019E-4</v>
      </c>
      <c r="I52" s="5">
        <f t="shared" si="170"/>
        <v>3.6453307601587159E-3</v>
      </c>
      <c r="J52" s="5">
        <f t="shared" si="171"/>
        <v>5.0561797752808335E-3</v>
      </c>
    </row>
    <row r="53" spans="1:10" x14ac:dyDescent="0.25">
      <c r="A53" s="13">
        <v>43292</v>
      </c>
      <c r="B53">
        <f t="array" ref="B53">_xll.HistoricalData(B$1,"Adj. Close",$A53,$A53,"Daily","RemoveHeaders = True","ReverseOrder =True","RemoveDates =""True")</f>
        <v>71.87</v>
      </c>
      <c r="C53">
        <f t="array" ref="C53">_xll.HistoricalData(C$1,"Adj. Close",$A53,$A53,"Daily","RemoveHeaders = True","ReverseOrder =True","RemoveDates =""True")</f>
        <v>106.28</v>
      </c>
      <c r="D53">
        <f t="array" ref="D53">_xll.HistoricalData(D$1,"Adj. Close",$A53,$A53,"Daily","RemoveHeaders = True","ReverseOrder =True","RemoveDates =""True")</f>
        <v>278.74</v>
      </c>
      <c r="E53">
        <f t="array" ref="E53">_xll.HistoricalData(E$1,"Adj. Close",$A53,$A53,"Daily","RemoveHeaders = True","ReverseOrder =True","RemoveDates =""True")</f>
        <v>17.690000000000001</v>
      </c>
      <c r="G53" s="5">
        <f t="shared" si="168"/>
        <v>-1.1824556579128287E-2</v>
      </c>
      <c r="H53" s="5">
        <f t="shared" si="169"/>
        <v>3.7650602409633471E-4</v>
      </c>
      <c r="I53" s="5">
        <f t="shared" si="170"/>
        <v>-7.4422248335290764E-3</v>
      </c>
      <c r="J53" s="5">
        <f t="shared" si="171"/>
        <v>-1.1179429849077605E-2</v>
      </c>
    </row>
    <row r="54" spans="1:10" x14ac:dyDescent="0.25">
      <c r="A54" s="13">
        <v>43293</v>
      </c>
      <c r="B54">
        <f t="array" ref="B54">_xll.HistoricalData(B$1,"Adj. Close",$A54,$A54,"Daily","RemoveHeaders = True","ReverseOrder =True","RemoveDates =""True")</f>
        <v>72.55</v>
      </c>
      <c r="C54">
        <f t="array" ref="C54">_xll.HistoricalData(C$1,"Adj. Close",$A54,$A54,"Daily","RemoveHeaders = True","ReverseOrder =True","RemoveDates =""True")</f>
        <v>106.41</v>
      </c>
      <c r="D54">
        <f t="array" ref="D54">_xll.HistoricalData(D$1,"Adj. Close",$A54,$A54,"Daily","RemoveHeaders = True","ReverseOrder =True","RemoveDates =""True")</f>
        <v>281.14</v>
      </c>
      <c r="E54">
        <f t="array" ref="E54">_xll.HistoricalData(E$1,"Adj. Close",$A54,$A54,"Daily","RemoveHeaders = True","ReverseOrder =True","RemoveDates =""True")</f>
        <v>17.72</v>
      </c>
      <c r="G54" s="5">
        <f t="shared" si="168"/>
        <v>9.4615277584526591E-3</v>
      </c>
      <c r="H54" s="5">
        <f t="shared" si="169"/>
        <v>1.2231840421528251E-3</v>
      </c>
      <c r="I54" s="5">
        <f t="shared" si="170"/>
        <v>8.6101743560307309E-3</v>
      </c>
      <c r="J54" s="5">
        <f t="shared" si="171"/>
        <v>1.6958733747878263E-3</v>
      </c>
    </row>
    <row r="55" spans="1:10" x14ac:dyDescent="0.25">
      <c r="A55" s="13">
        <v>43294</v>
      </c>
      <c r="B55">
        <f t="array" ref="B55">_xll.HistoricalData(B$1,"Adj. Close",$A55,$A55,"Daily","RemoveHeaders = True","ReverseOrder =True","RemoveDates =""True")</f>
        <v>72.66</v>
      </c>
      <c r="C55">
        <f t="array" ref="C55">_xll.HistoricalData(C$1,"Adj. Close",$A55,$A55,"Daily","RemoveHeaders = True","ReverseOrder =True","RemoveDates =""True")</f>
        <v>106.51</v>
      </c>
      <c r="D55">
        <f t="array" ref="D55">_xll.HistoricalData(D$1,"Adj. Close",$A55,$A55,"Daily","RemoveHeaders = True","ReverseOrder =True","RemoveDates =""True")</f>
        <v>281.43</v>
      </c>
      <c r="E55">
        <f t="array" ref="E55">_xll.HistoricalData(E$1,"Adj. Close",$A55,$A55,"Daily","RemoveHeaders = True","ReverseOrder =True","RemoveDates =""True")</f>
        <v>17.593699999999998</v>
      </c>
      <c r="G55" s="5">
        <f t="shared" si="168"/>
        <v>1.5161957270848347E-3</v>
      </c>
      <c r="H55" s="5">
        <f t="shared" si="169"/>
        <v>9.3976130062967123E-4</v>
      </c>
      <c r="I55" s="5">
        <f t="shared" si="170"/>
        <v>1.0315145479120602E-3</v>
      </c>
      <c r="J55" s="5">
        <f t="shared" si="171"/>
        <v>-7.1275395033860711E-3</v>
      </c>
    </row>
    <row r="56" spans="1:10" x14ac:dyDescent="0.25">
      <c r="A56" s="13">
        <v>43297</v>
      </c>
      <c r="B56">
        <f t="array" ref="B56">_xll.HistoricalData(B$1,"Adj. Close",$A56,$A56,"Daily","RemoveHeaders = True","ReverseOrder =True","RemoveDates =""True")</f>
        <v>72.56</v>
      </c>
      <c r="C56">
        <f t="array" ref="C56">_xll.HistoricalData(C$1,"Adj. Close",$A56,$A56,"Daily","RemoveHeaders = True","ReverseOrder =True","RemoveDates =""True")</f>
        <v>106.39</v>
      </c>
      <c r="D56">
        <f t="array" ref="D56">_xll.HistoricalData(D$1,"Adj. Close",$A56,$A56,"Daily","RemoveHeaders = True","ReverseOrder =True","RemoveDates =""True")</f>
        <v>281.33</v>
      </c>
      <c r="E56">
        <f t="array" ref="E56">_xll.HistoricalData(E$1,"Adj. Close",$A56,$A56,"Daily","RemoveHeaders = True","ReverseOrder =True","RemoveDates =""True")</f>
        <v>17.61</v>
      </c>
      <c r="G56" s="5">
        <f t="shared" ref="G56" si="172">B56/B55-1</f>
        <v>-1.3762730525735956E-3</v>
      </c>
      <c r="H56" s="5">
        <f t="shared" ref="H56" si="173">C56/C55-1</f>
        <v>-1.126654774199598E-3</v>
      </c>
      <c r="I56" s="5">
        <f t="shared" ref="I56" si="174">D56/D55-1</f>
        <v>-3.5532814554251058E-4</v>
      </c>
      <c r="J56" s="5">
        <f t="shared" ref="J56" si="175">E56/E55-1</f>
        <v>9.2646799706730398E-4</v>
      </c>
    </row>
    <row r="57" spans="1:10" x14ac:dyDescent="0.25">
      <c r="A57" s="13">
        <v>43298</v>
      </c>
      <c r="B57">
        <f t="array" ref="B57">_xll.HistoricalData(B$1,"Adj. Close",$A57,$A57,"Daily","RemoveHeaders = True","ReverseOrder =True","RemoveDates =""True")</f>
        <v>72.84</v>
      </c>
      <c r="C57">
        <f t="array" ref="C57">_xll.HistoricalData(C$1,"Adj. Close",$A57,$A57,"Daily","RemoveHeaders = True","ReverseOrder =True","RemoveDates =""True")</f>
        <v>106.35</v>
      </c>
      <c r="D57">
        <f t="array" ref="D57">_xll.HistoricalData(D$1,"Adj. Close",$A57,$A57,"Daily","RemoveHeaders = True","ReverseOrder =True","RemoveDates =""True")</f>
        <v>282.47000000000003</v>
      </c>
      <c r="E57">
        <f t="array" ref="E57">_xll.HistoricalData(E$1,"Adj. Close",$A57,$A57,"Daily","RemoveHeaders = True","ReverseOrder =True","RemoveDates =""True")</f>
        <v>17.5</v>
      </c>
      <c r="G57" s="5">
        <f t="shared" ref="G57" si="176">B57/B56-1</f>
        <v>3.8588754134509795E-3</v>
      </c>
      <c r="H57" s="5">
        <f t="shared" ref="H57" si="177">C57/C56-1</f>
        <v>-3.7597518563781129E-4</v>
      </c>
      <c r="I57" s="5">
        <f t="shared" ref="I57" si="178">D57/D56-1</f>
        <v>4.0521807130418086E-3</v>
      </c>
      <c r="J57" s="5">
        <f t="shared" ref="J57" si="179">E57/E56-1</f>
        <v>-6.2464508801817198E-3</v>
      </c>
    </row>
    <row r="58" spans="1:10" x14ac:dyDescent="0.25">
      <c r="A58" s="13">
        <v>43299</v>
      </c>
      <c r="B58">
        <f t="array" ref="B58">_xll.HistoricalData(B$1,"Adj. Close",$A58,$A58,"Daily","RemoveHeaders = True","ReverseOrder =True","RemoveDates =""True")</f>
        <v>72.88</v>
      </c>
      <c r="C58">
        <f t="array" ref="C58">_xll.HistoricalData(C$1,"Adj. Close",$A58,$A58,"Daily","RemoveHeaders = True","ReverseOrder =True","RemoveDates =""True")</f>
        <v>106.32</v>
      </c>
      <c r="D58">
        <f t="array" ref="D58">_xll.HistoricalData(D$1,"Adj. Close",$A58,$A58,"Daily","RemoveHeaders = True","ReverseOrder =True","RemoveDates =""True")</f>
        <v>283.08999999999997</v>
      </c>
      <c r="E58">
        <f t="array" ref="E58">_xll.HistoricalData(E$1,"Adj. Close",$A58,$A58,"Daily","RemoveHeaders = True","ReverseOrder =True","RemoveDates =""True")</f>
        <v>17.52</v>
      </c>
      <c r="G58" s="5">
        <f t="shared" ref="G58" si="180">B58/B57-1</f>
        <v>5.4914881932988102E-4</v>
      </c>
      <c r="H58" s="5">
        <f t="shared" ref="H58" si="181">C58/C57-1</f>
        <v>-2.8208744710866984E-4</v>
      </c>
      <c r="I58" s="5">
        <f t="shared" ref="I58" si="182">D58/D57-1</f>
        <v>2.1949233546922908E-3</v>
      </c>
      <c r="J58" s="5">
        <f t="shared" ref="J58" si="183">E58/E57-1</f>
        <v>1.1428571428571122E-3</v>
      </c>
    </row>
    <row r="59" spans="1:10" x14ac:dyDescent="0.25">
      <c r="A59" s="13">
        <v>43300</v>
      </c>
      <c r="B59">
        <f t="array" ref="B59">_xll.HistoricalData(B$1,"Adj. Close",$A59,$A59,"Daily","RemoveHeaders = True","ReverseOrder =True","RemoveDates =""True")</f>
        <v>72.540000000000006</v>
      </c>
      <c r="C59">
        <f t="array" ref="C59">_xll.HistoricalData(C$1,"Adj. Close",$A59,$A59,"Daily","RemoveHeaders = True","ReverseOrder =True","RemoveDates =""True")</f>
        <v>106.48</v>
      </c>
      <c r="D59">
        <f t="array" ref="D59">_xll.HistoricalData(D$1,"Adj. Close",$A59,$A59,"Daily","RemoveHeaders = True","ReverseOrder =True","RemoveDates =""True")</f>
        <v>281.92</v>
      </c>
      <c r="E59">
        <f t="array" ref="E59">_xll.HistoricalData(E$1,"Adj. Close",$A59,$A59,"Daily","RemoveHeaders = True","ReverseOrder =True","RemoveDates =""True")</f>
        <v>17.62</v>
      </c>
      <c r="G59" s="5">
        <f t="shared" ref="G59" si="184">B59/B58-1</f>
        <v>-4.6652030735454542E-3</v>
      </c>
      <c r="H59" s="5">
        <f t="shared" ref="H59" si="185">C59/C58-1</f>
        <v>1.5048908954102824E-3</v>
      </c>
      <c r="I59" s="5">
        <f t="shared" ref="I59" si="186">D59/D58-1</f>
        <v>-4.1329612490725864E-3</v>
      </c>
      <c r="J59" s="5">
        <f t="shared" ref="J59" si="187">E59/E58-1</f>
        <v>5.7077625570776114E-3</v>
      </c>
    </row>
    <row r="60" spans="1:10" x14ac:dyDescent="0.25">
      <c r="A60" s="13">
        <v>43301</v>
      </c>
      <c r="B60">
        <f t="array" ref="B60">_xll.HistoricalData(B$1,"Adj. Close",$A60,$A60,"Daily","RemoveHeaders = True","ReverseOrder =True","RemoveDates =""True")</f>
        <v>72.790000000000006</v>
      </c>
      <c r="C60">
        <f t="array" ref="C60">_xll.HistoricalData(C$1,"Adj. Close",$A60,$A60,"Daily","RemoveHeaders = True","ReverseOrder =True","RemoveDates =""True")</f>
        <v>106.27</v>
      </c>
      <c r="D60">
        <f t="array" ref="D60">_xll.HistoricalData(D$1,"Adj. Close",$A60,$A60,"Daily","RemoveHeaders = True","ReverseOrder =True","RemoveDates =""True")</f>
        <v>281.62</v>
      </c>
      <c r="E60">
        <f t="array" ref="E60">_xll.HistoricalData(E$1,"Adj. Close",$A60,$A60,"Daily","RemoveHeaders = True","ReverseOrder =True","RemoveDates =""True")</f>
        <v>17.55</v>
      </c>
      <c r="G60" s="5">
        <f t="shared" ref="G60" si="188">B60/B59-1</f>
        <v>3.4463744141164376E-3</v>
      </c>
      <c r="H60" s="5">
        <f t="shared" ref="H60" si="189">C60/C59-1</f>
        <v>-1.9722013523667536E-3</v>
      </c>
      <c r="I60" s="5">
        <f t="shared" ref="I60" si="190">D60/D59-1</f>
        <v>-1.0641316685584545E-3</v>
      </c>
      <c r="J60" s="5">
        <f t="shared" ref="J60" si="191">E60/E59-1</f>
        <v>-3.9727582292848895E-3</v>
      </c>
    </row>
    <row r="61" spans="1:10" x14ac:dyDescent="0.25">
      <c r="A61" s="13">
        <v>43304</v>
      </c>
      <c r="B61">
        <f t="array" ref="B61">_xll.HistoricalData(B$1,"Adj. Close",$A61,$A61,"Daily","RemoveHeaders = True","ReverseOrder =True","RemoveDates =""True")</f>
        <v>72.790000000000006</v>
      </c>
      <c r="C61">
        <f t="array" ref="C61">_xll.HistoricalData(C$1,"Adj. Close",$A61,$A61,"Daily","RemoveHeaders = True","ReverseOrder =True","RemoveDates =""True")</f>
        <v>105.9</v>
      </c>
      <c r="D61">
        <f t="array" ref="D61">_xll.HistoricalData(D$1,"Adj. Close",$A61,$A61,"Daily","RemoveHeaders = True","ReverseOrder =True","RemoveDates =""True")</f>
        <v>282.14</v>
      </c>
      <c r="E61">
        <f t="array" ref="E61">_xll.HistoricalData(E$1,"Adj. Close",$A61,$A61,"Daily","RemoveHeaders = True","ReverseOrder =True","RemoveDates =""True")</f>
        <v>17.600000000000001</v>
      </c>
      <c r="G61" s="5">
        <f t="shared" ref="G61" si="192">B61/B60-1</f>
        <v>0</v>
      </c>
      <c r="H61" s="5">
        <f t="shared" ref="H61" si="193">C61/C60-1</f>
        <v>-3.4816975628115809E-3</v>
      </c>
      <c r="I61" s="5">
        <f t="shared" ref="I61" si="194">D61/D60-1</f>
        <v>1.8464597684821893E-3</v>
      </c>
      <c r="J61" s="5">
        <f t="shared" ref="J61" si="195">E61/E60-1</f>
        <v>2.8490028490029129E-3</v>
      </c>
    </row>
    <row r="62" spans="1:10" x14ac:dyDescent="0.25">
      <c r="A62" s="13">
        <v>43305</v>
      </c>
      <c r="B62">
        <f t="array" ref="B62">_xll.HistoricalData(B$1,"Adj. Close",$A62,$A62,"Daily","RemoveHeaders = True","ReverseOrder =True","RemoveDates =""True")</f>
        <v>73.16</v>
      </c>
      <c r="C62">
        <f t="array" ref="C62">_xll.HistoricalData(C$1,"Adj. Close",$A62,$A62,"Daily","RemoveHeaders = True","ReverseOrder =True","RemoveDates =""True")</f>
        <v>106.05</v>
      </c>
      <c r="D62">
        <f t="array" ref="D62">_xll.HistoricalData(D$1,"Adj. Close",$A62,$A62,"Daily","RemoveHeaders = True","ReverseOrder =True","RemoveDates =""True")</f>
        <v>283.55</v>
      </c>
      <c r="E62">
        <f t="array" ref="E62">_xll.HistoricalData(E$1,"Adj. Close",$A62,$A62,"Daily","RemoveHeaders = True","ReverseOrder =True","RemoveDates =""True")</f>
        <v>17.620100000000001</v>
      </c>
      <c r="G62" s="5">
        <f t="shared" ref="G62" si="196">B62/B61-1</f>
        <v>5.0831158126114495E-3</v>
      </c>
      <c r="H62" s="5">
        <f t="shared" ref="H62" si="197">C62/C61-1</f>
        <v>1.4164305949007083E-3</v>
      </c>
      <c r="I62" s="5">
        <f t="shared" ref="I62" si="198">D62/D61-1</f>
        <v>4.9975189622173399E-3</v>
      </c>
      <c r="J62" s="5">
        <f t="shared" ref="J62" si="199">E62/E61-1</f>
        <v>1.1420454545454373E-3</v>
      </c>
    </row>
    <row r="63" spans="1:10" x14ac:dyDescent="0.25">
      <c r="A63" s="13">
        <v>43306</v>
      </c>
      <c r="B63">
        <f t="array" ref="B63">_xll.HistoricalData(B$1,"Adj. Close",$A63,$A63,"Daily","RemoveHeaders = True","ReverseOrder =True","RemoveDates =""True")</f>
        <v>73.88</v>
      </c>
      <c r="C63">
        <f t="array" ref="C63">_xll.HistoricalData(C$1,"Adj. Close",$A63,$A63,"Daily","RemoveHeaders = True","ReverseOrder =True","RemoveDates =""True")</f>
        <v>106.06</v>
      </c>
      <c r="D63">
        <f t="array" ref="D63">_xll.HistoricalData(D$1,"Adj. Close",$A63,$A63,"Daily","RemoveHeaders = True","ReverseOrder =True","RemoveDates =""True")</f>
        <v>286.18</v>
      </c>
      <c r="E63">
        <f t="array" ref="E63">_xll.HistoricalData(E$1,"Adj. Close",$A63,$A63,"Daily","RemoveHeaders = True","ReverseOrder =True","RemoveDates =""True")</f>
        <v>17.73</v>
      </c>
      <c r="G63" s="5">
        <f t="shared" ref="G63" si="200">B63/B62-1</f>
        <v>9.8414434117004568E-3</v>
      </c>
      <c r="H63" s="5">
        <f t="shared" ref="H63" si="201">C63/C62-1</f>
        <v>9.4295143800104952E-5</v>
      </c>
      <c r="I63" s="5">
        <f t="shared" ref="I63" si="202">D63/D62-1</f>
        <v>9.2752600952212827E-3</v>
      </c>
      <c r="J63" s="5">
        <f t="shared" ref="J63" si="203">E63/E62-1</f>
        <v>6.2371950215946992E-3</v>
      </c>
    </row>
    <row r="64" spans="1:10" x14ac:dyDescent="0.25">
      <c r="A64" s="13">
        <v>43307</v>
      </c>
      <c r="B64">
        <f t="array" ref="B64">_xll.HistoricalData(B$1,"Adj. Close",$A64,$A64,"Daily","RemoveHeaders = True","ReverseOrder =True","RemoveDates =""True")</f>
        <v>73.569999999999993</v>
      </c>
      <c r="C64">
        <f t="array" ref="C64">_xll.HistoricalData(C$1,"Adj. Close",$A64,$A64,"Daily","RemoveHeaders = True","ReverseOrder =True","RemoveDates =""True")</f>
        <v>106</v>
      </c>
      <c r="D64">
        <f t="array" ref="D64">_xll.HistoricalData(D$1,"Adj. Close",$A64,$A64,"Daily","RemoveHeaders = True","ReverseOrder =True","RemoveDates =""True")</f>
        <v>285.19</v>
      </c>
      <c r="E64">
        <f t="array" ref="E64">_xll.HistoricalData(E$1,"Adj. Close",$A64,$A64,"Daily","RemoveHeaders = True","ReverseOrder =True","RemoveDates =""True")</f>
        <v>17.690000000000001</v>
      </c>
      <c r="G64" s="5">
        <f t="shared" ref="G64" si="204">B64/B63-1</f>
        <v>-4.195993502977835E-3</v>
      </c>
      <c r="H64" s="5">
        <f t="shared" ref="H64" si="205">C64/C63-1</f>
        <v>-5.6571751838585538E-4</v>
      </c>
      <c r="I64" s="5">
        <f t="shared" ref="I64" si="206">D64/D63-1</f>
        <v>-3.4593612411769614E-3</v>
      </c>
      <c r="J64" s="5">
        <f t="shared" ref="J64" si="207">E64/E63-1</f>
        <v>-2.2560631697686739E-3</v>
      </c>
    </row>
    <row r="65" spans="1:10" x14ac:dyDescent="0.25">
      <c r="A65" s="13">
        <v>43308</v>
      </c>
      <c r="B65">
        <f t="array" ref="B65">_xll.HistoricalData(B$1,"Adj. Close",$A65,$A65,"Daily","RemoveHeaders = True","ReverseOrder =True","RemoveDates =""True")</f>
        <v>73.349999999999994</v>
      </c>
      <c r="C65">
        <f t="array" ref="C65">_xll.HistoricalData(C$1,"Adj. Close",$A65,$A65,"Daily","RemoveHeaders = True","ReverseOrder =True","RemoveDates =""True")</f>
        <v>106.08</v>
      </c>
      <c r="D65">
        <f t="array" ref="D65">_xll.HistoricalData(D$1,"Adj. Close",$A65,$A65,"Daily","RemoveHeaders = True","ReverseOrder =True","RemoveDates =""True")</f>
        <v>283.36</v>
      </c>
      <c r="E65">
        <f t="array" ref="E65">_xll.HistoricalData(E$1,"Adj. Close",$A65,$A65,"Daily","RemoveHeaders = True","ReverseOrder =True","RemoveDates =""True")</f>
        <v>17.66</v>
      </c>
      <c r="G65" s="5">
        <f t="shared" ref="G65:G66" si="208">B65/B64-1</f>
        <v>-2.9903493271713488E-3</v>
      </c>
      <c r="H65" s="5">
        <f t="shared" ref="H65:H66" si="209">C65/C64-1</f>
        <v>7.5471698113216412E-4</v>
      </c>
      <c r="I65" s="5">
        <f t="shared" ref="I65:I66" si="210">D65/D64-1</f>
        <v>-6.4167747817244214E-3</v>
      </c>
      <c r="J65" s="5">
        <f t="shared" ref="J65:J66" si="211">E65/E64-1</f>
        <v>-1.6958733747880483E-3</v>
      </c>
    </row>
    <row r="66" spans="1:10" x14ac:dyDescent="0.25">
      <c r="A66" s="13">
        <v>43311</v>
      </c>
      <c r="B66">
        <f t="array" ref="B66">_xll.HistoricalData(B$1,"Adj. Close",$A66,$A66,"Daily","RemoveHeaders = True","ReverseOrder =True","RemoveDates =""True")</f>
        <v>73.11</v>
      </c>
      <c r="C66">
        <f t="array" ref="C66">_xll.HistoricalData(C$1,"Adj. Close",$A66,$A66,"Daily","RemoveHeaders = True","ReverseOrder =True","RemoveDates =""True")</f>
        <v>105.97</v>
      </c>
      <c r="D66">
        <f t="array" ref="D66">_xll.HistoricalData(D$1,"Adj. Close",$A66,$A66,"Daily","RemoveHeaders = True","ReverseOrder =True","RemoveDates =""True")</f>
        <v>281.77</v>
      </c>
      <c r="E66">
        <f t="array" ref="E66">_xll.HistoricalData(E$1,"Adj. Close",$A66,$A66,"Daily","RemoveHeaders = True","ReverseOrder =True","RemoveDates =""True")</f>
        <v>17.623999999999999</v>
      </c>
      <c r="G66" s="5">
        <f t="shared" si="208"/>
        <v>-3.2719836400817437E-3</v>
      </c>
      <c r="H66" s="5">
        <f t="shared" si="209"/>
        <v>-1.0369532428355921E-3</v>
      </c>
      <c r="I66" s="5">
        <f t="shared" si="210"/>
        <v>-5.6112365894975813E-3</v>
      </c>
      <c r="J66" s="5">
        <f t="shared" si="211"/>
        <v>-2.0385050962627993E-3</v>
      </c>
    </row>
    <row r="67" spans="1:10" x14ac:dyDescent="0.25">
      <c r="A67" s="13">
        <v>43312</v>
      </c>
      <c r="B67">
        <f t="array" ref="B67">_xll.HistoricalData(B$1,"Adj. Close",$A67,$A67,"Daily","RemoveHeaders = True","ReverseOrder =True","RemoveDates =""True")</f>
        <v>73.3</v>
      </c>
      <c r="C67">
        <f t="array" ref="C67">_xll.HistoricalData(C$1,"Adj. Close",$A67,$A67,"Daily","RemoveHeaders = True","ReverseOrder =True","RemoveDates =""True")</f>
        <v>106.06</v>
      </c>
      <c r="D67">
        <f t="array" ref="D67">_xll.HistoricalData(D$1,"Adj. Close",$A67,$A67,"Daily","RemoveHeaders = True","ReverseOrder =True","RemoveDates =""True")</f>
        <v>283.27999999999997</v>
      </c>
      <c r="E67">
        <f t="array" ref="E67">_xll.HistoricalData(E$1,"Adj. Close",$A67,$A67,"Daily","RemoveHeaders = True","ReverseOrder =True","RemoveDates =""True")</f>
        <v>17.8</v>
      </c>
      <c r="G67" s="5">
        <f t="shared" ref="G67" si="212">B67/B66-1</f>
        <v>2.5988236903295991E-3</v>
      </c>
      <c r="H67" s="5">
        <f t="shared" ref="H67" si="213">C67/C66-1</f>
        <v>8.4929697084090705E-4</v>
      </c>
      <c r="I67" s="5">
        <f t="shared" ref="I67" si="214">D67/D66-1</f>
        <v>5.3589807289633473E-3</v>
      </c>
      <c r="J67" s="5">
        <f t="shared" ref="J67" si="215">E67/E66-1</f>
        <v>9.9863822060828333E-3</v>
      </c>
    </row>
    <row r="68" spans="1:10" x14ac:dyDescent="0.25">
      <c r="A68" s="13">
        <v>43313</v>
      </c>
      <c r="B68">
        <f t="array" ref="B68">_xll.HistoricalData(B$1,"Adj. Close",$A68,$A68,"Daily","RemoveHeaders = True","ReverseOrder =True","RemoveDates =""True")</f>
        <v>73.14</v>
      </c>
      <c r="C68">
        <f t="array" ref="C68">_xll.HistoricalData(C$1,"Adj. Close",$A68,$A68,"Daily","RemoveHeaders = True","ReverseOrder =True","RemoveDates =""True")</f>
        <v>105.7</v>
      </c>
      <c r="D68">
        <f t="array" ref="D68">_xll.HistoricalData(D$1,"Adj. Close",$A68,$A68,"Daily","RemoveHeaders = True","ReverseOrder =True","RemoveDates =""True")</f>
        <v>282.88</v>
      </c>
      <c r="E68">
        <f t="array" ref="E68">_xll.HistoricalData(E$1,"Adj. Close",$A68,$A68,"Daily","RemoveHeaders = True","ReverseOrder =True","RemoveDates =""True")</f>
        <v>17.670000000000002</v>
      </c>
      <c r="G68" s="5">
        <f t="shared" ref="G68:G72" si="216">B68/B67-1</f>
        <v>-2.1828103683492195E-3</v>
      </c>
      <c r="H68" s="5">
        <f t="shared" ref="H68:H72" si="217">C68/C67-1</f>
        <v>-3.3943051103149102E-3</v>
      </c>
      <c r="I68" s="5">
        <f t="shared" ref="I68:I72" si="218">D68/D67-1</f>
        <v>-1.4120304998587185E-3</v>
      </c>
      <c r="J68" s="5">
        <f t="shared" ref="J68:J72" si="219">E68/E67-1</f>
        <v>-7.3033707865167719E-3</v>
      </c>
    </row>
    <row r="69" spans="1:10" x14ac:dyDescent="0.25">
      <c r="A69" s="13">
        <v>43314</v>
      </c>
      <c r="B69">
        <f t="array" ref="B69">_xll.HistoricalData(B$1,"Adj. Close",$A69,$A69,"Daily","RemoveHeaders = True","ReverseOrder =True","RemoveDates =""True")</f>
        <v>73.099999999999994</v>
      </c>
      <c r="C69">
        <f t="array" ref="C69">_xll.HistoricalData(C$1,"Adj. Close",$A69,$A69,"Daily","RemoveHeaders = True","ReverseOrder =True","RemoveDates =""True")</f>
        <v>105.74</v>
      </c>
      <c r="D69">
        <f t="array" ref="D69">_xll.HistoricalData(D$1,"Adj. Close",$A69,$A69,"Daily","RemoveHeaders = True","ReverseOrder =True","RemoveDates =""True")</f>
        <v>284.23</v>
      </c>
      <c r="E69">
        <f t="array" ref="E69">_xll.HistoricalData(E$1,"Adj. Close",$A69,$A69,"Daily","RemoveHeaders = True","ReverseOrder =True","RemoveDates =""True")</f>
        <v>17.68</v>
      </c>
      <c r="G69" s="5">
        <f t="shared" si="216"/>
        <v>-5.4689636313931533E-4</v>
      </c>
      <c r="H69" s="5">
        <f t="shared" si="217"/>
        <v>3.784295175022212E-4</v>
      </c>
      <c r="I69" s="5">
        <f t="shared" si="218"/>
        <v>4.7723416289593423E-3</v>
      </c>
      <c r="J69" s="5">
        <f t="shared" si="219"/>
        <v>5.6593095642321067E-4</v>
      </c>
    </row>
    <row r="70" spans="1:10" x14ac:dyDescent="0.25">
      <c r="A70" s="13">
        <v>43315</v>
      </c>
      <c r="B70">
        <f t="array" ref="B70">_xll.HistoricalData(B$1,"Adj. Close",$A70,$A70,"Daily","RemoveHeaders = True","ReverseOrder =True","RemoveDates =""True")</f>
        <v>73.37</v>
      </c>
      <c r="C70">
        <f t="array" ref="C70">_xll.HistoricalData(C$1,"Adj. Close",$A70,$A70,"Daily","RemoveHeaders = True","ReverseOrder =True","RemoveDates =""True")</f>
        <v>105.97</v>
      </c>
      <c r="D70">
        <f t="array" ref="D70">_xll.HistoricalData(D$1,"Adj. Close",$A70,$A70,"Daily","RemoveHeaders = True","ReverseOrder =True","RemoveDates =""True")</f>
        <v>285.55</v>
      </c>
      <c r="E70">
        <f t="array" ref="E70">_xll.HistoricalData(E$1,"Adj. Close",$A70,$A70,"Daily","RemoveHeaders = True","ReverseOrder =True","RemoveDates =""True")</f>
        <v>17.649999999999999</v>
      </c>
      <c r="G70" s="5">
        <f t="shared" si="216"/>
        <v>3.6935704514364787E-3</v>
      </c>
      <c r="H70" s="5">
        <f t="shared" si="217"/>
        <v>2.175146585965626E-3</v>
      </c>
      <c r="I70" s="5">
        <f t="shared" si="218"/>
        <v>4.6441262357950208E-3</v>
      </c>
      <c r="J70" s="5">
        <f t="shared" si="219"/>
        <v>-1.6968325791856254E-3</v>
      </c>
    </row>
    <row r="71" spans="1:10" x14ac:dyDescent="0.25">
      <c r="A71" s="13">
        <v>43318</v>
      </c>
      <c r="B71">
        <f t="array" ref="B71">_xll.HistoricalData(B$1,"Adj. Close",$A71,$A71,"Daily","RemoveHeaders = True","ReverseOrder =True","RemoveDates =""True")</f>
        <v>73.36</v>
      </c>
      <c r="C71">
        <f t="array" ref="C71">_xll.HistoricalData(C$1,"Adj. Close",$A71,$A71,"Daily","RemoveHeaders = True","ReverseOrder =True","RemoveDates =""True")</f>
        <v>106.04</v>
      </c>
      <c r="D71">
        <f t="array" ref="D71">_xll.HistoricalData(D$1,"Adj. Close",$A71,$A71,"Daily","RemoveHeaders = True","ReverseOrder =True","RemoveDates =""True")</f>
        <v>286.64999999999998</v>
      </c>
      <c r="E71">
        <f t="array" ref="E71">_xll.HistoricalData(E$1,"Adj. Close",$A71,$A71,"Daily","RemoveHeaders = True","ReverseOrder =True","RemoveDates =""True")</f>
        <v>17.66</v>
      </c>
      <c r="G71" s="5">
        <f t="shared" si="216"/>
        <v>-1.3629548861937568E-4</v>
      </c>
      <c r="H71" s="5">
        <f t="shared" si="217"/>
        <v>6.6056431065408816E-4</v>
      </c>
      <c r="I71" s="5">
        <f t="shared" si="218"/>
        <v>3.8522150236384167E-3</v>
      </c>
      <c r="J71" s="5">
        <f t="shared" si="219"/>
        <v>5.6657223796041656E-4</v>
      </c>
    </row>
    <row r="72" spans="1:10" x14ac:dyDescent="0.25">
      <c r="A72" s="13">
        <v>43319</v>
      </c>
      <c r="B72">
        <f t="array" ref="B72">_xll.HistoricalData(B$1,"Adj. Close",$A72,$A72,"Daily","RemoveHeaders = True","ReverseOrder =True","RemoveDates =""True")</f>
        <v>73.7</v>
      </c>
      <c r="C72">
        <f t="array" ref="C72">_xll.HistoricalData(C$1,"Adj. Close",$A72,$A72,"Daily","RemoveHeaders = True","ReverseOrder =True","RemoveDates =""True")</f>
        <v>105.85</v>
      </c>
      <c r="D72">
        <f t="array" ref="D72">_xll.HistoricalData(D$1,"Adj. Close",$A72,$A72,"Daily","RemoveHeaders = True","ReverseOrder =True","RemoveDates =""True")</f>
        <v>287.47000000000003</v>
      </c>
      <c r="E72">
        <f t="array" ref="E72">_xll.HistoricalData(E$1,"Adj. Close",$A72,$A72,"Daily","RemoveHeaders = True","ReverseOrder =True","RemoveDates =""True")</f>
        <v>17.68</v>
      </c>
      <c r="G72" s="5">
        <f t="shared" si="216"/>
        <v>4.6346782988004875E-3</v>
      </c>
      <c r="H72" s="5">
        <f t="shared" si="217"/>
        <v>-1.7917766880423125E-3</v>
      </c>
      <c r="I72" s="5">
        <f t="shared" si="218"/>
        <v>2.8606314320602788E-3</v>
      </c>
      <c r="J72" s="5">
        <f t="shared" si="219"/>
        <v>1.1325028312569874E-3</v>
      </c>
    </row>
    <row r="73" spans="1:10" x14ac:dyDescent="0.25">
      <c r="A73" s="13">
        <v>43320</v>
      </c>
      <c r="B73">
        <f t="array" ref="B73">_xll.HistoricalData(B$1,"Adj. Close",$A73,$A73,"Daily","RemoveHeaders = True","ReverseOrder =True","RemoveDates =""True")</f>
        <v>73.709999999999994</v>
      </c>
      <c r="C73">
        <f t="array" ref="C73">_xll.HistoricalData(C$1,"Adj. Close",$A73,$A73,"Daily","RemoveHeaders = True","ReverseOrder =True","RemoveDates =""True")</f>
        <v>105.85</v>
      </c>
      <c r="D73">
        <f t="array" ref="D73">_xll.HistoricalData(D$1,"Adj. Close",$A73,$A73,"Daily","RemoveHeaders = True","ReverseOrder =True","RemoveDates =""True")</f>
        <v>287.37</v>
      </c>
      <c r="E73">
        <f t="array" ref="E73">_xll.HistoricalData(E$1,"Adj. Close",$A73,$A73,"Daily","RemoveHeaders = True","ReverseOrder =True","RemoveDates =""True")</f>
        <v>17.73</v>
      </c>
      <c r="G73" s="5">
        <f t="shared" ref="G73:G78" si="220">B73/B72-1</f>
        <v>1.3568521031204206E-4</v>
      </c>
      <c r="H73" s="5">
        <f t="shared" ref="H73:H78" si="221">C73/C72-1</f>
        <v>0</v>
      </c>
      <c r="I73" s="5">
        <f t="shared" ref="I73:I78" si="222">D73/D72-1</f>
        <v>-3.4786238564032956E-4</v>
      </c>
      <c r="J73" s="5">
        <f t="shared" ref="J73:J78" si="223">E73/E72-1</f>
        <v>2.8280542986425239E-3</v>
      </c>
    </row>
    <row r="74" spans="1:10" x14ac:dyDescent="0.25">
      <c r="A74" s="13">
        <v>43321</v>
      </c>
      <c r="B74">
        <f t="array" ref="B74">_xll.HistoricalData(B$1,"Adj. Close",$A74,$A74,"Daily","RemoveHeaders = True","ReverseOrder =True","RemoveDates =""True")</f>
        <v>73.52</v>
      </c>
      <c r="C74">
        <f t="array" ref="C74">_xll.HistoricalData(C$1,"Adj. Close",$A74,$A74,"Daily","RemoveHeaders = True","ReverseOrder =True","RemoveDates =""True")</f>
        <v>106</v>
      </c>
      <c r="D74">
        <f t="array" ref="D74">_xll.HistoricalData(D$1,"Adj. Close",$A74,$A74,"Daily","RemoveHeaders = True","ReverseOrder =True","RemoveDates =""True")</f>
        <v>287.11</v>
      </c>
      <c r="E74">
        <f t="array" ref="E74">_xll.HistoricalData(E$1,"Adj. Close",$A74,$A74,"Daily","RemoveHeaders = True","ReverseOrder =True","RemoveDates =""True")</f>
        <v>17.62</v>
      </c>
      <c r="G74" s="5">
        <f t="shared" si="220"/>
        <v>-2.5776692443358895E-3</v>
      </c>
      <c r="H74" s="5">
        <f t="shared" si="221"/>
        <v>1.4170996693434468E-3</v>
      </c>
      <c r="I74" s="5">
        <f t="shared" si="222"/>
        <v>-9.0475693356995013E-4</v>
      </c>
      <c r="J74" s="5">
        <f t="shared" si="223"/>
        <v>-6.2041737168639921E-3</v>
      </c>
    </row>
    <row r="75" spans="1:10" x14ac:dyDescent="0.25">
      <c r="A75" s="13">
        <v>43322</v>
      </c>
      <c r="B75">
        <f t="array" ref="B75">_xll.HistoricalData(B$1,"Adj. Close",$A75,$A75,"Daily","RemoveHeaders = True","ReverseOrder =True","RemoveDates =""True")</f>
        <v>72.650000000000006</v>
      </c>
      <c r="C75">
        <f t="array" ref="C75">_xll.HistoricalData(C$1,"Adj. Close",$A75,$A75,"Daily","RemoveHeaders = True","ReverseOrder =True","RemoveDates =""True")</f>
        <v>106.23</v>
      </c>
      <c r="D75">
        <f t="array" ref="D75">_xll.HistoricalData(D$1,"Adj. Close",$A75,$A75,"Daily","RemoveHeaders = True","ReverseOrder =True","RemoveDates =""True")</f>
        <v>285.07</v>
      </c>
      <c r="E75">
        <f t="array" ref="E75">_xll.HistoricalData(E$1,"Adj. Close",$A75,$A75,"Daily","RemoveHeaders = True","ReverseOrder =True","RemoveDates =""True")</f>
        <v>17.55</v>
      </c>
      <c r="G75" s="5">
        <f t="shared" si="220"/>
        <v>-1.1833514689880142E-2</v>
      </c>
      <c r="H75" s="5">
        <f t="shared" si="221"/>
        <v>2.1698113207546665E-3</v>
      </c>
      <c r="I75" s="5">
        <f t="shared" si="222"/>
        <v>-7.1052906551496431E-3</v>
      </c>
      <c r="J75" s="5">
        <f t="shared" si="223"/>
        <v>-3.9727582292848895E-3</v>
      </c>
    </row>
    <row r="76" spans="1:10" x14ac:dyDescent="0.25">
      <c r="A76" s="13">
        <v>43325</v>
      </c>
      <c r="B76">
        <f t="array" ref="B76">_xll.HistoricalData(B$1,"Adj. Close",$A76,$A76,"Daily","RemoveHeaders = True","ReverseOrder =True","RemoveDates =""True")</f>
        <v>72.22</v>
      </c>
      <c r="C76">
        <f t="array" ref="C76">_xll.HistoricalData(C$1,"Adj. Close",$A76,$A76,"Daily","RemoveHeaders = True","ReverseOrder =True","RemoveDates =""True")</f>
        <v>106.29</v>
      </c>
      <c r="D76">
        <f t="array" ref="D76">_xll.HistoricalData(D$1,"Adj. Close",$A76,$A76,"Daily","RemoveHeaders = True","ReverseOrder =True","RemoveDates =""True")</f>
        <v>284.11</v>
      </c>
      <c r="E76">
        <f t="array" ref="E76">_xll.HistoricalData(E$1,"Adj. Close",$A76,$A76,"Daily","RemoveHeaders = True","ReverseOrder =True","RemoveDates =""True")</f>
        <v>17.39</v>
      </c>
      <c r="G76" s="5">
        <f t="shared" si="220"/>
        <v>-5.9187887130076611E-3</v>
      </c>
      <c r="H76" s="5">
        <f t="shared" si="221"/>
        <v>5.6481219994353182E-4</v>
      </c>
      <c r="I76" s="5">
        <f t="shared" si="222"/>
        <v>-3.3675939242991948E-3</v>
      </c>
      <c r="J76" s="5">
        <f t="shared" si="223"/>
        <v>-9.1168091168091214E-3</v>
      </c>
    </row>
    <row r="77" spans="1:10" x14ac:dyDescent="0.25">
      <c r="A77" s="13">
        <v>43326</v>
      </c>
      <c r="B77">
        <f t="array" ref="B77">_xll.HistoricalData(B$1,"Adj. Close",$A77,$A77,"Daily","RemoveHeaders = True","ReverseOrder =True","RemoveDates =""True")</f>
        <v>72.55</v>
      </c>
      <c r="C77">
        <f t="array" ref="C77">_xll.HistoricalData(C$1,"Adj. Close",$A77,$A77,"Daily","RemoveHeaders = True","ReverseOrder =True","RemoveDates =""True")</f>
        <v>106.19</v>
      </c>
      <c r="D77">
        <f t="array" ref="D77">_xll.HistoricalData(D$1,"Adj. Close",$A77,$A77,"Daily","RemoveHeaders = True","ReverseOrder =True","RemoveDates =""True")</f>
        <v>285.93</v>
      </c>
      <c r="E77">
        <f t="array" ref="E77">_xll.HistoricalData(E$1,"Adj. Close",$A77,$A77,"Daily","RemoveHeaders = True","ReverseOrder =True","RemoveDates =""True")</f>
        <v>17.46</v>
      </c>
      <c r="G77" s="5">
        <f t="shared" si="220"/>
        <v>4.5693713652728007E-3</v>
      </c>
      <c r="H77" s="5">
        <f t="shared" si="221"/>
        <v>-9.4082227867164914E-4</v>
      </c>
      <c r="I77" s="5">
        <f t="shared" si="222"/>
        <v>6.405969518848309E-3</v>
      </c>
      <c r="J77" s="5">
        <f t="shared" si="223"/>
        <v>4.025301897642386E-3</v>
      </c>
    </row>
    <row r="78" spans="1:10" x14ac:dyDescent="0.25">
      <c r="A78" s="13">
        <v>43327</v>
      </c>
      <c r="B78">
        <f t="array" ref="B78">_xll.HistoricalData(B$1,"Adj. Close",$A78,$A78,"Daily","RemoveHeaders = True","ReverseOrder =True","RemoveDates =""True")</f>
        <v>71.69</v>
      </c>
      <c r="C78">
        <f t="array" ref="C78">_xll.HistoricalData(C$1,"Adj. Close",$A78,$A78,"Daily","RemoveHeaders = True","ReverseOrder =True","RemoveDates =""True")</f>
        <v>106.34</v>
      </c>
      <c r="D78">
        <f t="array" ref="D78">_xll.HistoricalData(D$1,"Adj. Close",$A78,$A78,"Daily","RemoveHeaders = True","ReverseOrder =True","RemoveDates =""True")</f>
        <v>283.64999999999998</v>
      </c>
      <c r="E78">
        <f t="array" ref="E78">_xll.HistoricalData(E$1,"Adj. Close",$A78,$A78,"Daily","RemoveHeaders = True","ReverseOrder =True","RemoveDates =""True")</f>
        <v>17.317799999999998</v>
      </c>
      <c r="G78" s="5">
        <f t="shared" si="220"/>
        <v>-1.1853893866299092E-2</v>
      </c>
      <c r="H78" s="5">
        <f t="shared" si="221"/>
        <v>1.4125623881722227E-3</v>
      </c>
      <c r="I78" s="5">
        <f t="shared" si="222"/>
        <v>-7.9739796453678347E-3</v>
      </c>
      <c r="J78" s="5">
        <f t="shared" si="223"/>
        <v>-8.1443298969073874E-3</v>
      </c>
    </row>
    <row r="79" spans="1:10" x14ac:dyDescent="0.25">
      <c r="A79" s="13">
        <v>43328</v>
      </c>
      <c r="B79">
        <f t="array" ref="B79">_xll.HistoricalData(B$1,"Adj. Close",$A79,$A79,"Daily","RemoveHeaders = True","ReverseOrder =True","RemoveDates =""True")</f>
        <v>72.23</v>
      </c>
      <c r="C79">
        <f t="array" ref="C79">_xll.HistoricalData(C$1,"Adj. Close",$A79,$A79,"Daily","RemoveHeaders = True","ReverseOrder =True","RemoveDates =""True")</f>
        <v>106.4</v>
      </c>
      <c r="D79">
        <f t="array" ref="D79">_xll.HistoricalData(D$1,"Adj. Close",$A79,$A79,"Daily","RemoveHeaders = True","ReverseOrder =True","RemoveDates =""True")</f>
        <v>286.10000000000002</v>
      </c>
      <c r="E79">
        <f t="array" ref="E79">_xll.HistoricalData(E$1,"Adj. Close",$A79,$A79,"Daily","RemoveHeaders = True","ReverseOrder =True","RemoveDates =""True")</f>
        <v>17.190000000000001</v>
      </c>
      <c r="G79" s="5">
        <f t="shared" ref="G79:G87" si="224">B79/B78-1</f>
        <v>7.5324313014368816E-3</v>
      </c>
      <c r="H79" s="5">
        <f t="shared" ref="H79:H87" si="225">C79/C78-1</f>
        <v>5.6422794809107835E-4</v>
      </c>
      <c r="I79" s="5">
        <f t="shared" ref="I79:I87" si="226">D79/D78-1</f>
        <v>8.6374052529527567E-3</v>
      </c>
      <c r="J79" s="5">
        <f t="shared" ref="J79:J87" si="227">E79/E78-1</f>
        <v>-7.3796902608874726E-3</v>
      </c>
    </row>
    <row r="80" spans="1:10" x14ac:dyDescent="0.25">
      <c r="A80" s="13">
        <v>43329</v>
      </c>
      <c r="B80">
        <f t="array" ref="B80">_xll.HistoricalData(B$1,"Adj. Close",$A80,$A80,"Daily","RemoveHeaders = True","ReverseOrder =True","RemoveDates =""True")</f>
        <v>72.56</v>
      </c>
      <c r="C80">
        <f t="array" ref="C80">_xll.HistoricalData(C$1,"Adj. Close",$A80,$A80,"Daily","RemoveHeaders = True","ReverseOrder =True","RemoveDates =""True")</f>
        <v>106.46</v>
      </c>
      <c r="D80">
        <f t="array" ref="D80">_xll.HistoricalData(D$1,"Adj. Close",$A80,$A80,"Daily","RemoveHeaders = True","ReverseOrder =True","RemoveDates =""True")</f>
        <v>287.04000000000002</v>
      </c>
      <c r="E80">
        <f t="array" ref="E80">_xll.HistoricalData(E$1,"Adj. Close",$A80,$A80,"Daily","RemoveHeaders = True","ReverseOrder =True","RemoveDates =""True")</f>
        <v>17.440000000000001</v>
      </c>
      <c r="G80" s="5">
        <f t="shared" si="224"/>
        <v>4.568738751211443E-3</v>
      </c>
      <c r="H80" s="5">
        <f t="shared" si="225"/>
        <v>5.6390977443587786E-4</v>
      </c>
      <c r="I80" s="5">
        <f t="shared" si="226"/>
        <v>3.2855644879412615E-3</v>
      </c>
      <c r="J80" s="5">
        <f t="shared" si="227"/>
        <v>1.4543339150669077E-2</v>
      </c>
    </row>
    <row r="81" spans="1:10" x14ac:dyDescent="0.25">
      <c r="A81" s="13">
        <v>43332</v>
      </c>
      <c r="B81">
        <f t="array" ref="B81">_xll.HistoricalData(B$1,"Adj. Close",$A81,$A81,"Daily","RemoveHeaders = True","ReverseOrder =True","RemoveDates =""True")</f>
        <v>72.83</v>
      </c>
      <c r="C81">
        <f t="array" ref="C81">_xll.HistoricalData(C$1,"Adj. Close",$A81,$A81,"Daily","RemoveHeaders = True","ReverseOrder =True","RemoveDates =""True")</f>
        <v>106.67</v>
      </c>
      <c r="D81">
        <f t="array" ref="D81">_xll.HistoricalData(D$1,"Adj. Close",$A81,$A81,"Daily","RemoveHeaders = True","ReverseOrder =True","RemoveDates =""True")</f>
        <v>287.74</v>
      </c>
      <c r="E81">
        <f t="array" ref="E81">_xll.HistoricalData(E$1,"Adj. Close",$A81,$A81,"Daily","RemoveHeaders = True","ReverseOrder =True","RemoveDates =""True")</f>
        <v>17.5975</v>
      </c>
      <c r="G81" s="5">
        <f t="shared" si="224"/>
        <v>3.7210584343989606E-3</v>
      </c>
      <c r="H81" s="5">
        <f t="shared" si="225"/>
        <v>1.9725718579748364E-3</v>
      </c>
      <c r="I81" s="5">
        <f t="shared" si="226"/>
        <v>2.4386845039019445E-3</v>
      </c>
      <c r="J81" s="5">
        <f t="shared" si="227"/>
        <v>9.0309633027523262E-3</v>
      </c>
    </row>
    <row r="82" spans="1:10" x14ac:dyDescent="0.25">
      <c r="A82" s="13">
        <v>43333</v>
      </c>
      <c r="B82">
        <f t="array" ref="B82">_xll.HistoricalData(B$1,"Adj. Close",$A82,$A82,"Daily","RemoveHeaders = True","ReverseOrder =True","RemoveDates =""True")</f>
        <v>73.17</v>
      </c>
      <c r="C82">
        <f t="array" ref="C82">_xll.HistoricalData(C$1,"Adj. Close",$A82,$A82,"Daily","RemoveHeaders = True","ReverseOrder =True","RemoveDates =""True")</f>
        <v>106.58</v>
      </c>
      <c r="D82">
        <f t="array" ref="D82">_xll.HistoricalData(D$1,"Adj. Close",$A82,$A82,"Daily","RemoveHeaders = True","ReverseOrder =True","RemoveDates =""True")</f>
        <v>288.23</v>
      </c>
      <c r="E82">
        <f t="array" ref="E82">_xll.HistoricalData(E$1,"Adj. Close",$A82,$A82,"Daily","RemoveHeaders = True","ReverseOrder =True","RemoveDates =""True")</f>
        <v>17.690000000000001</v>
      </c>
      <c r="G82" s="5">
        <f t="shared" si="224"/>
        <v>4.6684058766992553E-3</v>
      </c>
      <c r="H82" s="5">
        <f t="shared" si="225"/>
        <v>-8.4372363363649505E-4</v>
      </c>
      <c r="I82" s="5">
        <f t="shared" si="226"/>
        <v>1.7029262528671651E-3</v>
      </c>
      <c r="J82" s="5">
        <f t="shared" si="227"/>
        <v>5.2564284699532227E-3</v>
      </c>
    </row>
    <row r="83" spans="1:10" x14ac:dyDescent="0.25">
      <c r="A83" s="13">
        <v>43334</v>
      </c>
      <c r="B83">
        <f t="array" ref="B83">_xll.HistoricalData(B$1,"Adj. Close",$A83,$A83,"Daily","RemoveHeaders = True","ReverseOrder =True","RemoveDates =""True")</f>
        <v>73.28</v>
      </c>
      <c r="C83">
        <f t="array" ref="C83">_xll.HistoricalData(C$1,"Adj. Close",$A83,$A83,"Daily","RemoveHeaders = True","ReverseOrder =True","RemoveDates =""True")</f>
        <v>106.67</v>
      </c>
      <c r="D83">
        <f t="array" ref="D83">_xll.HistoricalData(D$1,"Adj. Close",$A83,$A83,"Daily","RemoveHeaders = True","ReverseOrder =True","RemoveDates =""True")</f>
        <v>288.22000000000003</v>
      </c>
      <c r="E83">
        <f t="array" ref="E83">_xll.HistoricalData(E$1,"Adj. Close",$A83,$A83,"Daily","RemoveHeaders = True","ReverseOrder =True","RemoveDates =""True")</f>
        <v>17.68</v>
      </c>
      <c r="G83" s="5">
        <f t="shared" si="224"/>
        <v>1.5033483668169811E-3</v>
      </c>
      <c r="H83" s="5">
        <f t="shared" si="225"/>
        <v>8.444361043347115E-4</v>
      </c>
      <c r="I83" s="5">
        <f t="shared" si="226"/>
        <v>-3.4694514797206644E-5</v>
      </c>
      <c r="J83" s="5">
        <f t="shared" si="227"/>
        <v>-5.6529112492942346E-4</v>
      </c>
    </row>
    <row r="84" spans="1:10" x14ac:dyDescent="0.25">
      <c r="A84" s="13">
        <v>43335</v>
      </c>
      <c r="B84">
        <f t="array" ref="B84">_xll.HistoricalData(B$1,"Adj. Close",$A84,$A84,"Daily","RemoveHeaders = True","ReverseOrder =True","RemoveDates =""True")</f>
        <v>72.930000000000007</v>
      </c>
      <c r="C84">
        <f t="array" ref="C84">_xll.HistoricalData(C$1,"Adj. Close",$A84,$A84,"Daily","RemoveHeaders = True","ReverseOrder =True","RemoveDates =""True")</f>
        <v>106.61</v>
      </c>
      <c r="D84">
        <f t="array" ref="D84">_xll.HistoricalData(D$1,"Adj. Close",$A84,$A84,"Daily","RemoveHeaders = True","ReverseOrder =True","RemoveDates =""True")</f>
        <v>287.73</v>
      </c>
      <c r="E84">
        <f t="array" ref="E84">_xll.HistoricalData(E$1,"Adj. Close",$A84,$A84,"Daily","RemoveHeaders = True","ReverseOrder =True","RemoveDates =""True")</f>
        <v>17.53</v>
      </c>
      <c r="G84" s="5">
        <f t="shared" si="224"/>
        <v>-4.7762008733623906E-3</v>
      </c>
      <c r="H84" s="5">
        <f t="shared" si="225"/>
        <v>-5.6248242242429303E-4</v>
      </c>
      <c r="I84" s="5">
        <f t="shared" si="226"/>
        <v>-1.700090208868299E-3</v>
      </c>
      <c r="J84" s="5">
        <f t="shared" si="227"/>
        <v>-8.4841628959275717E-3</v>
      </c>
    </row>
    <row r="85" spans="1:10" x14ac:dyDescent="0.25">
      <c r="B85" t="str">
        <f t="array" ref="B85">_xll.HistoricalData(B$1,"Adj. Close",$A85,$A85,"Daily","RemoveHeaders = True","ReverseOrder =True","RemoveDates =""True")</f>
        <v>--</v>
      </c>
      <c r="C85" t="str">
        <f t="array" ref="C85">_xll.HistoricalData(C$1,"Adj. Close",$A85,$A85,"Daily","RemoveHeaders = True","ReverseOrder =True","RemoveDates =""True")</f>
        <v>--</v>
      </c>
      <c r="D85" t="str">
        <f t="array" ref="D85">_xll.HistoricalData(D$1,"Adj. Close",$A85,$A85,"Daily","RemoveHeaders = True","ReverseOrder =True","RemoveDates =""True")</f>
        <v>--</v>
      </c>
      <c r="E85" t="str">
        <f t="array" ref="E85">_xll.HistoricalData(E$1,"Adj. Close",$A85,$A85,"Daily","RemoveHeaders = True","ReverseOrder =True","RemoveDates =""True")</f>
        <v>--</v>
      </c>
      <c r="G85" s="5" t="e">
        <f t="shared" si="224"/>
        <v>#VALUE!</v>
      </c>
      <c r="H85" s="5" t="e">
        <f t="shared" si="225"/>
        <v>#VALUE!</v>
      </c>
      <c r="I85" s="5" t="e">
        <f t="shared" si="226"/>
        <v>#VALUE!</v>
      </c>
      <c r="J85" s="5" t="e">
        <f t="shared" si="227"/>
        <v>#VALUE!</v>
      </c>
    </row>
    <row r="86" spans="1:10" x14ac:dyDescent="0.25">
      <c r="B86" t="str">
        <f t="array" ref="B86">_xll.HistoricalData(B$1,"Adj. Close",$A86,$A86,"Daily","RemoveHeaders = True","ReverseOrder =True","RemoveDates =""True")</f>
        <v>--</v>
      </c>
      <c r="C86" t="str">
        <f t="array" ref="C86">_xll.HistoricalData(C$1,"Adj. Close",$A86,$A86,"Daily","RemoveHeaders = True","ReverseOrder =True","RemoveDates =""True")</f>
        <v>--</v>
      </c>
      <c r="D86" t="str">
        <f t="array" ref="D86">_xll.HistoricalData(D$1,"Adj. Close",$A86,$A86,"Daily","RemoveHeaders = True","ReverseOrder =True","RemoveDates =""True")</f>
        <v>--</v>
      </c>
      <c r="E86" t="str">
        <f t="array" ref="E86">_xll.HistoricalData(E$1,"Adj. Close",$A86,$A86,"Daily","RemoveHeaders = True","ReverseOrder =True","RemoveDates =""True")</f>
        <v>--</v>
      </c>
      <c r="G86" s="5" t="e">
        <f t="shared" si="224"/>
        <v>#VALUE!</v>
      </c>
      <c r="H86" s="5" t="e">
        <f t="shared" si="225"/>
        <v>#VALUE!</v>
      </c>
      <c r="I86" s="5" t="e">
        <f t="shared" si="226"/>
        <v>#VALUE!</v>
      </c>
      <c r="J86" s="5" t="e">
        <f t="shared" si="227"/>
        <v>#VALUE!</v>
      </c>
    </row>
    <row r="87" spans="1:10" x14ac:dyDescent="0.25">
      <c r="B87" t="str">
        <f t="array" ref="B87">_xll.HistoricalData(B$1,"Adj. Close",$A87,$A87,"Daily","RemoveHeaders = True","ReverseOrder =True","RemoveDates =""True")</f>
        <v>--</v>
      </c>
      <c r="C87" t="str">
        <f t="array" ref="C87">_xll.HistoricalData(C$1,"Adj. Close",$A87,$A87,"Daily","RemoveHeaders = True","ReverseOrder =True","RemoveDates =""True")</f>
        <v>--</v>
      </c>
      <c r="D87" t="str">
        <f t="array" ref="D87">_xll.HistoricalData(D$1,"Adj. Close",$A87,$A87,"Daily","RemoveHeaders = True","ReverseOrder =True","RemoveDates =""True")</f>
        <v>--</v>
      </c>
      <c r="E87" t="str">
        <f t="array" ref="E87">_xll.HistoricalData(E$1,"Adj. Close",$A87,$A87,"Daily","RemoveHeaders = True","ReverseOrder =True","RemoveDates =""True")</f>
        <v>--</v>
      </c>
      <c r="G87" s="5" t="e">
        <f t="shared" si="224"/>
        <v>#VALUE!</v>
      </c>
      <c r="H87" s="5" t="e">
        <f t="shared" si="225"/>
        <v>#VALUE!</v>
      </c>
      <c r="I87" s="5" t="e">
        <f t="shared" si="226"/>
        <v>#VALUE!</v>
      </c>
      <c r="J87" s="5" t="e">
        <f t="shared" si="227"/>
        <v>#VALUE!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abSelected="1" workbookViewId="0">
      <selection activeCell="R20" sqref="R20"/>
    </sheetView>
  </sheetViews>
  <sheetFormatPr defaultRowHeight="15" x14ac:dyDescent="0.25"/>
  <cols>
    <col min="3" max="3" width="8.7109375" customWidth="1"/>
    <col min="6" max="6" width="12" bestFit="1" customWidth="1"/>
    <col min="10" max="10" width="9.7109375" bestFit="1" customWidth="1"/>
  </cols>
  <sheetData>
    <row r="1" spans="1:23" x14ac:dyDescent="0.25">
      <c r="A1" t="s">
        <v>92</v>
      </c>
      <c r="B1">
        <v>100000</v>
      </c>
      <c r="J1" s="13">
        <v>43251</v>
      </c>
      <c r="W1">
        <f t="array" ref="W1">_xll.HistoricalData("AAPL","Close","5/31/2018","5/31/2018","Daily","RemoveHeaders = True","RemoveDates=True")</f>
        <v>186.87</v>
      </c>
    </row>
    <row r="2" spans="1:23" x14ac:dyDescent="0.25">
      <c r="A2" t="s">
        <v>93</v>
      </c>
      <c r="B2" s="71">
        <v>0.7</v>
      </c>
      <c r="C2">
        <f>B2*$B$1</f>
        <v>70000</v>
      </c>
      <c r="G2" s="74">
        <f>SUM(G5:G10)</f>
        <v>0.99290311643376095</v>
      </c>
    </row>
    <row r="3" spans="1:23" x14ac:dyDescent="0.25">
      <c r="A3" t="s">
        <v>94</v>
      </c>
      <c r="B3" s="71">
        <v>0.3</v>
      </c>
      <c r="C3">
        <f>B3*B1</f>
        <v>30000</v>
      </c>
    </row>
    <row r="4" spans="1:23" x14ac:dyDescent="0.25">
      <c r="B4" t="s">
        <v>95</v>
      </c>
      <c r="C4" t="s">
        <v>22</v>
      </c>
      <c r="D4" t="s">
        <v>97</v>
      </c>
      <c r="E4" t="s">
        <v>98</v>
      </c>
      <c r="F4" t="s">
        <v>7</v>
      </c>
      <c r="G4" t="s">
        <v>102</v>
      </c>
      <c r="H4" t="s">
        <v>104</v>
      </c>
      <c r="I4" t="s">
        <v>111</v>
      </c>
    </row>
    <row r="5" spans="1:23" x14ac:dyDescent="0.25">
      <c r="A5" t="s">
        <v>86</v>
      </c>
      <c r="B5">
        <f>_xll.HistoricalData(A5,"Close","5/31/2018","5/31/2018","Daily","RemoveHeaders = True","RemoveDates=True")</f>
        <v>331.95</v>
      </c>
      <c r="C5">
        <f>_xll.RealtimeData(A5,"Last")</f>
        <v>366.73500000000001</v>
      </c>
      <c r="D5">
        <f>ROUNDDOWN(($C$2/6)/B5,0)</f>
        <v>35</v>
      </c>
      <c r="E5" s="8">
        <f>C5/B5-1</f>
        <v>0.10478987799367379</v>
      </c>
      <c r="F5">
        <f>C5*D5</f>
        <v>12835.725</v>
      </c>
      <c r="G5" s="73">
        <f>F5/$F$13</f>
        <v>0.17170310032093372</v>
      </c>
      <c r="H5" s="8">
        <f>F5/$F$31</f>
        <v>0.12211521443819244</v>
      </c>
      <c r="I5">
        <f>B5*D5</f>
        <v>11618.25</v>
      </c>
    </row>
    <row r="6" spans="1:23" x14ac:dyDescent="0.25">
      <c r="A6" t="s">
        <v>87</v>
      </c>
      <c r="B6">
        <f>_xll.HistoricalData(A6,"Close","5/31/2018","5/31/2018","Daily","RemoveHeaders = True","RemoveDates=True")</f>
        <v>1629.62</v>
      </c>
      <c r="C6">
        <f>_xll.RealtimeData(A6,"Last")</f>
        <v>1911.6447000000001</v>
      </c>
      <c r="D6">
        <f t="shared" ref="D6:D10" si="0">ROUNDDOWN(($C$2/6)/B6,0)</f>
        <v>7</v>
      </c>
      <c r="E6" s="8">
        <f t="shared" ref="E6:E10" si="1">C6/B6-1</f>
        <v>0.17306163400056462</v>
      </c>
      <c r="F6">
        <f t="shared" ref="F6:F9" si="2">C6*D6</f>
        <v>13381.5129</v>
      </c>
      <c r="G6" s="73">
        <f t="shared" ref="G6:G10" si="3">F6/$F$13</f>
        <v>0.17900408834830667</v>
      </c>
      <c r="H6" s="8">
        <f t="shared" ref="H6:H10" si="4">F6/$F$31</f>
        <v>0.12730767582594191</v>
      </c>
      <c r="I6">
        <f t="shared" ref="I6:I10" si="5">B6*D6</f>
        <v>11407.34</v>
      </c>
    </row>
    <row r="7" spans="1:23" x14ac:dyDescent="0.25">
      <c r="A7" t="s">
        <v>88</v>
      </c>
      <c r="B7">
        <f>_xll.HistoricalData(A7,"Close","5/31/2018","5/31/2018","Daily","RemoveHeaders = True","RemoveDates=True")</f>
        <v>42.38</v>
      </c>
      <c r="C7">
        <f>_xll.RealtimeData(A7,"Last")</f>
        <v>46.34</v>
      </c>
      <c r="D7">
        <f t="shared" si="0"/>
        <v>275</v>
      </c>
      <c r="E7" s="8">
        <f t="shared" si="1"/>
        <v>9.3440302029259126E-2</v>
      </c>
      <c r="F7">
        <f t="shared" si="2"/>
        <v>12743.500000000002</v>
      </c>
      <c r="G7" s="73">
        <f t="shared" si="3"/>
        <v>0.17046940931967763</v>
      </c>
      <c r="H7" s="8">
        <f t="shared" si="4"/>
        <v>0.1212378136173146</v>
      </c>
      <c r="I7">
        <f t="shared" si="5"/>
        <v>11654.5</v>
      </c>
    </row>
    <row r="8" spans="1:23" x14ac:dyDescent="0.25">
      <c r="A8" t="s">
        <v>89</v>
      </c>
      <c r="B8">
        <f>_xll.HistoricalData(A8,"Close","5/31/2018","5/31/2018","Daily","RemoveHeaders = True","RemoveDates=True")</f>
        <v>459.67</v>
      </c>
      <c r="C8">
        <f>_xll.RealtimeData(A8,"Last")</f>
        <v>539.70000000000005</v>
      </c>
      <c r="D8">
        <f t="shared" si="0"/>
        <v>25</v>
      </c>
      <c r="E8" s="8">
        <f t="shared" si="1"/>
        <v>0.17410316096329992</v>
      </c>
      <c r="F8">
        <f t="shared" si="2"/>
        <v>13492.500000000002</v>
      </c>
      <c r="G8" s="73">
        <f t="shared" si="3"/>
        <v>0.18048875938680506</v>
      </c>
      <c r="H8" s="8">
        <f t="shared" si="4"/>
        <v>0.12836357360470965</v>
      </c>
      <c r="I8">
        <f t="shared" si="5"/>
        <v>11491.75</v>
      </c>
    </row>
    <row r="9" spans="1:23" x14ac:dyDescent="0.25">
      <c r="A9" t="s">
        <v>90</v>
      </c>
      <c r="B9">
        <f>_xll.HistoricalData(A9,"Close","5/31/2018","5/31/2018","Daily","RemoveHeaders = True","RemoveDates=True")</f>
        <v>57.59</v>
      </c>
      <c r="C9">
        <f>_xll.RealtimeData(A9,"Last")</f>
        <v>50.23</v>
      </c>
      <c r="D9">
        <f t="shared" si="0"/>
        <v>202</v>
      </c>
      <c r="E9" s="8">
        <f t="shared" si="1"/>
        <v>-0.12779996527174864</v>
      </c>
      <c r="F9">
        <f t="shared" si="2"/>
        <v>10146.459999999999</v>
      </c>
      <c r="G9" s="73">
        <f t="shared" si="3"/>
        <v>0.13572888475581557</v>
      </c>
      <c r="H9" s="8">
        <f t="shared" si="4"/>
        <v>9.6530358720566381E-2</v>
      </c>
      <c r="I9">
        <f t="shared" si="5"/>
        <v>11633.18</v>
      </c>
    </row>
    <row r="10" spans="1:23" x14ac:dyDescent="0.25">
      <c r="A10" t="s">
        <v>91</v>
      </c>
      <c r="B10">
        <f>_xll.HistoricalData(A10,"Close","5/31/2018","5/31/2018","Daily","RemoveHeaders = True","RemoveDates=True")</f>
        <v>56.35</v>
      </c>
      <c r="C10">
        <f>_xll.RealtimeData(A10,"Last")</f>
        <v>56.16</v>
      </c>
      <c r="D10">
        <f t="shared" si="0"/>
        <v>207</v>
      </c>
      <c r="E10" s="8">
        <f t="shared" si="1"/>
        <v>-3.3717834960071968E-3</v>
      </c>
      <c r="F10">
        <f>C10*D10</f>
        <v>11625.119999999999</v>
      </c>
      <c r="G10" s="73">
        <f t="shared" si="3"/>
        <v>0.15550887430222232</v>
      </c>
      <c r="H10" s="8">
        <f t="shared" si="4"/>
        <v>0.11059788377124935</v>
      </c>
      <c r="I10">
        <f t="shared" si="5"/>
        <v>11664.45</v>
      </c>
    </row>
    <row r="12" spans="1:23" x14ac:dyDescent="0.25">
      <c r="I12">
        <f>SUM(I5:I10)</f>
        <v>69469.47</v>
      </c>
    </row>
    <row r="13" spans="1:23" x14ac:dyDescent="0.25">
      <c r="E13" t="s">
        <v>93</v>
      </c>
      <c r="F13" s="75">
        <f>SUM(F5:F10)+I13</f>
        <v>74755.347899999993</v>
      </c>
      <c r="H13" t="s">
        <v>26</v>
      </c>
      <c r="I13">
        <f>C2-I12</f>
        <v>530.52999999999884</v>
      </c>
    </row>
    <row r="14" spans="1:23" x14ac:dyDescent="0.25">
      <c r="E14" t="s">
        <v>107</v>
      </c>
      <c r="F14" s="8">
        <f>F13/C2-1</f>
        <v>6.7933541428571331E-2</v>
      </c>
    </row>
    <row r="15" spans="1:23" x14ac:dyDescent="0.25">
      <c r="E15" t="s">
        <v>108</v>
      </c>
    </row>
    <row r="17" spans="1:10" x14ac:dyDescent="0.25">
      <c r="H17" s="11">
        <f>SUM(H20:H23)</f>
        <v>0.98831937309879736</v>
      </c>
    </row>
    <row r="19" spans="1:10" x14ac:dyDescent="0.25">
      <c r="B19" t="s">
        <v>95</v>
      </c>
      <c r="C19" t="s">
        <v>22</v>
      </c>
      <c r="D19" t="s">
        <v>97</v>
      </c>
      <c r="E19" t="s">
        <v>96</v>
      </c>
      <c r="F19" t="s">
        <v>99</v>
      </c>
      <c r="G19" t="s">
        <v>7</v>
      </c>
      <c r="H19" t="s">
        <v>103</v>
      </c>
      <c r="I19" t="s">
        <v>104</v>
      </c>
      <c r="J19" t="s">
        <v>111</v>
      </c>
    </row>
    <row r="20" spans="1:10" x14ac:dyDescent="0.25">
      <c r="A20" t="s">
        <v>8</v>
      </c>
      <c r="B20">
        <f>_xll.HistoricalData(A20,"Close","8/1/2018","8/1/2018","Daily","RemoveHeaders = True","RemoveDates=True")</f>
        <v>17</v>
      </c>
      <c r="C20">
        <f>_xll.RealtimeData(A20,"Last")</f>
        <v>17.28</v>
      </c>
      <c r="D20">
        <f>ROUNDDOWN(($C$3*E20)/B20,0)</f>
        <v>250</v>
      </c>
      <c r="E20" s="11">
        <v>0.14199999999999999</v>
      </c>
      <c r="F20" s="8">
        <f>C20/B20-1</f>
        <v>1.6470588235294237E-2</v>
      </c>
      <c r="G20">
        <f>D20*C20</f>
        <v>4320</v>
      </c>
      <c r="H20" s="8">
        <f>G20/$G$27</f>
        <v>0.14231008013197308</v>
      </c>
      <c r="I20" s="8">
        <f>G20/$F$31</f>
        <v>4.1099176429301137E-2</v>
      </c>
      <c r="J20">
        <f>B20*D20</f>
        <v>4250</v>
      </c>
    </row>
    <row r="21" spans="1:10" x14ac:dyDescent="0.25">
      <c r="A21" t="s">
        <v>9</v>
      </c>
      <c r="B21">
        <f>_xll.HistoricalData(A21,"Close","8/1/2018","8/1/2018","Daily","RemoveHeaders = True","RemoveDates=True")</f>
        <v>282.88</v>
      </c>
      <c r="C21">
        <f>_xll.RealtimeData(A21,"Last")</f>
        <v>288.60480000000001</v>
      </c>
      <c r="D21">
        <f t="shared" ref="D21:D22" si="6">ROUNDDOWN(($C$3*E21)/B21,0)</f>
        <v>38</v>
      </c>
      <c r="E21" s="11">
        <v>0.36599999999999999</v>
      </c>
      <c r="F21" s="8">
        <f t="shared" ref="F21:F23" si="7">C21/B21-1</f>
        <v>2.0237556561085945E-2</v>
      </c>
      <c r="G21">
        <f t="shared" ref="G21:G22" si="8">D21*C21</f>
        <v>10966.982400000001</v>
      </c>
      <c r="H21" s="8">
        <f t="shared" ref="H21:H23" si="9">G21/$G$27</f>
        <v>0.36127595929396727</v>
      </c>
      <c r="I21" s="8">
        <f t="shared" ref="I21:I23" si="10">G21/$F$31</f>
        <v>0.10433656123950009</v>
      </c>
      <c r="J21">
        <f t="shared" ref="J21:J23" si="11">B21*D21</f>
        <v>10749.44</v>
      </c>
    </row>
    <row r="22" spans="1:10" x14ac:dyDescent="0.25">
      <c r="A22" t="s">
        <v>19</v>
      </c>
      <c r="B22">
        <f>_xll.HistoricalData(A22,"Close","8/1/2018","8/1/2018","Daily","RemoveHeaders = True","RemoveDates=True")</f>
        <v>81.52</v>
      </c>
      <c r="C22">
        <f>_xll.RealtimeData(A22,"Last")</f>
        <v>81.94</v>
      </c>
      <c r="D22">
        <f t="shared" si="6"/>
        <v>144</v>
      </c>
      <c r="E22" s="11">
        <v>0.39300000000000002</v>
      </c>
      <c r="F22" s="8">
        <f t="shared" si="7"/>
        <v>5.1521099116780267E-3</v>
      </c>
      <c r="G22">
        <f t="shared" si="8"/>
        <v>11799.36</v>
      </c>
      <c r="H22" s="8">
        <f t="shared" si="9"/>
        <v>0.38869626553379583</v>
      </c>
      <c r="I22" s="8">
        <f t="shared" si="10"/>
        <v>0.11225555055389784</v>
      </c>
      <c r="J22">
        <f t="shared" si="11"/>
        <v>11738.88</v>
      </c>
    </row>
    <row r="23" spans="1:10" x14ac:dyDescent="0.25">
      <c r="A23" t="s">
        <v>85</v>
      </c>
      <c r="B23">
        <f>_xll.HistoricalData(A23,"Close","8/1/2018","8/1/2018","Daily","RemoveHeaders = True","RemoveDates=True")</f>
        <v>83.06</v>
      </c>
      <c r="C23">
        <f>_xll.RealtimeData(A23,"Last")</f>
        <v>83.295000000000002</v>
      </c>
      <c r="D23">
        <f>ROUNDDOWN(($C$3*E23)/B23,0)</f>
        <v>35</v>
      </c>
      <c r="E23" s="11">
        <v>9.9000000000000005E-2</v>
      </c>
      <c r="F23" s="8">
        <f t="shared" si="7"/>
        <v>2.8292800385263384E-3</v>
      </c>
      <c r="G23">
        <f>D23*C23</f>
        <v>2915.3250000000003</v>
      </c>
      <c r="H23" s="8">
        <f t="shared" si="9"/>
        <v>9.603706813906121E-2</v>
      </c>
      <c r="I23" s="8">
        <f t="shared" si="10"/>
        <v>2.7735522343461192E-2</v>
      </c>
      <c r="J23">
        <f t="shared" si="11"/>
        <v>2907.1</v>
      </c>
    </row>
    <row r="24" spans="1:10" x14ac:dyDescent="0.25">
      <c r="B24" s="72"/>
    </row>
    <row r="27" spans="1:10" x14ac:dyDescent="0.25">
      <c r="F27" t="s">
        <v>100</v>
      </c>
      <c r="G27">
        <f>SUM(G20:G23)+J28</f>
        <v>30356.247400000004</v>
      </c>
      <c r="J27">
        <f>SUM(J20:J23)</f>
        <v>29645.42</v>
      </c>
    </row>
    <row r="28" spans="1:10" x14ac:dyDescent="0.25">
      <c r="F28" t="s">
        <v>106</v>
      </c>
      <c r="G28" s="8">
        <f>G27/J27-1</f>
        <v>2.3977646462759017E-2</v>
      </c>
      <c r="I28" t="s">
        <v>26</v>
      </c>
      <c r="J28">
        <f>C3-J27</f>
        <v>354.58000000000175</v>
      </c>
    </row>
    <row r="31" spans="1:10" x14ac:dyDescent="0.25">
      <c r="E31" t="s">
        <v>101</v>
      </c>
      <c r="F31" s="75">
        <f>SUM(F13,G27)</f>
        <v>105111.5953</v>
      </c>
    </row>
    <row r="33" spans="1:9" x14ac:dyDescent="0.25">
      <c r="E33" t="s">
        <v>105</v>
      </c>
      <c r="F33" s="8">
        <f>F31/B1-1</f>
        <v>5.1115953000000047E-2</v>
      </c>
      <c r="H33" s="11">
        <f>F33-F37</f>
        <v>1.6797751854183994E-2</v>
      </c>
    </row>
    <row r="37" spans="1:9" x14ac:dyDescent="0.25">
      <c r="A37" t="s">
        <v>109</v>
      </c>
      <c r="B37">
        <f>_xll.HistoricalData(A37,"Close","8/1/2018","8/1/2018","Daily","RemoveHeaders = True","RemoveDates=True")</f>
        <v>38.26</v>
      </c>
      <c r="C37">
        <f>_xll.RealtimeData(A37,"Last")</f>
        <v>38.277299999999997</v>
      </c>
      <c r="D37" s="8">
        <f>C37/B37-1</f>
        <v>4.5216936748548875E-4</v>
      </c>
      <c r="E37" s="11"/>
      <c r="F37" s="8">
        <f>D37*$B$3+D40*$B$2</f>
        <v>3.4318201145816053E-2</v>
      </c>
      <c r="H37" s="8"/>
      <c r="I37" s="8"/>
    </row>
    <row r="38" spans="1:9" x14ac:dyDescent="0.25">
      <c r="A38" t="s">
        <v>9</v>
      </c>
      <c r="B38">
        <f>_xll.HistoricalData(A38,"Close","5/31/2018","5/31/2018","Daily","RemoveHeaders = True","RemoveDates=True")</f>
        <v>272.73</v>
      </c>
      <c r="C38">
        <f>_xll.RealtimeData(A38,"Last")</f>
        <v>288.60480000000001</v>
      </c>
      <c r="D38" s="8">
        <f t="shared" ref="D38:D39" si="12">C38/B38-1</f>
        <v>5.8207017929820637E-2</v>
      </c>
    </row>
    <row r="39" spans="1:9" x14ac:dyDescent="0.25">
      <c r="A39" t="s">
        <v>110</v>
      </c>
      <c r="B39">
        <f>_xll.HistoricalData(A39,"Close","5/31/2018","5/31/2018","Daily","RemoveHeaders = True","RemoveDates=True")</f>
        <v>170.07</v>
      </c>
      <c r="C39">
        <f>_xll.RealtimeData(A39,"Last")</f>
        <v>181.66499999999999</v>
      </c>
      <c r="D39" s="8">
        <f t="shared" si="12"/>
        <v>6.8177809137413892E-2</v>
      </c>
    </row>
    <row r="40" spans="1:9" x14ac:dyDescent="0.25">
      <c r="A40" t="s">
        <v>108</v>
      </c>
      <c r="B40">
        <f>_xll.HistoricalData(A40,"Close","5/31/2018","5/31/2018","Daily","RemoveHeaders = True","RemoveDates=True")</f>
        <v>44.7</v>
      </c>
      <c r="C40">
        <f>_xll.RealtimeData(A40,"Last")</f>
        <v>46.882800000000003</v>
      </c>
      <c r="D40" s="8">
        <f>C40/B40-1</f>
        <v>4.8832214765100579E-2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Daily</vt:lpstr>
      <vt:lpstr>Prices</vt:lpstr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Prasad</dc:creator>
  <cp:lastModifiedBy>Yogesh Prasad</cp:lastModifiedBy>
  <dcterms:created xsi:type="dcterms:W3CDTF">2018-05-02T12:40:58Z</dcterms:created>
  <dcterms:modified xsi:type="dcterms:W3CDTF">2018-08-24T13:36:38Z</dcterms:modified>
</cp:coreProperties>
</file>