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2" l="1"/>
  <c r="F78" i="2"/>
  <c r="G78" i="2" s="1"/>
  <c r="J78" i="2"/>
  <c r="P78" i="2" s="1"/>
  <c r="K78" i="2"/>
  <c r="Q78" i="2" s="1"/>
  <c r="L78" i="2"/>
  <c r="R78" i="2" s="1"/>
  <c r="N78" i="2"/>
  <c r="T78" i="2" s="1"/>
  <c r="AI78" i="2"/>
  <c r="B78" i="2"/>
  <c r="D78" i="2"/>
  <c r="Z78" i="2" l="1"/>
  <c r="AN78" i="2"/>
  <c r="AF78" i="2"/>
  <c r="AK78" i="2"/>
  <c r="AC78" i="2"/>
  <c r="W78" i="2"/>
  <c r="X78" i="2"/>
  <c r="AL78" i="2"/>
  <c r="AD78" i="2"/>
  <c r="AJ78" i="2"/>
  <c r="V78" i="2"/>
  <c r="AB78" i="2"/>
  <c r="M78" i="2"/>
  <c r="S78" i="2" s="1"/>
  <c r="H78" i="2"/>
  <c r="B76" i="2"/>
  <c r="E77" i="2"/>
  <c r="F77" i="2"/>
  <c r="G77" i="2" s="1"/>
  <c r="J77" i="2"/>
  <c r="M77" i="2" s="1"/>
  <c r="K77" i="2"/>
  <c r="L77" i="2"/>
  <c r="N77" i="2"/>
  <c r="B77" i="2"/>
  <c r="D77" i="2"/>
  <c r="Y78" i="2" l="1"/>
  <c r="AE78" i="2"/>
  <c r="AM78" i="2"/>
  <c r="AI77" i="2"/>
  <c r="H77" i="2"/>
  <c r="E76" i="2"/>
  <c r="F76" i="2" s="1"/>
  <c r="J76" i="2"/>
  <c r="K76" i="2"/>
  <c r="L76" i="2"/>
  <c r="N76" i="2"/>
  <c r="D76" i="2"/>
  <c r="B82" i="3" a="1"/>
  <c r="B86" i="3" a="1"/>
  <c r="E80" i="3" a="1"/>
  <c r="C81" i="3" a="1"/>
  <c r="E82" i="3" a="1"/>
  <c r="C83" i="3" a="1"/>
  <c r="E84" i="3" a="1"/>
  <c r="C85" i="3" a="1"/>
  <c r="E86" i="3" a="1"/>
  <c r="C87" i="3" a="1"/>
  <c r="D81" i="3" a="1"/>
  <c r="D83" i="3" a="1"/>
  <c r="D85" i="3" a="1"/>
  <c r="C80" i="3" a="1"/>
  <c r="C82" i="3" a="1"/>
  <c r="C84" i="3" a="1"/>
  <c r="C86" i="3" a="1"/>
  <c r="D80" i="3" a="1"/>
  <c r="D82" i="3" a="1"/>
  <c r="D84" i="3" a="1"/>
  <c r="D86" i="3" a="1"/>
  <c r="B84" i="3" a="1"/>
  <c r="D87" i="3" a="1"/>
  <c r="E81" i="3" a="1"/>
  <c r="E83" i="3" a="1"/>
  <c r="E85" i="3" a="1"/>
  <c r="E87" i="3" a="1"/>
  <c r="B81" i="3" a="1"/>
  <c r="B83" i="3" a="1"/>
  <c r="B85" i="3" a="1"/>
  <c r="B87" i="3" a="1"/>
  <c r="B80" i="3" a="1"/>
  <c r="C79" i="3" a="1"/>
  <c r="B79" i="3" a="1"/>
  <c r="E79" i="3" a="1"/>
  <c r="D79" i="3" a="1"/>
  <c r="B80" i="3" l="1"/>
  <c r="B87" i="3"/>
  <c r="B85" i="3"/>
  <c r="G85" i="3" s="1"/>
  <c r="B83" i="3"/>
  <c r="B81" i="3"/>
  <c r="B79" i="3"/>
  <c r="E87" i="3"/>
  <c r="E85" i="3"/>
  <c r="J85" i="3" s="1"/>
  <c r="E83" i="3"/>
  <c r="J83" i="3" s="1"/>
  <c r="E81" i="3"/>
  <c r="E79" i="3"/>
  <c r="D87" i="3"/>
  <c r="B84" i="3"/>
  <c r="D86" i="3"/>
  <c r="D84" i="3"/>
  <c r="D82" i="3"/>
  <c r="D80" i="3"/>
  <c r="I80" i="3" s="1"/>
  <c r="C86" i="3"/>
  <c r="C84" i="3"/>
  <c r="C82" i="3"/>
  <c r="H82" i="3" s="1"/>
  <c r="C80" i="3"/>
  <c r="D85" i="3"/>
  <c r="I85" i="3" s="1"/>
  <c r="D79" i="3"/>
  <c r="D83" i="3"/>
  <c r="I83" i="3" s="1"/>
  <c r="D81" i="3"/>
  <c r="I81" i="3" s="1"/>
  <c r="C87" i="3"/>
  <c r="H87" i="3" s="1"/>
  <c r="E86" i="3"/>
  <c r="J86" i="3" s="1"/>
  <c r="C85" i="3"/>
  <c r="H85" i="3" s="1"/>
  <c r="E84" i="3"/>
  <c r="C83" i="3"/>
  <c r="H83" i="3" s="1"/>
  <c r="E82" i="3"/>
  <c r="J82" i="3" s="1"/>
  <c r="C81" i="3"/>
  <c r="H81" i="3" s="1"/>
  <c r="E80" i="3"/>
  <c r="C79" i="3"/>
  <c r="B86" i="3"/>
  <c r="G86" i="3" s="1"/>
  <c r="B82" i="3"/>
  <c r="G82" i="3" s="1"/>
  <c r="G76" i="2"/>
  <c r="AI76" i="2"/>
  <c r="H76" i="2"/>
  <c r="M76" i="2"/>
  <c r="E75" i="2"/>
  <c r="F75" i="2"/>
  <c r="G75" i="2" s="1"/>
  <c r="J75" i="2"/>
  <c r="K75" i="2"/>
  <c r="L75" i="2"/>
  <c r="N75" i="2"/>
  <c r="B75" i="2"/>
  <c r="D75" i="2"/>
  <c r="J80" i="3" l="1"/>
  <c r="G80" i="3"/>
  <c r="I87" i="3"/>
  <c r="G83" i="3"/>
  <c r="I82" i="3"/>
  <c r="I84" i="3"/>
  <c r="J87" i="3"/>
  <c r="I86" i="3"/>
  <c r="J84" i="3"/>
  <c r="H80" i="3"/>
  <c r="G84" i="3"/>
  <c r="G81" i="3"/>
  <c r="M75" i="2"/>
  <c r="H84" i="3"/>
  <c r="H86" i="3"/>
  <c r="J81" i="3"/>
  <c r="G87" i="3"/>
  <c r="AI75" i="2"/>
  <c r="H75" i="2"/>
  <c r="E74" i="2"/>
  <c r="F74" i="2" s="1"/>
  <c r="J74" i="2"/>
  <c r="K74" i="2"/>
  <c r="L74" i="2"/>
  <c r="N74" i="2"/>
  <c r="B74" i="2"/>
  <c r="D74" i="2"/>
  <c r="M74" i="2" l="1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B78" i="3" a="1"/>
  <c r="D78" i="3" a="1"/>
  <c r="E78" i="3" a="1"/>
  <c r="C78" i="3" a="1"/>
  <c r="E75" i="3" l="1"/>
  <c r="C74" i="3"/>
  <c r="E73" i="3"/>
  <c r="C78" i="3"/>
  <c r="H79" i="3" s="1"/>
  <c r="D77" i="3"/>
  <c r="B76" i="3"/>
  <c r="D75" i="3"/>
  <c r="B74" i="3"/>
  <c r="D73" i="3"/>
  <c r="E77" i="3"/>
  <c r="B78" i="3"/>
  <c r="G79" i="3" s="1"/>
  <c r="E78" i="3"/>
  <c r="J79" i="3" s="1"/>
  <c r="C77" i="3"/>
  <c r="C75" i="3"/>
  <c r="H75" i="3" s="1"/>
  <c r="C73" i="3"/>
  <c r="C76" i="3"/>
  <c r="H76" i="3" s="1"/>
  <c r="E76" i="3"/>
  <c r="J76" i="3" s="1"/>
  <c r="E74" i="3"/>
  <c r="D78" i="3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20" i="4"/>
  <c r="C7" i="4"/>
  <c r="C5" i="4"/>
  <c r="C37" i="4"/>
  <c r="C6" i="4"/>
  <c r="C39" i="4"/>
  <c r="C8" i="4"/>
  <c r="C40" i="4"/>
  <c r="C38" i="4"/>
  <c r="C21" i="4"/>
  <c r="C10" i="4"/>
  <c r="C9" i="4"/>
  <c r="I78" i="3" l="1"/>
  <c r="I79" i="3"/>
  <c r="J78" i="3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U8" i="1"/>
  <c r="U6" i="1"/>
  <c r="L12" i="1" a="1"/>
  <c r="U11" i="1"/>
  <c r="U9" i="1"/>
  <c r="U4" i="1"/>
  <c r="U5" i="1"/>
  <c r="U3" i="1"/>
  <c r="M12" i="1"/>
  <c r="U2" i="1"/>
  <c r="U10" i="1"/>
  <c r="U7" i="1"/>
  <c r="U12" i="1"/>
  <c r="B12" i="1"/>
  <c r="U14" i="1" l="1" a="1"/>
  <c r="U14" i="1" s="1"/>
  <c r="V14" i="1" s="1"/>
  <c r="F33" i="4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8" i="1"/>
  <c r="J11" i="1"/>
  <c r="J10" i="1"/>
  <c r="J9" i="1"/>
  <c r="J12" i="1"/>
  <c r="J5" i="1"/>
  <c r="J7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11" i="1"/>
  <c r="M9" i="1"/>
  <c r="M6" i="1"/>
  <c r="M5" i="1"/>
  <c r="M7" i="1"/>
  <c r="M4" i="1"/>
  <c r="M10" i="1"/>
  <c r="M3" i="1"/>
  <c r="M2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0" i="1" a="1"/>
  <c r="L11" i="1" a="1"/>
  <c r="L4" i="1" a="1"/>
  <c r="L5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11" i="1"/>
  <c r="L5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8" i="1"/>
  <c r="L7" i="1"/>
  <c r="L9" i="1"/>
  <c r="L3" i="1"/>
  <c r="K26" i="1"/>
  <c r="L2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3" i="1"/>
  <c r="K22" i="1"/>
  <c r="K24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8" i="1"/>
  <c r="B6" i="1"/>
  <c r="B11" i="1"/>
  <c r="B2" i="1"/>
  <c r="J2" i="1"/>
  <c r="B10" i="1"/>
  <c r="J6" i="1"/>
  <c r="B9" i="1"/>
  <c r="B5" i="1"/>
  <c r="B7" i="1"/>
  <c r="B4" i="1"/>
  <c r="J3" i="1"/>
  <c r="B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P33" i="2" l="1"/>
  <c r="AJ33" i="2" s="1"/>
  <c r="Q33" i="2"/>
  <c r="R33" i="2"/>
  <c r="R34" i="2" s="1"/>
  <c r="AD32" i="2"/>
  <c r="AB32" i="2"/>
  <c r="AC32" i="2"/>
  <c r="W32" i="2"/>
  <c r="X32" i="2"/>
  <c r="V32" i="2"/>
  <c r="Q34" i="2"/>
  <c r="AK34" i="2" s="1"/>
  <c r="AK33" i="2"/>
  <c r="AC33" i="2"/>
  <c r="W33" i="2"/>
  <c r="T25" i="2"/>
  <c r="Z24" i="2"/>
  <c r="AF24" i="2"/>
  <c r="S14" i="2"/>
  <c r="Y13" i="2"/>
  <c r="AE13" i="2"/>
  <c r="F14" i="2"/>
  <c r="G13" i="2"/>
  <c r="H13" i="2"/>
  <c r="V33" i="2" l="1"/>
  <c r="P34" i="2"/>
  <c r="AJ34" i="2" s="1"/>
  <c r="AB33" i="2"/>
  <c r="X33" i="2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Q36" i="2"/>
  <c r="AK35" i="2"/>
  <c r="P37" i="2"/>
  <c r="AJ36" i="2"/>
  <c r="V36" i="2"/>
  <c r="Z26" i="2"/>
  <c r="T27" i="2"/>
  <c r="AF26" i="2"/>
  <c r="S16" i="2"/>
  <c r="AE15" i="2"/>
  <c r="Y15" i="2"/>
  <c r="F16" i="2"/>
  <c r="G15" i="2"/>
  <c r="H15" i="2"/>
  <c r="AD36" i="2" l="1"/>
  <c r="R37" i="2"/>
  <c r="AL36" i="2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P76" i="2" s="1"/>
  <c r="P77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R76" i="2" s="1"/>
  <c r="R77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X77" i="2" l="1"/>
  <c r="AL77" i="2"/>
  <c r="AD77" i="2"/>
  <c r="AB77" i="2"/>
  <c r="V77" i="2"/>
  <c r="AJ77" i="2"/>
  <c r="AD76" i="2"/>
  <c r="X76" i="2"/>
  <c r="AL76" i="2"/>
  <c r="AJ76" i="2"/>
  <c r="V76" i="2"/>
  <c r="AB76" i="2"/>
  <c r="X75" i="2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N46" i="1" s="1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Q76" i="2" s="1"/>
  <c r="Q77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C77" i="2" l="1"/>
  <c r="AK77" i="2"/>
  <c r="W77" i="2"/>
  <c r="AK76" i="2"/>
  <c r="AC76" i="2"/>
  <c r="W76" i="2"/>
  <c r="AK75" i="2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T76" i="2" s="1"/>
  <c r="T77" i="2" s="1"/>
  <c r="S57" i="2"/>
  <c r="AM56" i="2"/>
  <c r="Y56" i="2"/>
  <c r="AE56" i="2"/>
  <c r="AN66" i="2"/>
  <c r="Z66" i="2"/>
  <c r="AF66" i="2"/>
  <c r="F54" i="2"/>
  <c r="G53" i="2"/>
  <c r="H53" i="2"/>
  <c r="Z77" i="2" l="1"/>
  <c r="AN77" i="2"/>
  <c r="AF77" i="2"/>
  <c r="Z76" i="2"/>
  <c r="AN76" i="2"/>
  <c r="AF76" i="2"/>
  <c r="Z75" i="2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S76" i="2" s="1"/>
  <c r="S77" i="2" s="1"/>
  <c r="AM66" i="2"/>
  <c r="AE66" i="2"/>
  <c r="Y66" i="2"/>
  <c r="H63" i="2"/>
  <c r="L31" i="1" s="1"/>
  <c r="G63" i="2"/>
  <c r="K31" i="1" s="1"/>
  <c r="Y77" i="2" l="1"/>
  <c r="AE77" i="2"/>
  <c r="AM77" i="2"/>
  <c r="AM76" i="2"/>
  <c r="AE76" i="2"/>
  <c r="Y76" i="2"/>
  <c r="Y75" i="2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<sst xmlns="http://schemas.openxmlformats.org/spreadsheetml/2006/main" count="159" uniqueCount="112">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</sst>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8774570e22448968e819133d388f0d6">
      <tp>
        <v>3.71</v>
        <stp/>
        <stp>RWX</stp>
        <stp>dividend yield</stp>
        <tr r="M6" s="1"/>
      </tp>
      <tp>
        <v>1.87</v>
        <stp/>
        <stp>SHY</stp>
        <stp>dividend yield</stp>
        <tr r="M12" s="1"/>
      </tp>
      <tp>
        <v>2.73</v>
        <stp/>
        <stp>TLT</stp>
        <stp>dividend yield</stp>
        <tr r="M5" s="1"/>
      </tp>
    </main>
    <main first="rtdsrv.e8774570e22448968e819133d388f0d6">
      <tp t="s">
        <v>--</v>
        <stp/>
        <stp>DBC</stp>
        <stp>dividend yield</stp>
        <tr r="M2" s="1"/>
      </tp>
      <tp>
        <v>1.62</v>
        <stp/>
        <stp>EWJ</stp>
        <stp>dividend yield</stp>
        <tr r="M7" s="1"/>
      </tp>
      <tp>
        <v>1.39</v>
        <stp/>
        <stp>EEM</stp>
        <stp>dividend yield</stp>
        <tr r="M10" s="1"/>
      </tp>
      <tp>
        <v>1.79</v>
        <stp/>
        <stp>IVV</stp>
        <stp>dividend yield</stp>
        <tr r="M3" s="1"/>
      </tp>
      <tp>
        <v>0.49</v>
        <stp/>
        <stp>IYR</stp>
        <stp>dividend yield</stp>
        <tr r="M4" s="1"/>
      </tp>
      <tp>
        <v>2.2200000000000002</v>
        <stp/>
        <stp>IEF</stp>
        <stp>dividend yield</stp>
        <tr r="M11" s="1"/>
      </tp>
      <tp>
        <v>4.82</v>
        <stp/>
        <stp>IEV</stp>
        <stp>dividend yield</stp>
        <tr r="M9" s="1"/>
      </tp>
    </main>
    <main first="rtdsrv.e8774570e22448968e819133d388f0d6">
      <tp>
        <v>1.7921146953405675E-3</v>
        <stp/>
        <stp>DBC</stp>
        <stp>change in percent</stp>
        <tr r="L2" s="1"/>
      </tp>
    </main>
    <main first="rtdsrv.e8774570e22448968e819133d388f0d6">
      <tp>
        <v>1.2361838278068586E-2</v>
        <stp/>
        <stp>GYLD</stp>
        <stp>change in percent</stp>
        <tr r="K26" s="1"/>
      </tp>
    </main>
    <main first="rtdsrv.e8774570e22448968e819133d388f0d6">
      <tp>
        <v>7.5187969924810419E-4</v>
        <stp/>
        <stp>AGG</stp>
        <stp>change in percent</stp>
        <tr r="K23" s="1"/>
      </tp>
    </main>
    <main first="rtdsrv.e8774570e22448968e819133d388f0d6">
      <tp>
        <v>9.7599063049003522E-4</v>
        <stp/>
        <stp>IEF</stp>
        <stp>change in percent</stp>
        <tr r="L11" s="1"/>
      </tp>
    </main>
    <main first="rtdsrv.e8774570e22448968e819133d388f0d6">
      <tp>
        <v>4.5904590459046359E-3</v>
        <stp/>
        <stp>GLD</stp>
        <stp>change in percent</stp>
        <tr r="L8" s="1"/>
      </tp>
    </main>
    <main first="rtdsrv.e8774570e22448968e819133d388f0d6">
      <tp>
        <v>2.6304859476671467E-3</v>
        <stp/>
        <stp>ACWI</stp>
        <stp>change in percent</stp>
        <tr r="K22" s="1"/>
      </tp>
    </main>
    <main first="rtdsrv.e8774570e22448968e819133d388f0d6">
      <tp>
        <v>3.1578947368421052E-3</v>
        <stp/>
        <stp>EWJ</stp>
        <stp>change in percent</stp>
        <tr r="L7" s="1"/>
      </tp>
    </main>
    <main first="rtdsrv.e8774570e22448968e819133d388f0d6">
      <tp>
        <v>-3.0658329000000002</v>
        <stp/>
        <stp>GLD</stp>
        <stp>mtd percent change</stp>
        <tr r="U8" s="1"/>
      </tp>
      <tp>
        <v>-1.35294118</v>
        <stp/>
        <stp>DBC</stp>
        <stp>mtd percent change</stp>
        <tr r="U2" s="1"/>
      </tp>
      <tp>
        <v>-2.9451706</v>
        <stp/>
        <stp>EWJ</stp>
        <stp>mtd percent change</stp>
        <tr r="U7" s="1"/>
      </tp>
      <tp>
        <v>-5.8816914100000002</v>
        <stp/>
        <stp>EEM</stp>
        <stp>mtd percent change</stp>
        <tr r="U10" s="1"/>
      </tp>
    </main>
    <main first="rtdsrv.e8774570e22448968e819133d388f0d6">
      <tp>
        <v>1.27262443</v>
        <stp/>
        <stp>IVV</stp>
        <stp>mtd percent change</stp>
        <tr r="U3" s="1"/>
      </tp>
      <tp>
        <v>1.6315014699999999</v>
        <stp/>
        <stp>IYR</stp>
        <stp>mtd percent change</stp>
        <tr r="U4" s="1"/>
      </tp>
      <tp>
        <v>-4.0217391300000003</v>
        <stp/>
        <stp>IEV</stp>
        <stp>mtd percent change</stp>
        <tr r="U9" s="1"/>
      </tp>
      <tp>
        <v>1.20386817</v>
        <stp/>
        <stp>IEF</stp>
        <stp>mtd percent change</stp>
        <tr r="U11" s="1"/>
      </tp>
      <tp>
        <v>-1.9582278500000001</v>
        <stp/>
        <stp>RWX</stp>
        <stp>mtd percent change</stp>
        <tr r="U6" s="1"/>
      </tp>
      <tp>
        <v>0.26486876999999998</v>
        <stp/>
        <stp>SHY</stp>
        <stp>mtd percent change</stp>
        <tr r="U12" s="1"/>
      </tp>
      <tp>
        <v>2.23704204</v>
        <stp/>
        <stp>TLT</stp>
        <stp>mtd percent change</stp>
        <tr r="U5" s="1"/>
      </tp>
    </main>
    <main first="rtdsrv.e8774570e22448968e819133d388f0d6">
      <tp>
        <v>1.795547043332432E-3</v>
        <stp/>
        <stp>EEM</stp>
        <stp>change in percent</stp>
        <tr r="L10" s="1"/>
      </tp>
    </main>
    <main first="rtdsrv.e8774570e22448968e819133d388f0d6">
      <tp>
        <v>5.2717786944916278E-3</v>
        <stp/>
        <stp>IYR</stp>
        <stp>change in percent</stp>
        <tr r="L4" s="1"/>
      </tp>
    </main>
    <main first="rtdsrv.e8774570e22448968e819133d388f0d6">
      <tp>
        <v>5.4657253473013442E-3</v>
        <stp/>
        <stp>IEV</stp>
        <stp>change in percent</stp>
        <tr r="L9" s="1"/>
      </tp>
      <tp>
        <v>1.3282069206570954E-3</v>
        <stp/>
        <stp>IVV</stp>
        <stp>change in percent</stp>
        <tr r="K24" s="1"/>
        <tr r="L3" s="1"/>
      </tp>
    </main>
    <main first="rtdsrv.e8774570e22448968e819133d388f0d6">
      <tp>
        <v>2.3173053049739389E-3</v>
        <stp/>
        <stp>TLT</stp>
        <stp>change in percent</stp>
        <tr r="L5" s="1"/>
      </tp>
    </main>
    <main first="rtdsrv.e8774570e22448968e819133d388f0d6">
      <tp>
        <v>3.6036036036037354E-4</v>
        <stp/>
        <stp>SHY</stp>
        <stp>change in percent</stp>
        <tr r="L12" s="1"/>
      </tp>
    </main>
    <main first="rtdsrv.e8774570e22448968e819133d388f0d6">
      <tp>
        <v>4.5784695201038653E-3</v>
        <stp/>
        <stp>RWX</stp>
        <stp>change in percent</stp>
        <tr r="L6" s="1"/>
      </tp>
    </main>
    <main first="rtdsrv.e8774570e22448968e819133d388f0d6">
      <tp>
        <v>16.77</v>
        <stp/>
        <stp>DBC</stp>
        <stp>last</stp>
        <tr r="J2" s="1"/>
        <tr r="C20" s="4"/>
      </tp>
    </main>
    <main first="rtdsrv.e8774570e22448968e819133d388f0d6">
      <tp>
        <v>38.061999999999998</v>
        <stp/>
        <stp>GAL</stp>
        <stp>last</stp>
        <tr r="C37" s="4"/>
      </tp>
    </main>
    <main first="rtdsrv.e8774570e22448968e819133d388f0d6">
      <tp>
        <v>521.35</v>
        <stp/>
        <stp>ISRG</stp>
        <stp>last</stp>
        <tr r="C8" s="4"/>
      </tp>
    </main>
    <main first="rtdsrv.e8774570e22448968e819133d388f0d6">
      <tp t="s">
        <v>ISHARES TR-MSCI EMG MKT ETF</v>
        <stp/>
        <stp>EEM</stp>
        <stp>description</stp>
        <tr r="B10" s="1"/>
      </tp>
    </main>
    <main first="rtdsrv.e8774570e22448968e819133d388f0d6">
      <tp t="s">
        <v>ISHARES INC-MSCI JPN ETF NEW</v>
        <stp/>
        <stp>EWJ</stp>
        <stp>description</stp>
        <tr r="B7" s="1"/>
      </tp>
    </main>
    <main first="rtdsrv.e8774570e22448968e819133d388f0d6">
      <tp t="s">
        <v>INVESCO DB COMMDY INDX TRCK-UNIT</v>
        <stp/>
        <stp>DBC</stp>
        <stp>description</stp>
        <tr r="B2" s="1"/>
      </tp>
    </main>
    <main first="rtdsrv.e8774570e22448968e819133d388f0d6">
      <tp t="s">
        <v>ARROW ETF TR-ARROW DJ GLB YLD</v>
        <stp/>
        <stp>GYLD</stp>
        <stp>description</stp>
        <tr r="L26" s="1"/>
      </tp>
    </main>
    <main first="rtdsrv.e8774570e22448968e819133d388f0d6">
      <tp t="s">
        <v>SPDR GOLD TRUST-GOLD SHS</v>
        <stp/>
        <stp>GLD</stp>
        <stp>description</stp>
        <tr r="B8" s="1"/>
      </tp>
    </main>
    <main first="rtdsrv.e8774570e22448968e819133d388f0d6">
      <tp>
        <v>102.56</v>
        <stp/>
        <stp>IEF</stp>
        <stp>last</stp>
        <tr r="J11" s="1"/>
      </tp>
      <tp>
        <v>46.172199999999997</v>
        <stp/>
        <stp>QQQE</stp>
        <stp>last</stp>
        <tr r="C40" s="4"/>
      </tp>
      <tp>
        <v>41.844999999999999</v>
        <stp/>
        <stp>EEM</stp>
        <stp>last</stp>
        <tr r="J10" s="1"/>
      </tp>
      <tp>
        <v>44.15</v>
        <stp/>
        <stp>IEV</stp>
        <stp>last</stp>
        <tr r="J9" s="1"/>
      </tp>
    </main>
    <main first="rtdsrv.e8774570e22448968e819133d388f0d6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e8774570e22448968e819133d388f0d6"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</main>
    <main first="rtdsrv.e8774570e22448968e819133d388f0d6">
      <tp>
        <v>82.42</v>
        <stp/>
        <stp>IYR</stp>
        <stp>close</stp>
        <tr r="G4" s="1"/>
      </tp>
    </main>
    <main first="rtdsrv.e8774570e22448968e819133d388f0d6">
      <tp>
        <v>83.28</v>
        <stp/>
        <stp>SHY</stp>
        <stp>last</stp>
        <tr r="J12" s="1"/>
        <tr r="C23" s="4"/>
      </tp>
    </main>
    <main first="rtdsrv.e8774570e22448968e819133d388f0d6">
      <tp>
        <v>120.83</v>
        <stp/>
        <stp>TLT</stp>
        <stp>close</stp>
        <tr r="G5" s="1"/>
      </tp>
    </main>
    <main first="rtdsrv.e8774570e22448968e819133d388f0d6">
      <tp>
        <v>1875.4999</v>
        <stp/>
        <stp>AMZN</stp>
        <stp>last</stp>
        <tr r="C6" s="4"/>
      </tp>
    </main>
    <main first="rtdsrv.e8774570e22448968e819133d388f0d6">
      <tp>
        <v>286.10000000000002</v>
        <stp/>
        <stp>IVV</stp>
        <stp>close</stp>
        <tr r="G3" s="1"/>
      </tp>
    </main>
    <main first="rtdsrv.e8774570e22448968e819133d388f0d6">
      <tp>
        <v>111.61</v>
        <stp/>
        <stp>GLD</stp>
        <stp>last</stp>
        <tr r="J8" s="1"/>
      </tp>
    </main>
    <main first="rtdsrv.e8774570e22448968e819133d388f0d6">
      <tp>
        <v>121.11</v>
        <stp/>
        <stp>TLT</stp>
        <stp>last</stp>
        <tr r="J5" s="1"/>
      </tp>
    </main>
    <main first="rtdsrv.e8774570e22448968e819133d388f0d6">
      <tp>
        <v>349.02</v>
        <stp/>
        <stp>ALGN</stp>
        <stp>last</stp>
        <tr r="C5" s="4"/>
      </tp>
    </main>
    <main first="rtdsrv.e8774570e22448968e819133d388f0d6">
      <tp>
        <v>47.189900000000002</v>
        <stp/>
        <stp>MU</stp>
        <stp>last</stp>
        <tr r="C9" s="4"/>
      </tp>
      <tp t="s">
        <v>ISHARES TR-1 3 YR TREAS BD</v>
        <stp/>
        <stp>SHY</stp>
        <stp>description</stp>
        <tr r="B12" s="1"/>
      </tp>
    </main>
    <main first="rtdsrv.e8774570e22448968e819133d388f0d6">
      <tp>
        <v>179.33</v>
        <stp/>
        <stp>QQQ</stp>
        <stp>last</stp>
        <tr r="C39" s="4"/>
      </tp>
    </main>
    <main first="rtdsrv.e8774570e22448968e819133d388f0d6">
      <tp t="s">
        <v>SPDR INDEX SHS FDS-DJ INTL RL ETF</v>
        <stp/>
        <stp>RWX</stp>
        <stp>description</stp>
        <tr r="B6" s="1"/>
      </tp>
    </main>
    <main first="rtdsrv.e8774570e22448968e819133d388f0d6">
      <tp>
        <v>286.48</v>
        <stp/>
        <stp>IVV</stp>
        <stp>last</stp>
        <tr r="J3" s="1"/>
        <tr r="C21" s="4"/>
        <tr r="C38" s="4"/>
      </tp>
    </main>
    <main first="rtdsrv.e8774570e22448968e819133d388f0d6">
      <tp>
        <v>45.720999999999997</v>
        <stp/>
        <stp>CSCO</stp>
        <stp>last</stp>
        <tr r="C7" s="4"/>
      </tp>
    </main>
    <main first="rtdsrv.e8774570e22448968e819133d388f0d6">
      <tp t="s">
        <v>ISHARES TR-20 YR TR BD ETF</v>
        <stp/>
        <stp>TLT</stp>
        <stp>description</stp>
        <tr r="B5" s="1"/>
      </tp>
      <tp>
        <v>57.18</v>
        <stp/>
        <stp>EWJ</stp>
        <stp>last</stp>
        <tr r="J7" s="1"/>
      </tp>
      <tp>
        <v>38.726500000000001</v>
        <stp/>
        <stp>RWX</stp>
        <stp>last</stp>
        <tr r="J6" s="1"/>
      </tp>
    </main>
    <main first="rtdsrv.e8774570e22448968e819133d388f0d6">
      <tp>
        <v>53.81</v>
        <stp/>
        <stp>STX</stp>
        <stp>last</stp>
        <tr r="C10" s="4"/>
      </tp>
    </main>
    <main first="rtdsrv.e8774570e22448968e819133d388f0d6">
      <tp>
        <v>16.739999999999998</v>
        <stp/>
        <stp>DBC</stp>
        <stp>close</stp>
        <tr r="G2" s="1"/>
      </tp>
    </main>
    <main first="rtdsrv.e8774570e22448968e819133d388f0d6">
      <tp>
        <v>82.854500000000002</v>
        <stp/>
        <stp>IYR</stp>
        <stp>last</stp>
        <tr r="J4" s="1"/>
        <tr r="C22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topLeftCell="B1" zoomScale="90" zoomScaleNormal="90" workbookViewId="0">
      <selection activeCell="P25" sqref="P25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-6.0965496876868919E-2</v>
      </c>
      <c r="F2" s="5">
        <f>I2/$I$21</f>
        <v>0.14710906304752591</v>
      </c>
      <c r="G2" s="4">
        <f>_xll.RealtimeData(A2,"Close")</f>
        <v>16.739999999999998</v>
      </c>
      <c r="H2" s="4">
        <v>176</v>
      </c>
      <c r="I2" s="4">
        <f>H2*G2</f>
        <v>2946.24</v>
      </c>
      <c r="J2" s="4">
        <f>_xll.RealtimeData(A2,"Last")</f>
        <v>16.77</v>
      </c>
      <c r="K2" s="5">
        <f>J2/D2-1</f>
        <v>-5.9282639344390042E-2</v>
      </c>
      <c r="L2" s="8">
        <f>_xll.RealtimeData(A2,"Change in Percent")</f>
        <v>1.7921146953405675E-3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-5.1090630475259247E-3</v>
      </c>
      <c r="Q2" s="31">
        <f>O2*Daily!$D$68</f>
        <v>2823.9823999999999</v>
      </c>
      <c r="R2">
        <f t="shared" ref="R2:R11" si="2">ROUND(Q2/J2,0)</f>
        <v>168</v>
      </c>
      <c r="S2">
        <f t="shared" ref="S2:S11" si="3">R2-H2</f>
        <v>-8</v>
      </c>
      <c r="T2" t="str">
        <f t="shared" ref="T2:T12" si="4">A2</f>
        <v>DBC</v>
      </c>
      <c r="U2">
        <f>_xll.RealtimeData(T2,"MTD Percent Change")</f>
        <v>-1.35294118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7.4112243039951675E-2</v>
      </c>
      <c r="F3" s="5">
        <f>I3/$I$21</f>
        <v>0.41427350969337801</v>
      </c>
      <c r="G3" s="4">
        <f>_xll.RealtimeData(A3,"Close")</f>
        <v>286.10000000000002</v>
      </c>
      <c r="H3" s="4">
        <v>29</v>
      </c>
      <c r="I3" s="4">
        <f>H3*G3</f>
        <v>8296.9000000000015</v>
      </c>
      <c r="J3" s="4">
        <f>_xll.RealtimeData(A3,"Last")</f>
        <v>286.48</v>
      </c>
      <c r="K3" s="5">
        <f>J3/D3-1</f>
        <v>7.5538886354719725E-2</v>
      </c>
      <c r="L3" s="8">
        <f>_xll.RealtimeData(A3,"Change in Percent")</f>
        <v>1.3282069206570954E-3</v>
      </c>
      <c r="M3" s="29">
        <f>_xll.RealtimeData(A3,"Dividend Yield")</f>
        <v>1.79</v>
      </c>
      <c r="N3" s="4" t="str">
        <f t="shared" si="0"/>
        <v>IVV</v>
      </c>
      <c r="O3" s="5">
        <v>0.36599999999999999</v>
      </c>
      <c r="P3" s="60">
        <f t="shared" si="1"/>
        <v>-4.8273509693378014E-2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1.27262443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5.0873390284329911E-2</v>
      </c>
      <c r="F4" s="5">
        <f>I4/$I$21</f>
        <v>0.22222743725031316</v>
      </c>
      <c r="G4" s="4">
        <f>_xll.RealtimeData(A4,"Close")</f>
        <v>82.42</v>
      </c>
      <c r="H4" s="4">
        <v>54</v>
      </c>
      <c r="I4" s="4">
        <f>H4*G4</f>
        <v>4450.68</v>
      </c>
      <c r="J4" s="4">
        <f>_xll.RealtimeData(A4,"Last")</f>
        <v>82.854500000000002</v>
      </c>
      <c r="K4" s="5">
        <f>J4/D4-1</f>
        <v>5.6413362233838971E-2</v>
      </c>
      <c r="L4" s="8">
        <f t="array" ref="L4">_xll.RealtimeData(A4,"Change in Percent")</f>
        <v>5.2717786944916278E-3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0.17077256274968686</v>
      </c>
      <c r="Q4" s="31">
        <f>O4*Daily!$D$68</f>
        <v>7815.6696000000002</v>
      </c>
      <c r="R4">
        <f t="shared" si="2"/>
        <v>94</v>
      </c>
      <c r="S4">
        <f t="shared" si="3"/>
        <v>40</v>
      </c>
      <c r="T4" t="str">
        <f t="shared" si="4"/>
        <v>IYR</v>
      </c>
      <c r="U4">
        <f>_xll.RealtimeData(T4,"MTD Percent Change")</f>
        <v>1.6315014699999999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-1.1969535659207664E-2</v>
      </c>
      <c r="F5" s="5">
        <f>I5/$I$21</f>
        <v>0.21116120312029552</v>
      </c>
      <c r="G5" s="4">
        <f>_xll.RealtimeData(A5,"Close")</f>
        <v>120.83</v>
      </c>
      <c r="H5" s="4">
        <v>35</v>
      </c>
      <c r="I5" s="4">
        <f>H5*G5</f>
        <v>4229.05</v>
      </c>
      <c r="J5" s="31">
        <f>_xll.RealtimeData(A5,"Last")</f>
        <v>121.11</v>
      </c>
      <c r="K5" s="5">
        <f>J5/D5-1</f>
        <v>-9.6799674227148191E-3</v>
      </c>
      <c r="L5" s="8">
        <f t="array" ref="L5">_xll.RealtimeData(A5,"Change in Percent")</f>
        <v>2.3173053049739389E-3</v>
      </c>
      <c r="M5" s="29">
        <f>_xll.RealtimeData(A5,"Dividend Yield")</f>
        <v>2.73</v>
      </c>
      <c r="N5" s="4" t="str">
        <f t="shared" si="0"/>
        <v>TLT</v>
      </c>
      <c r="O5" s="5">
        <v>0</v>
      </c>
      <c r="P5" s="60">
        <f t="shared" si="1"/>
        <v>-0.21116120312029552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2.23704204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38.726500000000001</v>
      </c>
      <c r="K6" s="5"/>
      <c r="L6" s="8">
        <f>_xll.RealtimeData(A6,"Change in Percent")</f>
        <v>4.5784695201038653E-3</v>
      </c>
      <c r="M6" s="29">
        <f>_xll.RealtimeData(A6,"Dividend Yield")</f>
        <v>3.71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-1.9582278500000001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57.18</v>
      </c>
      <c r="K7" s="5"/>
      <c r="L7" s="8">
        <f>_xll.RealtimeData(A7,"Change in Percent")</f>
        <v>3.1578947368421052E-3</v>
      </c>
      <c r="M7" s="29">
        <f>_xll.RealtimeData(A7,"Dividend Yield")</f>
        <v>1.62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-2.9451706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111.61</v>
      </c>
      <c r="K8" s="5"/>
      <c r="L8" s="8">
        <f>_xll.RealtimeData(A8,"Change in Percent")</f>
        <v>4.5904590459046359E-3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-3.0658329000000002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44.15</v>
      </c>
      <c r="K9" s="5"/>
      <c r="L9" s="8">
        <f>_xll.RealtimeData(A9,"Change in Percent")</f>
        <v>5.4657253473013442E-3</v>
      </c>
      <c r="M9" s="29">
        <f>_xll.RealtimeData(A9,"Dividend Yield")</f>
        <v>4.82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-4.0217391300000003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41.844999999999999</v>
      </c>
      <c r="K10" s="5"/>
      <c r="L10" s="8">
        <f t="array" ref="L10">_xll.RealtimeData(A10,"Change in Percent")</f>
        <v>1.795547043332432E-3</v>
      </c>
      <c r="M10" s="29">
        <f>_xll.RealtimeData(A10,"Dividend Yield")</f>
        <v>1.39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-5.8816914100000002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102.56</v>
      </c>
      <c r="K11" s="5"/>
      <c r="L11" s="8">
        <f t="array" ref="L11">_xll.RealtimeData(A11,"Change in Percent")</f>
        <v>9.7599063049003522E-4</v>
      </c>
      <c r="M11" s="29">
        <f>_xll.RealtimeData(A11,"Dividend Yield")</f>
        <v>2.2200000000000002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1.20386817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83.28</v>
      </c>
      <c r="L12" s="8">
        <f t="array" ref="L12">_xll.RealtimeData(A12,"Change in Percent")</f>
        <v>3.6036036036037354E-4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0.26486876999999998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0.94106497976000003</v>
      </c>
      <c r="V14" s="8">
        <f>U14*0.01</f>
        <v>9.4106497976E-3</v>
      </c>
    </row>
    <row r="19" spans="5:16" s="1" customFormat="1" x14ac:dyDescent="0.25"/>
    <row r="20" spans="5:16" x14ac:dyDescent="0.25">
      <c r="E20" t="s">
        <v>70</v>
      </c>
      <c r="F20" s="11">
        <f>SUM(F2:F5)</f>
        <v>0.99477121311151251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5.2287868884874911E-3</v>
      </c>
      <c r="H21" s="2" t="s">
        <v>16</v>
      </c>
      <c r="I21" s="6">
        <f>SUM(I2:I20)</f>
        <v>20027.590000000004</v>
      </c>
      <c r="J21" t="s">
        <v>33</v>
      </c>
      <c r="K21" s="8">
        <f>SUMPRODUCT(K2:K7,F2:F7)</f>
        <v>3.3065309388315256E-2</v>
      </c>
      <c r="M21" t="s">
        <v>34</v>
      </c>
      <c r="N21" s="76">
        <f t="array" ref="N21">MMULT(TRANSPOSE(F2:F5),L2:L5)</f>
        <v>2.4747361015479185E-3</v>
      </c>
      <c r="P21" s="8">
        <f>SUMPRODUCT(L2:L12,O2:O12)</f>
        <v>2.8480887223097441E-3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2.6304859476671467E-3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7.5187969924810419E-4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1.3282069206570954E-3</v>
      </c>
    </row>
    <row r="25" spans="5:16" x14ac:dyDescent="0.25">
      <c r="J25" t="s">
        <v>57</v>
      </c>
      <c r="K25" s="8">
        <f t="array" ref="K25">SUMPRODUCT(K22:K23,L22:L23)</f>
        <v>1.8790434482995298E-3</v>
      </c>
    </row>
    <row r="26" spans="5:16" x14ac:dyDescent="0.25">
      <c r="H26" t="s">
        <v>25</v>
      </c>
      <c r="I26" s="6">
        <f>SUM(I2:I18)</f>
        <v>19922.870000000003</v>
      </c>
      <c r="J26" t="s">
        <v>56</v>
      </c>
      <c r="K26" s="8">
        <f>_xll.RealtimeData(J26,"Change in Percent")</f>
        <v>1.2361838278068586E-2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3.1273491939437653E-3</v>
      </c>
    </row>
    <row r="28" spans="5:16" x14ac:dyDescent="0.25">
      <c r="J28" t="s">
        <v>64</v>
      </c>
      <c r="K28" s="8">
        <f>SUMPRODUCT(F2:F7,M2:M7)*0.01</f>
        <v>1.4269111111222069E-2</v>
      </c>
      <c r="L28" t="s">
        <v>65</v>
      </c>
      <c r="M28" s="8">
        <f>AVERAGE(M2:M11)*0.01</f>
        <v>2.0855555555555558E-2</v>
      </c>
    </row>
    <row r="29" spans="5:16" ht="15.75" thickBot="1" x14ac:dyDescent="0.3"/>
    <row r="30" spans="5:16" ht="15.75" thickBot="1" x14ac:dyDescent="0.3">
      <c r="H30" s="30">
        <v>43328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2.4747361015479185E-3</v>
      </c>
      <c r="J31" s="21">
        <f>LOOKUP(2,1/(Daily!E:E&lt;&gt;""),Daily!E:E)</f>
        <v>6.493995993643642E-3</v>
      </c>
      <c r="K31" s="22">
        <f>VLOOKUP($H$30,Daily!$A:$AF,7,0)</f>
        <v>9.0304690160805112E-3</v>
      </c>
      <c r="L31" s="23">
        <f>VLOOKUP($H$30,Daily!$A:$AF,8,0)</f>
        <v>1.3800000000003809E-3</v>
      </c>
    </row>
    <row r="32" spans="5:16" x14ac:dyDescent="0.25">
      <c r="H32" s="19" t="s">
        <v>59</v>
      </c>
      <c r="I32" s="24">
        <f>$K$25</f>
        <v>1.8790434482995298E-3</v>
      </c>
      <c r="J32" s="24">
        <f>LOOKUP(2,1/(Daily!M:M&lt;&gt;""),Daily!M:M)</f>
        <v>4.7451499600985603E-3</v>
      </c>
      <c r="K32" s="14">
        <f>VLOOKUP($H$30,Daily!$A:$AF,25,0)</f>
        <v>1.0660184758320312E-2</v>
      </c>
      <c r="L32" s="25">
        <f>VLOOKUP($H$30,Daily!$A:$AF,31,0)</f>
        <v>4.8578495519446818E-3</v>
      </c>
    </row>
    <row r="33" spans="8:18" x14ac:dyDescent="0.25">
      <c r="H33" s="19" t="s">
        <v>60</v>
      </c>
      <c r="I33" s="24">
        <f>$K$24</f>
        <v>1.3282069206570954E-3</v>
      </c>
      <c r="J33" s="24">
        <f>LOOKUP(2,1/(Daily!L:L&lt;&gt;""),Daily!L:L)</f>
        <v>8.6374052529527567E-3</v>
      </c>
      <c r="K33" s="14">
        <f>VLOOKUP($H$30,Daily!$A:$AF,24,0)</f>
        <v>4.7793444424098164E-2</v>
      </c>
      <c r="L33" s="25">
        <f>VLOOKUP($H$30,Daily!$A:$AF,30,0)</f>
        <v>7.4408929841490945E-2</v>
      </c>
    </row>
    <row r="34" spans="8:18" ht="15.75" thickBot="1" x14ac:dyDescent="0.3">
      <c r="H34" s="20" t="s">
        <v>56</v>
      </c>
      <c r="I34" s="26">
        <f>$K$26</f>
        <v>1.2361838278068586E-2</v>
      </c>
      <c r="J34" s="26">
        <f>LOOKUP(2,1/(Daily!N:N&lt;&gt;""),Daily!N:N)</f>
        <v>-7.3796902608874726E-3</v>
      </c>
      <c r="K34" s="27">
        <f>VLOOKUP($H$30,Daily!$A:$AF,26,0)</f>
        <v>-1.2068965517241015E-2</v>
      </c>
      <c r="L34" s="28">
        <f>VLOOKUP($H$30,Daily!$A:$AF,32,0)</f>
        <v>-3.0599795841155242E-3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3.0192689668774369E-5</v>
      </c>
      <c r="J37" s="44"/>
      <c r="K37" s="22"/>
      <c r="L37" s="39"/>
      <c r="M37" s="50"/>
      <c r="N37" s="38">
        <f>AVERAGE(Daily!J$3:J380)</f>
        <v>6.3317447527857563E-5</v>
      </c>
      <c r="O37" s="22">
        <f>AVERAGE(Daily!K$3:K380)</f>
        <v>8.0899583146541295E-5</v>
      </c>
      <c r="P37" s="22">
        <f>AVERAGE(Daily!L$3:L380)</f>
        <v>9.6189232486826738E-4</v>
      </c>
      <c r="Q37" s="22">
        <f>AVERAGE(Daily!M$3:M380)</f>
        <v>7.0350301775331031E-5</v>
      </c>
      <c r="R37" s="23">
        <f>AVERAGE(Daily!N$3:N380)</f>
        <v>-8.9649527585205726E-6</v>
      </c>
    </row>
    <row r="38" spans="8:18" x14ac:dyDescent="0.25">
      <c r="H38" s="56" t="s">
        <v>73</v>
      </c>
      <c r="I38" s="47">
        <f>STDEV(Daily!E$3:E380)</f>
        <v>4.9396419940802121E-3</v>
      </c>
      <c r="J38" s="45"/>
      <c r="K38" s="14"/>
      <c r="L38" s="32"/>
      <c r="M38" s="51"/>
      <c r="N38" s="40">
        <f>STDEV(Daily!J$3:J380)</f>
        <v>6.2785213193181973E-3</v>
      </c>
      <c r="O38" s="14">
        <f>STDEV(Daily!K$3:K380)</f>
        <v>1.7434895829659507E-3</v>
      </c>
      <c r="P38" s="14">
        <f>STDEV(Daily!L$3:L380)</f>
        <v>5.8850498389313504E-3</v>
      </c>
      <c r="Q38" s="14">
        <f>STDEV(Daily!M$3:M380)</f>
        <v>3.6514559254586972E-3</v>
      </c>
      <c r="R38" s="25">
        <f>STDEV(Daily!N$3:N380)</f>
        <v>7.9730060400798729E-3</v>
      </c>
    </row>
    <row r="39" spans="8:18" x14ac:dyDescent="0.25">
      <c r="H39" s="56" t="s">
        <v>74</v>
      </c>
      <c r="I39" s="48">
        <f>COUNTIF(Daily!E$3:E380,"&gt;0")</f>
        <v>43</v>
      </c>
      <c r="J39" s="45"/>
      <c r="K39" s="14"/>
      <c r="L39" s="32"/>
      <c r="M39" s="51"/>
      <c r="N39" s="41">
        <f>COUNTIF(Daily!J$3:J380,"&gt;0")</f>
        <v>38</v>
      </c>
      <c r="O39" s="33">
        <f>COUNTIF(Daily!K$3:K380,"&gt;0")</f>
        <v>40</v>
      </c>
      <c r="P39" s="33">
        <f>COUNTIF(Daily!L$3:L380,"&gt;0")</f>
        <v>43</v>
      </c>
      <c r="Q39" s="33">
        <f>COUNTIF(Daily!M$3:M380,"&gt;0")</f>
        <v>40</v>
      </c>
      <c r="R39" s="35">
        <f>COUNTIF(Daily!N$3:N380,"&gt;0")</f>
        <v>42</v>
      </c>
    </row>
    <row r="40" spans="8:18" x14ac:dyDescent="0.25">
      <c r="H40" s="56" t="s">
        <v>80</v>
      </c>
      <c r="I40" s="47">
        <f>SUMIF(Daily!E$3:E380,"&gt;0")</f>
        <v>0.14093049025918436</v>
      </c>
      <c r="J40" s="45"/>
      <c r="K40" s="14"/>
      <c r="L40" s="32"/>
      <c r="M40" s="51"/>
      <c r="N40" s="40">
        <f>SUMIF(Daily!J$3:J380,"&gt;0")</f>
        <v>0.18766740857810493</v>
      </c>
      <c r="O40" s="14">
        <f>SUMIF(Daily!K$3:K380,"&gt;0")</f>
        <v>5.4036011599053912E-2</v>
      </c>
      <c r="P40" s="14">
        <f>SUMIF(Daily!L$3:L380,"&gt;0")</f>
        <v>0.21670516268606005</v>
      </c>
      <c r="Q40" s="14">
        <f>SUMIF(Daily!M$3:M380,"&gt;0")</f>
        <v>0.11033794484954813</v>
      </c>
      <c r="R40" s="25">
        <f>SUMIF(Daily!N$3:N380,"&gt;0")</f>
        <v>0.23739702873543292</v>
      </c>
    </row>
    <row r="41" spans="8:18" x14ac:dyDescent="0.25">
      <c r="H41" s="56" t="s">
        <v>81</v>
      </c>
      <c r="I41" s="47">
        <f>SUMIF(Daily!E$3:E380,"&lt;0")</f>
        <v>-0.13863584584435751</v>
      </c>
      <c r="J41" s="45"/>
      <c r="K41" s="14"/>
      <c r="L41" s="32"/>
      <c r="M41" s="51"/>
      <c r="N41" s="40">
        <f>SUMIF(Daily!J$3:J380,"&lt;0")</f>
        <v>-0.18285528256598776</v>
      </c>
      <c r="O41" s="14">
        <f>SUMIF(Daily!K$3:K380,"&lt;0")</f>
        <v>-4.7887643279916778E-2</v>
      </c>
      <c r="P41" s="14">
        <f>SUMIF(Daily!L$3:L380,"&lt;0")</f>
        <v>-0.14360134599607172</v>
      </c>
      <c r="Q41" s="14">
        <f>SUMIF(Daily!M$3:M380,"&lt;0")</f>
        <v>-0.104991321914623</v>
      </c>
      <c r="R41" s="25">
        <f>SUMIF(Daily!N$3:N380,"&lt;0")</f>
        <v>-0.23807836514508046</v>
      </c>
    </row>
    <row r="42" spans="8:18" x14ac:dyDescent="0.25">
      <c r="H42" s="56" t="s">
        <v>75</v>
      </c>
      <c r="I42" s="48">
        <f>COUNT(Daily!E$3:E380)</f>
        <v>76</v>
      </c>
      <c r="J42" s="45"/>
      <c r="K42" s="14"/>
      <c r="L42" s="32"/>
      <c r="M42" s="51"/>
      <c r="N42" s="41">
        <f>COUNT(Daily!J$3:J380)</f>
        <v>76</v>
      </c>
      <c r="O42" s="33">
        <f>COUNT(Daily!K$3:K380)</f>
        <v>76</v>
      </c>
      <c r="P42" s="33">
        <f>COUNT(Daily!L$3:L380)</f>
        <v>76</v>
      </c>
      <c r="Q42" s="33">
        <f>COUNT(Daily!M$3:M380)</f>
        <v>76</v>
      </c>
      <c r="R42" s="35">
        <f>COUNT(Daily!N$3:N380)</f>
        <v>76</v>
      </c>
    </row>
    <row r="43" spans="8:18" x14ac:dyDescent="0.25">
      <c r="H43" s="56" t="s">
        <v>76</v>
      </c>
      <c r="I43" s="48">
        <f>I42-I39</f>
        <v>33</v>
      </c>
      <c r="J43" s="45"/>
      <c r="K43" s="14"/>
      <c r="L43" s="32"/>
      <c r="M43" s="51"/>
      <c r="N43" s="41">
        <f>N42-N39</f>
        <v>38</v>
      </c>
      <c r="O43" s="33">
        <f>O42-O39</f>
        <v>36</v>
      </c>
      <c r="P43" s="33">
        <f>P42-P39</f>
        <v>33</v>
      </c>
      <c r="Q43" s="33">
        <f>Q42-Q39</f>
        <v>36</v>
      </c>
      <c r="R43" s="35">
        <f>R42-R39</f>
        <v>34</v>
      </c>
    </row>
    <row r="44" spans="8:18" x14ac:dyDescent="0.25">
      <c r="H44" s="56" t="s">
        <v>78</v>
      </c>
      <c r="I44" s="49">
        <f>(I40/I41)*(I39/I43)*-1</f>
        <v>1.3245975332728726</v>
      </c>
      <c r="J44" s="45"/>
      <c r="K44" s="14"/>
      <c r="L44" s="32"/>
      <c r="M44" s="51"/>
      <c r="N44" s="42">
        <f>(N40/N41)*(N39/N43)*-1</f>
        <v>1.0263165818596496</v>
      </c>
      <c r="O44" s="34">
        <f>(O40/O41)*(O39/O43)*-1</f>
        <v>1.2537683789717291</v>
      </c>
      <c r="P44" s="34">
        <f>(P40/P41)*(P39/P43)*-1</f>
        <v>1.9663701049903277</v>
      </c>
      <c r="Q44" s="34">
        <f>(Q40/Q41)*(Q39/Q43)*-1</f>
        <v>1.1676938080576995</v>
      </c>
      <c r="R44" s="36">
        <f>(R40/R41)*(R39/R43)*-1</f>
        <v>1.2317589335136183</v>
      </c>
    </row>
    <row r="45" spans="8:18" x14ac:dyDescent="0.25">
      <c r="H45" s="61" t="s">
        <v>77</v>
      </c>
      <c r="I45" s="62">
        <f>I39/I42</f>
        <v>0.56578947368421051</v>
      </c>
      <c r="J45" s="63"/>
      <c r="K45" s="64"/>
      <c r="L45" s="65"/>
      <c r="M45" s="66"/>
      <c r="N45" s="67">
        <f>N39/N42</f>
        <v>0.5</v>
      </c>
      <c r="O45" s="64">
        <f>O39/O42</f>
        <v>0.52631578947368418</v>
      </c>
      <c r="P45" s="64">
        <f>P39/P42</f>
        <v>0.56578947368421051</v>
      </c>
      <c r="Q45" s="64">
        <f>Q39/Q42</f>
        <v>0.52631578947368418</v>
      </c>
      <c r="R45" s="68">
        <f>R39/R42</f>
        <v>0.55263157894736847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-3.9128004471771866E-2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9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1" sqref="J31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8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  <row r="76" spans="1:40" x14ac:dyDescent="0.25">
      <c r="A76" s="9">
        <v>43326</v>
      </c>
      <c r="B76" s="4">
        <f>D76-C76</f>
        <v>19867.46</v>
      </c>
      <c r="C76" s="4">
        <v>104.72</v>
      </c>
      <c r="D76" s="4">
        <f>19930.15+42.03</f>
        <v>19972.18</v>
      </c>
      <c r="E76" s="5">
        <f t="shared" ref="E76" si="1362">D76/D75-1</f>
        <v>3.6367181395198234E-3</v>
      </c>
      <c r="F76" s="10">
        <f t="shared" ref="F76" si="1363">F75*(1+E76)</f>
        <v>99.860900000000029</v>
      </c>
      <c r="G76" s="5">
        <f t="shared" ref="G76" si="1364">F76/F$45-1</f>
        <v>6.2382987813609514E-3</v>
      </c>
      <c r="H76" s="8">
        <f t="shared" ref="H76" si="1365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6">0.6*J76 + 0.4*K76</f>
        <v>2.3652939076950208E-3</v>
      </c>
      <c r="N76" s="11">
        <f>VLOOKUP($A76,Prices!$A:$J,MATCH(N$1,Prices!$1:$1,0),0)</f>
        <v>4.025301897642386E-3</v>
      </c>
      <c r="P76" s="10">
        <f t="shared" ref="P76" si="1367">P75*(1+J76)</f>
        <v>100.77820389915527</v>
      </c>
      <c r="Q76" s="10">
        <f t="shared" ref="Q76" si="1368">Q75*(1+K76)</f>
        <v>100.40667975773624</v>
      </c>
      <c r="R76" s="10">
        <f t="shared" ref="R76" si="1369">R75*(1+L76)</f>
        <v>107.37705183837032</v>
      </c>
      <c r="S76" s="10">
        <f t="shared" ref="S76" si="1370">S75*(1+M76)</f>
        <v>100.67033677412961</v>
      </c>
      <c r="T76" s="10">
        <f t="shared" ref="T76" si="1371">T75*(1+N76)</f>
        <v>101.25987641920501</v>
      </c>
      <c r="V76" s="5">
        <f t="shared" ref="V76" si="1372">P76/P$45-1</f>
        <v>2.0106861642295026E-2</v>
      </c>
      <c r="W76" s="5">
        <f t="shared" ref="W76" si="1373">Q76/Q$45-1</f>
        <v>9.3504809087985308E-4</v>
      </c>
      <c r="X76" s="5">
        <f t="shared" ref="X76" si="1374">R76/R$45-1</f>
        <v>4.7170847830067641E-2</v>
      </c>
      <c r="Y76" s="5">
        <f t="shared" ref="Y76" si="1375">S76/S$45-1</f>
        <v>1.2516359494932461E-2</v>
      </c>
      <c r="Z76" s="5">
        <f t="shared" ref="Z76" si="1376">T76/T$45-1</f>
        <v>3.4482758620693055E-3</v>
      </c>
      <c r="AB76" s="8">
        <f t="shared" ref="AB76" si="1377">P76/$P$2-1</f>
        <v>7.782038991552831E-3</v>
      </c>
      <c r="AC76" s="8">
        <f t="shared" ref="AC76" si="1378">Q76/$P$2-1</f>
        <v>4.066797577362502E-3</v>
      </c>
      <c r="AD76" s="8">
        <f t="shared" ref="AD76" si="1379">R76/$P$2-1</f>
        <v>7.3770518383703187E-2</v>
      </c>
      <c r="AE76" s="8">
        <f t="shared" ref="AE76" si="1380">S76/$P$2-1</f>
        <v>6.7033677412959847E-3</v>
      </c>
      <c r="AF76" s="8">
        <f t="shared" ref="AF76" si="1381">T76/$T$2-1</f>
        <v>1.2598764192050194E-2</v>
      </c>
      <c r="AI76" s="8">
        <f t="shared" ref="AI76" si="1382">MIN(0,(F76-MAX(F47:F76))/MAX(F47:F76))</f>
        <v>-3.6556906152312822E-3</v>
      </c>
      <c r="AJ76" s="8">
        <f t="shared" ref="AJ76" si="1383">MIN(0,(P76-MAX(P47:P76))/MAX(P47:P76))</f>
        <v>-1.8002165674065703E-2</v>
      </c>
      <c r="AK76" s="8">
        <f t="shared" ref="AK76" si="1384">MIN(0,(Q76-MAX(Q47:Q76))/MAX(Q47:Q76))</f>
        <v>-3.0044127311991721E-3</v>
      </c>
      <c r="AL76" s="8">
        <f t="shared" ref="AL76" si="1385">MIN(0,(R76-MAX(R47:R76))/MAX(R47:R76))</f>
        <v>-5.3570807388596577E-3</v>
      </c>
      <c r="AM76" s="8">
        <f t="shared" ref="AM76" si="1386">MIN(0,(S76-MAX(S47:S76))/MAX(S47:S76))</f>
        <v>-1.0311959255453714E-2</v>
      </c>
      <c r="AN76" s="8">
        <f t="shared" ref="AN76" si="1387">MIN(0,(T76-MAX(T47:T76))/MAX(T47:T76))</f>
        <v>-2.4035774175517034E-2</v>
      </c>
    </row>
    <row r="77" spans="1:40" x14ac:dyDescent="0.25">
      <c r="A77" s="9">
        <v>43327</v>
      </c>
      <c r="B77" s="4">
        <f t="shared" si="812"/>
        <v>19793.66</v>
      </c>
      <c r="C77" s="4">
        <v>104.72</v>
      </c>
      <c r="D77" s="4">
        <f>19938.52-40.14</f>
        <v>19898.38</v>
      </c>
      <c r="E77" s="5">
        <f t="shared" ref="E77" si="1388">D77/D76-1</f>
        <v>-3.6951399396559781E-3</v>
      </c>
      <c r="F77" s="10">
        <f t="shared" ref="F77" si="1389">F76*(1+E77)</f>
        <v>99.491900000000044</v>
      </c>
      <c r="G77" s="5">
        <f t="shared" ref="G77" si="1390">F77/F$45-1</f>
        <v>2.5201074547225311E-3</v>
      </c>
      <c r="H77" s="8">
        <f t="shared" ref="H77" si="1391">F77/$F$2-1</f>
        <v>-5.0809999999995581E-3</v>
      </c>
      <c r="J77" s="11">
        <f>VLOOKUP($A77,Prices!$A:$J,MATCH(J$1,Prices!$1:$1,0),0)</f>
        <v>-1.1853893866299092E-2</v>
      </c>
      <c r="K77" s="11">
        <f>VLOOKUP($A77,Prices!$A:$J,MATCH(K$1,Prices!$1:$1,0),0)</f>
        <v>1.4125623881722227E-3</v>
      </c>
      <c r="L77" s="11">
        <f>VLOOKUP($A77,Prices!$A:$J,MATCH(L$1,Prices!$1:$1,0),0)</f>
        <v>-7.9739796453678347E-3</v>
      </c>
      <c r="M77" s="11">
        <f t="shared" ref="M77" si="1392">0.6*J77 + 0.4*K77</f>
        <v>-6.5473113645105659E-3</v>
      </c>
      <c r="N77" s="11">
        <f>VLOOKUP($A77,Prices!$A:$J,MATCH(N$1,Prices!$1:$1,0),0)</f>
        <v>-8.1443298969073874E-3</v>
      </c>
      <c r="P77" s="10">
        <f t="shared" ref="P77" si="1393">P76*(1+J77)</f>
        <v>99.583589766098441</v>
      </c>
      <c r="Q77" s="10">
        <f t="shared" ref="Q77" si="1394">Q76*(1+K77)</f>
        <v>100.54851045708327</v>
      </c>
      <c r="R77" s="10">
        <f t="shared" ref="R77" si="1395">R76*(1+L77)</f>
        <v>106.52082941263154</v>
      </c>
      <c r="S77" s="10">
        <f t="shared" ref="S77" si="1396">S76*(1+M77)</f>
        <v>100.01121673409924</v>
      </c>
      <c r="T77" s="10">
        <f t="shared" ref="T77" si="1397">T76*(1+N77)</f>
        <v>100.43518258032694</v>
      </c>
      <c r="V77" s="5">
        <f t="shared" ref="V77" si="1398">P77/P$45-1</f>
        <v>8.0146231721038852E-3</v>
      </c>
      <c r="W77" s="5">
        <f t="shared" ref="W77" si="1399">Q77/Q$45-1</f>
        <v>2.3489312928164363E-3</v>
      </c>
      <c r="X77" s="5">
        <f t="shared" ref="X77" si="1400">R77/R$45-1</f>
        <v>3.8820728804248139E-2</v>
      </c>
      <c r="Y77" s="5">
        <f t="shared" ref="Y77" si="1401">S77/S$45-1</f>
        <v>5.887099627658321E-3</v>
      </c>
      <c r="Z77" s="5">
        <f t="shared" ref="Z77" si="1402">T77/T$45-1</f>
        <v>-4.7241379310343223E-3</v>
      </c>
      <c r="AB77" s="8">
        <f t="shared" ref="AB77" si="1403">P77/$P$2-1</f>
        <v>-4.1641023390155407E-3</v>
      </c>
      <c r="AC77" s="8">
        <f t="shared" ref="AC77" si="1404">Q77/$P$2-1</f>
        <v>5.4851045708326218E-3</v>
      </c>
      <c r="AD77" s="8">
        <f t="shared" ref="AD77" si="1405">R77/$P$2-1</f>
        <v>6.5208294126315458E-2</v>
      </c>
      <c r="AE77" s="8">
        <f t="shared" ref="AE77" si="1406">S77/$P$2-1</f>
        <v>1.1216734099228631E-4</v>
      </c>
      <c r="AF77" s="8">
        <f t="shared" ref="AF77" si="1407">T77/$T$2-1</f>
        <v>4.3518258032693158E-3</v>
      </c>
      <c r="AI77" s="8">
        <f t="shared" ref="AI77" si="1408">MIN(0,(F77-MAX(F48:F77))/MAX(F48:F77))</f>
        <v>-7.3373222664878321E-3</v>
      </c>
      <c r="AJ77" s="8">
        <f t="shared" ref="AJ77" si="1409">MIN(0,(P77-MAX(P48:P77))/MAX(P48:P77))</f>
        <v>-2.9642663779100839E-2</v>
      </c>
      <c r="AK77" s="8">
        <f t="shared" ref="AK77" si="1410">MIN(0,(Q77-MAX(Q48:Q77))/MAX(Q48:Q77))</f>
        <v>-1.5960942634496483E-3</v>
      </c>
      <c r="AL77" s="8">
        <f t="shared" ref="AL77" si="1411">MIN(0,(R77-MAX(R48:R77))/MAX(R48:R77))</f>
        <v>-1.3288343131457294E-2</v>
      </c>
      <c r="AM77" s="8">
        <f t="shared" ref="AM77" si="1412">MIN(0,(S77-MAX(S48:S77))/MAX(S48:S77))</f>
        <v>-1.6791755011940763E-2</v>
      </c>
      <c r="AN77" s="8">
        <f t="shared" ref="AN77" si="1413">MIN(0,(T77-MAX(T48:T77))/MAX(T48:T77))</f>
        <v>-3.1984348798211416E-2</v>
      </c>
    </row>
    <row r="78" spans="1:40" x14ac:dyDescent="0.25">
      <c r="A78" s="9">
        <v>43328</v>
      </c>
      <c r="B78" s="4">
        <f t="shared" si="812"/>
        <v>19922.879999999997</v>
      </c>
      <c r="C78" s="4">
        <v>104.72</v>
      </c>
      <c r="D78" s="4">
        <f>20034.32-6.72</f>
        <v>20027.599999999999</v>
      </c>
      <c r="E78" s="5">
        <f t="shared" ref="E78" si="1414">D78/D77-1</f>
        <v>6.493995993643642E-3</v>
      </c>
      <c r="F78" s="10">
        <f t="shared" ref="F78" si="1415">F77*(1+E78)</f>
        <v>100.13800000000003</v>
      </c>
      <c r="G78" s="5">
        <f t="shared" ref="G78" si="1416">F78/F$45-1</f>
        <v>9.0304690160805112E-3</v>
      </c>
      <c r="H78" s="8">
        <f t="shared" ref="H78" si="1417">F78/$F$2-1</f>
        <v>1.3800000000003809E-3</v>
      </c>
      <c r="J78" s="11">
        <f>VLOOKUP($A78,Prices!$A:$J,MATCH(J$1,Prices!$1:$1,0),0)</f>
        <v>7.5324313014368816E-3</v>
      </c>
      <c r="K78" s="11">
        <f>VLOOKUP($A78,Prices!$A:$J,MATCH(K$1,Prices!$1:$1,0),0)</f>
        <v>5.6422794809107835E-4</v>
      </c>
      <c r="L78" s="11">
        <f>VLOOKUP($A78,Prices!$A:$J,MATCH(L$1,Prices!$1:$1,0),0)</f>
        <v>8.6374052529527567E-3</v>
      </c>
      <c r="M78" s="11">
        <f t="shared" ref="M78" si="1418">0.6*J78 + 0.4*K78</f>
        <v>4.7451499600985603E-3</v>
      </c>
      <c r="N78" s="11">
        <f>VLOOKUP($A78,Prices!$A:$J,MATCH(N$1,Prices!$1:$1,0),0)</f>
        <v>-7.3796902608874726E-3</v>
      </c>
      <c r="P78" s="10">
        <f t="shared" ref="P78" si="1419">P77*(1+J78)</f>
        <v>100.33369631476205</v>
      </c>
      <c r="Q78" s="10">
        <f t="shared" ref="Q78" si="1420">Q77*(1+K78)</f>
        <v>100.60524273682208</v>
      </c>
      <c r="R78" s="10">
        <f t="shared" ref="R78" si="1421">R77*(1+L78)</f>
        <v>107.44089298414909</v>
      </c>
      <c r="S78" s="10">
        <f t="shared" ref="S78" si="1422">S77*(1+M78)</f>
        <v>100.48578495519446</v>
      </c>
      <c r="T78" s="10">
        <f t="shared" ref="T78" si="1423">T77*(1+N78)</f>
        <v>99.694002041588448</v>
      </c>
      <c r="V78" s="5">
        <f t="shared" ref="V78" si="1424">P78/P$45-1</f>
        <v>1.5607424071991449E-2</v>
      </c>
      <c r="W78" s="5">
        <f t="shared" ref="W78" si="1425">Q78/Q$45-1</f>
        <v>2.914484573590892E-3</v>
      </c>
      <c r="X78" s="5">
        <f t="shared" ref="X78" si="1426">R78/R$45-1</f>
        <v>4.7793444424098164E-2</v>
      </c>
      <c r="Y78" s="5">
        <f t="shared" ref="Y78" si="1427">S78/S$45-1</f>
        <v>1.0660184758320312E-2</v>
      </c>
      <c r="Z78" s="5">
        <f t="shared" ref="Z78" si="1428">T78/T$45-1</f>
        <v>-1.2068965517241015E-2</v>
      </c>
      <c r="AB78" s="8">
        <f t="shared" ref="AB78" si="1429">P78/$P$2-1</f>
        <v>3.336963147620553E-3</v>
      </c>
      <c r="AC78" s="8">
        <f t="shared" ref="AC78" si="1430">Q78/$P$2-1</f>
        <v>6.0524273682207586E-3</v>
      </c>
      <c r="AD78" s="8">
        <f t="shared" ref="AD78" si="1431">R78/$P$2-1</f>
        <v>7.4408929841490945E-2</v>
      </c>
      <c r="AE78" s="8">
        <f t="shared" ref="AE78" si="1432">S78/$P$2-1</f>
        <v>4.8578495519446818E-3</v>
      </c>
      <c r="AF78" s="8">
        <f t="shared" ref="AF78" si="1433">T78/$T$2-1</f>
        <v>-3.0599795841155242E-3</v>
      </c>
      <c r="AI78" s="8">
        <f t="shared" ref="AI78" si="1434">MIN(0,(F78-MAX(F49:F78))/MAX(F49:F78))</f>
        <v>-8.9097481424687652E-4</v>
      </c>
      <c r="AJ78" s="8">
        <f t="shared" ref="AJ78" si="1435">MIN(0,(P78-MAX(P49:P78))/MAX(P49:P78))</f>
        <v>-2.2333513806171625E-2</v>
      </c>
      <c r="AK78" s="8">
        <f t="shared" ref="AK78" si="1436">MIN(0,(Q78-MAX(Q49:Q78))/MAX(Q49:Q78))</f>
        <v>-1.0327668763498389E-3</v>
      </c>
      <c r="AL78" s="8">
        <f t="shared" ref="AL78" si="1437">MIN(0,(R78-MAX(R49:R78))/MAX(R49:R78))</f>
        <v>-4.7657146832712528E-3</v>
      </c>
      <c r="AM78" s="8">
        <f t="shared" ref="AM78" si="1438">MIN(0,(S78-MAX(S49:S78))/MAX(S49:S78))</f>
        <v>-1.212628444746704E-2</v>
      </c>
      <c r="AN78" s="8">
        <f t="shared" ref="AN78" si="1439">MIN(0,(T78-MAX(T49:T78))/MAX(T49:T78))</f>
        <v>-3.9128004471771866E-2</v>
      </c>
    </row>
    <row r="79" spans="1:40" x14ac:dyDescent="0.25">
      <c r="C7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7"/>
  <sheetViews>
    <sheetView topLeftCell="A51" zoomScale="90" zoomScaleNormal="90" workbookViewId="0">
      <selection activeCell="A80" sqref="A80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A78" s="13">
        <v>43327</v>
      </c>
      <c r="B78">
        <f t="array" ref="B78">_xll.HistoricalData(B$1,"Adj. Close",$A78,$A78,"Daily","RemoveHeaders = True","ReverseOrder =True","RemoveDates =""True")</f>
        <v>71.69</v>
      </c>
      <c r="C78">
        <f t="array" ref="C78">_xll.HistoricalData(C$1,"Adj. Close",$A78,$A78,"Daily","RemoveHeaders = True","ReverseOrder =True","RemoveDates =""True")</f>
        <v>106.34</v>
      </c>
      <c r="D78">
        <f t="array" ref="D78">_xll.HistoricalData(D$1,"Adj. Close",$A78,$A78,"Daily","RemoveHeaders = True","ReverseOrder =True","RemoveDates =""True")</f>
        <v>283.64999999999998</v>
      </c>
      <c r="E78">
        <f t="array" ref="E78">_xll.HistoricalData(E$1,"Adj. Close",$A78,$A78,"Daily","RemoveHeaders = True","ReverseOrder =True","RemoveDates =""True")</f>
        <v>17.317799999999998</v>
      </c>
      <c r="G78" s="5">
        <f t="shared" si="220"/>
        <v>-1.1853893866299092E-2</v>
      </c>
      <c r="H78" s="5">
        <f t="shared" si="221"/>
        <v>1.4125623881722227E-3</v>
      </c>
      <c r="I78" s="5">
        <f t="shared" si="222"/>
        <v>-7.9739796453678347E-3</v>
      </c>
      <c r="J78" s="5">
        <f t="shared" si="223"/>
        <v>-8.1443298969073874E-3</v>
      </c>
    </row>
    <row r="79" spans="1:10" x14ac:dyDescent="0.25">
      <c r="A79" s="13">
        <v>43328</v>
      </c>
      <c r="B79">
        <f t="array" ref="B79">_xll.HistoricalData(B$1,"Adj. Close",$A79,$A79,"Daily","RemoveHeaders = True","ReverseOrder =True","RemoveDates =""True")</f>
        <v>72.23</v>
      </c>
      <c r="C79">
        <f t="array" ref="C79">_xll.HistoricalData(C$1,"Adj. Close",$A79,$A79,"Daily","RemoveHeaders = True","ReverseOrder =True","RemoveDates =""True")</f>
        <v>106.4</v>
      </c>
      <c r="D79">
        <f t="array" ref="D79">_xll.HistoricalData(D$1,"Adj. Close",$A79,$A79,"Daily","RemoveHeaders = True","ReverseOrder =True","RemoveDates =""True")</f>
        <v>286.10000000000002</v>
      </c>
      <c r="E79">
        <f t="array" ref="E79">_xll.HistoricalData(E$1,"Adj. Close",$A79,$A79,"Daily","RemoveHeaders = True","ReverseOrder =True","RemoveDates =""True")</f>
        <v>17.190000000000001</v>
      </c>
      <c r="G79" s="5">
        <f t="shared" ref="G79:G87" si="224">B79/B78-1</f>
        <v>7.5324313014368816E-3</v>
      </c>
      <c r="H79" s="5">
        <f t="shared" ref="H79:H87" si="225">C79/C78-1</f>
        <v>5.6422794809107835E-4</v>
      </c>
      <c r="I79" s="5">
        <f t="shared" ref="I79:I87" si="226">D79/D78-1</f>
        <v>8.6374052529527567E-3</v>
      </c>
      <c r="J79" s="5">
        <f t="shared" ref="J79:J87" si="227">E79/E78-1</f>
        <v>-7.3796902608874726E-3</v>
      </c>
    </row>
    <row r="80" spans="1:10" x14ac:dyDescent="0.25">
      <c r="B80" t="str">
        <f t="array" ref="B80">_xll.HistoricalData(B$1,"Adj. Close",$A80,$A80,"Daily","RemoveHeaders = True","ReverseOrder =True","RemoveDates =""True")</f>
        <v>--</v>
      </c>
      <c r="C80" t="str">
        <f t="array" ref="C80">_xll.HistoricalData(C$1,"Adj. Close",$A80,$A80,"Daily","RemoveHeaders = True","ReverseOrder =True","RemoveDates =""True")</f>
        <v>--</v>
      </c>
      <c r="D80" t="str">
        <f t="array" ref="D80">_xll.HistoricalData(D$1,"Adj. Close",$A80,$A80,"Daily","RemoveHeaders = True","ReverseOrder =True","RemoveDates =""True")</f>
        <v>--</v>
      </c>
      <c r="E80" t="str">
        <f t="array" ref="E80">_xll.HistoricalData(E$1,"Adj. Close",$A80,$A80,"Daily","RemoveHeaders = True","ReverseOrder =True","RemoveDates =""True")</f>
        <v>--</v>
      </c>
      <c r="G80" s="5" t="e">
        <f t="shared" si="224"/>
        <v>#VALUE!</v>
      </c>
      <c r="H80" s="5" t="e">
        <f t="shared" si="225"/>
        <v>#VALUE!</v>
      </c>
      <c r="I80" s="5" t="e">
        <f t="shared" si="226"/>
        <v>#VALUE!</v>
      </c>
      <c r="J80" s="5" t="e">
        <f t="shared" si="227"/>
        <v>#VALUE!</v>
      </c>
    </row>
    <row r="81" spans="2:10" x14ac:dyDescent="0.25">
      <c r="B81" t="str">
        <f t="array" ref="B81">_xll.HistoricalData(B$1,"Adj. Close",$A81,$A81,"Daily","RemoveHeaders = True","ReverseOrder =True","RemoveDates =""True")</f>
        <v>--</v>
      </c>
      <c r="C81" t="str">
        <f t="array" ref="C81">_xll.HistoricalData(C$1,"Adj. Close",$A81,$A81,"Daily","RemoveHeaders = True","ReverseOrder =True","RemoveDates =""True")</f>
        <v>--</v>
      </c>
      <c r="D81" t="str">
        <f t="array" ref="D81">_xll.HistoricalData(D$1,"Adj. Close",$A81,$A81,"Daily","RemoveHeaders = True","ReverseOrder =True","RemoveDates =""True")</f>
        <v>--</v>
      </c>
      <c r="E81" t="str">
        <f t="array" ref="E81">_xll.HistoricalData(E$1,"Adj. Close",$A81,$A81,"Daily","RemoveHeaders = True","ReverseOrder =True","RemoveDates =""True")</f>
        <v>--</v>
      </c>
      <c r="G81" s="5" t="e">
        <f t="shared" si="224"/>
        <v>#VALUE!</v>
      </c>
      <c r="H81" s="5" t="e">
        <f t="shared" si="225"/>
        <v>#VALUE!</v>
      </c>
      <c r="I81" s="5" t="e">
        <f t="shared" si="226"/>
        <v>#VALUE!</v>
      </c>
      <c r="J81" s="5" t="e">
        <f t="shared" si="227"/>
        <v>#VALUE!</v>
      </c>
    </row>
    <row r="82" spans="2:10" x14ac:dyDescent="0.25">
      <c r="B82" t="str">
        <f t="array" ref="B82">_xll.HistoricalData(B$1,"Adj. Close",$A82,$A82,"Daily","RemoveHeaders = True","ReverseOrder =True","RemoveDates =""True")</f>
        <v>--</v>
      </c>
      <c r="C82" t="str">
        <f t="array" ref="C82">_xll.HistoricalData(C$1,"Adj. Close",$A82,$A82,"Daily","RemoveHeaders = True","ReverseOrder =True","RemoveDates =""True")</f>
        <v>--</v>
      </c>
      <c r="D82" t="str">
        <f t="array" ref="D82">_xll.HistoricalData(D$1,"Adj. Close",$A82,$A82,"Daily","RemoveHeaders = True","ReverseOrder =True","RemoveDates =""True")</f>
        <v>--</v>
      </c>
      <c r="E82" t="str">
        <f t="array" ref="E82">_xll.HistoricalData(E$1,"Adj. Close",$A82,$A82,"Daily","RemoveHeaders = True","ReverseOrder =True","RemoveDates =""True")</f>
        <v>--</v>
      </c>
      <c r="G82" s="5" t="e">
        <f t="shared" si="224"/>
        <v>#VALUE!</v>
      </c>
      <c r="H82" s="5" t="e">
        <f t="shared" si="225"/>
        <v>#VALUE!</v>
      </c>
      <c r="I82" s="5" t="e">
        <f t="shared" si="226"/>
        <v>#VALUE!</v>
      </c>
      <c r="J82" s="5" t="e">
        <f t="shared" si="227"/>
        <v>#VALUE!</v>
      </c>
    </row>
    <row r="83" spans="2:10" x14ac:dyDescent="0.25">
      <c r="B83" t="str">
        <f t="array" ref="B83">_xll.HistoricalData(B$1,"Adj. Close",$A83,$A83,"Daily","RemoveHeaders = True","ReverseOrder =True","RemoveDates =""True")</f>
        <v>--</v>
      </c>
      <c r="C83" t="str">
        <f t="array" ref="C83">_xll.HistoricalData(C$1,"Adj. Close",$A83,$A83,"Daily","RemoveHeaders = True","ReverseOrder =True","RemoveDates =""True")</f>
        <v>--</v>
      </c>
      <c r="D83" t="str">
        <f t="array" ref="D83">_xll.HistoricalData(D$1,"Adj. Close",$A83,$A83,"Daily","RemoveHeaders = True","ReverseOrder =True","RemoveDates =""True")</f>
        <v>--</v>
      </c>
      <c r="E83" t="str">
        <f t="array" ref="E83">_xll.HistoricalData(E$1,"Adj. Close",$A83,$A83,"Daily","RemoveHeaders = True","ReverseOrder =True","RemoveDates =""True")</f>
        <v>--</v>
      </c>
      <c r="G83" s="5" t="e">
        <f t="shared" si="224"/>
        <v>#VALUE!</v>
      </c>
      <c r="H83" s="5" t="e">
        <f t="shared" si="225"/>
        <v>#VALUE!</v>
      </c>
      <c r="I83" s="5" t="e">
        <f t="shared" si="226"/>
        <v>#VALUE!</v>
      </c>
      <c r="J83" s="5" t="e">
        <f t="shared" si="227"/>
        <v>#VALUE!</v>
      </c>
    </row>
    <row r="84" spans="2:10" x14ac:dyDescent="0.25">
      <c r="B84" t="str">
        <f t="array" ref="B84">_xll.HistoricalData(B$1,"Adj. Close",$A84,$A84,"Daily","RemoveHeaders = True","ReverseOrder =True","RemoveDates =""True")</f>
        <v>--</v>
      </c>
      <c r="C84" t="str">
        <f t="array" ref="C84">_xll.HistoricalData(C$1,"Adj. Close",$A84,$A84,"Daily","RemoveHeaders = True","ReverseOrder =True","RemoveDates =""True")</f>
        <v>--</v>
      </c>
      <c r="D84" t="str">
        <f t="array" ref="D84">_xll.HistoricalData(D$1,"Adj. Close",$A84,$A84,"Daily","RemoveHeaders = True","ReverseOrder =True","RemoveDates =""True")</f>
        <v>--</v>
      </c>
      <c r="E84" t="str">
        <f t="array" ref="E84">_xll.HistoricalData(E$1,"Adj. Close",$A84,$A84,"Daily","RemoveHeaders = True","ReverseOrder =True","RemoveDates =""True")</f>
        <v>--</v>
      </c>
      <c r="G84" s="5" t="e">
        <f t="shared" si="224"/>
        <v>#VALUE!</v>
      </c>
      <c r="H84" s="5" t="e">
        <f t="shared" si="225"/>
        <v>#VALUE!</v>
      </c>
      <c r="I84" s="5" t="e">
        <f t="shared" si="226"/>
        <v>#VALUE!</v>
      </c>
      <c r="J84" s="5" t="e">
        <f t="shared" si="227"/>
        <v>#VALUE!</v>
      </c>
    </row>
    <row r="85" spans="2:10" x14ac:dyDescent="0.25">
      <c r="B85" t="str">
        <f t="array" ref="B85">_xll.HistoricalData(B$1,"Adj. Close",$A85,$A85,"Daily","RemoveHeaders = True","ReverseOrder =True","RemoveDates =""True")</f>
        <v>--</v>
      </c>
      <c r="C85" t="str">
        <f t="array" ref="C85">_xll.HistoricalData(C$1,"Adj. Close",$A85,$A85,"Daily","RemoveHeaders = True","ReverseOrder =True","RemoveDates =""True")</f>
        <v>--</v>
      </c>
      <c r="D85" t="str">
        <f t="array" ref="D85">_xll.HistoricalData(D$1,"Adj. Close",$A85,$A85,"Daily","RemoveHeaders = True","ReverseOrder =True","RemoveDates =""True")</f>
        <v>--</v>
      </c>
      <c r="E85" t="str">
        <f t="array" ref="E85">_xll.HistoricalData(E$1,"Adj. Close",$A85,$A85,"Daily","RemoveHeaders = True","ReverseOrder =True","RemoveDates =""True")</f>
        <v>--</v>
      </c>
      <c r="G85" s="5" t="e">
        <f t="shared" si="224"/>
        <v>#VALUE!</v>
      </c>
      <c r="H85" s="5" t="e">
        <f t="shared" si="225"/>
        <v>#VALUE!</v>
      </c>
      <c r="I85" s="5" t="e">
        <f t="shared" si="226"/>
        <v>#VALUE!</v>
      </c>
      <c r="J85" s="5" t="e">
        <f t="shared" si="227"/>
        <v>#VALUE!</v>
      </c>
    </row>
    <row r="86" spans="2:10" x14ac:dyDescent="0.25">
      <c r="B86" t="str">
        <f t="array" ref="B86">_xll.HistoricalData(B$1,"Adj. Close",$A86,$A86,"Daily","RemoveHeaders = True","ReverseOrder =True","RemoveDates =""True")</f>
        <v>--</v>
      </c>
      <c r="C86" t="str">
        <f t="array" ref="C86">_xll.HistoricalData(C$1,"Adj. Close",$A86,$A86,"Daily","RemoveHeaders = True","ReverseOrder =True","RemoveDates =""True")</f>
        <v>--</v>
      </c>
      <c r="D86" t="str">
        <f t="array" ref="D86">_xll.HistoricalData(D$1,"Adj. Close",$A86,$A86,"Daily","RemoveHeaders = True","ReverseOrder =True","RemoveDates =""True")</f>
        <v>--</v>
      </c>
      <c r="E86" t="str">
        <f t="array" ref="E86">_xll.HistoricalData(E$1,"Adj. Close",$A86,$A86,"Daily","RemoveHeaders = True","ReverseOrder =True","RemoveDates =""True")</f>
        <v>--</v>
      </c>
      <c r="G86" s="5" t="e">
        <f t="shared" si="224"/>
        <v>#VALUE!</v>
      </c>
      <c r="H86" s="5" t="e">
        <f t="shared" si="225"/>
        <v>#VALUE!</v>
      </c>
      <c r="I86" s="5" t="e">
        <f t="shared" si="226"/>
        <v>#VALUE!</v>
      </c>
      <c r="J86" s="5" t="e">
        <f t="shared" si="227"/>
        <v>#VALUE!</v>
      </c>
    </row>
    <row r="87" spans="2:10" x14ac:dyDescent="0.25">
      <c r="B87" t="str">
        <f t="array" ref="B87">_xll.HistoricalData(B$1,"Adj. Close",$A87,$A87,"Daily","RemoveHeaders = True","ReverseOrder =True","RemoveDates =""True")</f>
        <v>--</v>
      </c>
      <c r="C87" t="str">
        <f t="array" ref="C87">_xll.HistoricalData(C$1,"Adj. Close",$A87,$A87,"Daily","RemoveHeaders = True","ReverseOrder =True","RemoveDates =""True")</f>
        <v>--</v>
      </c>
      <c r="D87" t="str">
        <f t="array" ref="D87">_xll.HistoricalData(D$1,"Adj. Close",$A87,$A87,"Daily","RemoveHeaders = True","ReverseOrder =True","RemoveDates =""True")</f>
        <v>--</v>
      </c>
      <c r="E87" t="str">
        <f t="array" ref="E87">_xll.HistoricalData(E$1,"Adj. Close",$A87,$A87,"Daily","RemoveHeaders = True","ReverseOrder =True","RemoveDates =""True")</f>
        <v>--</v>
      </c>
      <c r="G87" s="5" t="e">
        <f t="shared" si="224"/>
        <v>#VALUE!</v>
      </c>
      <c r="H87" s="5" t="e">
        <f t="shared" si="225"/>
        <v>#VALUE!</v>
      </c>
      <c r="I87" s="5" t="e">
        <f t="shared" si="226"/>
        <v>#VALUE!</v>
      </c>
      <c r="J87" s="5" t="e">
        <f t="shared" si="227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11" workbookViewId="0">
      <selection activeCell="Q35" sqref="Q35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0.99264713057690579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349.02</v>
      </c>
      <c r="D5">
        <f>ROUNDDOWN(($C$2/6)/B5,0)</f>
        <v>35</v>
      </c>
      <c r="E5" s="8">
        <f>C5/B5-1</f>
        <v>5.142340713962934E-2</v>
      </c>
      <c r="F5">
        <f>C5*D5</f>
        <v>12215.699999999999</v>
      </c>
      <c r="G5" s="73">
        <f>F5/$F$13</f>
        <v>0.16930323829319843</v>
      </c>
      <c r="H5" s="8">
        <f>F5/$F$31</f>
        <v>0.11925673336845445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1875.4999</v>
      </c>
      <c r="D6">
        <f t="shared" ref="D6:D10" si="0">ROUNDDOWN(($C$2/6)/B6,0)</f>
        <v>7</v>
      </c>
      <c r="E6" s="8">
        <f t="shared" ref="E6:E10" si="1">C6/B6-1</f>
        <v>0.15088173930118698</v>
      </c>
      <c r="F6">
        <f t="shared" ref="F6:F9" si="2">C6*D6</f>
        <v>13128.499299999999</v>
      </c>
      <c r="G6" s="73">
        <f t="shared" ref="G6:G10" si="3">F6/$F$13</f>
        <v>0.18195416107304443</v>
      </c>
      <c r="H6" s="8">
        <f t="shared" ref="H6:H10" si="4">F6/$F$31</f>
        <v>0.12816800842751877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45.720999999999997</v>
      </c>
      <c r="D7">
        <f t="shared" si="0"/>
        <v>275</v>
      </c>
      <c r="E7" s="8">
        <f t="shared" si="1"/>
        <v>7.8834355828220737E-2</v>
      </c>
      <c r="F7">
        <f t="shared" si="2"/>
        <v>12573.275</v>
      </c>
      <c r="G7" s="73">
        <f t="shared" si="3"/>
        <v>0.17425904151632035</v>
      </c>
      <c r="H7" s="8">
        <f t="shared" si="4"/>
        <v>0.12274758746885191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521.35</v>
      </c>
      <c r="D8">
        <f t="shared" si="0"/>
        <v>25</v>
      </c>
      <c r="E8" s="8">
        <f t="shared" si="1"/>
        <v>0.1341832183958056</v>
      </c>
      <c r="F8">
        <f t="shared" si="2"/>
        <v>13033.75</v>
      </c>
      <c r="G8" s="73">
        <f t="shared" si="3"/>
        <v>0.18064098513421048</v>
      </c>
      <c r="H8" s="8">
        <f t="shared" si="4"/>
        <v>0.12724301092373694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47.189900000000002</v>
      </c>
      <c r="D9">
        <f t="shared" si="0"/>
        <v>202</v>
      </c>
      <c r="E9" s="8">
        <f t="shared" si="1"/>
        <v>-0.18058864386178153</v>
      </c>
      <c r="F9">
        <f t="shared" si="2"/>
        <v>9532.3598000000002</v>
      </c>
      <c r="G9" s="73">
        <f t="shared" si="3"/>
        <v>0.1321135409936316</v>
      </c>
      <c r="H9" s="8">
        <f t="shared" si="4"/>
        <v>9.3060413323900706E-2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53.81</v>
      </c>
      <c r="D10">
        <f t="shared" si="0"/>
        <v>207</v>
      </c>
      <c r="E10" s="8">
        <f t="shared" si="1"/>
        <v>-4.5075421472936972E-2</v>
      </c>
      <c r="F10">
        <f>C10*D10</f>
        <v>11138.67</v>
      </c>
      <c r="G10" s="73">
        <f t="shared" si="3"/>
        <v>0.15437616356650055</v>
      </c>
      <c r="H10" s="8">
        <f t="shared" si="4"/>
        <v>0.10874214316569682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72152.784100000004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3.0754058571428544E-2</v>
      </c>
    </row>
    <row r="15" spans="1:23" x14ac:dyDescent="0.25">
      <c r="E15" t="s">
        <v>108</v>
      </c>
    </row>
    <row r="17" spans="1:10" x14ac:dyDescent="0.25">
      <c r="H17" s="11">
        <f>SUM(H20:H23)</f>
        <v>0.98828963860565788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16.77</v>
      </c>
      <c r="D20">
        <f>ROUNDDOWN(($C$3*E20)/B20,0)</f>
        <v>250</v>
      </c>
      <c r="E20" s="11">
        <v>0.14199999999999999</v>
      </c>
      <c r="F20" s="8">
        <f>C20/B20-1</f>
        <v>-1.3529411764705901E-2</v>
      </c>
      <c r="G20">
        <f>D20*C20</f>
        <v>4192.5</v>
      </c>
      <c r="H20" s="8">
        <f>G20/$G$27</f>
        <v>0.13846153236442957</v>
      </c>
      <c r="I20" s="8">
        <f>G20/$F$31</f>
        <v>4.0929611454705445E-2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286.48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1.272624434389158E-2</v>
      </c>
      <c r="G21">
        <f t="shared" ref="G21:G22" si="8">D21*C21</f>
        <v>10886.240000000002</v>
      </c>
      <c r="H21" s="8">
        <f t="shared" ref="H21:H23" si="9">G21/$G$27</f>
        <v>0.35952903329444197</v>
      </c>
      <c r="I21" s="8">
        <f t="shared" ref="I21:I23" si="10">G21/$F$31</f>
        <v>0.10627777540910499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82.854500000000002</v>
      </c>
      <c r="D22">
        <f t="shared" si="6"/>
        <v>144</v>
      </c>
      <c r="E22" s="11">
        <v>0.39300000000000002</v>
      </c>
      <c r="F22" s="8">
        <f t="shared" si="7"/>
        <v>1.63702158979393E-2</v>
      </c>
      <c r="G22">
        <f t="shared" si="8"/>
        <v>11931.048000000001</v>
      </c>
      <c r="H22" s="8">
        <f t="shared" si="9"/>
        <v>0.39403486912189928</v>
      </c>
      <c r="I22" s="8">
        <f t="shared" si="10"/>
        <v>0.11647779579903174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83.28</v>
      </c>
      <c r="D23">
        <f>ROUNDDOWN(($C$3*E23)/B23,0)</f>
        <v>35</v>
      </c>
      <c r="E23" s="11">
        <v>9.9000000000000005E-2</v>
      </c>
      <c r="F23" s="8">
        <f t="shared" si="7"/>
        <v>2.6486876956417493E-3</v>
      </c>
      <c r="G23">
        <f>D23*C23</f>
        <v>2914.8</v>
      </c>
      <c r="H23" s="8">
        <f t="shared" si="9"/>
        <v>9.6264203824887137E-2</v>
      </c>
      <c r="I23" s="8">
        <f t="shared" si="10"/>
        <v>2.8455964572015609E-2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30279.168000000001</v>
      </c>
      <c r="J27">
        <f>SUM(J20:J23)</f>
        <v>29645.42</v>
      </c>
    </row>
    <row r="28" spans="1:10" x14ac:dyDescent="0.25">
      <c r="F28" t="s">
        <v>106</v>
      </c>
      <c r="G28" s="8">
        <f>G27/J27-1</f>
        <v>2.1377602341272395E-2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102431.95210000001</v>
      </c>
    </row>
    <row r="33" spans="1:9" x14ac:dyDescent="0.25">
      <c r="E33" t="s">
        <v>105</v>
      </c>
      <c r="F33" s="8">
        <f>F31/B1-1</f>
        <v>2.4319521000000011E-2</v>
      </c>
      <c r="H33" s="11">
        <f>F33-F37</f>
        <v>2.8174701551390464E-3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38.061999999999998</v>
      </c>
      <c r="D37" s="8">
        <f>C37/B37-1</f>
        <v>-5.1751176163095103E-3</v>
      </c>
      <c r="E37" s="11"/>
      <c r="F37" s="8">
        <f>D37*$B$3+D40*$B$2</f>
        <v>2.1502050844860964E-2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286.48</v>
      </c>
      <c r="D38" s="8">
        <f t="shared" ref="D38:D39" si="12">C38/B38-1</f>
        <v>5.0416162505041662E-2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179.33</v>
      </c>
      <c r="D39" s="8">
        <f t="shared" si="12"/>
        <v>5.4448168401246555E-2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46.172199999999997</v>
      </c>
      <c r="D40" s="8">
        <f>C40/B40-1</f>
        <v>3.2935123042505454E-2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2018-08-17T16:19:10Z</dcterms:modified>
</cp:coreProperties>
</file>