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" i="2" l="1"/>
  <c r="F73" i="2" s="1"/>
  <c r="J73" i="2"/>
  <c r="P73" i="2" s="1"/>
  <c r="K73" i="2"/>
  <c r="Q73" i="2" s="1"/>
  <c r="L73" i="2"/>
  <c r="R73" i="2" s="1"/>
  <c r="N73" i="2"/>
  <c r="T73" i="2" s="1"/>
  <c r="B73" i="2"/>
  <c r="D73" i="2"/>
  <c r="AN73" i="2" l="1"/>
  <c r="Z73" i="2"/>
  <c r="AF73" i="2"/>
  <c r="AD73" i="2"/>
  <c r="AL73" i="2"/>
  <c r="X73" i="2"/>
  <c r="AK73" i="2"/>
  <c r="AC73" i="2"/>
  <c r="W73" i="2"/>
  <c r="AJ73" i="2"/>
  <c r="AB73" i="2"/>
  <c r="V73" i="2"/>
  <c r="G73" i="2"/>
  <c r="H73" i="2"/>
  <c r="AI73" i="2"/>
  <c r="M73" i="2"/>
  <c r="S73" i="2" s="1"/>
  <c r="E72" i="2"/>
  <c r="F72" i="2" s="1"/>
  <c r="J72" i="2"/>
  <c r="K72" i="2"/>
  <c r="L72" i="2"/>
  <c r="N72" i="2"/>
  <c r="B72" i="2"/>
  <c r="D72" i="2"/>
  <c r="Y73" i="2" l="1"/>
  <c r="AM73" i="2"/>
  <c r="AE73" i="2"/>
  <c r="G72" i="2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B3" i="4"/>
  <c r="B75" i="3" a="1"/>
  <c r="D76" i="3" a="1"/>
  <c r="B77" i="3" a="1"/>
  <c r="D78" i="3" a="1"/>
  <c r="E76" i="3" a="1"/>
  <c r="C76" i="3" a="1"/>
  <c r="C75" i="3" a="1"/>
  <c r="C77" i="3" a="1"/>
  <c r="E78" i="3" a="1"/>
  <c r="B78" i="3" a="1"/>
  <c r="E77" i="3" a="1"/>
  <c r="D75" i="3" a="1"/>
  <c r="B76" i="3" a="1"/>
  <c r="D77" i="3" a="1"/>
  <c r="C78" i="3" a="1"/>
  <c r="E75" i="3" a="1"/>
  <c r="C73" i="3" a="1"/>
  <c r="E73" i="3" a="1"/>
  <c r="D73" i="3" a="1"/>
  <c r="B73" i="3" a="1"/>
  <c r="C74" i="3" a="1"/>
  <c r="E74" i="3" a="1"/>
  <c r="B74" i="3" a="1"/>
  <c r="D74" i="3" a="1"/>
  <c r="E75" i="3" l="1"/>
  <c r="C74" i="3"/>
  <c r="E73" i="3"/>
  <c r="C78" i="3"/>
  <c r="D77" i="3"/>
  <c r="B76" i="3"/>
  <c r="D75" i="3"/>
  <c r="B74" i="3"/>
  <c r="D73" i="3"/>
  <c r="E77" i="3"/>
  <c r="B78" i="3"/>
  <c r="E78" i="3"/>
  <c r="J78" i="3" s="1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9" i="4"/>
  <c r="C37" i="4"/>
  <c r="C7" i="4"/>
  <c r="C39" i="4"/>
  <c r="C40" i="4"/>
  <c r="C8" i="4"/>
  <c r="C21" i="4"/>
  <c r="C10" i="4"/>
  <c r="C5" i="4"/>
  <c r="C38" i="4"/>
  <c r="C6" i="4"/>
  <c r="C20" i="4"/>
  <c r="J75" i="3" l="1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4" i="1"/>
  <c r="U12" i="1"/>
  <c r="M12" i="1"/>
  <c r="B12" i="1"/>
  <c r="U6" i="1"/>
  <c r="U5" i="1"/>
  <c r="U3" i="1"/>
  <c r="U2" i="1"/>
  <c r="U11" i="1"/>
  <c r="U10" i="1"/>
  <c r="U8" i="1"/>
  <c r="U7" i="1"/>
  <c r="U9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7" i="1"/>
  <c r="J11" i="1"/>
  <c r="J9" i="1"/>
  <c r="J10" i="1"/>
  <c r="J5" i="1"/>
  <c r="J8" i="1"/>
  <c r="J12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0" i="1"/>
  <c r="M2" i="1"/>
  <c r="M3" i="1"/>
  <c r="M4" i="1"/>
  <c r="M5" i="1"/>
  <c r="M7" i="1"/>
  <c r="M9" i="1"/>
  <c r="M11" i="1"/>
  <c r="M6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5" i="1" a="1"/>
  <c r="L11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11" i="1"/>
  <c r="L4" i="1"/>
  <c r="L5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9" i="1"/>
  <c r="K26" i="1"/>
  <c r="L7" i="1"/>
  <c r="L8" i="1"/>
  <c r="L3" i="1"/>
  <c r="L2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4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9" i="1"/>
  <c r="J2" i="1"/>
  <c r="B5" i="1"/>
  <c r="J6" i="1"/>
  <c r="B8" i="1"/>
  <c r="B3" i="1"/>
  <c r="B11" i="1"/>
  <c r="B6" i="1"/>
  <c r="B2" i="1"/>
  <c r="B7" i="1"/>
  <c r="B10" i="1"/>
  <c r="B4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C33" i="2"/>
  <c r="W33" i="2"/>
  <c r="T25" i="2"/>
  <c r="Z24" i="2"/>
  <c r="AF24" i="2"/>
  <c r="S14" i="2"/>
  <c r="Y13" i="2"/>
  <c r="AE13" i="2"/>
  <c r="F14" i="2"/>
  <c r="G13" i="2"/>
  <c r="H13" i="2"/>
  <c r="X33" i="2" l="1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M34" i="2" l="1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AL67" i="2"/>
  <c r="AD67" i="2"/>
  <c r="X67" i="2"/>
  <c r="R68" i="2"/>
  <c r="R69" i="2" s="1"/>
  <c r="R70" i="2" s="1"/>
  <c r="R71" i="2" s="1"/>
  <c r="R72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2" i="2" l="1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72" i="2" l="1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S57" i="2"/>
  <c r="AM56" i="2"/>
  <c r="Y56" i="2"/>
  <c r="AE56" i="2"/>
  <c r="AN66" i="2"/>
  <c r="Z66" i="2"/>
  <c r="AF66" i="2"/>
  <c r="F54" i="2"/>
  <c r="G53" i="2"/>
  <c r="H53" i="2"/>
  <c r="Z72" i="2" l="1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AM66" i="2"/>
  <c r="AE66" i="2"/>
  <c r="Y66" i="2"/>
  <c r="H63" i="2"/>
  <c r="L31" i="1" s="1"/>
  <c r="G63" i="2"/>
  <c r="K31" i="1" s="1"/>
  <c r="AM72" i="2" l="1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<sst xmlns="http://schemas.openxmlformats.org/spreadsheetml/2006/main" count="159" uniqueCount="112">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</sst>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f0d5fab636644cdbc13eada27ce3821">
      <tp>
        <v>0</v>
        <stp/>
        <stp>ACWI</stp>
        <stp>change in percent</stp>
        <tr r="K22" s="1"/>
      </tp>
    </main>
    <main first="rtdsrv.8f0d5fab636644cdbc13eada27ce3821">
      <tp>
        <v>1.1227418499999999</v>
        <stp/>
        <stp>TLT</stp>
        <stp>mtd percent change</stp>
        <tr r="U5" s="1"/>
      </tp>
      <tp>
        <v>-0.43037975000000001</v>
        <stp/>
        <stp>RWX</stp>
        <stp>mtd percent change</stp>
        <tr r="U6" s="1"/>
      </tp>
      <tp>
        <v>0.13243437999999999</v>
        <stp/>
        <stp>SHY</stp>
        <stp>mtd percent change</stp>
        <tr r="U12" s="1"/>
      </tp>
      <tp>
        <v>-0.91304348000000002</v>
        <stp/>
        <stp>IEV</stp>
        <stp>mtd percent change</stp>
        <tr r="U9" s="1"/>
      </tp>
      <tp>
        <v>0.58219854000000004</v>
        <stp/>
        <stp>IEF</stp>
        <stp>mtd percent change</stp>
        <tr r="U11" s="1"/>
      </tp>
      <tp>
        <v>-4.906771E-2</v>
        <stp/>
        <stp>IYR</stp>
        <stp>mtd percent change</stp>
        <tr r="U4" s="1"/>
      </tp>
      <tp>
        <v>1.4953337099999999</v>
        <stp/>
        <stp>IVV</stp>
        <stp>mtd percent change</stp>
        <tr r="U3" s="1"/>
      </tp>
      <tp>
        <v>-0.34740315999999999</v>
        <stp/>
        <stp>GLD</stp>
        <stp>mtd percent change</stp>
        <tr r="U8" s="1"/>
      </tp>
      <tp>
        <v>0.23529412</v>
        <stp/>
        <stp>DBC</stp>
        <stp>mtd percent change</stp>
        <tr r="U2" s="1"/>
      </tp>
      <tp>
        <v>-0.74224022000000001</v>
        <stp/>
        <stp>EEM</stp>
        <stp>mtd percent change</stp>
        <tr r="U10" s="1"/>
      </tp>
      <tp>
        <v>-0.96757766000000001</v>
        <stp/>
        <stp>EWJ</stp>
        <stp>mtd percent change</stp>
        <tr r="U7" s="1"/>
      </tp>
    </main>
    <main first="rtdsrv.8f0d5fab636644cdbc13eada27ce3821">
      <tp>
        <v>0</v>
        <stp/>
        <stp>GYLD</stp>
        <stp>change in percent</stp>
        <tr r="K26" s="1"/>
      </tp>
    </main>
    <main first="rtdsrv.8f0d5fab636644cdbc13eada27ce3821">
      <tp>
        <v>81.48</v>
        <stp/>
        <stp>IYR</stp>
        <stp>last</stp>
        <tr r="J4" s="1"/>
        <tr r="C22" s="4"/>
      </tp>
    </main>
    <main first="rtdsrv.8f0d5fab636644cdbc13eada27ce3821">
      <tp>
        <v>181.91</v>
        <stp/>
        <stp>QQQ</stp>
        <stp>last</stp>
        <tr r="C39" s="4"/>
      </tp>
      <tp t="s">
        <v>ISHARES TR-20 YR TR BD ETF</v>
        <stp/>
        <stp>TLT</stp>
        <stp>description</stp>
        <tr r="B5" s="1"/>
      </tp>
    </main>
    <main first="rtdsrv.8f0d5fab636644cdbc13eada27ce3821">
      <tp>
        <v>51.02</v>
        <stp/>
        <stp>STX</stp>
        <stp>last</stp>
        <tr r="C10" s="4"/>
      </tp>
    </main>
    <main first="rtdsrv.8f0d5fab636644cdbc13eada27ce3821">
      <tp t="s">
        <v>ISHARES TR-1 3 YR TREAS BD</v>
        <stp/>
        <stp>SHY</stp>
        <stp>description</stp>
        <tr r="B12" s="1"/>
      </tp>
      <tp>
        <v>52.26</v>
        <stp/>
        <stp>MU</stp>
        <stp>last</stp>
        <tr r="C9" s="4"/>
      </tp>
      <tp>
        <v>58.34</v>
        <stp/>
        <stp>EWJ</stp>
        <stp>last</stp>
        <tr r="J7" s="1"/>
      </tp>
      <tp>
        <v>39.33</v>
        <stp/>
        <stp>RWX</stp>
        <stp>last</stp>
        <tr r="J6" s="1"/>
      </tp>
      <tp t="s">
        <v>SPDR INDEX SHS FDS-DJ INTL RL ETF</v>
        <stp/>
        <stp>RWX</stp>
        <stp>description</stp>
        <tr r="B6" s="1"/>
      </tp>
    </main>
    <main first="rtdsrv.8f0d5fab636644cdbc13eada27ce3821">
      <tp>
        <v>287.11</v>
        <stp/>
        <stp>IVV</stp>
        <stp>last</stp>
        <tr r="J3" s="1"/>
        <tr r="C38" s="4"/>
        <tr r="C21" s="4"/>
      </tp>
    </main>
    <main first="rtdsrv.8f0d5fab636644cdbc13eada27ce3821">
      <tp>
        <v>83.17</v>
        <stp/>
        <stp>SHY</stp>
        <stp>last</stp>
        <tr r="J12" s="1"/>
        <tr r="C23" s="4"/>
      </tp>
    </main>
    <main first="rtdsrv.8f0d5fab636644cdbc13eada27ce3821"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</main>
    <main first="rtdsrv.8f0d5fab636644cdbc13eada27ce3821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8f0d5fab636644cdbc13eada27ce3821">
      <tp>
        <v>114.74</v>
        <stp/>
        <stp>GLD</stp>
        <stp>last</stp>
        <tr r="J8" s="1"/>
      </tp>
      <tp>
        <v>119.79</v>
        <stp/>
        <stp>TLT</stp>
        <stp>last</stp>
        <tr r="J5" s="1"/>
      </tp>
    </main>
    <main first="rtdsrv.8f0d5fab636644cdbc13eada27ce3821">
      <tp t="s">
        <v>ISHARES INC-MSCI JPN ETF NEW</v>
        <stp/>
        <stp>EWJ</stp>
        <stp>description</stp>
        <tr r="B7" s="1"/>
      </tp>
    </main>
    <main first="rtdsrv.8f0d5fab636644cdbc13eada27ce3821">
      <tp t="s">
        <v>ISHARES TR-MSCI EMG MKT ETF</v>
        <stp/>
        <stp>EEM</stp>
        <stp>description</stp>
        <tr r="B10" s="1"/>
      </tp>
      <tp>
        <v>38.46</v>
        <stp/>
        <stp>GAL</stp>
        <stp>last</stp>
        <tr r="C37" s="4"/>
      </tp>
    </main>
    <main first="rtdsrv.8f0d5fab636644cdbc13eada27ce3821">
      <tp t="s">
        <v>INVESCO DB COMMDY INDX TRCK-UNIT</v>
        <stp/>
        <stp>DBC</stp>
        <stp>description</stp>
        <tr r="B2" s="1"/>
      </tp>
    </main>
    <main first="rtdsrv.8f0d5fab636644cdbc13eada27ce3821">
      <tp t="s">
        <v>SPDR GOLD TRUST-GOLD SHS</v>
        <stp/>
        <stp>GLD</stp>
        <stp>description</stp>
        <tr r="B8" s="1"/>
      </tp>
    </main>
    <main first="rtdsrv.8f0d5fab636644cdbc13eada27ce3821">
      <tp>
        <v>17.04</v>
        <stp/>
        <stp>DBC</stp>
        <stp>last</stp>
        <tr r="J2" s="1"/>
        <tr r="C20" s="4"/>
      </tp>
      <tp>
        <v>44.13</v>
        <stp/>
        <stp>EEM</stp>
        <stp>last</stp>
        <tr r="J10" s="1"/>
      </tp>
      <tp>
        <v>101.93</v>
        <stp/>
        <stp>IEF</stp>
        <stp>last</stp>
        <tr r="J11" s="1"/>
      </tp>
      <tp>
        <v>45.58</v>
        <stp/>
        <stp>IEV</stp>
        <stp>last</stp>
        <tr r="J9" s="1"/>
      </tp>
    </main>
    <main first="rtdsrv.8f0d5fab636644cdbc13eada27ce3821">
      <tp t="s">
        <v>ARROW ETF TR-ARROW DJ GLB YLD</v>
        <stp/>
        <stp>GYLD</stp>
        <stp>description</stp>
        <tr r="L26" s="1"/>
      </tp>
    </main>
    <main first="rtdsrv.8f0d5fab636644cdbc13eada27ce3821">
      <tp>
        <v>0</v>
        <stp/>
        <stp>EWJ</stp>
        <stp>change in percent</stp>
        <tr r="L7" s="1"/>
      </tp>
      <tp>
        <v>-2.9371893357432221E-3</v>
        <stp/>
        <stp>EEM</stp>
        <stp>change in percent</stp>
        <tr r="L10" s="1"/>
      </tp>
      <tp>
        <v>0</v>
        <stp/>
        <stp>DBC</stp>
        <stp>change in percent</stp>
        <tr r="L2" s="1"/>
      </tp>
      <tp>
        <v>-1.4794186754851799E-3</v>
        <stp/>
        <stp>GLD</stp>
        <stp>change in percent</stp>
        <tr r="L8" s="1"/>
      </tp>
      <tp>
        <v>0</v>
        <stp/>
        <stp>AGG</stp>
        <stp>change in percent</stp>
        <tr r="K23" s="1"/>
      </tp>
      <tp>
        <v>0</v>
        <stp/>
        <stp>IEF</stp>
        <stp>change in percent</stp>
        <tr r="L11" s="1"/>
      </tp>
      <tp>
        <v>0</v>
        <stp/>
        <stp>SHY</stp>
        <stp>change in percent</stp>
        <tr r="L12" s="1"/>
      </tp>
      <tp>
        <v>0</v>
        <stp/>
        <stp>RWX</stp>
        <stp>change in percent</stp>
        <tr r="L6" s="1"/>
      </tp>
      <tp>
        <v>0</v>
        <stp/>
        <stp>IYR</stp>
        <stp>change in percent</stp>
        <tr r="L4" s="1"/>
      </tp>
      <tp>
        <v>8.4182170216348176E-3</v>
        <stp/>
        <stp>TLT</stp>
        <stp>change in percent</stp>
        <tr r="L5" s="1"/>
      </tp>
      <tp>
        <v>0</v>
        <stp/>
        <stp>IVV</stp>
        <stp>change in percent</stp>
        <tr r="K24" s="1"/>
        <tr r="L3" s="1"/>
      </tp>
      <tp>
        <v>0</v>
        <stp/>
        <stp>IEV</stp>
        <stp>change in percent</stp>
        <tr r="L9" s="1"/>
      </tp>
      <tp>
        <v>81.48</v>
        <stp/>
        <stp>IYR</stp>
        <stp>close</stp>
        <tr r="G4" s="1"/>
      </tp>
      <tp>
        <v>287.11</v>
        <stp/>
        <stp>IVV</stp>
        <stp>close</stp>
        <tr r="G3" s="1"/>
      </tp>
      <tp>
        <v>1898.52</v>
        <stp/>
        <stp>AMZN</stp>
        <stp>last</stp>
        <tr r="C6" s="4"/>
      </tp>
      <tp>
        <v>118.79</v>
        <stp/>
        <stp>TLT</stp>
        <stp>close</stp>
        <tr r="G5" s="1"/>
      </tp>
      <tp>
        <v>46.99</v>
        <stp/>
        <stp>QQQE</stp>
        <stp>last</stp>
        <tr r="C40" s="4"/>
      </tp>
    </main>
    <main first="rtdsrv.8f0d5fab636644cdbc13eada27ce3821">
      <tp>
        <v>522.69000000000005</v>
        <stp/>
        <stp>ISRG</stp>
        <stp>last</stp>
        <tr r="C8" s="4"/>
      </tp>
      <tp>
        <v>2.35</v>
        <stp/>
        <stp>IEF</stp>
        <stp>dividend yield</stp>
        <tr r="M11" s="1"/>
      </tp>
      <tp>
        <v>4.6399999999999997</v>
        <stp/>
        <stp>IEV</stp>
        <stp>dividend yield</stp>
        <tr r="M9" s="1"/>
      </tp>
      <tp>
        <v>0.49</v>
        <stp/>
        <stp>IYR</stp>
        <stp>dividend yield</stp>
        <tr r="M4" s="1"/>
      </tp>
      <tp>
        <v>1.78</v>
        <stp/>
        <stp>IVV</stp>
        <stp>dividend yield</stp>
        <tr r="M3" s="1"/>
      </tp>
      <tp t="s">
        <v>--</v>
        <stp/>
        <stp>DBC</stp>
        <stp>dividend yield</stp>
        <tr r="M2" s="1"/>
      </tp>
      <tp>
        <v>1.31</v>
        <stp/>
        <stp>EEM</stp>
        <stp>dividend yield</stp>
        <tr r="M10" s="1"/>
      </tp>
      <tp>
        <v>1.58</v>
        <stp/>
        <stp>EWJ</stp>
        <stp>dividend yield</stp>
        <tr r="M7" s="1"/>
      </tp>
      <tp>
        <v>2.67</v>
        <stp/>
        <stp>TLT</stp>
        <stp>dividend yield</stp>
        <tr r="M5" s="1"/>
      </tp>
      <tp>
        <v>3.65</v>
        <stp/>
        <stp>RWX</stp>
        <stp>dividend yield</stp>
        <tr r="M6" s="1"/>
      </tp>
      <tp>
        <v>1.99</v>
        <stp/>
        <stp>SHY</stp>
        <stp>dividend yield</stp>
        <tr r="M12" s="1"/>
      </tp>
      <tp>
        <v>17.04</v>
        <stp/>
        <stp>DBC</stp>
        <stp>close</stp>
        <tr r="G2" s="1"/>
      </tp>
      <tp>
        <v>366.87</v>
        <stp/>
        <stp>ALGN</stp>
        <stp>last</stp>
        <tr r="C5" s="4"/>
      </tp>
      <tp>
        <v>43.78</v>
        <stp/>
        <stp>CSCO</stp>
        <stp>last</stp>
        <tr r="C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A11" zoomScale="90" zoomScaleNormal="90" workbookViewId="0">
      <selection activeCell="F31" sqref="F31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-4.4136921552081487E-2</v>
      </c>
      <c r="F2" s="5">
        <f>I2/$I$21</f>
        <v>0.15004562847216663</v>
      </c>
      <c r="G2" s="4">
        <f>_xll.RealtimeData(A2,"Close")</f>
        <v>17.04</v>
      </c>
      <c r="H2" s="4">
        <v>176</v>
      </c>
      <c r="I2" s="4">
        <f>H2*G2</f>
        <v>2999.04</v>
      </c>
      <c r="J2" s="4">
        <f>_xll.RealtimeData(A2,"Last")</f>
        <v>17.04</v>
      </c>
      <c r="K2" s="5">
        <f>J2/D2-1</f>
        <v>-4.4136921552081487E-2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-8.0456284721666382E-3</v>
      </c>
      <c r="Q2" s="31">
        <f>O2*Daily!$D$68</f>
        <v>2823.9823999999999</v>
      </c>
      <c r="R2">
        <f t="shared" ref="R2:R11" si="2">ROUND(Q2/J2,0)</f>
        <v>166</v>
      </c>
      <c r="S2">
        <f t="shared" ref="S2:S11" si="3">R2-H2</f>
        <v>-10</v>
      </c>
      <c r="T2" t="str">
        <f t="shared" ref="T2:T12" si="4">A2</f>
        <v>DBC</v>
      </c>
      <c r="U2">
        <f>_xll.RealtimeData(T2,"MTD Percent Change")</f>
        <v>0.23529412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7.7904110797625048E-2</v>
      </c>
      <c r="F3" s="5">
        <f>I3/$I$21</f>
        <v>0.41656943933014201</v>
      </c>
      <c r="G3" s="4">
        <f>_xll.RealtimeData(A3,"Close")</f>
        <v>287.11</v>
      </c>
      <c r="H3" s="4">
        <v>29</v>
      </c>
      <c r="I3" s="4">
        <f>H3*G3</f>
        <v>8326.19</v>
      </c>
      <c r="J3" s="4">
        <f>_xll.RealtimeData(A3,"Last")</f>
        <v>287.11</v>
      </c>
      <c r="K3" s="5">
        <f>J3/D3-1</f>
        <v>7.7904110797625048E-2</v>
      </c>
      <c r="L3" s="8">
        <f>_xll.RealtimeData(A3,"Change in Percent")</f>
        <v>0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-5.0569439330142019E-2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1.4953337099999999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3.8888180543159567E-2</v>
      </c>
      <c r="F4" s="5">
        <f>I4/$I$21</f>
        <v>0.22013336321864843</v>
      </c>
      <c r="G4" s="4">
        <f>_xll.RealtimeData(A4,"Close")</f>
        <v>81.48</v>
      </c>
      <c r="H4" s="4">
        <v>54</v>
      </c>
      <c r="I4" s="4">
        <f>H4*G4</f>
        <v>4399.92</v>
      </c>
      <c r="J4" s="4">
        <f>_xll.RealtimeData(A4,"Last")</f>
        <v>81.48</v>
      </c>
      <c r="K4" s="5">
        <f>J4/D4-1</f>
        <v>3.8888180543159567E-2</v>
      </c>
      <c r="L4" s="8">
        <f t="array" ref="L4">_xll.RealtimeData(A4,"Change in Percent")</f>
        <v>0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0.17286663678135158</v>
      </c>
      <c r="Q4" s="31">
        <f>O4*Daily!$D$68</f>
        <v>7815.6696000000002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-4.906771E-2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-2.8650675667940662E-2</v>
      </c>
      <c r="F5" s="5">
        <f>I5/$I$21</f>
        <v>0.20801229967499721</v>
      </c>
      <c r="G5" s="4">
        <f>_xll.RealtimeData(A5,"Close")</f>
        <v>118.79</v>
      </c>
      <c r="H5" s="4">
        <v>35</v>
      </c>
      <c r="I5" s="4">
        <f>H5*G5</f>
        <v>4157.6500000000005</v>
      </c>
      <c r="J5" s="31">
        <f>_xll.RealtimeData(A5,"Last")</f>
        <v>119.79</v>
      </c>
      <c r="K5" s="5">
        <f>J5/D5-1</f>
        <v>-2.0473646251894961E-2</v>
      </c>
      <c r="L5" s="8">
        <f t="array" ref="L5">_xll.RealtimeData(A5,"Change in Percent")</f>
        <v>8.4182170216348176E-3</v>
      </c>
      <c r="M5" s="29">
        <f>_xll.RealtimeData(A5,"Dividend Yield")</f>
        <v>2.67</v>
      </c>
      <c r="N5" s="4" t="str">
        <f t="shared" si="0"/>
        <v>TLT</v>
      </c>
      <c r="O5" s="5">
        <v>0</v>
      </c>
      <c r="P5" s="60">
        <f t="shared" si="1"/>
        <v>-0.20801229967499721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1.1227418499999999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39.33</v>
      </c>
      <c r="K6" s="5"/>
      <c r="L6" s="8">
        <f>_xll.RealtimeData(A6,"Change in Percent")</f>
        <v>0</v>
      </c>
      <c r="M6" s="29">
        <f>_xll.RealtimeData(A6,"Dividend Yield")</f>
        <v>3.65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-0.43037975000000001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58.34</v>
      </c>
      <c r="K7" s="5"/>
      <c r="L7" s="8">
        <f>_xll.RealtimeData(A7,"Change in Percent")</f>
        <v>0</v>
      </c>
      <c r="M7" s="29">
        <f>_xll.RealtimeData(A7,"Dividend Yield")</f>
        <v>1.58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-0.96757766000000001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114.74</v>
      </c>
      <c r="K8" s="5"/>
      <c r="L8" s="8">
        <f>_xll.RealtimeData(A8,"Change in Percent")</f>
        <v>-1.4794186754851799E-3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-0.34740315999999999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45.58</v>
      </c>
      <c r="K9" s="5"/>
      <c r="L9" s="8">
        <f>_xll.RealtimeData(A9,"Change in Percent")</f>
        <v>0</v>
      </c>
      <c r="M9" s="29">
        <f>_xll.RealtimeData(A9,"Dividend Yield")</f>
        <v>4.6399999999999997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-0.91304348000000002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44.13</v>
      </c>
      <c r="K10" s="5"/>
      <c r="L10" s="8">
        <f t="array" ref="L10">_xll.RealtimeData(A10,"Change in Percent")</f>
        <v>-2.9371893357432221E-3</v>
      </c>
      <c r="M10" s="29">
        <f>_xll.RealtimeData(A10,"Dividend Yield")</f>
        <v>1.31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-0.74224022000000001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101.93</v>
      </c>
      <c r="K11" s="5"/>
      <c r="L11" s="8">
        <f t="array" ref="L11">_xll.RealtimeData(A11,"Change in Percent")</f>
        <v>0</v>
      </c>
      <c r="M11" s="29">
        <f>_xll.RealtimeData(A11,"Dividend Yield")</f>
        <v>2.35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0.58219854000000004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83.17</v>
      </c>
      <c r="L12" s="8">
        <f t="array" ref="L12">_xll.RealtimeData(A12,"Change in Percent")</f>
        <v>0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0.13243437999999999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0.5745312964899999</v>
      </c>
      <c r="V14" s="8">
        <f>U14*0.01</f>
        <v>5.7453129648999991E-3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0.99476073069595428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5.2392693040457239E-3</v>
      </c>
      <c r="H21" s="2" t="s">
        <v>16</v>
      </c>
      <c r="I21" s="6">
        <f>SUM(I2:I20)</f>
        <v>19987.52</v>
      </c>
      <c r="J21" t="s">
        <v>33</v>
      </c>
      <c r="K21" s="8">
        <f>SUMPRODUCT(K2:K7,F2:F7)</f>
        <v>3.0131735356201811E-2</v>
      </c>
      <c r="M21" t="s">
        <v>34</v>
      </c>
      <c r="N21" s="8">
        <f t="array" ref="N21">MMULT(TRANSPOSE(F2:F5),L2:L5)</f>
        <v>1.7510926818334641E-3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19882.8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4.0016090104064161E-4</v>
      </c>
    </row>
    <row r="28" spans="5:16" x14ac:dyDescent="0.25">
      <c r="J28" t="s">
        <v>64</v>
      </c>
      <c r="K28" s="8">
        <f>SUMPRODUCT(F2:F7,M2:M7)*0.01</f>
        <v>1.4047517901170332E-2</v>
      </c>
      <c r="L28" t="s">
        <v>65</v>
      </c>
      <c r="M28" s="8">
        <f>AVERAGE(M2:M11)*0.01</f>
        <v>2.0522222222222219E-2</v>
      </c>
    </row>
    <row r="29" spans="5:16" ht="15.75" thickBot="1" x14ac:dyDescent="0.3"/>
    <row r="30" spans="5:16" ht="15.75" thickBot="1" x14ac:dyDescent="0.3">
      <c r="H30" s="30">
        <v>43321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1.7510926818334641E-3</v>
      </c>
      <c r="J31" s="21">
        <f>LOOKUP(2,1/(Daily!E:E&lt;&gt;""),Daily!E:E)</f>
        <v>1.0268983370647078E-3</v>
      </c>
      <c r="K31" s="22">
        <f>VLOOKUP($H$30,Daily!$A:$AF,7,0)</f>
        <v>8.7745284748972363E-3</v>
      </c>
      <c r="L31" s="23">
        <f>VLOOKUP($H$30,Daily!$A:$AF,8,0)</f>
        <v>1.1260000000001824E-3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-9.7976167886415499E-4</v>
      </c>
      <c r="K32" s="14">
        <f>VLOOKUP($H$30,Daily!$A:$AF,25,0)</f>
        <v>1.9853257151233095E-2</v>
      </c>
      <c r="L32" s="25">
        <f>VLOOKUP($H$30,Daily!$A:$AF,31,0)</f>
        <v>1.3998143287496045E-2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-9.0475693356995013E-4</v>
      </c>
      <c r="K33" s="14">
        <f>VLOOKUP($H$30,Daily!$A:$AF,24,0)</f>
        <v>5.1492400659219895E-2</v>
      </c>
      <c r="L33" s="25">
        <f>VLOOKUP($H$30,Daily!$A:$AF,30,0)</f>
        <v>7.8201844973052825E-2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-6.2041737168639921E-3</v>
      </c>
      <c r="K34" s="27">
        <f>VLOOKUP($H$30,Daily!$A:$AF,26,0)</f>
        <v>1.2643678160919825E-2</v>
      </c>
      <c r="L34" s="28">
        <f>VLOOKUP($H$30,Daily!$A:$AF,32,0)</f>
        <v>2.1878019763111212E-2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2.8126434652192166E-5</v>
      </c>
      <c r="J37" s="44"/>
      <c r="K37" s="22"/>
      <c r="L37" s="39"/>
      <c r="M37" s="50"/>
      <c r="N37" s="38">
        <f>AVERAGE(Daily!J$3:J380)</f>
        <v>3.1431719175485054E-4</v>
      </c>
      <c r="O37" s="22">
        <f>AVERAGE(Daily!K$3:K380)</f>
        <v>3.3489813251370249E-5</v>
      </c>
      <c r="P37" s="22">
        <f>AVERAGE(Daily!L$3:L380)</f>
        <v>1.0775676921549848E-3</v>
      </c>
      <c r="Q37" s="22">
        <f>AVERAGE(Daily!M$3:M380)</f>
        <v>2.0198624035345841E-4</v>
      </c>
      <c r="R37" s="23">
        <f>AVERAGE(Daily!N$3:N380)</f>
        <v>3.3671759431829466E-4</v>
      </c>
    </row>
    <row r="38" spans="8:18" x14ac:dyDescent="0.25">
      <c r="H38" s="56" t="s">
        <v>73</v>
      </c>
      <c r="I38" s="47">
        <f>STDEV(Daily!E$3:E380)</f>
        <v>4.9884252659307005E-3</v>
      </c>
      <c r="J38" s="45"/>
      <c r="K38" s="14"/>
      <c r="L38" s="32"/>
      <c r="M38" s="51"/>
      <c r="N38" s="40">
        <f>STDEV(Daily!J$3:J380)</f>
        <v>6.0433929291286766E-3</v>
      </c>
      <c r="O38" s="14">
        <f>STDEV(Daily!K$3:K380)</f>
        <v>1.7735095849414476E-3</v>
      </c>
      <c r="P38" s="14">
        <f>STDEV(Daily!L$3:L380)</f>
        <v>5.7871293881757062E-3</v>
      </c>
      <c r="Q38" s="14">
        <f>STDEV(Daily!M$3:M380)</f>
        <v>3.5387403191590085E-3</v>
      </c>
      <c r="R38" s="25">
        <f>STDEV(Daily!N$3:N380)</f>
        <v>8.0389463655380945E-3</v>
      </c>
    </row>
    <row r="39" spans="8:18" x14ac:dyDescent="0.25">
      <c r="H39" s="56" t="s">
        <v>74</v>
      </c>
      <c r="I39" s="48">
        <f>COUNTIF(Daily!E$3:E380,"&gt;0")</f>
        <v>41</v>
      </c>
      <c r="J39" s="45"/>
      <c r="K39" s="14"/>
      <c r="L39" s="32"/>
      <c r="M39" s="51"/>
      <c r="N39" s="41">
        <f>COUNTIF(Daily!J$3:J380,"&gt;0")</f>
        <v>36</v>
      </c>
      <c r="O39" s="33">
        <f>COUNTIF(Daily!K$3:K380,"&gt;0")</f>
        <v>36</v>
      </c>
      <c r="P39" s="33">
        <f>COUNTIF(Daily!L$3:L380,"&gt;0")</f>
        <v>41</v>
      </c>
      <c r="Q39" s="33">
        <f>COUNTIF(Daily!M$3:M380,"&gt;0")</f>
        <v>38</v>
      </c>
      <c r="R39" s="35">
        <f>COUNTIF(Daily!N$3:N380,"&gt;0")</f>
        <v>41</v>
      </c>
    </row>
    <row r="40" spans="8:18" x14ac:dyDescent="0.25">
      <c r="H40" s="56" t="s">
        <v>80</v>
      </c>
      <c r="I40" s="47">
        <f>SUMIF(Daily!E$3:E380,"&gt;0")</f>
        <v>0.13079977612602089</v>
      </c>
      <c r="J40" s="45"/>
      <c r="K40" s="14"/>
      <c r="L40" s="32"/>
      <c r="M40" s="51"/>
      <c r="N40" s="40">
        <f>SUMIF(Daily!J$3:J380,"&gt;0")</f>
        <v>0.17556560591139525</v>
      </c>
      <c r="O40" s="14">
        <f>SUMIF(Daily!K$3:K380,"&gt;0")</f>
        <v>4.9324597742092413E-2</v>
      </c>
      <c r="P40" s="14">
        <f>SUMIF(Daily!L$3:L380,"&gt;0")</f>
        <v>0.20166178791425898</v>
      </c>
      <c r="Q40" s="14">
        <f>SUMIF(Daily!M$3:M380,"&gt;0")</f>
        <v>0.10322750098175455</v>
      </c>
      <c r="R40" s="25">
        <f>SUMIF(Daily!N$3:N380,"&gt;0")</f>
        <v>0.23337172683779053</v>
      </c>
    </row>
    <row r="41" spans="8:18" x14ac:dyDescent="0.25">
      <c r="H41" s="56" t="s">
        <v>81</v>
      </c>
      <c r="I41" s="47">
        <f>SUMIF(Daily!E$3:E380,"&lt;0")</f>
        <v>-0.12880279926571525</v>
      </c>
      <c r="J41" s="45"/>
      <c r="K41" s="14"/>
      <c r="L41" s="32"/>
      <c r="M41" s="51"/>
      <c r="N41" s="40">
        <f>SUMIF(Daily!J$3:J380,"&lt;0")</f>
        <v>-0.15324908529680087</v>
      </c>
      <c r="O41" s="14">
        <f>SUMIF(Daily!K$3:K380,"&lt;0")</f>
        <v>-4.6946821001245129E-2</v>
      </c>
      <c r="P41" s="14">
        <f>SUMIF(Daily!L$3:L380,"&lt;0")</f>
        <v>-0.12515448177125504</v>
      </c>
      <c r="Q41" s="14">
        <f>SUMIF(Daily!M$3:M380,"&lt;0")</f>
        <v>-8.8886477916659032E-2</v>
      </c>
      <c r="R41" s="25">
        <f>SUMIF(Daily!N$3:N380,"&lt;0")</f>
        <v>-0.20946477764119159</v>
      </c>
    </row>
    <row r="42" spans="8:18" x14ac:dyDescent="0.25">
      <c r="H42" s="56" t="s">
        <v>75</v>
      </c>
      <c r="I42" s="48">
        <f>COUNT(Daily!E$3:E380)</f>
        <v>71</v>
      </c>
      <c r="J42" s="45"/>
      <c r="K42" s="14"/>
      <c r="L42" s="32"/>
      <c r="M42" s="51"/>
      <c r="N42" s="41">
        <f>COUNT(Daily!J$3:J380)</f>
        <v>71</v>
      </c>
      <c r="O42" s="33">
        <f>COUNT(Daily!K$3:K380)</f>
        <v>71</v>
      </c>
      <c r="P42" s="33">
        <f>COUNT(Daily!L$3:L380)</f>
        <v>71</v>
      </c>
      <c r="Q42" s="33">
        <f>COUNT(Daily!M$3:M380)</f>
        <v>71</v>
      </c>
      <c r="R42" s="35">
        <f>COUNT(Daily!N$3:N380)</f>
        <v>71</v>
      </c>
    </row>
    <row r="43" spans="8:18" x14ac:dyDescent="0.25">
      <c r="H43" s="56" t="s">
        <v>76</v>
      </c>
      <c r="I43" s="48">
        <f>I42-I39</f>
        <v>30</v>
      </c>
      <c r="J43" s="45"/>
      <c r="K43" s="14"/>
      <c r="L43" s="32"/>
      <c r="M43" s="51"/>
      <c r="N43" s="41">
        <f>N42-N39</f>
        <v>35</v>
      </c>
      <c r="O43" s="33">
        <f>O42-O39</f>
        <v>35</v>
      </c>
      <c r="P43" s="33">
        <f>P42-P39</f>
        <v>30</v>
      </c>
      <c r="Q43" s="33">
        <f>Q42-Q39</f>
        <v>33</v>
      </c>
      <c r="R43" s="35">
        <f>R42-R39</f>
        <v>30</v>
      </c>
    </row>
    <row r="44" spans="8:18" x14ac:dyDescent="0.25">
      <c r="H44" s="56" t="s">
        <v>78</v>
      </c>
      <c r="I44" s="49">
        <f>(I40/I41)*(I39/I43)*-1</f>
        <v>1.387855660420243</v>
      </c>
      <c r="J44" s="45"/>
      <c r="K44" s="14"/>
      <c r="L44" s="32"/>
      <c r="M44" s="51"/>
      <c r="N44" s="42">
        <f>(N40/N41)*(N39/N43)*-1</f>
        <v>1.1783546096249486</v>
      </c>
      <c r="O44" s="34">
        <f>(O40/O41)*(O39/O43)*-1</f>
        <v>1.080666824319148</v>
      </c>
      <c r="P44" s="34">
        <f>(P40/P41)*(P39/P43)*-1</f>
        <v>2.2021140560235235</v>
      </c>
      <c r="Q44" s="34">
        <f>(Q40/Q41)*(Q39/Q43)*-1</f>
        <v>1.337301625844457</v>
      </c>
      <c r="R44" s="36">
        <f>(R40/R41)*(R39/R43)*-1</f>
        <v>1.5226491231761474</v>
      </c>
    </row>
    <row r="45" spans="8:18" x14ac:dyDescent="0.25">
      <c r="H45" s="61" t="s">
        <v>77</v>
      </c>
      <c r="I45" s="62">
        <f>I39/I42</f>
        <v>0.57746478873239437</v>
      </c>
      <c r="J45" s="63"/>
      <c r="K45" s="64"/>
      <c r="L45" s="65"/>
      <c r="M45" s="66"/>
      <c r="N45" s="67">
        <f>N39/N42</f>
        <v>0.50704225352112675</v>
      </c>
      <c r="O45" s="64">
        <f>O39/O42</f>
        <v>0.50704225352112675</v>
      </c>
      <c r="P45" s="64">
        <f>P39/P42</f>
        <v>0.57746478873239437</v>
      </c>
      <c r="Q45" s="64">
        <f>Q39/Q42</f>
        <v>0.53521126760563376</v>
      </c>
      <c r="R45" s="68">
        <f>R39/R42</f>
        <v>0.57746478873239437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3"/>
  <sheetViews>
    <sheetView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E82" sqref="E82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3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F88" sqref="F88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B75" t="str">
        <f t="array" ref="B75">_xll.HistoricalData(B$1,"Adj. Close",$A75,$A75,"Daily","RemoveHeaders = True","ReverseOrder =True","RemoveDates =""True")</f>
        <v>--</v>
      </c>
      <c r="C75" t="str">
        <f t="array" ref="C75">_xll.HistoricalData(C$1,"Adj. Close",$A75,$A75,"Daily","RemoveHeaders = True","ReverseOrder =True","RemoveDates =""True")</f>
        <v>--</v>
      </c>
      <c r="D75" t="str">
        <f t="array" ref="D75">_xll.HistoricalData(D$1,"Adj. Close",$A75,$A75,"Daily","RemoveHeaders = True","ReverseOrder =True","RemoveDates =""True")</f>
        <v>--</v>
      </c>
      <c r="E75" t="str">
        <f t="array" ref="E75">_xll.HistoricalData(E$1,"Adj. Close",$A75,$A75,"Daily","RemoveHeaders = True","ReverseOrder =True","RemoveDates =""True")</f>
        <v>--</v>
      </c>
      <c r="G75" s="5" t="e">
        <f t="shared" si="220"/>
        <v>#VALUE!</v>
      </c>
      <c r="H75" s="5" t="e">
        <f t="shared" si="221"/>
        <v>#VALUE!</v>
      </c>
      <c r="I75" s="5" t="e">
        <f t="shared" si="222"/>
        <v>#VALUE!</v>
      </c>
      <c r="J75" s="5" t="e">
        <f t="shared" si="223"/>
        <v>#VALUE!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6" workbookViewId="0">
      <selection activeCell="S31" sqref="S31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0.99272100182986822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366.87</v>
      </c>
      <c r="D5">
        <f>ROUNDDOWN(($C$2/6)/B5,0)</f>
        <v>35</v>
      </c>
      <c r="E5" s="8">
        <f>C5/B5-1</f>
        <v>0.10519656574785374</v>
      </c>
      <c r="F5">
        <f>C5*D5</f>
        <v>12840.45</v>
      </c>
      <c r="G5" s="73">
        <f>F5/$F$13</f>
        <v>0.17617403738463167</v>
      </c>
      <c r="H5" s="8">
        <f>F5/$F$31</f>
        <v>0.12459940850347574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1898.52</v>
      </c>
      <c r="D6">
        <f t="shared" ref="D6:D10" si="0">ROUNDDOWN(($C$2/6)/B6,0)</f>
        <v>7</v>
      </c>
      <c r="E6" s="8">
        <f t="shared" ref="E6:E10" si="1">C6/B6-1</f>
        <v>0.16500779322786907</v>
      </c>
      <c r="F6">
        <f t="shared" ref="F6:F9" si="2">C6*D6</f>
        <v>13289.64</v>
      </c>
      <c r="G6" s="73">
        <f t="shared" ref="G6:G10" si="3">F6/$F$13</f>
        <v>0.1823370313492359</v>
      </c>
      <c r="H6" s="8">
        <f t="shared" ref="H6:H10" si="4">F6/$F$31</f>
        <v>0.12895819719901805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43.78</v>
      </c>
      <c r="D7">
        <f t="shared" si="0"/>
        <v>275</v>
      </c>
      <c r="E7" s="8">
        <f t="shared" si="1"/>
        <v>3.3034450212364286E-2</v>
      </c>
      <c r="F7">
        <f t="shared" si="2"/>
        <v>12039.5</v>
      </c>
      <c r="G7" s="73">
        <f t="shared" si="3"/>
        <v>0.1651848122995902</v>
      </c>
      <c r="H7" s="8">
        <f t="shared" si="4"/>
        <v>0.11682725906627853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522.69000000000005</v>
      </c>
      <c r="D8">
        <f t="shared" si="0"/>
        <v>25</v>
      </c>
      <c r="E8" s="8">
        <f t="shared" si="1"/>
        <v>0.13709835316640206</v>
      </c>
      <c r="F8">
        <f t="shared" si="2"/>
        <v>13067.250000000002</v>
      </c>
      <c r="G8" s="73">
        <f t="shared" si="3"/>
        <v>0.17928578749298726</v>
      </c>
      <c r="H8" s="8">
        <f t="shared" si="4"/>
        <v>0.12680019942969628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52.26</v>
      </c>
      <c r="D9">
        <f t="shared" si="0"/>
        <v>202</v>
      </c>
      <c r="E9" s="8">
        <f t="shared" si="1"/>
        <v>-9.2550790067720157E-2</v>
      </c>
      <c r="F9">
        <f t="shared" si="2"/>
        <v>10556.52</v>
      </c>
      <c r="G9" s="73">
        <f t="shared" si="3"/>
        <v>0.14483797290060799</v>
      </c>
      <c r="H9" s="8">
        <f t="shared" si="4"/>
        <v>0.10243691987859552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51.02</v>
      </c>
      <c r="D10">
        <f t="shared" si="0"/>
        <v>207</v>
      </c>
      <c r="E10" s="8">
        <f t="shared" si="1"/>
        <v>-9.4587400177462255E-2</v>
      </c>
      <c r="F10">
        <f>C10*D10</f>
        <v>10561.140000000001</v>
      </c>
      <c r="G10" s="73">
        <f t="shared" si="3"/>
        <v>0.14490136040281526</v>
      </c>
      <c r="H10" s="8">
        <f t="shared" si="4"/>
        <v>0.10248175080487039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72885.03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4.1214714285714216E-2</v>
      </c>
    </row>
    <row r="15" spans="1:23" x14ac:dyDescent="0.25">
      <c r="E15" t="s">
        <v>108</v>
      </c>
    </row>
    <row r="17" spans="1:10" x14ac:dyDescent="0.25">
      <c r="H17" s="11">
        <f>SUM(H20:H23)</f>
        <v>0.98824680970392254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17.04</v>
      </c>
      <c r="D20">
        <f>ROUNDDOWN(($C$3*E20)/B20,0)</f>
        <v>250</v>
      </c>
      <c r="E20" s="11">
        <v>0.14199999999999999</v>
      </c>
      <c r="F20" s="8">
        <f>C20/B20-1</f>
        <v>2.3529411764704466E-3</v>
      </c>
      <c r="G20">
        <f>D20*C20</f>
        <v>4260</v>
      </c>
      <c r="H20" s="8">
        <f>G20/$G$27</f>
        <v>0.14120534339581611</v>
      </c>
      <c r="I20" s="8">
        <f>G20/$F$31</f>
        <v>4.1337607344353711E-2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287.11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1.4953337104072428E-2</v>
      </c>
      <c r="G21">
        <f t="shared" ref="G21:G22" si="8">D21*C21</f>
        <v>10910.18</v>
      </c>
      <c r="H21" s="8">
        <f t="shared" ref="H21:H23" si="9">G21/$G$27</f>
        <v>0.36163749141083684</v>
      </c>
      <c r="I21" s="8">
        <f t="shared" ref="I21:I23" si="10">G21/$F$31</f>
        <v>0.10586871758127253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81.48</v>
      </c>
      <c r="D22">
        <f t="shared" si="6"/>
        <v>144</v>
      </c>
      <c r="E22" s="11">
        <v>0.39300000000000002</v>
      </c>
      <c r="F22" s="8">
        <f t="shared" si="7"/>
        <v>-4.9067713444539418E-4</v>
      </c>
      <c r="G22">
        <f t="shared" si="8"/>
        <v>11733.12</v>
      </c>
      <c r="H22" s="8">
        <f t="shared" si="9"/>
        <v>0.38891531424983988</v>
      </c>
      <c r="I22" s="8">
        <f t="shared" si="10"/>
        <v>0.11385425058314166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83.17</v>
      </c>
      <c r="D23">
        <f>ROUNDDOWN(($C$3*E23)/B23,0)</f>
        <v>35</v>
      </c>
      <c r="E23" s="11">
        <v>9.9000000000000005E-2</v>
      </c>
      <c r="F23" s="8">
        <f t="shared" si="7"/>
        <v>1.3243438478207636E-3</v>
      </c>
      <c r="G23">
        <f>D23*C23</f>
        <v>2910.9500000000003</v>
      </c>
      <c r="H23" s="8">
        <f t="shared" si="9"/>
        <v>9.6488660647429794E-2</v>
      </c>
      <c r="I23" s="8">
        <f t="shared" si="10"/>
        <v>2.8246879835456914E-2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30168.830000000009</v>
      </c>
      <c r="J27">
        <f>SUM(J20:J23)</f>
        <v>29645.42</v>
      </c>
    </row>
    <row r="28" spans="1:10" x14ac:dyDescent="0.25">
      <c r="F28" t="s">
        <v>106</v>
      </c>
      <c r="G28" s="8">
        <f>G27/J27-1</f>
        <v>1.7655678347616943E-2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 s="75">
        <f>SUM(F13,G27)</f>
        <v>103053.86000000002</v>
      </c>
    </row>
    <row r="33" spans="1:9" x14ac:dyDescent="0.25">
      <c r="E33" t="s">
        <v>105</v>
      </c>
      <c r="F33" s="8">
        <f>F31/B1-1</f>
        <v>3.0538600000000082E-2</v>
      </c>
      <c r="H33" s="11">
        <f>F33-F37</f>
        <v>-6.8909149986375179E-3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38.46</v>
      </c>
      <c r="D37" s="8">
        <f>C37/B37-1</f>
        <v>5.2273915316258801E-3</v>
      </c>
      <c r="E37" s="11"/>
      <c r="F37" s="8">
        <f>D37*$B$3+D40*$B$2</f>
        <v>3.74295149986376E-2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287.11</v>
      </c>
      <c r="D38" s="8">
        <f t="shared" ref="D38:D39" si="12">C38/B38-1</f>
        <v>5.2726139405272487E-2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181.91</v>
      </c>
      <c r="D39" s="8">
        <f t="shared" si="12"/>
        <v>6.9618392426647802E-2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46.99</v>
      </c>
      <c r="D40" s="8">
        <f>C40/B40-1</f>
        <v>5.1230425055928341E-2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2018-08-10T11:21:16Z</dcterms:modified>
</cp:coreProperties>
</file>