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4.xml" ContentType="application/vnd.openxmlformats-officedocument.drawing+xml"/>
  <Override PartName="/xl/ctrlProps/ctrlProp13.xml" ContentType="application/vnd.ms-excel.controlproperties+xml"/>
  <Override PartName="/xl/ctrlProps/ctrlProp14.xml" ContentType="application/vnd.ms-excel.controlproperties+xml"/>
  <Override PartName="/xl/drawings/drawing5.xml" ContentType="application/vnd.openxmlformats-officedocument.drawing+xml"/>
  <Override PartName="/xl/ctrlProps/ctrlProp15.xml" ContentType="application/vnd.ms-excel.controlproperties+xml"/>
  <Override PartName="/xl/ctrlProps/ctrlProp16.xml" ContentType="application/vnd.ms-excel.controlproperties+xml"/>
  <Override PartName="/xl/drawings/drawing6.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drawings/drawing7.xml" ContentType="application/vnd.openxmlformats-officedocument.drawing+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drawings/drawing8.xml" ContentType="application/vnd.openxmlformats-officedocument.drawing+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omments1.xml" ContentType="application/vnd.openxmlformats-officedocument.spreadsheetml.comments+xml"/>
  <Override PartName="/xl/drawings/drawing9.xml" ContentType="application/vnd.openxmlformats-officedocument.drawing+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drawings/drawing10.xml" ContentType="application/vnd.openxmlformats-officedocument.drawing+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drawings/drawing11.xml" ContentType="application/vnd.openxmlformats-officedocument.drawing+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drawings/drawing12.xml" ContentType="application/vnd.openxmlformats-officedocument.drawing+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drawings/drawing13.xml" ContentType="application/vnd.openxmlformats-officedocument.drawing+xml"/>
  <Override PartName="/xl/drawings/drawing14.xml" ContentType="application/vnd.openxmlformats-officedocument.drawing+xml"/>
  <Override PartName="/xl/ctrlProps/ctrlProp9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codeName="ThisWorkbook"/>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F62BDC5C-D046-4249-A958-019E33AE9BFE}" xr6:coauthVersionLast="47" xr6:coauthVersionMax="47" xr10:uidLastSave="{00000000-0000-0000-0000-000000000000}"/>
  <bookViews>
    <workbookView xWindow="2652" yWindow="2652" windowWidth="17280" windowHeight="8880" tabRatio="883"/>
  </bookViews>
  <sheets>
    <sheet name="TITLE" sheetId="38" r:id="rId1"/>
    <sheet name="Welcome" sheetId="15" r:id="rId2"/>
    <sheet name="Map of the Model" sheetId="14" r:id="rId3"/>
    <sheet name="Read Me First" sheetId="27" r:id="rId4"/>
    <sheet name="Comments" sheetId="33" r:id="rId5"/>
    <sheet name="Background State Information" sheetId="21" r:id="rId6"/>
    <sheet name="Performance Assumptions" sheetId="25" r:id="rId7"/>
    <sheet name="Misc Parameters" sheetId="23" r:id="rId8"/>
    <sheet name="Cost Assumptions" sheetId="24" r:id="rId9"/>
    <sheet name="Results Summary" sheetId="30" r:id="rId10"/>
    <sheet name="Results Detail" sheetId="34" r:id="rId11"/>
    <sheet name="Calculations" sheetId="11" r:id="rId12"/>
    <sheet name="State Square Miles" sheetId="16" r:id="rId13"/>
    <sheet name="Status" sheetId="32" r:id="rId14"/>
  </sheets>
  <definedNames>
    <definedName name="_xlnm.Print_Area" localSheetId="5">'Background State Information'!$B$5:$F$29</definedName>
    <definedName name="_xlnm.Print_Area" localSheetId="11">Calculations!$A$5:$E$226</definedName>
    <definedName name="_xlnm.Print_Area" localSheetId="8">'Cost Assumptions'!$B$5:$D$57</definedName>
    <definedName name="_xlnm.Print_Area" localSheetId="7">'Misc Parameters'!$B$5:$F$16</definedName>
    <definedName name="_xlnm.Print_Area" localSheetId="6">'Performance Assumptions'!$C$5:$E$70</definedName>
    <definedName name="_xlnm.Print_Area" localSheetId="3">'Read Me First'!$A$5:$J$93</definedName>
    <definedName name="_xlnm.Print_Area" localSheetId="10">'Results Detail'!$D$5:$G$45</definedName>
    <definedName name="_xlnm.Print_Area" localSheetId="9">'Results Summary'!$D$5:$F$51</definedName>
    <definedName name="_xlnm.Print_Area" localSheetId="13">Status!$B$5:$H$28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21" l="1"/>
  <c r="B8" i="11" s="1"/>
  <c r="B9" i="11"/>
  <c r="B12" i="11"/>
  <c r="C12" i="11" s="1"/>
  <c r="D12" i="11" s="1"/>
  <c r="E12" i="11" s="1"/>
  <c r="F12" i="11" s="1"/>
  <c r="G12" i="11" s="1"/>
  <c r="H12" i="11" s="1"/>
  <c r="I12" i="11" s="1"/>
  <c r="J12" i="11"/>
  <c r="K12" i="11" s="1"/>
  <c r="L12" i="11" s="1"/>
  <c r="M12" i="11" s="1"/>
  <c r="N12" i="11" s="1"/>
  <c r="O12" i="11" s="1"/>
  <c r="P12" i="11" s="1"/>
  <c r="C13" i="11"/>
  <c r="D13" i="11" s="1"/>
  <c r="E13" i="11" s="1"/>
  <c r="F13" i="11" s="1"/>
  <c r="G13" i="11" s="1"/>
  <c r="H13" i="11" s="1"/>
  <c r="I13" i="11" s="1"/>
  <c r="J13" i="11" s="1"/>
  <c r="K13" i="11" s="1"/>
  <c r="L13" i="11" s="1"/>
  <c r="M13" i="11" s="1"/>
  <c r="N13" i="11" s="1"/>
  <c r="O13" i="11" s="1"/>
  <c r="P13" i="11" s="1"/>
  <c r="H41" i="11"/>
  <c r="H42" i="11"/>
  <c r="H43" i="11"/>
  <c r="H44" i="11"/>
  <c r="H45" i="11"/>
  <c r="H47" i="11"/>
  <c r="H51" i="11"/>
  <c r="H52" i="11"/>
  <c r="H54" i="11"/>
  <c r="C55" i="11"/>
  <c r="H58" i="11"/>
  <c r="C66" i="11"/>
  <c r="C67" i="11"/>
  <c r="D67" i="11" s="1"/>
  <c r="E67" i="11" s="1"/>
  <c r="F67" i="11" s="1"/>
  <c r="G67" i="11" s="1"/>
  <c r="H67" i="11" s="1"/>
  <c r="I67" i="11" s="1"/>
  <c r="J67" i="11" s="1"/>
  <c r="K67" i="11" s="1"/>
  <c r="L67" i="11" s="1"/>
  <c r="M67" i="11" s="1"/>
  <c r="N67" i="11" s="1"/>
  <c r="O67" i="11" s="1"/>
  <c r="P67" i="11" s="1"/>
  <c r="B68" i="11"/>
  <c r="A75" i="11"/>
  <c r="B75" i="11"/>
  <c r="A76" i="11"/>
  <c r="B76" i="11"/>
  <c r="A77" i="11"/>
  <c r="A78" i="11"/>
  <c r="B78" i="11"/>
  <c r="A79" i="11"/>
  <c r="B79" i="11"/>
  <c r="A80" i="11"/>
  <c r="B80" i="11"/>
  <c r="A81" i="11"/>
  <c r="A82" i="11"/>
  <c r="A83" i="11"/>
  <c r="B83" i="11"/>
  <c r="A87" i="11"/>
  <c r="A88" i="11"/>
  <c r="A89" i="11"/>
  <c r="A90" i="11"/>
  <c r="B90" i="11"/>
  <c r="C90" i="11" s="1"/>
  <c r="D90" i="11" s="1"/>
  <c r="E90" i="11" s="1"/>
  <c r="F90" i="11" s="1"/>
  <c r="G90" i="11" s="1"/>
  <c r="H90" i="11" s="1"/>
  <c r="I90" i="11" s="1"/>
  <c r="J90" i="11" s="1"/>
  <c r="K90" i="11" s="1"/>
  <c r="L90" i="11" s="1"/>
  <c r="M90" i="11" s="1"/>
  <c r="N90" i="11" s="1"/>
  <c r="O90" i="11" s="1"/>
  <c r="P90" i="11" s="1"/>
  <c r="A91" i="11"/>
  <c r="B91" i="11"/>
  <c r="A92" i="11"/>
  <c r="B92" i="11"/>
  <c r="C92" i="11" s="1"/>
  <c r="D92" i="11"/>
  <c r="E92" i="11" s="1"/>
  <c r="F92" i="11"/>
  <c r="G92" i="11" s="1"/>
  <c r="H92" i="11" s="1"/>
  <c r="I92" i="11" s="1"/>
  <c r="J92" i="11" s="1"/>
  <c r="K92" i="11" s="1"/>
  <c r="L92" i="11" s="1"/>
  <c r="M92" i="11" s="1"/>
  <c r="N92" i="11" s="1"/>
  <c r="O92" i="11" s="1"/>
  <c r="P92" i="11" s="1"/>
  <c r="A93" i="11"/>
  <c r="A94" i="11"/>
  <c r="A95" i="11"/>
  <c r="B95" i="11"/>
  <c r="C95" i="11" s="1"/>
  <c r="D95" i="11" s="1"/>
  <c r="E95" i="11" s="1"/>
  <c r="F95" i="11" s="1"/>
  <c r="G95" i="11" s="1"/>
  <c r="H95" i="11" s="1"/>
  <c r="I95" i="11" s="1"/>
  <c r="J95" i="11" s="1"/>
  <c r="K95" i="11" s="1"/>
  <c r="L95" i="11" s="1"/>
  <c r="M95" i="11" s="1"/>
  <c r="N95" i="11" s="1"/>
  <c r="O95" i="11" s="1"/>
  <c r="P95" i="11" s="1"/>
  <c r="A99" i="11"/>
  <c r="A100" i="11"/>
  <c r="A101" i="11"/>
  <c r="A102" i="11"/>
  <c r="A103" i="11"/>
  <c r="A104" i="11"/>
  <c r="B104" i="11"/>
  <c r="A105" i="11"/>
  <c r="A106" i="11"/>
  <c r="A107" i="11"/>
  <c r="A121" i="11"/>
  <c r="B125" i="11"/>
  <c r="C125" i="11" s="1"/>
  <c r="D125" i="11" s="1"/>
  <c r="E125" i="11" s="1"/>
  <c r="F125" i="11" s="1"/>
  <c r="G125" i="11" s="1"/>
  <c r="H125" i="11" s="1"/>
  <c r="I125" i="11" s="1"/>
  <c r="J125" i="11" s="1"/>
  <c r="K125" i="11" s="1"/>
  <c r="L125" i="11" s="1"/>
  <c r="M125" i="11" s="1"/>
  <c r="N125" i="11" s="1"/>
  <c r="O125" i="11" s="1"/>
  <c r="P125" i="11" s="1"/>
  <c r="F138" i="11"/>
  <c r="F139" i="11"/>
  <c r="E140" i="11"/>
  <c r="F141" i="11"/>
  <c r="C142" i="11"/>
  <c r="F142" i="11" s="1"/>
  <c r="F145" i="11"/>
  <c r="C146" i="11"/>
  <c r="F146" i="11"/>
  <c r="E147" i="11"/>
  <c r="B151" i="11"/>
  <c r="E151" i="11" s="1"/>
  <c r="C151" i="11"/>
  <c r="F151" i="11" s="1"/>
  <c r="D151" i="11"/>
  <c r="C152" i="11"/>
  <c r="F152" i="11"/>
  <c r="B226" i="11"/>
  <c r="D10" i="24"/>
  <c r="C41" i="11" s="1"/>
  <c r="D11" i="24"/>
  <c r="C42" i="11" s="1"/>
  <c r="D12" i="24"/>
  <c r="C43" i="11" s="1"/>
  <c r="D13" i="24"/>
  <c r="C44" i="11" s="1"/>
  <c r="D14" i="24"/>
  <c r="C45" i="11" s="1"/>
  <c r="D15" i="24"/>
  <c r="C47" i="11" s="1"/>
  <c r="D16" i="24"/>
  <c r="C48" i="11" s="1"/>
  <c r="D17" i="24"/>
  <c r="C49" i="11" s="1"/>
  <c r="C18" i="24"/>
  <c r="D18" i="24" s="1"/>
  <c r="C50" i="11" s="1"/>
  <c r="D19" i="24"/>
  <c r="C51" i="11" s="1"/>
  <c r="D20" i="24"/>
  <c r="C52" i="11" s="1"/>
  <c r="D21" i="24"/>
  <c r="C58" i="11" s="1"/>
  <c r="B188" i="11" s="1"/>
  <c r="D22" i="24"/>
  <c r="C59" i="11" s="1"/>
  <c r="D23" i="24"/>
  <c r="C54" i="11" s="1"/>
  <c r="D25" i="24"/>
  <c r="C56" i="11" s="1"/>
  <c r="D26" i="24"/>
  <c r="C63" i="11" s="1"/>
  <c r="D27" i="24"/>
  <c r="C64" i="11" s="1"/>
  <c r="D29" i="24"/>
  <c r="C61" i="11" s="1"/>
  <c r="D30" i="24"/>
  <c r="C62" i="11" s="1"/>
  <c r="C40" i="24"/>
  <c r="B77" i="11" s="1"/>
  <c r="C44" i="24"/>
  <c r="B81" i="11" s="1"/>
  <c r="C45" i="24"/>
  <c r="B82" i="11" s="1"/>
  <c r="F8" i="23"/>
  <c r="F9" i="23"/>
  <c r="B10" i="11" s="1"/>
  <c r="F10" i="23"/>
  <c r="F11" i="23"/>
  <c r="B14" i="11" s="1"/>
  <c r="C14" i="11" s="1"/>
  <c r="D14" i="11" s="1"/>
  <c r="E14" i="11" s="1"/>
  <c r="F14" i="11" s="1"/>
  <c r="G14" i="11" s="1"/>
  <c r="H14" i="11" s="1"/>
  <c r="I14" i="11" s="1"/>
  <c r="J14" i="11" s="1"/>
  <c r="K14" i="11" s="1"/>
  <c r="L14" i="11" s="1"/>
  <c r="M14" i="11" s="1"/>
  <c r="N14" i="11" s="1"/>
  <c r="O14" i="11" s="1"/>
  <c r="P14" i="11" s="1"/>
  <c r="F12" i="23"/>
  <c r="B15" i="11" s="1"/>
  <c r="F13" i="23"/>
  <c r="B16" i="11" s="1"/>
  <c r="C16" i="11" s="1"/>
  <c r="D16" i="11" s="1"/>
  <c r="E16" i="11" s="1"/>
  <c r="F16" i="11" s="1"/>
  <c r="G16" i="11" s="1"/>
  <c r="H16" i="11" s="1"/>
  <c r="I16" i="11" s="1"/>
  <c r="J16" i="11" s="1"/>
  <c r="K16" i="11" s="1"/>
  <c r="L16" i="11" s="1"/>
  <c r="M16" i="11" s="1"/>
  <c r="N16" i="11" s="1"/>
  <c r="O16" i="11" s="1"/>
  <c r="P16" i="11" s="1"/>
  <c r="F14" i="23"/>
  <c r="F15" i="23"/>
  <c r="B129" i="11" s="1"/>
  <c r="B131" i="11" s="1"/>
  <c r="B198" i="11" s="1"/>
  <c r="F16" i="23"/>
  <c r="B130" i="11" s="1"/>
  <c r="C130" i="11" s="1"/>
  <c r="D17" i="25"/>
  <c r="E17" i="25"/>
  <c r="D18" i="25"/>
  <c r="E18" i="25"/>
  <c r="D19" i="25"/>
  <c r="E19" i="25"/>
  <c r="D41" i="25"/>
  <c r="E41" i="25"/>
  <c r="D42" i="25"/>
  <c r="E42" i="25"/>
  <c r="E57" i="25"/>
  <c r="D69" i="25"/>
  <c r="D70" i="25"/>
  <c r="D9" i="34"/>
  <c r="D10" i="34"/>
  <c r="D11" i="34"/>
  <c r="D12" i="34"/>
  <c r="E12" i="34"/>
  <c r="D13" i="34"/>
  <c r="E13" i="34"/>
  <c r="D14" i="34"/>
  <c r="E14" i="34"/>
  <c r="F14" i="34"/>
  <c r="D15" i="34"/>
  <c r="E15" i="34"/>
  <c r="D16" i="34"/>
  <c r="D17" i="34"/>
  <c r="E17" i="34"/>
  <c r="E35" i="30"/>
  <c r="E43" i="30"/>
  <c r="E44" i="30"/>
  <c r="E45" i="30"/>
  <c r="E47" i="30"/>
  <c r="E48" i="30"/>
  <c r="E5" i="16"/>
  <c r="G5" i="16"/>
  <c r="J5" i="16"/>
  <c r="K5" i="16"/>
  <c r="E6" i="16"/>
  <c r="G6" i="16"/>
  <c r="J6" i="16"/>
  <c r="K6" i="16" s="1"/>
  <c r="E7" i="16"/>
  <c r="G7" i="16"/>
  <c r="J7" i="16"/>
  <c r="K7" i="16"/>
  <c r="G8" i="16"/>
  <c r="E8" i="16" s="1"/>
  <c r="J8" i="16"/>
  <c r="K8" i="16" s="1"/>
  <c r="G9" i="16"/>
  <c r="E9" i="16" s="1"/>
  <c r="J9" i="16"/>
  <c r="K9" i="16" s="1"/>
  <c r="G10" i="16"/>
  <c r="E10" i="16" s="1"/>
  <c r="J10" i="16"/>
  <c r="K10" i="16" s="1"/>
  <c r="E11" i="16"/>
  <c r="G11" i="16"/>
  <c r="J11" i="16"/>
  <c r="K11" i="16" s="1"/>
  <c r="G12" i="16"/>
  <c r="E12" i="16" s="1"/>
  <c r="J12" i="16"/>
  <c r="K12" i="16" s="1"/>
  <c r="E13" i="16"/>
  <c r="G13" i="16"/>
  <c r="J13" i="16"/>
  <c r="K13" i="16"/>
  <c r="E14" i="16"/>
  <c r="G14" i="16"/>
  <c r="J14" i="16"/>
  <c r="K14" i="16" s="1"/>
  <c r="G15" i="16"/>
  <c r="E15" i="16" s="1"/>
  <c r="J15" i="16"/>
  <c r="K15" i="16" s="1"/>
  <c r="E16" i="16"/>
  <c r="G16" i="16"/>
  <c r="J16" i="16"/>
  <c r="K16" i="16" s="1"/>
  <c r="G17" i="16"/>
  <c r="E17" i="16" s="1"/>
  <c r="J17" i="16"/>
  <c r="K17" i="16" s="1"/>
  <c r="G18" i="16"/>
  <c r="E18" i="16" s="1"/>
  <c r="J18" i="16"/>
  <c r="K18" i="16" s="1"/>
  <c r="G19" i="16"/>
  <c r="E19" i="16" s="1"/>
  <c r="J19" i="16"/>
  <c r="K19" i="16" s="1"/>
  <c r="E20" i="16"/>
  <c r="G20" i="16"/>
  <c r="J20" i="16"/>
  <c r="K20" i="16"/>
  <c r="G21" i="16"/>
  <c r="E21" i="16" s="1"/>
  <c r="J21" i="16"/>
  <c r="K21" i="16" s="1"/>
  <c r="E22" i="16"/>
  <c r="G22" i="16"/>
  <c r="J22" i="16"/>
  <c r="K22" i="16"/>
  <c r="G23" i="16"/>
  <c r="E23" i="16" s="1"/>
  <c r="J23" i="16"/>
  <c r="K23" i="16" s="1"/>
  <c r="E24" i="16"/>
  <c r="B225" i="11" s="1"/>
  <c r="D59" i="25" s="1"/>
  <c r="G24" i="16"/>
  <c r="J24" i="16"/>
  <c r="K24" i="16"/>
  <c r="G25" i="16"/>
  <c r="E25" i="16" s="1"/>
  <c r="J25" i="16"/>
  <c r="K25" i="16" s="1"/>
  <c r="E26" i="16"/>
  <c r="G26" i="16"/>
  <c r="J26" i="16"/>
  <c r="K26" i="16"/>
  <c r="G27" i="16"/>
  <c r="E27" i="16" s="1"/>
  <c r="J27" i="16"/>
  <c r="K27" i="16"/>
  <c r="E28" i="16"/>
  <c r="G28" i="16"/>
  <c r="J28" i="16"/>
  <c r="K28" i="16"/>
  <c r="G29" i="16"/>
  <c r="E29" i="16" s="1"/>
  <c r="J29" i="16"/>
  <c r="K29" i="16" s="1"/>
  <c r="E30" i="16"/>
  <c r="G30" i="16"/>
  <c r="J30" i="16"/>
  <c r="K30" i="16"/>
  <c r="G31" i="16"/>
  <c r="E31" i="16" s="1"/>
  <c r="J31" i="16"/>
  <c r="K31" i="16"/>
  <c r="E32" i="16"/>
  <c r="G32" i="16"/>
  <c r="J32" i="16"/>
  <c r="K32" i="16"/>
  <c r="G33" i="16"/>
  <c r="E33" i="16" s="1"/>
  <c r="J33" i="16"/>
  <c r="K33" i="16"/>
  <c r="E34" i="16"/>
  <c r="G34" i="16"/>
  <c r="J34" i="16"/>
  <c r="K34" i="16"/>
  <c r="G35" i="16"/>
  <c r="E35" i="16" s="1"/>
  <c r="J35" i="16"/>
  <c r="K35" i="16"/>
  <c r="E36" i="16"/>
  <c r="G36" i="16"/>
  <c r="J36" i="16"/>
  <c r="K36" i="16"/>
  <c r="G37" i="16"/>
  <c r="E37" i="16" s="1"/>
  <c r="J37" i="16"/>
  <c r="K37" i="16"/>
  <c r="E38" i="16"/>
  <c r="G38" i="16"/>
  <c r="J38" i="16"/>
  <c r="K38" i="16"/>
  <c r="G39" i="16"/>
  <c r="E39" i="16" s="1"/>
  <c r="J39" i="16"/>
  <c r="K39" i="16"/>
  <c r="E40" i="16"/>
  <c r="G40" i="16"/>
  <c r="J40" i="16"/>
  <c r="K40" i="16"/>
  <c r="G41" i="16"/>
  <c r="E41" i="16" s="1"/>
  <c r="J41" i="16"/>
  <c r="K41" i="16"/>
  <c r="E42" i="16"/>
  <c r="G42" i="16"/>
  <c r="J42" i="16"/>
  <c r="K42" i="16"/>
  <c r="G43" i="16"/>
  <c r="E43" i="16" s="1"/>
  <c r="J43" i="16"/>
  <c r="K43" i="16"/>
  <c r="E44" i="16"/>
  <c r="G44" i="16"/>
  <c r="J44" i="16"/>
  <c r="K44" i="16"/>
  <c r="G45" i="16"/>
  <c r="E45" i="16" s="1"/>
  <c r="J45" i="16"/>
  <c r="K45" i="16"/>
  <c r="E46" i="16"/>
  <c r="G46" i="16"/>
  <c r="J46" i="16"/>
  <c r="K46" i="16"/>
  <c r="G47" i="16"/>
  <c r="E47" i="16" s="1"/>
  <c r="J47" i="16"/>
  <c r="K47" i="16"/>
  <c r="E48" i="16"/>
  <c r="G48" i="16"/>
  <c r="J48" i="16"/>
  <c r="K48" i="16"/>
  <c r="G49" i="16"/>
  <c r="E49" i="16" s="1"/>
  <c r="J49" i="16"/>
  <c r="K49" i="16"/>
  <c r="E50" i="16"/>
  <c r="G50" i="16"/>
  <c r="J50" i="16"/>
  <c r="K50" i="16"/>
  <c r="G51" i="16"/>
  <c r="E51" i="16" s="1"/>
  <c r="J51" i="16"/>
  <c r="K51" i="16"/>
  <c r="E52" i="16"/>
  <c r="G52" i="16"/>
  <c r="J52" i="16"/>
  <c r="K52" i="16"/>
  <c r="G53" i="16"/>
  <c r="E53" i="16" s="1"/>
  <c r="J53" i="16"/>
  <c r="K53" i="16"/>
  <c r="E54" i="16"/>
  <c r="G54" i="16"/>
  <c r="J54" i="16"/>
  <c r="K54" i="16"/>
  <c r="G55" i="16"/>
  <c r="E55" i="16" s="1"/>
  <c r="J55" i="16"/>
  <c r="K55" i="16"/>
  <c r="J56" i="16"/>
  <c r="K56" i="16" s="1"/>
  <c r="F58" i="16"/>
  <c r="H58" i="16"/>
  <c r="I58" i="16"/>
  <c r="G9" i="32"/>
  <c r="G10" i="32"/>
  <c r="G11" i="32"/>
  <c r="F12" i="32"/>
  <c r="B35" i="11" s="1"/>
  <c r="G14" i="32"/>
  <c r="G16" i="32"/>
  <c r="B93" i="11" s="1"/>
  <c r="C93" i="11" s="1"/>
  <c r="D93" i="11" s="1"/>
  <c r="E93" i="11" s="1"/>
  <c r="F93" i="11" s="1"/>
  <c r="G93" i="11" s="1"/>
  <c r="H93" i="11" s="1"/>
  <c r="I93" i="11" s="1"/>
  <c r="J93" i="11" s="1"/>
  <c r="K93" i="11" s="1"/>
  <c r="L93" i="11" s="1"/>
  <c r="M93" i="11" s="1"/>
  <c r="N93" i="11" s="1"/>
  <c r="O93" i="11" s="1"/>
  <c r="P93" i="11" s="1"/>
  <c r="G17" i="32"/>
  <c r="B94" i="11" s="1"/>
  <c r="D26" i="32"/>
  <c r="D27" i="32"/>
  <c r="D28" i="32"/>
  <c r="D66" i="25" s="1"/>
  <c r="E42" i="30" l="1"/>
  <c r="D31" i="30" s="1"/>
  <c r="C77" i="11"/>
  <c r="B115" i="11"/>
  <c r="C94" i="11"/>
  <c r="D94" i="11" s="1"/>
  <c r="E94" i="11" s="1"/>
  <c r="F94" i="11" s="1"/>
  <c r="G94" i="11" s="1"/>
  <c r="H94" i="11" s="1"/>
  <c r="I94" i="11" s="1"/>
  <c r="J94" i="11" s="1"/>
  <c r="K94" i="11" s="1"/>
  <c r="L94" i="11" s="1"/>
  <c r="M94" i="11" s="1"/>
  <c r="N94" i="11" s="1"/>
  <c r="O94" i="11" s="1"/>
  <c r="P94" i="11" s="1"/>
  <c r="E16" i="34"/>
  <c r="M18" i="16"/>
  <c r="E39" i="30"/>
  <c r="E36" i="34"/>
  <c r="G36" i="34" s="1"/>
  <c r="E10" i="34"/>
  <c r="D7" i="30"/>
  <c r="E41" i="30"/>
  <c r="E32" i="34"/>
  <c r="G32" i="34" s="1"/>
  <c r="B69" i="11"/>
  <c r="B70" i="11" s="1"/>
  <c r="B21" i="11"/>
  <c r="E51" i="30"/>
  <c r="C48" i="25"/>
  <c r="D48" i="25" s="1"/>
  <c r="B20" i="11" s="1"/>
  <c r="C20" i="11" s="1"/>
  <c r="D20" i="11" s="1"/>
  <c r="E20" i="11" s="1"/>
  <c r="F20" i="11" s="1"/>
  <c r="G20" i="11" s="1"/>
  <c r="H20" i="11" s="1"/>
  <c r="I20" i="11" s="1"/>
  <c r="J20" i="11" s="1"/>
  <c r="K20" i="11" s="1"/>
  <c r="L20" i="11" s="1"/>
  <c r="M20" i="11" s="1"/>
  <c r="N20" i="11" s="1"/>
  <c r="O20" i="11" s="1"/>
  <c r="P20" i="11" s="1"/>
  <c r="D18" i="21"/>
  <c r="B88" i="11"/>
  <c r="E40" i="30"/>
  <c r="D147" i="11"/>
  <c r="G147" i="11" s="1"/>
  <c r="E25" i="34"/>
  <c r="G25" i="34" s="1"/>
  <c r="B11" i="11"/>
  <c r="C11" i="11" s="1"/>
  <c r="D11" i="11" s="1"/>
  <c r="E11" i="11" s="1"/>
  <c r="F11" i="11" s="1"/>
  <c r="C81" i="11"/>
  <c r="B105" i="11"/>
  <c r="F15" i="34" s="1"/>
  <c r="E5" i="30"/>
  <c r="E5" i="34"/>
  <c r="C131" i="11"/>
  <c r="D130" i="11"/>
  <c r="I7" i="11"/>
  <c r="M11" i="11"/>
  <c r="B7" i="11"/>
  <c r="J7" i="11"/>
  <c r="N11" i="11"/>
  <c r="C7" i="11"/>
  <c r="K7" i="11"/>
  <c r="G11" i="11"/>
  <c r="O11" i="11"/>
  <c r="N7" i="11"/>
  <c r="D7" i="11"/>
  <c r="O7" i="11"/>
  <c r="H11" i="11"/>
  <c r="E7" i="11"/>
  <c r="P7" i="11"/>
  <c r="I11" i="11"/>
  <c r="F7" i="11"/>
  <c r="J11" i="11"/>
  <c r="H7" i="11"/>
  <c r="L11" i="11"/>
  <c r="K11" i="11"/>
  <c r="G7" i="11"/>
  <c r="P11" i="11"/>
  <c r="L7" i="11"/>
  <c r="M7" i="11"/>
  <c r="E50" i="30"/>
  <c r="C25" i="25"/>
  <c r="D25" i="25" s="1"/>
  <c r="B19" i="11" s="1"/>
  <c r="C19" i="11" s="1"/>
  <c r="D19" i="11" s="1"/>
  <c r="E19" i="11" s="1"/>
  <c r="F19" i="11" s="1"/>
  <c r="G19" i="11" s="1"/>
  <c r="H19" i="11" s="1"/>
  <c r="I19" i="11" s="1"/>
  <c r="J19" i="11" s="1"/>
  <c r="K19" i="11" s="1"/>
  <c r="L19" i="11" s="1"/>
  <c r="M19" i="11" s="1"/>
  <c r="N19" i="11" s="1"/>
  <c r="O19" i="11" s="1"/>
  <c r="P19" i="11" s="1"/>
  <c r="B177" i="11"/>
  <c r="E23" i="30" s="1"/>
  <c r="B219" i="11"/>
  <c r="C82" i="11"/>
  <c r="B106" i="11"/>
  <c r="F16" i="34" s="1"/>
  <c r="C15" i="11"/>
  <c r="B111" i="11"/>
  <c r="G151" i="11"/>
  <c r="B102" i="11"/>
  <c r="F12" i="34" s="1"/>
  <c r="D140" i="11"/>
  <c r="G140" i="11" s="1"/>
  <c r="C144" i="11"/>
  <c r="F144" i="11" s="1"/>
  <c r="C147" i="11"/>
  <c r="F147" i="11" s="1"/>
  <c r="C91" i="11"/>
  <c r="D91" i="11" s="1"/>
  <c r="E91" i="11" s="1"/>
  <c r="F91" i="11" s="1"/>
  <c r="G91" i="11" s="1"/>
  <c r="H91" i="11" s="1"/>
  <c r="I91" i="11" s="1"/>
  <c r="J91" i="11" s="1"/>
  <c r="K91" i="11" s="1"/>
  <c r="L91" i="11" s="1"/>
  <c r="M91" i="11" s="1"/>
  <c r="N91" i="11" s="1"/>
  <c r="O91" i="11" s="1"/>
  <c r="P91" i="11" s="1"/>
  <c r="B103" i="11"/>
  <c r="F13" i="34" s="1"/>
  <c r="C9" i="11"/>
  <c r="C8" i="11"/>
  <c r="C69" i="11" s="1"/>
  <c r="C78" i="11"/>
  <c r="C75" i="11"/>
  <c r="B114" i="11"/>
  <c r="C68" i="11"/>
  <c r="D66" i="11"/>
  <c r="C83" i="11"/>
  <c r="C79" i="11"/>
  <c r="C76" i="11"/>
  <c r="C80" i="11"/>
  <c r="B107" i="11"/>
  <c r="F17" i="34" s="1"/>
  <c r="B26" i="11"/>
  <c r="B28" i="11" s="1"/>
  <c r="B30" i="11" s="1"/>
  <c r="B33" i="11" s="1"/>
  <c r="B27" i="11"/>
  <c r="B29" i="11" s="1"/>
  <c r="B34" i="11" s="1"/>
  <c r="B89" i="11" s="1"/>
  <c r="B113" i="11" l="1"/>
  <c r="E11" i="34"/>
  <c r="D33" i="30"/>
  <c r="B101" i="11"/>
  <c r="B156" i="11"/>
  <c r="B158" i="11"/>
  <c r="D77" i="11"/>
  <c r="C115" i="11"/>
  <c r="B164" i="11"/>
  <c r="E11" i="30" s="1"/>
  <c r="B163" i="11"/>
  <c r="E10" i="30" s="1"/>
  <c r="C88" i="11"/>
  <c r="D88" i="11" s="1"/>
  <c r="E88" i="11" s="1"/>
  <c r="F88" i="11" s="1"/>
  <c r="G88" i="11" s="1"/>
  <c r="H88" i="11" s="1"/>
  <c r="I88" i="11" s="1"/>
  <c r="J88" i="11" s="1"/>
  <c r="K88" i="11" s="1"/>
  <c r="L88" i="11" s="1"/>
  <c r="M88" i="11" s="1"/>
  <c r="N88" i="11" s="1"/>
  <c r="O88" i="11" s="1"/>
  <c r="P88" i="11" s="1"/>
  <c r="B100" i="11"/>
  <c r="F10" i="34" s="1"/>
  <c r="C21" i="11"/>
  <c r="B121" i="11"/>
  <c r="B120" i="11"/>
  <c r="B124" i="11" s="1"/>
  <c r="B126" i="11" s="1"/>
  <c r="D80" i="11"/>
  <c r="C104" i="11"/>
  <c r="D75" i="11"/>
  <c r="C114" i="11"/>
  <c r="C10" i="11"/>
  <c r="D10" i="11" s="1"/>
  <c r="E10" i="11" s="1"/>
  <c r="F10" i="11" s="1"/>
  <c r="G10" i="11" s="1"/>
  <c r="H10" i="11" s="1"/>
  <c r="I10" i="11" s="1"/>
  <c r="J10" i="11" s="1"/>
  <c r="K10" i="11" s="1"/>
  <c r="L10" i="11" s="1"/>
  <c r="M10" i="11" s="1"/>
  <c r="N10" i="11" s="1"/>
  <c r="O10" i="11" s="1"/>
  <c r="P10" i="11" s="1"/>
  <c r="D15" i="11"/>
  <c r="C111" i="11"/>
  <c r="D76" i="11"/>
  <c r="C100" i="11"/>
  <c r="C103" i="11"/>
  <c r="D79" i="11"/>
  <c r="D131" i="11"/>
  <c r="E130" i="11"/>
  <c r="C70" i="11"/>
  <c r="D68" i="11"/>
  <c r="E66" i="11"/>
  <c r="D82" i="11"/>
  <c r="C106" i="11"/>
  <c r="F14" i="30"/>
  <c r="D78" i="11"/>
  <c r="C102" i="11"/>
  <c r="C107" i="11"/>
  <c r="D83" i="11"/>
  <c r="D9" i="11"/>
  <c r="D8" i="11"/>
  <c r="C177" i="11"/>
  <c r="C219" i="11"/>
  <c r="C198" i="11"/>
  <c r="C105" i="11"/>
  <c r="D81" i="11"/>
  <c r="B87" i="11"/>
  <c r="E9" i="34"/>
  <c r="E131" i="11" l="1"/>
  <c r="F130" i="11"/>
  <c r="E76" i="11"/>
  <c r="D100" i="11"/>
  <c r="E80" i="11"/>
  <c r="D104" i="11"/>
  <c r="B122" i="11"/>
  <c r="B123" i="11" s="1"/>
  <c r="F30" i="30" s="1"/>
  <c r="F11" i="34"/>
  <c r="B159" i="11"/>
  <c r="E40" i="34"/>
  <c r="G40" i="34" s="1"/>
  <c r="E78" i="11"/>
  <c r="D102" i="11"/>
  <c r="B157" i="11"/>
  <c r="E39" i="34"/>
  <c r="G39" i="34" s="1"/>
  <c r="B112" i="11"/>
  <c r="B116" i="11" s="1"/>
  <c r="B195" i="11"/>
  <c r="D32" i="30"/>
  <c r="B216" i="11"/>
  <c r="B174" i="11"/>
  <c r="E45" i="34" s="1"/>
  <c r="G45" i="34" s="1"/>
  <c r="B99" i="11"/>
  <c r="D26" i="11"/>
  <c r="D28" i="11" s="1"/>
  <c r="D27" i="11"/>
  <c r="D29" i="11" s="1"/>
  <c r="D34" i="11" s="1"/>
  <c r="D89" i="11" s="1"/>
  <c r="D101" i="11" s="1"/>
  <c r="D122" i="11" s="1"/>
  <c r="D123" i="11" s="1"/>
  <c r="D69" i="11"/>
  <c r="D70" i="11" s="1"/>
  <c r="D177" i="11"/>
  <c r="D219" i="11"/>
  <c r="D198" i="11"/>
  <c r="E9" i="11"/>
  <c r="E8" i="11"/>
  <c r="D111" i="11"/>
  <c r="E15" i="11"/>
  <c r="E81" i="11"/>
  <c r="D105" i="11"/>
  <c r="E83" i="11"/>
  <c r="D107" i="11"/>
  <c r="E82" i="11"/>
  <c r="D106" i="11"/>
  <c r="C27" i="11"/>
  <c r="C29" i="11" s="1"/>
  <c r="C34" i="11" s="1"/>
  <c r="C89" i="11" s="1"/>
  <c r="B178" i="11"/>
  <c r="B220" i="11"/>
  <c r="B199" i="11"/>
  <c r="E68" i="11"/>
  <c r="F66" i="11"/>
  <c r="C26" i="11"/>
  <c r="C28" i="11" s="1"/>
  <c r="E77" i="11"/>
  <c r="D115" i="11"/>
  <c r="E79" i="11"/>
  <c r="D103" i="11"/>
  <c r="E75" i="11"/>
  <c r="D114" i="11"/>
  <c r="D21" i="11"/>
  <c r="C121" i="11"/>
  <c r="C30" i="11" l="1"/>
  <c r="C33" i="11" s="1"/>
  <c r="B206" i="11"/>
  <c r="B185" i="11"/>
  <c r="G66" i="11"/>
  <c r="F68" i="11"/>
  <c r="F9" i="11"/>
  <c r="F8" i="11"/>
  <c r="E103" i="11"/>
  <c r="F79" i="11"/>
  <c r="B171" i="11"/>
  <c r="E41" i="34"/>
  <c r="G41" i="34" s="1"/>
  <c r="F131" i="11"/>
  <c r="G130" i="11"/>
  <c r="C120" i="11"/>
  <c r="C124" i="11" s="1"/>
  <c r="C126" i="11" s="1"/>
  <c r="E107" i="11"/>
  <c r="F83" i="11"/>
  <c r="B168" i="11"/>
  <c r="E177" i="11"/>
  <c r="E219" i="11"/>
  <c r="E198" i="11"/>
  <c r="F78" i="11"/>
  <c r="E102" i="11"/>
  <c r="F76" i="11"/>
  <c r="E100" i="11"/>
  <c r="B194" i="11"/>
  <c r="E113" i="11"/>
  <c r="D156" i="11"/>
  <c r="D157" i="11" s="1"/>
  <c r="D158" i="11"/>
  <c r="D159" i="11" s="1"/>
  <c r="F82" i="11"/>
  <c r="E106" i="11"/>
  <c r="B189" i="11"/>
  <c r="E21" i="11"/>
  <c r="D120" i="11"/>
  <c r="D124" i="11" s="1"/>
  <c r="D126" i="11" s="1"/>
  <c r="D121" i="11"/>
  <c r="F81" i="11"/>
  <c r="E105" i="11"/>
  <c r="B210" i="11"/>
  <c r="D113" i="11"/>
  <c r="C156" i="11"/>
  <c r="C157" i="11" s="1"/>
  <c r="C158" i="11"/>
  <c r="C159" i="11" s="1"/>
  <c r="C101" i="11"/>
  <c r="E114" i="11"/>
  <c r="F75" i="11"/>
  <c r="E27" i="11"/>
  <c r="E29" i="11" s="1"/>
  <c r="E34" i="11" s="1"/>
  <c r="E89" i="11" s="1"/>
  <c r="E26" i="11"/>
  <c r="E28" i="11" s="1"/>
  <c r="E69" i="11"/>
  <c r="E70" i="11" s="1"/>
  <c r="C149" i="11"/>
  <c r="F149" i="11" s="1"/>
  <c r="B149" i="11"/>
  <c r="D139" i="11"/>
  <c r="G139" i="11" s="1"/>
  <c r="D30" i="11"/>
  <c r="D33" i="11" s="1"/>
  <c r="B108" i="11"/>
  <c r="F9" i="34"/>
  <c r="F18" i="34" s="1"/>
  <c r="E115" i="11"/>
  <c r="F77" i="11"/>
  <c r="E101" i="11"/>
  <c r="E122" i="11" s="1"/>
  <c r="E123" i="11" s="1"/>
  <c r="E24" i="30"/>
  <c r="F15" i="11"/>
  <c r="E111" i="11"/>
  <c r="F80" i="11"/>
  <c r="E104" i="11"/>
  <c r="C113" i="11"/>
  <c r="E149" i="11" l="1"/>
  <c r="E34" i="34"/>
  <c r="G34" i="34" s="1"/>
  <c r="G79" i="11"/>
  <c r="F103" i="11"/>
  <c r="C192" i="11"/>
  <c r="C171" i="11"/>
  <c r="C213" i="11"/>
  <c r="C178" i="11"/>
  <c r="C220" i="11"/>
  <c r="C199" i="11"/>
  <c r="G76" i="11"/>
  <c r="F100" i="11"/>
  <c r="G78" i="11"/>
  <c r="F102" i="11"/>
  <c r="G131" i="11"/>
  <c r="H130" i="11"/>
  <c r="F26" i="11"/>
  <c r="F28" i="11" s="1"/>
  <c r="F27" i="11"/>
  <c r="F29" i="11" s="1"/>
  <c r="F34" i="11" s="1"/>
  <c r="F89" i="11" s="1"/>
  <c r="F69" i="11"/>
  <c r="F70" i="11" s="1"/>
  <c r="G81" i="11"/>
  <c r="F105" i="11"/>
  <c r="G83" i="11"/>
  <c r="F107" i="11"/>
  <c r="D178" i="11"/>
  <c r="D220" i="11"/>
  <c r="D199" i="11"/>
  <c r="F21" i="11"/>
  <c r="E120" i="11"/>
  <c r="E124" i="11" s="1"/>
  <c r="E126" i="11" s="1"/>
  <c r="E121" i="11"/>
  <c r="E30" i="11"/>
  <c r="E33" i="11" s="1"/>
  <c r="F198" i="11"/>
  <c r="F177" i="11"/>
  <c r="F23" i="30" s="1"/>
  <c r="F219" i="11"/>
  <c r="G8" i="11"/>
  <c r="G9" i="11"/>
  <c r="D192" i="11"/>
  <c r="D171" i="11"/>
  <c r="D213" i="11"/>
  <c r="E13" i="30"/>
  <c r="G77" i="11"/>
  <c r="F115" i="11"/>
  <c r="C122" i="11"/>
  <c r="C123" i="11" s="1"/>
  <c r="D164" i="11"/>
  <c r="C87" i="11"/>
  <c r="C163" i="11"/>
  <c r="C164" i="11"/>
  <c r="G80" i="11"/>
  <c r="F104" i="11"/>
  <c r="G15" i="11"/>
  <c r="F111" i="11"/>
  <c r="F113" i="11" s="1"/>
  <c r="B205" i="11"/>
  <c r="B184" i="11"/>
  <c r="E158" i="11"/>
  <c r="E159" i="11" s="1"/>
  <c r="E156" i="11"/>
  <c r="E157" i="11" s="1"/>
  <c r="B139" i="11"/>
  <c r="D149" i="11"/>
  <c r="G149" i="11" s="1"/>
  <c r="B192" i="11"/>
  <c r="H66" i="11"/>
  <c r="G68" i="11"/>
  <c r="E164" i="11"/>
  <c r="D87" i="11"/>
  <c r="D163" i="11"/>
  <c r="G75" i="11"/>
  <c r="F114" i="11"/>
  <c r="G15" i="34"/>
  <c r="G82" i="11"/>
  <c r="F106" i="11"/>
  <c r="E20" i="30"/>
  <c r="F20" i="30"/>
  <c r="B213" i="11"/>
  <c r="G70" i="11" l="1"/>
  <c r="G26" i="11"/>
  <c r="G28" i="11" s="1"/>
  <c r="G30" i="11" s="1"/>
  <c r="G33" i="11" s="1"/>
  <c r="G27" i="11"/>
  <c r="G29" i="11" s="1"/>
  <c r="G34" i="11" s="1"/>
  <c r="G89" i="11" s="1"/>
  <c r="G69" i="11"/>
  <c r="H77" i="11"/>
  <c r="G101" i="11"/>
  <c r="G122" i="11" s="1"/>
  <c r="G123" i="11" s="1"/>
  <c r="G115" i="11"/>
  <c r="G100" i="11"/>
  <c r="H76" i="11"/>
  <c r="F30" i="11"/>
  <c r="F33" i="11" s="1"/>
  <c r="E192" i="11"/>
  <c r="E171" i="11"/>
  <c r="E213" i="11"/>
  <c r="G113" i="11"/>
  <c r="F156" i="11"/>
  <c r="F157" i="11" s="1"/>
  <c r="F158" i="11"/>
  <c r="F159" i="11" s="1"/>
  <c r="H79" i="11"/>
  <c r="G103" i="11"/>
  <c r="G106" i="11"/>
  <c r="H82" i="11"/>
  <c r="D112" i="11"/>
  <c r="D116" i="11" s="1"/>
  <c r="C216" i="11"/>
  <c r="C217" i="11" s="1"/>
  <c r="C174" i="11"/>
  <c r="C175" i="11" s="1"/>
  <c r="C195" i="11"/>
  <c r="C196" i="11" s="1"/>
  <c r="C99" i="11"/>
  <c r="C112" i="11"/>
  <c r="C116" i="11" s="1"/>
  <c r="I130" i="11"/>
  <c r="H131" i="11"/>
  <c r="I66" i="11"/>
  <c r="H68" i="11"/>
  <c r="F164" i="11"/>
  <c r="E87" i="11"/>
  <c r="E163" i="11"/>
  <c r="G107" i="11"/>
  <c r="H83" i="11"/>
  <c r="G198" i="11"/>
  <c r="G177" i="11"/>
  <c r="G219" i="11"/>
  <c r="G104" i="11"/>
  <c r="H80" i="11"/>
  <c r="H15" i="11"/>
  <c r="G111" i="11"/>
  <c r="E178" i="11"/>
  <c r="E220" i="11"/>
  <c r="E199" i="11"/>
  <c r="G105" i="11"/>
  <c r="H81" i="11"/>
  <c r="E112" i="11"/>
  <c r="E116" i="11" s="1"/>
  <c r="D216" i="11"/>
  <c r="D217" i="11" s="1"/>
  <c r="D174" i="11"/>
  <c r="D175" i="11" s="1"/>
  <c r="D195" i="11"/>
  <c r="D196" i="11" s="1"/>
  <c r="D99" i="11"/>
  <c r="D108" i="11" s="1"/>
  <c r="H75" i="11"/>
  <c r="G114" i="11"/>
  <c r="E139" i="11"/>
  <c r="E24" i="34"/>
  <c r="G24" i="34" s="1"/>
  <c r="F101" i="11"/>
  <c r="H9" i="11"/>
  <c r="H8" i="11"/>
  <c r="G21" i="11"/>
  <c r="F120" i="11"/>
  <c r="F124" i="11" s="1"/>
  <c r="F126" i="11" s="1"/>
  <c r="F121" i="11"/>
  <c r="G102" i="11"/>
  <c r="H78" i="11"/>
  <c r="G163" i="11"/>
  <c r="F10" i="30" l="1"/>
  <c r="J66" i="11"/>
  <c r="I68" i="11"/>
  <c r="H198" i="11"/>
  <c r="H177" i="11"/>
  <c r="H219" i="11"/>
  <c r="H106" i="11"/>
  <c r="I82" i="11"/>
  <c r="I77" i="11"/>
  <c r="H115" i="11"/>
  <c r="F122" i="11"/>
  <c r="F123" i="11" s="1"/>
  <c r="G11" i="34"/>
  <c r="I83" i="11"/>
  <c r="H107" i="11"/>
  <c r="J130" i="11"/>
  <c r="I131" i="11"/>
  <c r="F178" i="11"/>
  <c r="F220" i="11"/>
  <c r="F199" i="11"/>
  <c r="H70" i="11"/>
  <c r="H21" i="11"/>
  <c r="G120" i="11"/>
  <c r="G124" i="11" s="1"/>
  <c r="G126" i="11" s="1"/>
  <c r="G121" i="11"/>
  <c r="H27" i="11"/>
  <c r="H29" i="11" s="1"/>
  <c r="H34" i="11" s="1"/>
  <c r="H89" i="11" s="1"/>
  <c r="H26" i="11"/>
  <c r="H28" i="11" s="1"/>
  <c r="H30" i="11" s="1"/>
  <c r="H33" i="11" s="1"/>
  <c r="H69" i="11"/>
  <c r="D206" i="11"/>
  <c r="D185" i="11"/>
  <c r="I9" i="11"/>
  <c r="I8" i="11"/>
  <c r="H102" i="11"/>
  <c r="I78" i="11"/>
  <c r="H163" i="11"/>
  <c r="I15" i="11"/>
  <c r="H111" i="11"/>
  <c r="H113" i="11" s="1"/>
  <c r="C206" i="11"/>
  <c r="C185" i="11"/>
  <c r="G164" i="11"/>
  <c r="F87" i="11"/>
  <c r="F163" i="11"/>
  <c r="I75" i="11"/>
  <c r="H114" i="11"/>
  <c r="H164" i="11" s="1"/>
  <c r="E185" i="11"/>
  <c r="E206" i="11"/>
  <c r="C108" i="11"/>
  <c r="I79" i="11"/>
  <c r="H103" i="11"/>
  <c r="G158" i="11"/>
  <c r="G159" i="11" s="1"/>
  <c r="G156" i="11"/>
  <c r="G157" i="11" s="1"/>
  <c r="D184" i="11"/>
  <c r="D205" i="11"/>
  <c r="H104" i="11"/>
  <c r="I80" i="11"/>
  <c r="I81" i="11"/>
  <c r="H105" i="11"/>
  <c r="F112" i="11"/>
  <c r="F116" i="11" s="1"/>
  <c r="E216" i="11"/>
  <c r="E217" i="11" s="1"/>
  <c r="E174" i="11"/>
  <c r="E175" i="11" s="1"/>
  <c r="E195" i="11"/>
  <c r="E196" i="11" s="1"/>
  <c r="E99" i="11"/>
  <c r="E108" i="11" s="1"/>
  <c r="F171" i="11"/>
  <c r="F192" i="11"/>
  <c r="F213" i="11"/>
  <c r="H100" i="11"/>
  <c r="I76" i="11"/>
  <c r="G87" i="11"/>
  <c r="F185" i="11" l="1"/>
  <c r="F206" i="11"/>
  <c r="J80" i="11"/>
  <c r="I104" i="11"/>
  <c r="J75" i="11"/>
  <c r="I114" i="11"/>
  <c r="G171" i="11"/>
  <c r="G213" i="11"/>
  <c r="G192" i="11"/>
  <c r="J81" i="11"/>
  <c r="I105" i="11"/>
  <c r="G174" i="11"/>
  <c r="G175" i="11" s="1"/>
  <c r="G195" i="11"/>
  <c r="G196" i="11" s="1"/>
  <c r="G216" i="11"/>
  <c r="G217" i="11" s="1"/>
  <c r="G99" i="11"/>
  <c r="G108" i="11" s="1"/>
  <c r="H87" i="11"/>
  <c r="I27" i="11"/>
  <c r="I29" i="11" s="1"/>
  <c r="I34" i="11" s="1"/>
  <c r="I89" i="11" s="1"/>
  <c r="I113" i="11" s="1"/>
  <c r="I26" i="11"/>
  <c r="I28" i="11" s="1"/>
  <c r="I69" i="11"/>
  <c r="I70" i="11" s="1"/>
  <c r="I21" i="11"/>
  <c r="H120" i="11"/>
  <c r="H124" i="11" s="1"/>
  <c r="H126" i="11" s="1"/>
  <c r="H121" i="11"/>
  <c r="J83" i="11"/>
  <c r="I107" i="11"/>
  <c r="J15" i="11"/>
  <c r="I111" i="11"/>
  <c r="E184" i="11"/>
  <c r="E205" i="11"/>
  <c r="J79" i="11"/>
  <c r="I103" i="11"/>
  <c r="G9" i="34"/>
  <c r="G112" i="11"/>
  <c r="G116" i="11" s="1"/>
  <c r="F174" i="11"/>
  <c r="F175" i="11" s="1"/>
  <c r="F216" i="11"/>
  <c r="F217" i="11" s="1"/>
  <c r="F195" i="11"/>
  <c r="F196" i="11" s="1"/>
  <c r="F99" i="11"/>
  <c r="F108" i="11" s="1"/>
  <c r="J78" i="11"/>
  <c r="I102" i="11"/>
  <c r="H156" i="11"/>
  <c r="H157" i="11" s="1"/>
  <c r="H158" i="11"/>
  <c r="H159" i="11" s="1"/>
  <c r="I177" i="11"/>
  <c r="I219" i="11"/>
  <c r="I198" i="11"/>
  <c r="H101" i="11"/>
  <c r="H122" i="11" s="1"/>
  <c r="H123" i="11" s="1"/>
  <c r="G199" i="11"/>
  <c r="G178" i="11"/>
  <c r="G220" i="11"/>
  <c r="J8" i="11"/>
  <c r="J9" i="11"/>
  <c r="J76" i="11"/>
  <c r="I100" i="11"/>
  <c r="C205" i="11"/>
  <c r="C184" i="11"/>
  <c r="J131" i="11"/>
  <c r="K130" i="11"/>
  <c r="J77" i="11"/>
  <c r="I115" i="11"/>
  <c r="J68" i="11"/>
  <c r="K66" i="11"/>
  <c r="J82" i="11"/>
  <c r="I106" i="11"/>
  <c r="K83" i="11" l="1"/>
  <c r="J107" i="11"/>
  <c r="K68" i="11"/>
  <c r="L66" i="11"/>
  <c r="K80" i="11"/>
  <c r="J104" i="11"/>
  <c r="G184" i="11"/>
  <c r="G205" i="11"/>
  <c r="I156" i="11"/>
  <c r="I157" i="11" s="1"/>
  <c r="I158" i="11"/>
  <c r="I159" i="11" s="1"/>
  <c r="K15" i="11"/>
  <c r="J111" i="11"/>
  <c r="K81" i="11"/>
  <c r="J105" i="11"/>
  <c r="K76" i="11"/>
  <c r="J100" i="11"/>
  <c r="K79" i="11"/>
  <c r="J103" i="11"/>
  <c r="K77" i="11"/>
  <c r="J115" i="11"/>
  <c r="F184" i="11"/>
  <c r="F205" i="11"/>
  <c r="J21" i="11"/>
  <c r="I120" i="11"/>
  <c r="I124" i="11" s="1"/>
  <c r="I126" i="11" s="1"/>
  <c r="I121" i="11"/>
  <c r="K82" i="11"/>
  <c r="J106" i="11"/>
  <c r="H195" i="11"/>
  <c r="H196" i="11" s="1"/>
  <c r="H216" i="11"/>
  <c r="H217" i="11" s="1"/>
  <c r="H174" i="11"/>
  <c r="H175" i="11" s="1"/>
  <c r="H99" i="11"/>
  <c r="H108" i="11" s="1"/>
  <c r="K78" i="11"/>
  <c r="J102" i="11"/>
  <c r="H199" i="11"/>
  <c r="H220" i="11"/>
  <c r="H178" i="11"/>
  <c r="K131" i="11"/>
  <c r="L130" i="11"/>
  <c r="K9" i="11"/>
  <c r="K8" i="11"/>
  <c r="G185" i="11"/>
  <c r="G206" i="11"/>
  <c r="I101" i="11"/>
  <c r="I122" i="11" s="1"/>
  <c r="I123" i="11" s="1"/>
  <c r="J177" i="11"/>
  <c r="J219" i="11"/>
  <c r="J198" i="11"/>
  <c r="J27" i="11"/>
  <c r="J29" i="11" s="1"/>
  <c r="J34" i="11" s="1"/>
  <c r="J89" i="11" s="1"/>
  <c r="J101" i="11" s="1"/>
  <c r="J122" i="11" s="1"/>
  <c r="J123" i="11" s="1"/>
  <c r="J26" i="11"/>
  <c r="J28" i="11" s="1"/>
  <c r="J30" i="11" s="1"/>
  <c r="J33" i="11" s="1"/>
  <c r="J163" i="11" s="1"/>
  <c r="J69" i="11"/>
  <c r="J70" i="11" s="1"/>
  <c r="H171" i="11"/>
  <c r="H213" i="11"/>
  <c r="H192" i="11"/>
  <c r="I30" i="11"/>
  <c r="I33" i="11" s="1"/>
  <c r="H112" i="11"/>
  <c r="H116" i="11" s="1"/>
  <c r="K75" i="11"/>
  <c r="J114" i="11"/>
  <c r="K70" i="11" l="1"/>
  <c r="I199" i="11"/>
  <c r="I178" i="11"/>
  <c r="I220" i="11"/>
  <c r="K21" i="11"/>
  <c r="J121" i="11"/>
  <c r="J120" i="11"/>
  <c r="J124" i="11" s="1"/>
  <c r="J126" i="11" s="1"/>
  <c r="K103" i="11"/>
  <c r="L79" i="11"/>
  <c r="L75" i="11"/>
  <c r="K114" i="11"/>
  <c r="H185" i="11"/>
  <c r="H206" i="11"/>
  <c r="L76" i="11"/>
  <c r="K100" i="11"/>
  <c r="K107" i="11"/>
  <c r="L83" i="11"/>
  <c r="K177" i="11"/>
  <c r="K219" i="11"/>
  <c r="K198" i="11"/>
  <c r="L68" i="11"/>
  <c r="M66" i="11"/>
  <c r="I171" i="11"/>
  <c r="I213" i="11"/>
  <c r="I192" i="11"/>
  <c r="J158" i="11"/>
  <c r="J159" i="11" s="1"/>
  <c r="J156" i="11"/>
  <c r="J157" i="11" s="1"/>
  <c r="I87" i="11"/>
  <c r="I163" i="11"/>
  <c r="I164" i="11"/>
  <c r="K27" i="11"/>
  <c r="K29" i="11" s="1"/>
  <c r="K34" i="11" s="1"/>
  <c r="K89" i="11" s="1"/>
  <c r="K26" i="11"/>
  <c r="K28" i="11" s="1"/>
  <c r="K30" i="11" s="1"/>
  <c r="K33" i="11" s="1"/>
  <c r="K69" i="11"/>
  <c r="L9" i="11"/>
  <c r="L8" i="11"/>
  <c r="L78" i="11"/>
  <c r="K102" i="11"/>
  <c r="K115" i="11"/>
  <c r="L77" i="11"/>
  <c r="L15" i="11"/>
  <c r="K111" i="11"/>
  <c r="J87" i="11"/>
  <c r="J113" i="11"/>
  <c r="J164" i="11" s="1"/>
  <c r="K106" i="11"/>
  <c r="L82" i="11"/>
  <c r="K105" i="11"/>
  <c r="L81" i="11"/>
  <c r="L131" i="11"/>
  <c r="M130" i="11"/>
  <c r="H184" i="11"/>
  <c r="H205" i="11"/>
  <c r="K104" i="11"/>
  <c r="L80" i="11"/>
  <c r="K156" i="11" l="1"/>
  <c r="K157" i="11" s="1"/>
  <c r="K158" i="11"/>
  <c r="K159" i="11" s="1"/>
  <c r="M79" i="11"/>
  <c r="L103" i="11"/>
  <c r="K112" i="11"/>
  <c r="K116" i="11" s="1"/>
  <c r="J195" i="11"/>
  <c r="J196" i="11" s="1"/>
  <c r="J216" i="11"/>
  <c r="J217" i="11" s="1"/>
  <c r="J174" i="11"/>
  <c r="J175" i="11" s="1"/>
  <c r="J99" i="11"/>
  <c r="J108" i="11" s="1"/>
  <c r="K101" i="11"/>
  <c r="K122" i="11" s="1"/>
  <c r="K123" i="11" s="1"/>
  <c r="L177" i="11"/>
  <c r="L219" i="11"/>
  <c r="L198" i="11"/>
  <c r="K113" i="11"/>
  <c r="M131" i="11"/>
  <c r="N130" i="11"/>
  <c r="M78" i="11"/>
  <c r="L102" i="11"/>
  <c r="M76" i="11"/>
  <c r="L100" i="11"/>
  <c r="J178" i="11"/>
  <c r="J220" i="11"/>
  <c r="J199" i="11"/>
  <c r="M80" i="11"/>
  <c r="L104" i="11"/>
  <c r="M82" i="11"/>
  <c r="L106" i="11"/>
  <c r="M9" i="11"/>
  <c r="M8" i="11"/>
  <c r="K87" i="11"/>
  <c r="M75" i="11"/>
  <c r="L114" i="11"/>
  <c r="M83" i="11"/>
  <c r="L107" i="11"/>
  <c r="K164" i="11"/>
  <c r="K163" i="11"/>
  <c r="M81" i="11"/>
  <c r="L105" i="11"/>
  <c r="J112" i="11"/>
  <c r="J116" i="11" s="1"/>
  <c r="I195" i="11"/>
  <c r="I196" i="11" s="1"/>
  <c r="I174" i="11"/>
  <c r="I175" i="11" s="1"/>
  <c r="I216" i="11"/>
  <c r="I217" i="11" s="1"/>
  <c r="I99" i="11"/>
  <c r="I108" i="11" s="1"/>
  <c r="I112" i="11"/>
  <c r="I116" i="11" s="1"/>
  <c r="M68" i="11"/>
  <c r="N66" i="11"/>
  <c r="M15" i="11"/>
  <c r="L111" i="11"/>
  <c r="L113" i="11" s="1"/>
  <c r="L26" i="11"/>
  <c r="L28" i="11" s="1"/>
  <c r="L30" i="11" s="1"/>
  <c r="L33" i="11" s="1"/>
  <c r="L27" i="11"/>
  <c r="L29" i="11" s="1"/>
  <c r="L34" i="11" s="1"/>
  <c r="L89" i="11" s="1"/>
  <c r="L69" i="11"/>
  <c r="L70" i="11" s="1"/>
  <c r="M77" i="11"/>
  <c r="L101" i="11"/>
  <c r="L122" i="11" s="1"/>
  <c r="L123" i="11" s="1"/>
  <c r="L115" i="11"/>
  <c r="J171" i="11"/>
  <c r="J213" i="11"/>
  <c r="J192" i="11"/>
  <c r="K121" i="11"/>
  <c r="L21" i="11"/>
  <c r="K120" i="11"/>
  <c r="K124" i="11" s="1"/>
  <c r="K126" i="11" s="1"/>
  <c r="N76" i="11" l="1"/>
  <c r="M100" i="11"/>
  <c r="N82" i="11"/>
  <c r="M106" i="11"/>
  <c r="N15" i="11"/>
  <c r="M111" i="11"/>
  <c r="M113" i="11" s="1"/>
  <c r="J206" i="11"/>
  <c r="J185" i="11"/>
  <c r="N79" i="11"/>
  <c r="M103" i="11"/>
  <c r="K206" i="11"/>
  <c r="K185" i="11"/>
  <c r="N68" i="11"/>
  <c r="O66" i="11"/>
  <c r="N75" i="11"/>
  <c r="M114" i="11"/>
  <c r="N80" i="11"/>
  <c r="M104" i="11"/>
  <c r="N78" i="11"/>
  <c r="M102" i="11"/>
  <c r="K192" i="11"/>
  <c r="K171" i="11"/>
  <c r="K213" i="11"/>
  <c r="L87" i="11"/>
  <c r="N81" i="11"/>
  <c r="M105" i="11"/>
  <c r="N77" i="11"/>
  <c r="M115" i="11"/>
  <c r="I185" i="11"/>
  <c r="I206" i="11"/>
  <c r="M21" i="11"/>
  <c r="L120" i="11"/>
  <c r="L124" i="11" s="1"/>
  <c r="L126" i="11" s="1"/>
  <c r="L121" i="11"/>
  <c r="I205" i="11"/>
  <c r="I184" i="11"/>
  <c r="M26" i="11"/>
  <c r="M28" i="11" s="1"/>
  <c r="M27" i="11"/>
  <c r="M29" i="11" s="1"/>
  <c r="M34" i="11" s="1"/>
  <c r="M89" i="11" s="1"/>
  <c r="M101" i="11" s="1"/>
  <c r="M122" i="11" s="1"/>
  <c r="M123" i="11" s="1"/>
  <c r="M69" i="11"/>
  <c r="M70" i="11" s="1"/>
  <c r="N83" i="11"/>
  <c r="M107" i="11"/>
  <c r="L163" i="11"/>
  <c r="K216" i="11"/>
  <c r="K217" i="11" s="1"/>
  <c r="K174" i="11"/>
  <c r="K175" i="11" s="1"/>
  <c r="K195" i="11"/>
  <c r="K196" i="11" s="1"/>
  <c r="K99" i="11"/>
  <c r="K108" i="11" s="1"/>
  <c r="N131" i="11"/>
  <c r="O130" i="11"/>
  <c r="J205" i="11"/>
  <c r="J184" i="11"/>
  <c r="K178" i="11"/>
  <c r="K220" i="11"/>
  <c r="K199" i="11"/>
  <c r="L164" i="11"/>
  <c r="M177" i="11"/>
  <c r="M198" i="11"/>
  <c r="M219" i="11"/>
  <c r="L158" i="11"/>
  <c r="L159" i="11" s="1"/>
  <c r="L156" i="11"/>
  <c r="L157" i="11" s="1"/>
  <c r="N8" i="11"/>
  <c r="N9" i="11"/>
  <c r="N21" i="11" l="1"/>
  <c r="M120" i="11"/>
  <c r="M124" i="11" s="1"/>
  <c r="M126" i="11" s="1"/>
  <c r="M121" i="11"/>
  <c r="O15" i="11"/>
  <c r="N111" i="11"/>
  <c r="N113" i="11" s="1"/>
  <c r="O78" i="11"/>
  <c r="N102" i="11"/>
  <c r="O83" i="11"/>
  <c r="N107" i="11"/>
  <c r="P66" i="11"/>
  <c r="P68" i="11" s="1"/>
  <c r="O68" i="11"/>
  <c r="L174" i="11"/>
  <c r="L175" i="11" s="1"/>
  <c r="L216" i="11"/>
  <c r="L217" i="11" s="1"/>
  <c r="L195" i="11"/>
  <c r="L196" i="11" s="1"/>
  <c r="L99" i="11"/>
  <c r="L108" i="11" s="1"/>
  <c r="O82" i="11"/>
  <c r="N106" i="11"/>
  <c r="L178" i="11"/>
  <c r="L220" i="11"/>
  <c r="L199" i="11"/>
  <c r="K205" i="11"/>
  <c r="K184" i="11"/>
  <c r="O81" i="11"/>
  <c r="N105" i="11"/>
  <c r="L192" i="11"/>
  <c r="L171" i="11"/>
  <c r="L213" i="11"/>
  <c r="M30" i="11"/>
  <c r="M33" i="11" s="1"/>
  <c r="L112" i="11"/>
  <c r="L116" i="11" s="1"/>
  <c r="O79" i="11"/>
  <c r="N103" i="11"/>
  <c r="O8" i="11"/>
  <c r="O9" i="11"/>
  <c r="N198" i="11"/>
  <c r="N177" i="11"/>
  <c r="N219" i="11"/>
  <c r="N26" i="11"/>
  <c r="N28" i="11" s="1"/>
  <c r="N27" i="11"/>
  <c r="N29" i="11" s="1"/>
  <c r="N34" i="11" s="1"/>
  <c r="N89" i="11" s="1"/>
  <c r="N69" i="11"/>
  <c r="N70" i="11" s="1"/>
  <c r="M156" i="11"/>
  <c r="M157" i="11" s="1"/>
  <c r="M158" i="11"/>
  <c r="M159" i="11" s="1"/>
  <c r="O80" i="11"/>
  <c r="N104" i="11"/>
  <c r="O76" i="11"/>
  <c r="N100" i="11"/>
  <c r="O131" i="11"/>
  <c r="P130" i="11"/>
  <c r="P131" i="11" s="1"/>
  <c r="O77" i="11"/>
  <c r="N115" i="11"/>
  <c r="O75" i="11"/>
  <c r="N114" i="11"/>
  <c r="O198" i="11" l="1"/>
  <c r="O219" i="11"/>
  <c r="O177" i="11"/>
  <c r="O26" i="11"/>
  <c r="O28" i="11" s="1"/>
  <c r="O27" i="11"/>
  <c r="O29" i="11" s="1"/>
  <c r="O34" i="11" s="1"/>
  <c r="O89" i="11" s="1"/>
  <c r="O69" i="11"/>
  <c r="O70" i="11" s="1"/>
  <c r="O106" i="11"/>
  <c r="P82" i="11"/>
  <c r="P106" i="11" s="1"/>
  <c r="G16" i="34" s="1"/>
  <c r="P15" i="11"/>
  <c r="P111" i="11" s="1"/>
  <c r="O111" i="11"/>
  <c r="O113" i="11" s="1"/>
  <c r="P77" i="11"/>
  <c r="O115" i="11"/>
  <c r="P198" i="11"/>
  <c r="P219" i="11"/>
  <c r="P177" i="11"/>
  <c r="P8" i="11"/>
  <c r="P9" i="11"/>
  <c r="O105" i="11"/>
  <c r="P81" i="11"/>
  <c r="P105" i="11" s="1"/>
  <c r="L184" i="11"/>
  <c r="L205" i="11"/>
  <c r="O100" i="11"/>
  <c r="P76" i="11"/>
  <c r="P100" i="11" s="1"/>
  <c r="G10" i="34" s="1"/>
  <c r="O103" i="11"/>
  <c r="P79" i="11"/>
  <c r="P103" i="11" s="1"/>
  <c r="G13" i="34" s="1"/>
  <c r="M178" i="11"/>
  <c r="M220" i="11"/>
  <c r="M199" i="11"/>
  <c r="L206" i="11"/>
  <c r="L185" i="11"/>
  <c r="O104" i="11"/>
  <c r="P80" i="11"/>
  <c r="P104" i="11" s="1"/>
  <c r="G14" i="34" s="1"/>
  <c r="M87" i="11"/>
  <c r="M163" i="11"/>
  <c r="M164" i="11"/>
  <c r="M192" i="11"/>
  <c r="M213" i="11"/>
  <c r="M171" i="11"/>
  <c r="N158" i="11"/>
  <c r="N159" i="11" s="1"/>
  <c r="N156" i="11"/>
  <c r="N157" i="11" s="1"/>
  <c r="O107" i="11"/>
  <c r="P83" i="11"/>
  <c r="P107" i="11" s="1"/>
  <c r="G17" i="34" s="1"/>
  <c r="P75" i="11"/>
  <c r="O114" i="11"/>
  <c r="N30" i="11"/>
  <c r="N33" i="11" s="1"/>
  <c r="O21" i="11"/>
  <c r="N120" i="11"/>
  <c r="N124" i="11" s="1"/>
  <c r="N126" i="11" s="1"/>
  <c r="N121" i="11"/>
  <c r="N101" i="11"/>
  <c r="N122" i="11" s="1"/>
  <c r="N123" i="11" s="1"/>
  <c r="O102" i="11"/>
  <c r="P78" i="11"/>
  <c r="P115" i="11" l="1"/>
  <c r="O30" i="11"/>
  <c r="O33" i="11" s="1"/>
  <c r="N178" i="11"/>
  <c r="N199" i="11"/>
  <c r="N220" i="11"/>
  <c r="O156" i="11"/>
  <c r="O157" i="11" s="1"/>
  <c r="O158" i="11"/>
  <c r="O159" i="11" s="1"/>
  <c r="P21" i="11"/>
  <c r="O120" i="11"/>
  <c r="O124" i="11" s="1"/>
  <c r="O126" i="11" s="1"/>
  <c r="O121" i="11"/>
  <c r="M174" i="11"/>
  <c r="M175" i="11" s="1"/>
  <c r="M216" i="11"/>
  <c r="M217" i="11" s="1"/>
  <c r="M195" i="11"/>
  <c r="M196" i="11" s="1"/>
  <c r="M99" i="11"/>
  <c r="M108" i="11" s="1"/>
  <c r="M112" i="11"/>
  <c r="M116" i="11" s="1"/>
  <c r="O101" i="11"/>
  <c r="O122" i="11" s="1"/>
  <c r="O123" i="11" s="1"/>
  <c r="P102" i="11"/>
  <c r="G12" i="34" s="1"/>
  <c r="G18" i="34" s="1"/>
  <c r="N87" i="11"/>
  <c r="N163" i="11"/>
  <c r="N192" i="11"/>
  <c r="N213" i="11"/>
  <c r="N171" i="11"/>
  <c r="N164" i="11"/>
  <c r="P27" i="11"/>
  <c r="P29" i="11" s="1"/>
  <c r="P34" i="11" s="1"/>
  <c r="P89" i="11" s="1"/>
  <c r="P101" i="11" s="1"/>
  <c r="P122" i="11" s="1"/>
  <c r="P123" i="11" s="1"/>
  <c r="P26" i="11"/>
  <c r="P28" i="11" s="1"/>
  <c r="P69" i="11"/>
  <c r="P70" i="11" s="1"/>
  <c r="P114" i="11"/>
  <c r="O199" i="11" l="1"/>
  <c r="O178" i="11"/>
  <c r="O220" i="11"/>
  <c r="O171" i="11"/>
  <c r="O213" i="11"/>
  <c r="O192" i="11"/>
  <c r="P164" i="11"/>
  <c r="F11" i="30" s="1"/>
  <c r="O87" i="11"/>
  <c r="O163" i="11"/>
  <c r="P156" i="11"/>
  <c r="P157" i="11" s="1"/>
  <c r="P158" i="11"/>
  <c r="P159" i="11" s="1"/>
  <c r="M185" i="11"/>
  <c r="M206" i="11"/>
  <c r="O112" i="11"/>
  <c r="O116" i="11" s="1"/>
  <c r="N174" i="11"/>
  <c r="N175" i="11" s="1"/>
  <c r="N216" i="11"/>
  <c r="N217" i="11" s="1"/>
  <c r="N195" i="11"/>
  <c r="N196" i="11" s="1"/>
  <c r="N99" i="11"/>
  <c r="N108" i="11" s="1"/>
  <c r="P113" i="11"/>
  <c r="P120" i="11"/>
  <c r="P124" i="11" s="1"/>
  <c r="P126" i="11" s="1"/>
  <c r="P121" i="11"/>
  <c r="M184" i="11"/>
  <c r="M205" i="11"/>
  <c r="P30" i="11"/>
  <c r="P33" i="11" s="1"/>
  <c r="O164" i="11"/>
  <c r="N112" i="11"/>
  <c r="N116" i="11" s="1"/>
  <c r="O185" i="11" l="1"/>
  <c r="O206" i="11"/>
  <c r="N184" i="11"/>
  <c r="N205" i="11"/>
  <c r="B137" i="11"/>
  <c r="P87" i="11"/>
  <c r="P163" i="11"/>
  <c r="P199" i="11"/>
  <c r="P178" i="11"/>
  <c r="F24" i="30" s="1"/>
  <c r="P220" i="11"/>
  <c r="N185" i="11"/>
  <c r="N206" i="11"/>
  <c r="P171" i="11"/>
  <c r="F13" i="30" s="1"/>
  <c r="P213" i="11"/>
  <c r="P192" i="11"/>
  <c r="O174" i="11"/>
  <c r="O175" i="11" s="1"/>
  <c r="O195" i="11"/>
  <c r="O196" i="11" s="1"/>
  <c r="O216" i="11"/>
  <c r="O217" i="11" s="1"/>
  <c r="O99" i="11"/>
  <c r="O108" i="11" s="1"/>
  <c r="P195" i="11" l="1"/>
  <c r="P196" i="11" s="1"/>
  <c r="P216" i="11"/>
  <c r="P217" i="11" s="1"/>
  <c r="P174" i="11"/>
  <c r="P175" i="11" s="1"/>
  <c r="C137" i="11"/>
  <c r="D137" i="11"/>
  <c r="P99" i="11"/>
  <c r="P108" i="11" s="1"/>
  <c r="O184" i="11"/>
  <c r="O205" i="11"/>
  <c r="B141" i="11"/>
  <c r="B148" i="11"/>
  <c r="B138" i="11"/>
  <c r="D138" i="11"/>
  <c r="P112" i="11"/>
  <c r="P116" i="11" s="1"/>
  <c r="D148" i="11" l="1"/>
  <c r="G148" i="11" s="1"/>
  <c r="D141" i="11"/>
  <c r="G141" i="11" s="1"/>
  <c r="P184" i="11"/>
  <c r="P205" i="11"/>
  <c r="E138" i="11"/>
  <c r="B144" i="11"/>
  <c r="B152" i="11"/>
  <c r="B142" i="11"/>
  <c r="B145" i="11"/>
  <c r="E23" i="34"/>
  <c r="G23" i="34" s="1"/>
  <c r="G138" i="11"/>
  <c r="D145" i="11"/>
  <c r="G145" i="11" s="1"/>
  <c r="B207" i="11"/>
  <c r="B211" i="11" s="1"/>
  <c r="C211" i="11" s="1"/>
  <c r="D152" i="11"/>
  <c r="D142" i="11"/>
  <c r="G142" i="11" s="1"/>
  <c r="D144" i="11"/>
  <c r="E148" i="11"/>
  <c r="E33" i="34"/>
  <c r="G33" i="34" s="1"/>
  <c r="E141" i="11"/>
  <c r="E26" i="34"/>
  <c r="G26" i="34" s="1"/>
  <c r="C140" i="11"/>
  <c r="C148" i="11"/>
  <c r="P185" i="11"/>
  <c r="P206" i="11"/>
  <c r="E144" i="11" l="1"/>
  <c r="E29" i="34"/>
  <c r="G29" i="34" s="1"/>
  <c r="D211" i="11"/>
  <c r="C218" i="11"/>
  <c r="C221" i="11" s="1"/>
  <c r="B214" i="11"/>
  <c r="B217" i="11" s="1"/>
  <c r="D146" i="11"/>
  <c r="G146" i="11" s="1"/>
  <c r="G152" i="11"/>
  <c r="B215" i="11" s="1"/>
  <c r="B209" i="11"/>
  <c r="F148" i="11"/>
  <c r="B187" i="11"/>
  <c r="B191" i="11" s="1"/>
  <c r="E142" i="11"/>
  <c r="E27" i="34"/>
  <c r="G27" i="34" s="1"/>
  <c r="B146" i="11"/>
  <c r="E152" i="11"/>
  <c r="B173" i="11" s="1"/>
  <c r="E44" i="34" s="1"/>
  <c r="G44" i="34" s="1"/>
  <c r="B167" i="11"/>
  <c r="E37" i="34"/>
  <c r="G37" i="34" s="1"/>
  <c r="B165" i="11"/>
  <c r="G144" i="11"/>
  <c r="B208" i="11"/>
  <c r="B212" i="11" s="1"/>
  <c r="F140" i="11"/>
  <c r="B193" i="11" s="1"/>
  <c r="B196" i="11" s="1"/>
  <c r="B197" i="11" s="1"/>
  <c r="B200" i="11" s="1"/>
  <c r="B186" i="11"/>
  <c r="B190" i="11" s="1"/>
  <c r="C190" i="11" s="1"/>
  <c r="E145" i="11"/>
  <c r="E30" i="34"/>
  <c r="G30" i="34" s="1"/>
  <c r="E146" i="11" l="1"/>
  <c r="B172" i="11" s="1"/>
  <c r="E31" i="34"/>
  <c r="G31" i="34" s="1"/>
  <c r="B218" i="11"/>
  <c r="B221" i="11" s="1"/>
  <c r="D190" i="11"/>
  <c r="C197" i="11"/>
  <c r="C200" i="11" s="1"/>
  <c r="E211" i="11"/>
  <c r="D218" i="11"/>
  <c r="D221" i="11" s="1"/>
  <c r="B169" i="11"/>
  <c r="E17" i="30"/>
  <c r="F17" i="30"/>
  <c r="B166" i="11"/>
  <c r="E19" i="30"/>
  <c r="F19" i="30"/>
  <c r="C169" i="11" l="1"/>
  <c r="F211" i="11"/>
  <c r="E218" i="11"/>
  <c r="E221" i="11" s="1"/>
  <c r="E190" i="11"/>
  <c r="D197" i="11"/>
  <c r="D200" i="11" s="1"/>
  <c r="E18" i="30"/>
  <c r="B170" i="11"/>
  <c r="E12" i="30" s="1"/>
  <c r="F18" i="30"/>
  <c r="B175" i="11"/>
  <c r="E43" i="34"/>
  <c r="G43" i="34" s="1"/>
  <c r="F190" i="11" l="1"/>
  <c r="E197" i="11"/>
  <c r="E200" i="11" s="1"/>
  <c r="G211" i="11"/>
  <c r="F218" i="11"/>
  <c r="F221" i="11" s="1"/>
  <c r="B176" i="11"/>
  <c r="E14" i="30"/>
  <c r="D169" i="11"/>
  <c r="C176" i="11"/>
  <c r="C179" i="11" s="1"/>
  <c r="E169" i="11" l="1"/>
  <c r="D176" i="11"/>
  <c r="D179" i="11" s="1"/>
  <c r="B179" i="11"/>
  <c r="E22" i="30"/>
  <c r="H211" i="11"/>
  <c r="G218" i="11"/>
  <c r="G221" i="11" s="1"/>
  <c r="G190" i="11"/>
  <c r="F197" i="11"/>
  <c r="F200" i="11" s="1"/>
  <c r="I211" i="11" l="1"/>
  <c r="H218" i="11"/>
  <c r="H221" i="11" s="1"/>
  <c r="H190" i="11"/>
  <c r="G197" i="11"/>
  <c r="G200" i="11" s="1"/>
  <c r="F169" i="11"/>
  <c r="E176" i="11"/>
  <c r="E179" i="11" l="1"/>
  <c r="F22" i="30"/>
  <c r="G169" i="11"/>
  <c r="F176" i="11"/>
  <c r="F179" i="11" s="1"/>
  <c r="F12" i="30"/>
  <c r="I190" i="11"/>
  <c r="H197" i="11"/>
  <c r="H200" i="11" s="1"/>
  <c r="J211" i="11"/>
  <c r="I218" i="11"/>
  <c r="I221" i="11" s="1"/>
  <c r="K211" i="11" l="1"/>
  <c r="J218" i="11"/>
  <c r="J221" i="11" s="1"/>
  <c r="J190" i="11"/>
  <c r="I197" i="11"/>
  <c r="I200" i="11" s="1"/>
  <c r="H169" i="11"/>
  <c r="G176" i="11"/>
  <c r="G179" i="11" s="1"/>
  <c r="I169" i="11" l="1"/>
  <c r="H176" i="11"/>
  <c r="H179" i="11" s="1"/>
  <c r="K190" i="11"/>
  <c r="J197" i="11"/>
  <c r="J200" i="11" s="1"/>
  <c r="L211" i="11"/>
  <c r="K218" i="11"/>
  <c r="K221" i="11" s="1"/>
  <c r="M211" i="11" l="1"/>
  <c r="L218" i="11"/>
  <c r="L221" i="11" s="1"/>
  <c r="L190" i="11"/>
  <c r="K197" i="11"/>
  <c r="K200" i="11" s="1"/>
  <c r="J169" i="11"/>
  <c r="I176" i="11"/>
  <c r="I179" i="11" s="1"/>
  <c r="M190" i="11" l="1"/>
  <c r="L197" i="11"/>
  <c r="L200" i="11" s="1"/>
  <c r="K169" i="11"/>
  <c r="J176" i="11"/>
  <c r="J179" i="11" s="1"/>
  <c r="N211" i="11"/>
  <c r="M218" i="11"/>
  <c r="M221" i="11" s="1"/>
  <c r="L169" i="11" l="1"/>
  <c r="K176" i="11"/>
  <c r="K179" i="11" s="1"/>
  <c r="O211" i="11"/>
  <c r="N218" i="11"/>
  <c r="N221" i="11" s="1"/>
  <c r="N190" i="11"/>
  <c r="M197" i="11"/>
  <c r="M200" i="11" s="1"/>
  <c r="P211" i="11" l="1"/>
  <c r="P218" i="11" s="1"/>
  <c r="P221" i="11" s="1"/>
  <c r="O218" i="11"/>
  <c r="O221" i="11" s="1"/>
  <c r="O190" i="11"/>
  <c r="N197" i="11"/>
  <c r="N200" i="11" s="1"/>
  <c r="M169" i="11"/>
  <c r="L176" i="11"/>
  <c r="L179" i="11" s="1"/>
  <c r="N169" i="11" l="1"/>
  <c r="M176" i="11"/>
  <c r="M179" i="11" s="1"/>
  <c r="P190" i="11"/>
  <c r="P197" i="11" s="1"/>
  <c r="P200" i="11" s="1"/>
  <c r="O197" i="11"/>
  <c r="O200" i="11" s="1"/>
  <c r="O169" i="11" l="1"/>
  <c r="N176" i="11"/>
  <c r="N179" i="11" s="1"/>
  <c r="P169" i="11" l="1"/>
  <c r="P176" i="11" s="1"/>
  <c r="P179" i="11" s="1"/>
  <c r="O176" i="11"/>
  <c r="O179" i="11" s="1"/>
</calcChain>
</file>

<file path=xl/comments1.xml><?xml version="1.0" encoding="utf-8"?>
<comments xmlns="http://schemas.openxmlformats.org/spreadsheetml/2006/main">
  <authors>
    <author>Linda Nichols</author>
  </authors>
  <commentList>
    <comment ref="B8" authorId="0" shapeId="0">
      <text>
        <r>
          <rPr>
            <b/>
            <sz val="10"/>
            <color indexed="81"/>
            <rFont val="Tahoma"/>
            <family val="2"/>
          </rPr>
          <t>Linda Nichols:</t>
        </r>
        <r>
          <rPr>
            <sz val="10"/>
            <color indexed="81"/>
            <rFont val="Tahoma"/>
            <family val="2"/>
          </rPr>
          <t xml:space="preserve">
Typical system life for information technology systems is 5 to 10 years.  Upgrades or new technology require system modifications to be made after that point.  The system life requested here is used to determine database capacity requirements for the life cycle.</t>
        </r>
      </text>
    </comment>
    <comment ref="B9" authorId="0" shapeId="0">
      <text>
        <r>
          <rPr>
            <b/>
            <sz val="10"/>
            <color indexed="81"/>
            <rFont val="Tahoma"/>
            <family val="2"/>
          </rPr>
          <t>Linda Nichols:</t>
        </r>
        <r>
          <rPr>
            <sz val="10"/>
            <color indexed="81"/>
            <rFont val="Tahoma"/>
            <family val="2"/>
          </rPr>
          <t xml:space="preserve">
Compliance rate is the percentage of weapons entered into the gun sales database for which spent shell casings and/or bullets are provided by the manufacturer.  This rate determines workload distribution at the onset of the program – number of weapons that do not need to be test fired versus number of weapons that will need to be test fired.  The number to be test fired determines number of FTE state personnel needed to test fire weapons, number of water tanks/firing ranges, and number of portable bullet traps.</t>
        </r>
      </text>
    </comment>
    <comment ref="B10" authorId="0" shapeId="0">
      <text>
        <r>
          <rPr>
            <b/>
            <sz val="10"/>
            <color indexed="81"/>
            <rFont val="Tahoma"/>
            <family val="2"/>
          </rPr>
          <t>Linda Nichols:</t>
        </r>
        <r>
          <rPr>
            <sz val="10"/>
            <color indexed="81"/>
            <rFont val="Tahoma"/>
            <family val="2"/>
          </rPr>
          <t xml:space="preserve">
Compliance rate is the percentage of weapons entered into the gun sales database for which spent shell casings and/or bullets are provided by the manufacturer.  Final compliance should be near 100%.    The difference between compliance rate at the end of the life cycle and compliance rate at the onset of the program is evenly distributed as the annual change in the compliance rate over the life of the system. </t>
        </r>
      </text>
    </comment>
    <comment ref="B11" authorId="0" shapeId="0">
      <text>
        <r>
          <rPr>
            <b/>
            <sz val="10"/>
            <color indexed="81"/>
            <rFont val="Tahoma"/>
            <family val="2"/>
          </rPr>
          <t>Linda Nichols:</t>
        </r>
        <r>
          <rPr>
            <sz val="10"/>
            <color indexed="81"/>
            <rFont val="Tahoma"/>
            <family val="2"/>
          </rPr>
          <t xml:space="preserve">
The annual rate of salary increase is applied annually to all labor categories.</t>
        </r>
      </text>
    </comment>
    <comment ref="B12" authorId="0" shapeId="0">
      <text>
        <r>
          <rPr>
            <b/>
            <sz val="10"/>
            <color indexed="81"/>
            <rFont val="Tahoma"/>
            <family val="2"/>
          </rPr>
          <t>Linda Nichols:</t>
        </r>
        <r>
          <rPr>
            <sz val="10"/>
            <color indexed="81"/>
            <rFont val="Tahoma"/>
            <family val="2"/>
          </rPr>
          <t xml:space="preserve">
This rate is used to determine the number of FTEs that will leave the program each year.  Only lab technicians and state personnel to test fire weapons are considered, because of the specialized training needed to perform their program duties.  The number of FTEs leaving the program is compared to the number of FTEs needed for the year.  This comparison determines the number of FTEs be added, and therefore trained each year.</t>
        </r>
      </text>
    </comment>
    <comment ref="B13" authorId="0" shapeId="0">
      <text>
        <r>
          <rPr>
            <b/>
            <sz val="10"/>
            <color indexed="81"/>
            <rFont val="Tahoma"/>
            <family val="2"/>
          </rPr>
          <t>Linda Nichols:</t>
        </r>
        <r>
          <rPr>
            <sz val="10"/>
            <color indexed="81"/>
            <rFont val="Tahoma"/>
            <family val="2"/>
          </rPr>
          <t xml:space="preserve">
This rate is used to annually inflate the per weapon fee charged for the test fire operation.</t>
        </r>
      </text>
    </comment>
    <comment ref="B14" authorId="0" shapeId="0">
      <text>
        <r>
          <rPr>
            <b/>
            <sz val="10"/>
            <color indexed="81"/>
            <rFont val="Tahoma"/>
            <family val="2"/>
          </rPr>
          <t>Linda Nichols:</t>
        </r>
        <r>
          <rPr>
            <sz val="10"/>
            <color indexed="81"/>
            <rFont val="Tahoma"/>
            <family val="2"/>
          </rPr>
          <t xml:space="preserve">
This value may be zero.  If used, the cost of test fires may be used to offset program costs.  The model doubles this costs beginning in the fourth year of the program.  The assumption is that gun manufacturers should have policies in place to supply sample casings and/or bullets by that point in time.  The per weapon fee, combined with the number of weapons needing to be test fired, is used to determine potential income to the program.  This income is one component of Funds to Offset Costs of the program.</t>
        </r>
      </text>
    </comment>
    <comment ref="B15" authorId="0" shapeId="0">
      <text>
        <r>
          <rPr>
            <b/>
            <sz val="10"/>
            <color indexed="81"/>
            <rFont val="Tahoma"/>
            <family val="2"/>
          </rPr>
          <t>Linda Nichols:</t>
        </r>
        <r>
          <rPr>
            <sz val="10"/>
            <color indexed="81"/>
            <rFont val="Tahoma"/>
            <family val="2"/>
          </rPr>
          <t xml:space="preserve">
Ancillary Costs are included in the Total Operations Costs displayed on the Results Summary worksheet.  Ancillary Costs are divided into one-time cost and recurring cost.  A one-time cost may be a feasibility study, cost to establish legislation, or facility modifications.  The value entered for one-time cost is included in total costs for year one of the program only.  
</t>
        </r>
      </text>
    </comment>
    <comment ref="B16" authorId="0" shapeId="0">
      <text>
        <r>
          <rPr>
            <b/>
            <sz val="10"/>
            <color indexed="81"/>
            <rFont val="Tahoma"/>
            <family val="2"/>
          </rPr>
          <t>Linda Nichols:</t>
        </r>
        <r>
          <rPr>
            <sz val="10"/>
            <color indexed="81"/>
            <rFont val="Tahoma"/>
            <family val="2"/>
          </rPr>
          <t xml:space="preserve">
Ancillary Costs are included in the Total Operations Costs displayed on the Results Summary worksheet.  Ancillary Costs are divided into one-time cost and recurring cost.  Recurring cost may be indirect costs to the program.  The value entered is included in total costs for years one through fifteen of the program.
</t>
        </r>
      </text>
    </comment>
  </commentList>
</comments>
</file>

<file path=xl/sharedStrings.xml><?xml version="1.0" encoding="utf-8"?>
<sst xmlns="http://schemas.openxmlformats.org/spreadsheetml/2006/main" count="712" uniqueCount="461">
  <si>
    <t>User Selections from "Background State Information" Sheet</t>
  </si>
  <si>
    <t>User Selections from "Performance Assumptions" Sheet</t>
  </si>
  <si>
    <t>MatchPoint</t>
  </si>
  <si>
    <t>Year</t>
  </si>
  <si>
    <t>DAS Local</t>
  </si>
  <si>
    <t>DAS Remote</t>
  </si>
  <si>
    <t>Portable Bullet Trap</t>
  </si>
  <si>
    <t>Firearms Toolmark Examiner</t>
  </si>
  <si>
    <t>Rhode Island</t>
  </si>
  <si>
    <t>Maryland</t>
  </si>
  <si>
    <t>Training</t>
  </si>
  <si>
    <t>Printer</t>
  </si>
  <si>
    <t>Work bench or table near DAS</t>
  </si>
  <si>
    <t>portable</t>
  </si>
  <si>
    <t xml:space="preserve">Rapid Brass Identifier </t>
  </si>
  <si>
    <t>Communication</t>
  </si>
  <si>
    <t>dedicated analog phone line to parent DAS</t>
  </si>
  <si>
    <t>none</t>
  </si>
  <si>
    <t>Frame Relay T1 for WAN connection</t>
  </si>
  <si>
    <t>Frame Relay T1 for WAN connection for NIBIN</t>
  </si>
  <si>
    <t>Primary</t>
  </si>
  <si>
    <t>Backup</t>
  </si>
  <si>
    <t>Cost (volume discounts may result in lower costs)</t>
  </si>
  <si>
    <t>number of casings/2000</t>
  </si>
  <si>
    <t>New York</t>
  </si>
  <si>
    <t xml:space="preserve">Prep request for test fire </t>
  </si>
  <si>
    <t>ISDN line</t>
  </si>
  <si>
    <t>Telephone Line</t>
  </si>
  <si>
    <t>Water Tank or Firing Range</t>
  </si>
  <si>
    <t>yes</t>
  </si>
  <si>
    <t>Equipment Specifications</t>
  </si>
  <si>
    <t>Massachusetts</t>
  </si>
  <si>
    <t>Arizona</t>
  </si>
  <si>
    <t>California</t>
  </si>
  <si>
    <t xml:space="preserve">Training Costs </t>
  </si>
  <si>
    <t>Training cost per officer (1 week duration, max)</t>
  </si>
  <si>
    <t>Workload</t>
  </si>
  <si>
    <t>annual change in compliance rate of gun manufacturers/dealers</t>
  </si>
  <si>
    <t>Total Costs</t>
  </si>
  <si>
    <t>1 per year</t>
  </si>
  <si>
    <t>$30,000 (FTI Press Release); $35,000 (MD and IN)</t>
  </si>
  <si>
    <t>T1 Line to network states</t>
  </si>
  <si>
    <t>Comments</t>
  </si>
  <si>
    <t>LAN to server or to DAS/R</t>
  </si>
  <si>
    <t>Percent of time technician/operator applies to ballistics identification (100% reflects FTE estimate)</t>
  </si>
  <si>
    <t>Ancillary Costs</t>
  </si>
  <si>
    <t>Parameters</t>
  </si>
  <si>
    <t>MAP OF THE MODEL</t>
  </si>
  <si>
    <t>State</t>
  </si>
  <si>
    <t>Number</t>
  </si>
  <si>
    <t>Area (sq mi)</t>
  </si>
  <si>
    <t>Density (people per sq mi)</t>
  </si>
  <si>
    <t>Capacity</t>
  </si>
  <si>
    <t>Max number of locations needed</t>
  </si>
  <si>
    <t>Locations (based on accessibility, not workload)</t>
  </si>
  <si>
    <t>requires network connection to a hub</t>
  </si>
  <si>
    <t>requires a local connection to a hub</t>
  </si>
  <si>
    <t>requires a local connection to a hub or DAS remote</t>
  </si>
  <si>
    <t>not available separately??</t>
  </si>
  <si>
    <t>remote</t>
  </si>
  <si>
    <t>Pop</t>
  </si>
  <si>
    <t>%change since 1990</t>
  </si>
  <si>
    <t>usa</t>
  </si>
  <si>
    <t>http://quickfacts.census.gov/qfd/</t>
  </si>
  <si>
    <t>State and County Quick Facts - 2000 data</t>
  </si>
  <si>
    <t>Miles Between Locations</t>
  </si>
  <si>
    <t>Large - sparse pop  Small - dense pop</t>
  </si>
  <si>
    <t>one central location</t>
  </si>
  <si>
    <t>What is your preferred system configuration?</t>
  </si>
  <si>
    <t>Hub Network (DAS Local and Correlation Server networked to one or more states/sites)</t>
  </si>
  <si>
    <t>check system capacity</t>
  </si>
  <si>
    <t>NYSP</t>
  </si>
  <si>
    <t>NYSP local cost</t>
  </si>
  <si>
    <t>Abbreviation</t>
  </si>
  <si>
    <t>md</t>
  </si>
  <si>
    <t>me</t>
  </si>
  <si>
    <t>vt</t>
  </si>
  <si>
    <t>nh</t>
  </si>
  <si>
    <t>ma</t>
  </si>
  <si>
    <t>ct</t>
  </si>
  <si>
    <t>ri</t>
  </si>
  <si>
    <t>pa</t>
  </si>
  <si>
    <t>nj</t>
  </si>
  <si>
    <t>de</t>
  </si>
  <si>
    <t>dc</t>
  </si>
  <si>
    <t>fl</t>
  </si>
  <si>
    <t>ga</t>
  </si>
  <si>
    <t>ak</t>
  </si>
  <si>
    <t>nc</t>
  </si>
  <si>
    <t>al</t>
  </si>
  <si>
    <t>la</t>
  </si>
  <si>
    <t>mi</t>
  </si>
  <si>
    <t>ms</t>
  </si>
  <si>
    <t>va</t>
  </si>
  <si>
    <t>tn</t>
  </si>
  <si>
    <t>sc</t>
  </si>
  <si>
    <t>wv</t>
  </si>
  <si>
    <t>tx</t>
  </si>
  <si>
    <t>nm</t>
  </si>
  <si>
    <t>az</t>
  </si>
  <si>
    <t>ok</t>
  </si>
  <si>
    <t>mn</t>
  </si>
  <si>
    <t>ks</t>
  </si>
  <si>
    <t>ne</t>
  </si>
  <si>
    <t>sd</t>
  </si>
  <si>
    <t>nd</t>
  </si>
  <si>
    <t>mo</t>
  </si>
  <si>
    <t>oa</t>
  </si>
  <si>
    <t>wi</t>
  </si>
  <si>
    <t>il</t>
  </si>
  <si>
    <t>oh</t>
  </si>
  <si>
    <t>in</t>
  </si>
  <si>
    <t>mt</t>
  </si>
  <si>
    <t>nv</t>
  </si>
  <si>
    <t>co</t>
  </si>
  <si>
    <t>wy</t>
  </si>
  <si>
    <t>ut</t>
  </si>
  <si>
    <t>id</t>
  </si>
  <si>
    <t>ca</t>
  </si>
  <si>
    <t>or</t>
  </si>
  <si>
    <t>wa</t>
  </si>
  <si>
    <t>hi</t>
  </si>
  <si>
    <t>ny</t>
  </si>
  <si>
    <t>ar</t>
  </si>
  <si>
    <t>ky</t>
  </si>
  <si>
    <t>Additional Tasks to be Performed When Manufacturer Has Not Supplied Sample Casings and/or Bullets</t>
  </si>
  <si>
    <t>width is 7" to 9"; depth is 22" to 29"</t>
  </si>
  <si>
    <t>Square Feet</t>
  </si>
  <si>
    <t>Foot Print  (includes chair space; max height is 60") - See FTI Facility Requirements</t>
  </si>
  <si>
    <t>Width (inches)</t>
  </si>
  <si>
    <t>Depth (inches)</t>
  </si>
  <si>
    <t>NYSP; footprint estimated by Mitretek</t>
  </si>
  <si>
    <t>Alaska</t>
  </si>
  <si>
    <t>Alabama</t>
  </si>
  <si>
    <t>Arkansas</t>
  </si>
  <si>
    <t>Colorado</t>
  </si>
  <si>
    <t>Connecticut</t>
  </si>
  <si>
    <t>Washington, DC</t>
  </si>
  <si>
    <t>Delaware</t>
  </si>
  <si>
    <t>Florida</t>
  </si>
  <si>
    <t>Georgia</t>
  </si>
  <si>
    <t>Hawaii</t>
  </si>
  <si>
    <t>Idaho</t>
  </si>
  <si>
    <t>Illinois</t>
  </si>
  <si>
    <t>Indiana</t>
  </si>
  <si>
    <t>Kansas</t>
  </si>
  <si>
    <t>Kentucky</t>
  </si>
  <si>
    <t>Louisiana</t>
  </si>
  <si>
    <t>Maine</t>
  </si>
  <si>
    <t>Michigan</t>
  </si>
  <si>
    <t>Minnesota</t>
  </si>
  <si>
    <t>Missouri</t>
  </si>
  <si>
    <t>Mississippi</t>
  </si>
  <si>
    <t>Montana</t>
  </si>
  <si>
    <t>North Carolina</t>
  </si>
  <si>
    <t>North Dakota</t>
  </si>
  <si>
    <t>Nebraska</t>
  </si>
  <si>
    <t>New Hampshire</t>
  </si>
  <si>
    <t>New Jersey</t>
  </si>
  <si>
    <t>New Mexico</t>
  </si>
  <si>
    <t>Nevada</t>
  </si>
  <si>
    <t>Iowa</t>
  </si>
  <si>
    <t>Ohio</t>
  </si>
  <si>
    <t>Oklahoma</t>
  </si>
  <si>
    <t>Oregon</t>
  </si>
  <si>
    <t>Pennsylvania</t>
  </si>
  <si>
    <t>South Carolina</t>
  </si>
  <si>
    <t>South Dakota</t>
  </si>
  <si>
    <t>Tennessee</t>
  </si>
  <si>
    <t>Texas</t>
  </si>
  <si>
    <t>Utah</t>
  </si>
  <si>
    <t>Virginia</t>
  </si>
  <si>
    <t>Vermont</t>
  </si>
  <si>
    <t>Washington</t>
  </si>
  <si>
    <t>Wisconsin</t>
  </si>
  <si>
    <t>West Virginia</t>
  </si>
  <si>
    <t>Wyoming</t>
  </si>
  <si>
    <t>USA</t>
  </si>
  <si>
    <t>hub network</t>
  </si>
  <si>
    <t xml:space="preserve">compliance rate (percent of weapons for which dealer/manufacturer provides casing) - </t>
  </si>
  <si>
    <t>Annual turnover - useful for re-training estimates</t>
  </si>
  <si>
    <t>Annual salary increase</t>
  </si>
  <si>
    <t>Annual turnover rate - useful for re-training estimates.  If known, use the turnover rate among technicians performing ballistics identification.  Otherwise use a general rate for the region/state, etc.</t>
  </si>
  <si>
    <t xml:space="preserve">Annual increase in operating expenses </t>
  </si>
  <si>
    <t>$3000 per month</t>
  </si>
  <si>
    <t>unit cost per square foot</t>
  </si>
  <si>
    <t>Annual rental cost per square foot of floor space</t>
  </si>
  <si>
    <t>What types of samples do you anticipate imaging?</t>
  </si>
  <si>
    <t>Where do you anticipate imaging would be done?</t>
  </si>
  <si>
    <t>Initial Year Costs</t>
  </si>
  <si>
    <t>Basic Equipment</t>
  </si>
  <si>
    <t>Footprint for Remote Configuration</t>
  </si>
  <si>
    <t>Footprint for Hub Configuration</t>
  </si>
  <si>
    <t>Footprint for Stand Alone Configuration</t>
  </si>
  <si>
    <t>Other Factors</t>
  </si>
  <si>
    <t>Equipment Requirements for the Life of the System</t>
  </si>
  <si>
    <t>Water Tank or Firing Range Footprint (square feet)</t>
  </si>
  <si>
    <t>Do you anticipate having a legal counsel on staff to enforce program requirements and resolve issues?</t>
  </si>
  <si>
    <t>guess</t>
  </si>
  <si>
    <t>Floorspace Costs</t>
  </si>
  <si>
    <t>bullets only</t>
  </si>
  <si>
    <t>distributed locations</t>
  </si>
  <si>
    <t>mobile operation</t>
  </si>
  <si>
    <t>Personnel Floorspace</t>
  </si>
  <si>
    <t>square feet per person</t>
  </si>
  <si>
    <t>Floorspace for Optional Equipment</t>
  </si>
  <si>
    <t>Final Costs</t>
  </si>
  <si>
    <t xml:space="preserve">Basic Equipment </t>
  </si>
  <si>
    <t xml:space="preserve">Initial Year Results  </t>
  </si>
  <si>
    <t>Equipment</t>
  </si>
  <si>
    <t>Office Clerk or other</t>
  </si>
  <si>
    <t>Imaging</t>
  </si>
  <si>
    <t>Test Fires</t>
  </si>
  <si>
    <t xml:space="preserve"> Costs for a Stand Alone Configuration</t>
  </si>
  <si>
    <t>Costs for a Remote Configuration</t>
  </si>
  <si>
    <t>Costs for a Hub Network</t>
  </si>
  <si>
    <t>no</t>
  </si>
  <si>
    <t>Where do you anticipate test fires will be done for the purpose of collecting samples, when samples are not provided by the manufacturers?</t>
  </si>
  <si>
    <t>Please enter any comments or clarifications about your entries.</t>
  </si>
  <si>
    <t>FTEs determined by the model</t>
  </si>
  <si>
    <t xml:space="preserve">What annual rate of change, over time, is anticipated in the number of transactions to be entered into a gun sales database?  </t>
  </si>
  <si>
    <t>Total annual gun sales transactions to be entered into the gun sales database:</t>
  </si>
  <si>
    <t>Life Cycle Costs</t>
  </si>
  <si>
    <t>Number of years in the equipment life cycle</t>
  </si>
  <si>
    <t>Equipment for Test Fire Operations</t>
  </si>
  <si>
    <t>What is your preferred imaging system configuration?</t>
  </si>
  <si>
    <t>Imaging Operations</t>
  </si>
  <si>
    <t>Test Fire Operations</t>
  </si>
  <si>
    <t>Community Relations</t>
  </si>
  <si>
    <t>Funding</t>
  </si>
  <si>
    <t>How many gun transfers will be entered into the database per year?</t>
  </si>
  <si>
    <t>Numerical Response</t>
  </si>
  <si>
    <t>Text Response</t>
  </si>
  <si>
    <t>Options</t>
  </si>
  <si>
    <t>BACKGROUND STATE INFORMATION</t>
  </si>
  <si>
    <t>Time to perform (minutes)</t>
  </si>
  <si>
    <t xml:space="preserve">Full-Time Equivalent (FTE) Factor </t>
  </si>
  <si>
    <t>Labor Category</t>
  </si>
  <si>
    <t>Samples</t>
  </si>
  <si>
    <t>Imaging location</t>
  </si>
  <si>
    <t xml:space="preserve">Configuration </t>
  </si>
  <si>
    <t xml:space="preserve">Test fire location </t>
  </si>
  <si>
    <t>Counsel</t>
  </si>
  <si>
    <t xml:space="preserve">Inventory Control Specialist </t>
  </si>
  <si>
    <t>STATUS</t>
  </si>
  <si>
    <t>Total</t>
  </si>
  <si>
    <t>Ancillary</t>
  </si>
  <si>
    <t>Totals</t>
  </si>
  <si>
    <t xml:space="preserve">Legal Counsel to Enforce Imaging Laws </t>
  </si>
  <si>
    <t>Number of technicians to be trained</t>
  </si>
  <si>
    <t>Number of officers to be trained for test fire operation</t>
  </si>
  <si>
    <t xml:space="preserve">RESULTS SUMMARY FOR:   </t>
  </si>
  <si>
    <t xml:space="preserve">Please enter the per weapon fee to be charged (to dealers) for weapons not having samples provided by the manufacturer.  </t>
  </si>
  <si>
    <t>One-time Costs</t>
  </si>
  <si>
    <t>Equipment Maintenance</t>
  </si>
  <si>
    <t xml:space="preserve">Estimate the compliance rate (percent of weapons for which the dealer/manufacturer provides casings) at the onset of your gun sales ballistic identification program.  </t>
  </si>
  <si>
    <t xml:space="preserve">What is the annual personnel turnover rate for your state. </t>
  </si>
  <si>
    <t>Other annual funding to offset costs</t>
  </si>
  <si>
    <t>Enter the amount of annual funding that may be used to offset the cost of the program.  This may include gun registration fees, grants, or other funds.</t>
  </si>
  <si>
    <t>This sheet is under construction</t>
  </si>
  <si>
    <t>COST ASSUMPTIONS (page 1 of 2)</t>
  </si>
  <si>
    <t>COST ASSUMPTIONS (page 2 of 2)</t>
  </si>
  <si>
    <t>State personnel to fire weapons and collect samples</t>
  </si>
  <si>
    <t xml:space="preserve">Default </t>
  </si>
  <si>
    <t>My Estimates</t>
  </si>
  <si>
    <t>Test Fires Performed Per day</t>
  </si>
  <si>
    <t>Mobile Operation</t>
  </si>
  <si>
    <t>Where do you anticipate test fires will be done for the purpose of collecting samples?</t>
  </si>
  <si>
    <t>Gun Sales Transactions To Be Entered Into Gun Sales Database Annually</t>
  </si>
  <si>
    <t>How many new gun sales transactions will be entered into the database?</t>
  </si>
  <si>
    <t>How many refurbished gun sales transactions will be entered into the database?</t>
  </si>
  <si>
    <t>How many additional gun sales transactions will be entered into the database?</t>
  </si>
  <si>
    <t>Enter Your State Name (two letter abbreviation only).  Required Information</t>
  </si>
  <si>
    <t>COMMENTS</t>
  </si>
  <si>
    <t>Time to perform each task (minutes)</t>
  </si>
  <si>
    <t>Tasks to Be Performed</t>
  </si>
  <si>
    <t xml:space="preserve">Take image of shell casing and enter into database </t>
  </si>
  <si>
    <t xml:space="preserve">Take image of bullet and enter into database </t>
  </si>
  <si>
    <t xml:space="preserve">Enter shell casings and/or bullets into physical storage </t>
  </si>
  <si>
    <t xml:space="preserve">Preparation (log, label the weapon)  </t>
  </si>
  <si>
    <t>Samples to be Imaged</t>
  </si>
  <si>
    <t>Labor Costs</t>
  </si>
  <si>
    <t>Which calculation would you like to use?</t>
  </si>
  <si>
    <t>Your operation is imaging:</t>
  </si>
  <si>
    <t>shell casings only</t>
  </si>
  <si>
    <t>shell casings and bullets</t>
  </si>
  <si>
    <t>At a daily rate (per person) of:</t>
  </si>
  <si>
    <t>Number of samples imaged per person, per eight hour day</t>
  </si>
  <si>
    <t>Test firing at a daily rate (per person) of:</t>
  </si>
  <si>
    <t>weapons</t>
  </si>
  <si>
    <t xml:space="preserve">Number of technicians/operators needed </t>
  </si>
  <si>
    <t>Number of firearms testers needed</t>
  </si>
  <si>
    <t>Performance Assumptions (page 2 of 3)</t>
  </si>
  <si>
    <t>Performance Assumptions (page 1 of 3)</t>
  </si>
  <si>
    <t>Performance Assumptions (page 3 of 3)</t>
  </si>
  <si>
    <t>Location of Operations</t>
  </si>
  <si>
    <t>Enter the maximum distance (miles) between program sites.  Enter zero if you want only one location.</t>
  </si>
  <si>
    <t>Location Option</t>
  </si>
  <si>
    <t>DAS Remote (linked to a state database and correlation server)</t>
  </si>
  <si>
    <t>Operations Summary from "Background State Information" and "Parameters" Sheets</t>
  </si>
  <si>
    <t>(page 1 of 2)</t>
  </si>
  <si>
    <t>STEP 5</t>
  </si>
  <si>
    <t>OPTIONAL</t>
  </si>
  <si>
    <t>STEP 1                    STEP 2                        STEP 3                       STEP4</t>
  </si>
  <si>
    <t>Use the buttons below to develop your scenario and generate costs.</t>
  </si>
  <si>
    <t>Use the buttons below to understand how the ballistics identification operation is modeled and to make notes/comments.  Start with the Read Me First.</t>
  </si>
  <si>
    <t>Recurring Costs</t>
  </si>
  <si>
    <t>Include years in system life cycle?</t>
  </si>
  <si>
    <t>Footprint Requirements</t>
  </si>
  <si>
    <t>Ballistics Identification Configurations:  Number of Units Requirements</t>
  </si>
  <si>
    <t>Database Requirements</t>
  </si>
  <si>
    <t>Staff Performance Rate</t>
  </si>
  <si>
    <t xml:space="preserve">Optional Equipment </t>
  </si>
  <si>
    <t>Optional Equipment</t>
  </si>
  <si>
    <t>Equipment for Test Fire Operations .  It is estimated that as manufacturer compliance increases, need for these items will decrease.</t>
  </si>
  <si>
    <t>Total Operations Costs</t>
  </si>
  <si>
    <t xml:space="preserve">RESULTS DETAIL FOR:   </t>
  </si>
  <si>
    <t>Do you anticipate having a liaison on staff to communicate program requirements to the dealers and manufacturers?</t>
  </si>
  <si>
    <t xml:space="preserve">Dealer and Community Liaison </t>
  </si>
  <si>
    <t>NYSP criminal guns system price used;$320,000 to $600,000 (FTI Press Release); $250,000 for NIBIN purchase (Palm Beach); $250,000 (MD gun sales); $500,000 (Boston)</t>
  </si>
  <si>
    <t>Training cost per technician/operator (2 week duration)</t>
  </si>
  <si>
    <r>
      <t xml:space="preserve">Model Estimate:  </t>
    </r>
    <r>
      <rPr>
        <sz val="12"/>
        <rFont val="Arial"/>
        <family val="2"/>
      </rPr>
      <t>Based on the distance you entered, the model estimates that your operation requires this many sites:</t>
    </r>
  </si>
  <si>
    <r>
      <t xml:space="preserve">My Estimate:  </t>
    </r>
    <r>
      <rPr>
        <sz val="12"/>
        <rFont val="Arial"/>
        <family val="2"/>
      </rPr>
      <t>If you prefer, you may provide your own estimate for the number of sites you would like:</t>
    </r>
  </si>
  <si>
    <t>Default Estimate</t>
  </si>
  <si>
    <t>My Estimate</t>
  </si>
  <si>
    <t>Estimate Used</t>
  </si>
  <si>
    <t xml:space="preserve">Enter the Expected Life of System (years).  Enter one year up to 15 years.  </t>
  </si>
  <si>
    <t>Travel time (and other down time), per day, for mobile operations only</t>
  </si>
  <si>
    <t xml:space="preserve">Fire weapon, collect sample, log results </t>
  </si>
  <si>
    <t xml:space="preserve">Send sample to crime lab </t>
  </si>
  <si>
    <t>File Cabinet for Sample Storage</t>
  </si>
  <si>
    <t>File Cabinets for Sample Storage</t>
  </si>
  <si>
    <t>Number of Units to Purchase to Satisfy Life Cycle</t>
  </si>
  <si>
    <t>Number of weapons to be imaged only by state police, annually.  These weapons have already been test fired by the manufacturer/dealer.</t>
  </si>
  <si>
    <t>Number of weapons to be imaged only by state police, daily.  These weapons have already been test fired by the manufacturer/dealer.</t>
  </si>
  <si>
    <t>Total number of weapons to be imaged daily.  This applies to all weapons.</t>
  </si>
  <si>
    <t>Percent of time technicians/operators work per year (excluding vacation, sick leave, and holidays).  This is the FTE factor.</t>
  </si>
  <si>
    <t xml:space="preserve">Number of shell casings and/or bullets one full-time technician can enter per day.  This is the imaging performance rate. </t>
  </si>
  <si>
    <t xml:space="preserve">Number weapons that can be test fired per person per day.  This is the test fire performance rate. </t>
  </si>
  <si>
    <t>Floor space square feet per person</t>
  </si>
  <si>
    <t>Funding to Offset  Costs</t>
  </si>
  <si>
    <t>Annual expense of personnel for the test fire operation</t>
  </si>
  <si>
    <t>Imaging and Test Fire Personnel (full-time equivalent) requirements</t>
  </si>
  <si>
    <t xml:space="preserve">Per gun fee charged to the dealer to test fire a gun </t>
  </si>
  <si>
    <t xml:space="preserve">Per gun cost to state, to test fire a gun, based on annual expense of personnel for the test fire program </t>
  </si>
  <si>
    <t>One-time costs</t>
  </si>
  <si>
    <t>Re-curring costs</t>
  </si>
  <si>
    <t>Enter any annually recurring, ancillary costs?</t>
  </si>
  <si>
    <t>Enter any one-time, ancillary costs?</t>
  </si>
  <si>
    <t>How many shifts per day will the imaging operation be run?</t>
  </si>
  <si>
    <t>Shifts</t>
  </si>
  <si>
    <t>Number of DAS units needed to satisfy number of FTEs and number of shifts</t>
  </si>
  <si>
    <t>Technician Manager</t>
  </si>
  <si>
    <t>Un-interruptible Power Supply</t>
  </si>
  <si>
    <t>stand-alone hub</t>
  </si>
  <si>
    <t>Telephone Line (modem) for RBI</t>
  </si>
  <si>
    <t>T1 Line for DAS Remote-correlation server communication</t>
  </si>
  <si>
    <t>ISDN line for FTI product upgrades and technical support</t>
  </si>
  <si>
    <t>Lab Technician</t>
  </si>
  <si>
    <t>Number of lab technician managers needed</t>
  </si>
  <si>
    <t>Income from test fire operations</t>
  </si>
  <si>
    <t>Per Weapon fee charged (to dealer) for test fire</t>
  </si>
  <si>
    <t>The initial year test fire fee per weapon to offset the cost of state personnel to test fire weapons, in the initial year, should be:</t>
  </si>
  <si>
    <t>Initial Year Full-Time Equivalents</t>
  </si>
  <si>
    <t>Observations</t>
  </si>
  <si>
    <t>Imaging Performance Rate</t>
  </si>
  <si>
    <t>Test Fire Performance Rate</t>
  </si>
  <si>
    <t>Your test fire operation is performed at:</t>
  </si>
  <si>
    <t xml:space="preserve">Stand-Alone Hub </t>
  </si>
  <si>
    <t>Stationary Operation (Central or Distributed)</t>
  </si>
  <si>
    <t>Miscellaneous Parameters</t>
  </si>
  <si>
    <t xml:space="preserve">The parameters are used to generate various operations costs.  Place the cursor over an item in the left hand column for an explanation of the item. </t>
  </si>
  <si>
    <t xml:space="preserve">What is the annual rate of salary increase in your state?  </t>
  </si>
  <si>
    <t xml:space="preserve">What is the annual rate of increase in operating expenses for your state?  </t>
  </si>
  <si>
    <t>Other Equipment</t>
  </si>
  <si>
    <t xml:space="preserve">Official state vehicle  </t>
  </si>
  <si>
    <t>Percent of time full-time person works per year (allows for vacation, holiday, and sick leave).  Applies to calculated FTE lab technicians and state personnel to test fire weapons.</t>
  </si>
  <si>
    <t>Official state vehicle</t>
  </si>
  <si>
    <t>Transportation - Official state vehicle</t>
  </si>
  <si>
    <t xml:space="preserve">Transportation - official state vehicle </t>
  </si>
  <si>
    <t>Source:  Background State Information</t>
  </si>
  <si>
    <t>Source:  Miscellaneous Parameters</t>
  </si>
  <si>
    <t>Source:  Performance Assumptions</t>
  </si>
  <si>
    <t xml:space="preserve"> Default rates at which weapons are test fired are provided, based on the following sequence of operations. The rates will vary greatly depending on if test fire operation is central, distributed, or mobile.  The default values are estimates made by the model developers.  You may accept the default values or enter your own performance estimates.  Be sure to confirm the test fire rate.</t>
  </si>
  <si>
    <t>Floor space</t>
  </si>
  <si>
    <t>Floor space (sq ft)</t>
  </si>
  <si>
    <t xml:space="preserve">Floor space for Basic Equipment and Other Equipment </t>
  </si>
  <si>
    <t xml:space="preserve">Floor space for Optional and Test Fire Equipment </t>
  </si>
  <si>
    <t xml:space="preserve">Personnel Floor space </t>
  </si>
  <si>
    <t>minimal requirement; cost based on Rhode Island report; dimensions form Firearms ID site</t>
  </si>
  <si>
    <t>Total gun sales transactions to be entered into the gun sales database during the initial year:</t>
  </si>
  <si>
    <t>What is the anticipated annual rate of change in the number of transactions to be entered into a gun sales database?  This change may reflect a trend in sales volume or the imaging of additional weapon types and/or calibers.</t>
  </si>
  <si>
    <t>Test Fire Operation</t>
  </si>
  <si>
    <t>The calculations below help you determine the number of sites needed if imaging operations and/or test fire operations are distributed among multiple sites (see "Background State Information" sheet).  If one or both of these operations is to be distributed, then multiple sites are assumed and the maximum distance between program sites must exceed one mile to avoid the display of an error message.  You also have the option to supply the number of sites you would like.  This option may be preferable if your state already has sites in operation, for other purposes, that may be used for the ballistics identification program.  The model assumes that if imaging operations and test fire sites are both distributed, these operations will be performed at the same sites.  Be sure to confirm the number of locations.</t>
  </si>
  <si>
    <t>Number of sites needed if imaging operations and/or test fire operations are distributed among multiple sites:</t>
  </si>
  <si>
    <t>Which estimate for number of sites would you like to use, if imaging operations and/or test fire operations are distributed among multiple sites?</t>
  </si>
  <si>
    <t>Based on information you entered on the Background State Information sheet, model calculations will be based on the following</t>
  </si>
  <si>
    <t>number of imaging operation sites:</t>
  </si>
  <si>
    <t>number of test fire operation sites:</t>
  </si>
  <si>
    <t>Confirmation</t>
  </si>
  <si>
    <r>
      <t>Correlation Server with SGI</t>
    </r>
    <r>
      <rPr>
        <vertAlign val="superscript"/>
        <sz val="12"/>
        <rFont val="Arial"/>
        <family val="2"/>
      </rPr>
      <t>@</t>
    </r>
    <r>
      <rPr>
        <sz val="12"/>
        <rFont val="Arial"/>
        <family val="2"/>
      </rPr>
      <t xml:space="preserve"> Origin 2100</t>
    </r>
  </si>
  <si>
    <r>
      <t>Correlation Server with SGI</t>
    </r>
    <r>
      <rPr>
        <vertAlign val="superscript"/>
        <sz val="12"/>
        <rFont val="Arial"/>
        <family val="2"/>
      </rPr>
      <t>@</t>
    </r>
    <r>
      <rPr>
        <sz val="12"/>
        <rFont val="Arial"/>
        <family val="2"/>
      </rPr>
      <t xml:space="preserve"> Origin 2400</t>
    </r>
  </si>
  <si>
    <r>
      <t>Correlation Server with SGI</t>
    </r>
    <r>
      <rPr>
        <vertAlign val="superscript"/>
        <sz val="8"/>
        <rFont val="Arial"/>
        <family val="2"/>
      </rPr>
      <t>@</t>
    </r>
    <r>
      <rPr>
        <sz val="8"/>
        <rFont val="Arial"/>
        <family val="2"/>
      </rPr>
      <t xml:space="preserve"> Origin 2100</t>
    </r>
  </si>
  <si>
    <r>
      <t>Correlation Server with SGI</t>
    </r>
    <r>
      <rPr>
        <vertAlign val="superscript"/>
        <sz val="8"/>
        <rFont val="Arial"/>
        <family val="2"/>
      </rPr>
      <t>@</t>
    </r>
    <r>
      <rPr>
        <sz val="8"/>
        <rFont val="Arial"/>
        <family val="2"/>
      </rPr>
      <t xml:space="preserve"> Origin 2400</t>
    </r>
  </si>
  <si>
    <t xml:space="preserve">DAS Local </t>
  </si>
  <si>
    <t xml:space="preserve">DAS Remote </t>
  </si>
  <si>
    <t xml:space="preserve">DAS Local  </t>
  </si>
  <si>
    <t>Transportation Costs</t>
  </si>
  <si>
    <t>Transportation</t>
  </si>
  <si>
    <t>Note:  The number of liaison (or counsel) FTEs per state shown is used in calculations for states requesting a liaison (or counsel) position.  If no liaison (or counsel) position is requested, zero FTEs, are used in the cost calculations. You should only change this liaison (or counsel) FTEs value to a number LARGER than zero. Changing this value to zero will ALWAYS result in zero staff allocated for that position.  Use the Background State Information sheet to specify your need for liaison or counsel positions.</t>
  </si>
  <si>
    <t>All dollar values have been rounded to the nearest $100.</t>
  </si>
  <si>
    <t>(page 2 of 2)</t>
  </si>
  <si>
    <t xml:space="preserve">Equipment Costs </t>
  </si>
  <si>
    <t>Labor</t>
  </si>
  <si>
    <t xml:space="preserve">Labor </t>
  </si>
  <si>
    <t>Total Purchase Costs</t>
  </si>
  <si>
    <t>Max number of DAS Remotes and Locals to connect to one server (remember to consider response time)</t>
  </si>
  <si>
    <t xml:space="preserve">Labor Category Name, Salary (and Benefits), and some Default Full-Time Equivalents may be changed to reflect state operations.  </t>
  </si>
  <si>
    <t>Initial Year Salary  Per FTE</t>
  </si>
  <si>
    <t>Personnel Annual Salary per Full Time Equivalent</t>
  </si>
  <si>
    <t>Personnel Full-Time Equivalents:  Adjusted</t>
  </si>
  <si>
    <t>Income from test fire operation</t>
  </si>
  <si>
    <t>Uninterruptible Power Supply</t>
  </si>
  <si>
    <t>Potential funds to offset costs</t>
  </si>
  <si>
    <t>Floor space costs (leased)</t>
  </si>
  <si>
    <t>Annual imaging equipment maintenance (percent of basic equipment costs)</t>
  </si>
  <si>
    <t>Annual maintenance for other equipment (percent of equipment costs)</t>
  </si>
  <si>
    <t>Imaging Equipment</t>
  </si>
  <si>
    <t xml:space="preserve">Imaging Equipment </t>
  </si>
  <si>
    <t>Floorspace for Imaging Equipment and Other Equipment</t>
  </si>
  <si>
    <t>Annual Imaging Equipment Maintenance (percent of hardware/software costs)</t>
  </si>
  <si>
    <t>Annual Non-Imaging Equipment Maintenance (percent of equipment costs)</t>
  </si>
  <si>
    <t>Imaging Equipment Maintenance</t>
  </si>
  <si>
    <t>Non-Imaging Equipment Maintenance</t>
  </si>
  <si>
    <t>Floor space (sq ft per person)</t>
  </si>
  <si>
    <t xml:space="preserve">Full-Time Equivalents </t>
  </si>
  <si>
    <t>Note:  Fractional FTEs represent staff assigned part time.</t>
  </si>
  <si>
    <t>Database storage requirement per shell casing image (KB)</t>
  </si>
  <si>
    <t>Database storage requirement per bullet image (KB)</t>
  </si>
  <si>
    <t>Database storage requirement per shell casing and bullet images (KB)</t>
  </si>
  <si>
    <t>Total Database Storage Requirement (KB)</t>
  </si>
  <si>
    <t>Cumulative Database Storage Requirement (KB)</t>
  </si>
  <si>
    <t>Number of imaging locations needed</t>
  </si>
  <si>
    <t>Number of test fire locations needed</t>
  </si>
  <si>
    <t>The default unit costs are for reference only.  You must enter your unit costs based upon vendor quotes and to reflect your operations. Your unit costs are used in model calculations.</t>
  </si>
  <si>
    <t>Default Unit Costs    (reference only)</t>
  </si>
  <si>
    <t>Do you anticipate having legal counsel on staff to enforce program requirements and resolve issues?</t>
  </si>
  <si>
    <t xml:space="preserve">Estimate the compliance rate at the last year of the system life for your state.  </t>
  </si>
  <si>
    <t>Vendor Quotes for Unit Costs (used in calculations)</t>
  </si>
  <si>
    <t xml:space="preserve">FTI/Vendor representative on site for training and support </t>
  </si>
  <si>
    <t>Number of weapons to be test fired and imaged by state police annually.  These weapons do not have sample projectiles from manufacturer/dealer test firings.</t>
  </si>
  <si>
    <t>Number of weapons to be test fired and imaged by state police daily.  These weapons do not have sample projectiles from manufacturer/dealer test firings.</t>
  </si>
  <si>
    <t xml:space="preserve">Total Labor Cost of Full-Time Equivalents </t>
  </si>
  <si>
    <t>Total Personnel Costs</t>
  </si>
  <si>
    <t>Total Training Costs</t>
  </si>
  <si>
    <t>Total Funding to Offset Costs</t>
  </si>
  <si>
    <t>Total Ancillary Costs</t>
  </si>
  <si>
    <t xml:space="preserve">Number of Locations </t>
  </si>
  <si>
    <t xml:space="preserve">Liaison </t>
  </si>
  <si>
    <t>Next Step:  Calculate Performance Assumptions</t>
  </si>
  <si>
    <t>Based on Forensic Technology (FTI) data, the imaging process only (excluding prep and storage time)  is approximately 3 to 5 minutes for shell casings and 6 to 8 minutes for bullets.  Default rates at which shell casings and bullets could be prepped, imaged, and stored are provided below. You may substitute for the default "Time to perform each task" values by entering your own estimates in the "My Estimates" column.  The model then calculates the "Number of samples imaged per person, per eight-hour day" based on the "Time to perform each task" data.  Be sure to confirm the imaging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</si>
</sst>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2" formatCode="_(&quot;$&quot;* #,##0_);_(&quot;$&quot;* \(#,##0\);_(&quot;$&quot;* &quot;-&quot;_);_(@_)"/>
    <numFmt numFmtId="44" formatCode="_(&quot;$&quot;* #,##0.00_);_(&quot;$&quot;* \(#,##0.00\);_(&quot;$&quot;* &quot;-&quot;??_);_(@_)"/>
    <numFmt numFmtId="43" formatCode="_(* #,##0.00_);_(* \(#,##0.00\);_(* &quot;-&quot;??_);_(@_)"/>
    <numFmt numFmtId="166" formatCode="&quot;$&quot;#,##0"/>
    <numFmt numFmtId="167" formatCode="&quot;$&quot;#,##0.00"/>
    <numFmt numFmtId="168" formatCode="#,##0.0"/>
    <numFmt numFmtId="169" formatCode="0.0000"/>
    <numFmt numFmtId="170" formatCode="0.0"/>
    <numFmt numFmtId="175" formatCode="&quot;$&quot;#,##0.0000"/>
  </numFmts>
  <fonts count="22" x14ac:knownFonts="1">
    <font>
      <sz val="10"/>
      <name val="Arial"/>
    </font>
    <font>
      <sz val="10"/>
      <name val="Arial"/>
    </font>
    <font>
      <b/>
      <sz val="10"/>
      <name val="Arial"/>
      <family val="2"/>
    </font>
    <font>
      <sz val="8"/>
      <name val="Arial"/>
      <family val="2"/>
    </font>
    <font>
      <b/>
      <sz val="8"/>
      <name val="Arial"/>
      <family val="2"/>
    </font>
    <font>
      <sz val="10"/>
      <name val="Arial"/>
      <family val="2"/>
    </font>
    <font>
      <u/>
      <sz val="10"/>
      <color indexed="12"/>
      <name val="Arial"/>
    </font>
    <font>
      <b/>
      <sz val="12"/>
      <name val="Arial"/>
      <family val="2"/>
    </font>
    <font>
      <sz val="12"/>
      <name val="Arial"/>
      <family val="2"/>
    </font>
    <font>
      <sz val="8"/>
      <name val="Tahoma"/>
      <family val="2"/>
    </font>
    <font>
      <b/>
      <sz val="12"/>
      <color indexed="9"/>
      <name val="Arial"/>
      <family val="2"/>
    </font>
    <font>
      <sz val="12"/>
      <color indexed="9"/>
      <name val="Arial"/>
      <family val="2"/>
    </font>
    <font>
      <sz val="12"/>
      <color indexed="10"/>
      <name val="Arial"/>
      <family val="2"/>
    </font>
    <font>
      <b/>
      <sz val="10"/>
      <color indexed="61"/>
      <name val="Arial"/>
      <family val="2"/>
    </font>
    <font>
      <sz val="12"/>
      <color indexed="61"/>
      <name val="Arial"/>
      <family val="2"/>
    </font>
    <font>
      <b/>
      <sz val="10"/>
      <color indexed="81"/>
      <name val="Tahoma"/>
      <family val="2"/>
    </font>
    <font>
      <sz val="10"/>
      <color indexed="81"/>
      <name val="Tahoma"/>
      <family val="2"/>
    </font>
    <font>
      <b/>
      <sz val="12"/>
      <color indexed="18"/>
      <name val="Arial"/>
      <family val="2"/>
    </font>
    <font>
      <vertAlign val="superscript"/>
      <sz val="12"/>
      <name val="Arial"/>
      <family val="2"/>
    </font>
    <font>
      <vertAlign val="superscript"/>
      <sz val="8"/>
      <name val="Arial"/>
      <family val="2"/>
    </font>
    <font>
      <b/>
      <sz val="18"/>
      <color indexed="18"/>
      <name val="Arial"/>
      <family val="2"/>
    </font>
    <font>
      <b/>
      <sz val="12"/>
      <color indexed="61"/>
      <name val="Arial"/>
      <family val="2"/>
    </font>
  </fonts>
  <fills count="9">
    <fill>
      <patternFill patternType="none"/>
    </fill>
    <fill>
      <patternFill patternType="gray125"/>
    </fill>
    <fill>
      <patternFill patternType="solid">
        <fgColor indexed="23"/>
        <bgColor indexed="64"/>
      </patternFill>
    </fill>
    <fill>
      <patternFill patternType="solid">
        <fgColor indexed="44"/>
        <bgColor indexed="64"/>
      </patternFill>
    </fill>
    <fill>
      <patternFill patternType="solid">
        <fgColor indexed="55"/>
        <bgColor indexed="64"/>
      </patternFill>
    </fill>
    <fill>
      <patternFill patternType="solid">
        <fgColor indexed="41"/>
        <bgColor indexed="64"/>
      </patternFill>
    </fill>
    <fill>
      <patternFill patternType="solid">
        <fgColor indexed="9"/>
        <bgColor indexed="64"/>
      </patternFill>
    </fill>
    <fill>
      <patternFill patternType="solid">
        <fgColor indexed="61"/>
        <bgColor indexed="64"/>
      </patternFill>
    </fill>
    <fill>
      <patternFill patternType="solid">
        <fgColor indexed="13"/>
        <bgColor indexed="64"/>
      </patternFill>
    </fill>
  </fills>
  <borders count="75">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587">
    <xf numFmtId="0" fontId="0" fillId="0" borderId="0" xfId="0"/>
    <xf numFmtId="0" fontId="0" fillId="0" borderId="0" xfId="0" applyAlignment="1">
      <alignment wrapText="1"/>
    </xf>
    <xf numFmtId="0" fontId="3" fillId="0" borderId="0" xfId="0" applyFont="1"/>
    <xf numFmtId="0" fontId="4" fillId="0" borderId="0" xfId="0" applyFont="1" applyAlignment="1">
      <alignment horizontal="center"/>
    </xf>
    <xf numFmtId="0" fontId="4" fillId="0" borderId="0" xfId="0" applyFont="1"/>
    <xf numFmtId="0" fontId="3" fillId="0" borderId="0" xfId="0" applyFont="1" applyAlignment="1">
      <alignment wrapText="1"/>
    </xf>
    <xf numFmtId="0" fontId="4" fillId="0" borderId="0" xfId="0" applyFont="1" applyAlignment="1">
      <alignment wrapText="1"/>
    </xf>
    <xf numFmtId="9" fontId="3" fillId="0" borderId="0" xfId="0" applyNumberFormat="1" applyFont="1" applyAlignment="1">
      <alignment wrapText="1"/>
    </xf>
    <xf numFmtId="0" fontId="3" fillId="0" borderId="0" xfId="0" applyFont="1" applyAlignment="1">
      <alignment horizontal="center"/>
    </xf>
    <xf numFmtId="0" fontId="3" fillId="0" borderId="0" xfId="0" applyFont="1" applyBorder="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0" xfId="0" applyFont="1" applyBorder="1" applyAlignment="1">
      <alignment wrapText="1"/>
    </xf>
    <xf numFmtId="0" fontId="3" fillId="0" borderId="1" xfId="0" applyFont="1" applyBorder="1" applyAlignment="1">
      <alignment wrapText="1"/>
    </xf>
    <xf numFmtId="0" fontId="3" fillId="0" borderId="2" xfId="0" applyFont="1" applyBorder="1" applyAlignment="1">
      <alignment wrapText="1"/>
    </xf>
    <xf numFmtId="0" fontId="4" fillId="0" borderId="6" xfId="0" applyFont="1" applyBorder="1"/>
    <xf numFmtId="0" fontId="4" fillId="0" borderId="7" xfId="0" applyFont="1" applyBorder="1"/>
    <xf numFmtId="0" fontId="4" fillId="0" borderId="7" xfId="0" applyFont="1" applyBorder="1" applyAlignment="1">
      <alignment wrapText="1"/>
    </xf>
    <xf numFmtId="0" fontId="3" fillId="0" borderId="8" xfId="0" applyFont="1" applyBorder="1" applyAlignment="1">
      <alignment wrapText="1"/>
    </xf>
    <xf numFmtId="3" fontId="3" fillId="0" borderId="0" xfId="0" applyNumberFormat="1" applyFont="1" applyAlignment="1">
      <alignment wrapText="1"/>
    </xf>
    <xf numFmtId="3" fontId="3" fillId="0" borderId="0" xfId="0" applyNumberFormat="1" applyFont="1" applyAlignment="1">
      <alignment horizontal="right"/>
    </xf>
    <xf numFmtId="166" fontId="3" fillId="0" borderId="0" xfId="0" applyNumberFormat="1" applyFont="1"/>
    <xf numFmtId="167" fontId="3" fillId="0" borderId="0" xfId="0" applyNumberFormat="1" applyFont="1"/>
    <xf numFmtId="0" fontId="3" fillId="2" borderId="0" xfId="0" applyFont="1" applyFill="1" applyAlignment="1">
      <alignment wrapText="1"/>
    </xf>
    <xf numFmtId="1" fontId="3" fillId="2" borderId="0" xfId="0" applyNumberFormat="1" applyFont="1" applyFill="1" applyAlignment="1">
      <alignment wrapText="1"/>
    </xf>
    <xf numFmtId="0" fontId="3" fillId="2" borderId="0" xfId="0" applyFont="1" applyFill="1"/>
    <xf numFmtId="0" fontId="0" fillId="2" borderId="0" xfId="0" applyFill="1" applyAlignment="1">
      <alignment wrapText="1"/>
    </xf>
    <xf numFmtId="0" fontId="4" fillId="0" borderId="0" xfId="0" applyFont="1" applyAlignment="1">
      <alignment horizontal="center" wrapText="1"/>
    </xf>
    <xf numFmtId="3" fontId="0" fillId="0" borderId="0" xfId="0" applyNumberFormat="1" applyAlignment="1">
      <alignment wrapText="1"/>
    </xf>
    <xf numFmtId="2" fontId="3" fillId="0" borderId="0" xfId="0" applyNumberFormat="1" applyFont="1"/>
    <xf numFmtId="10" fontId="3" fillId="0" borderId="0" xfId="0" applyNumberFormat="1" applyFont="1" applyFill="1" applyAlignment="1">
      <alignment horizontal="right" wrapText="1"/>
    </xf>
    <xf numFmtId="166" fontId="3" fillId="0" borderId="0" xfId="0" applyNumberFormat="1" applyFont="1" applyAlignment="1">
      <alignment horizontal="right" wrapText="1"/>
    </xf>
    <xf numFmtId="0" fontId="3" fillId="0" borderId="0" xfId="0" applyFont="1" applyFill="1" applyAlignment="1">
      <alignment wrapText="1"/>
    </xf>
    <xf numFmtId="0" fontId="3" fillId="3" borderId="9" xfId="0" applyFont="1" applyFill="1" applyBorder="1" applyAlignment="1">
      <alignment wrapText="1"/>
    </xf>
    <xf numFmtId="0" fontId="3" fillId="3" borderId="8" xfId="0" applyFont="1" applyFill="1" applyBorder="1" applyAlignment="1">
      <alignment wrapText="1"/>
    </xf>
    <xf numFmtId="9" fontId="3" fillId="3" borderId="8" xfId="0" applyNumberFormat="1" applyFont="1" applyFill="1" applyBorder="1" applyAlignment="1">
      <alignment wrapText="1"/>
    </xf>
    <xf numFmtId="0" fontId="0" fillId="0" borderId="0" xfId="0" applyAlignment="1">
      <alignment vertical="top" wrapText="1"/>
    </xf>
    <xf numFmtId="3" fontId="0" fillId="0" borderId="0" xfId="0" applyNumberFormat="1"/>
    <xf numFmtId="9" fontId="3" fillId="3" borderId="0" xfId="0" applyNumberFormat="1" applyFont="1" applyFill="1" applyBorder="1" applyAlignment="1">
      <alignment wrapText="1"/>
    </xf>
    <xf numFmtId="2" fontId="3" fillId="3" borderId="8" xfId="0" applyNumberFormat="1" applyFont="1" applyFill="1" applyBorder="1" applyAlignment="1">
      <alignment wrapText="1"/>
    </xf>
    <xf numFmtId="168" fontId="3" fillId="0" borderId="0" xfId="0" applyNumberFormat="1" applyFont="1"/>
    <xf numFmtId="166" fontId="3" fillId="0" borderId="0" xfId="0" applyNumberFormat="1" applyFont="1" applyFill="1"/>
    <xf numFmtId="0" fontId="3" fillId="0" borderId="0" xfId="0" applyFont="1" applyFill="1"/>
    <xf numFmtId="0" fontId="3" fillId="0" borderId="8" xfId="0" applyFont="1" applyBorder="1" applyAlignment="1">
      <alignment horizontal="center"/>
    </xf>
    <xf numFmtId="0" fontId="0" fillId="0" borderId="8" xfId="0" applyBorder="1" applyAlignment="1">
      <alignment wrapText="1"/>
    </xf>
    <xf numFmtId="0" fontId="0" fillId="0" borderId="8" xfId="0" applyBorder="1" applyAlignment="1">
      <alignment horizontal="center" wrapText="1"/>
    </xf>
    <xf numFmtId="3" fontId="3" fillId="0" borderId="0" xfId="0" applyNumberFormat="1" applyFont="1" applyFill="1" applyAlignment="1">
      <alignment horizontal="right" wrapText="1"/>
    </xf>
    <xf numFmtId="0" fontId="3" fillId="0" borderId="8" xfId="0" applyFont="1" applyBorder="1" applyAlignment="1">
      <alignment horizontal="left" wrapText="1"/>
    </xf>
    <xf numFmtId="0" fontId="6" fillId="0" borderId="0" xfId="3" applyAlignment="1" applyProtection="1"/>
    <xf numFmtId="2" fontId="0" fillId="0" borderId="0" xfId="0" applyNumberFormat="1"/>
    <xf numFmtId="2" fontId="0" fillId="0" borderId="0" xfId="0" applyNumberFormat="1" applyAlignment="1">
      <alignment wrapText="1"/>
    </xf>
    <xf numFmtId="4" fontId="0" fillId="0" borderId="0" xfId="0" applyNumberFormat="1"/>
    <xf numFmtId="169" fontId="0" fillId="0" borderId="0" xfId="0" applyNumberFormat="1"/>
    <xf numFmtId="0" fontId="4" fillId="2" borderId="0" xfId="0" applyFont="1" applyFill="1" applyAlignment="1">
      <alignment wrapText="1"/>
    </xf>
    <xf numFmtId="0" fontId="4" fillId="2" borderId="0" xfId="0" applyFont="1" applyFill="1" applyAlignment="1">
      <alignment horizontal="center"/>
    </xf>
    <xf numFmtId="0" fontId="4" fillId="0" borderId="0" xfId="0" applyFont="1" applyFill="1"/>
    <xf numFmtId="166" fontId="3" fillId="3" borderId="8" xfId="0" applyNumberFormat="1" applyFont="1" applyFill="1" applyBorder="1" applyAlignment="1">
      <alignment wrapText="1"/>
    </xf>
    <xf numFmtId="0" fontId="3" fillId="0" borderId="0" xfId="0" applyFont="1" applyFill="1" applyBorder="1"/>
    <xf numFmtId="0" fontId="4" fillId="0" borderId="0" xfId="0" applyFont="1" applyFill="1" applyAlignment="1">
      <alignment horizontal="center" wrapText="1"/>
    </xf>
    <xf numFmtId="1" fontId="4" fillId="0" borderId="0" xfId="0" applyNumberFormat="1" applyFont="1" applyAlignment="1">
      <alignment horizontal="center"/>
    </xf>
    <xf numFmtId="1" fontId="4" fillId="0" borderId="0" xfId="0" applyNumberFormat="1" applyFont="1"/>
    <xf numFmtId="9" fontId="3" fillId="0" borderId="0" xfId="0" applyNumberFormat="1" applyFont="1" applyFill="1" applyAlignment="1">
      <alignment horizontal="right" wrapText="1"/>
    </xf>
    <xf numFmtId="3" fontId="3" fillId="0" borderId="0" xfId="0" applyNumberFormat="1" applyFont="1"/>
    <xf numFmtId="0" fontId="3" fillId="0" borderId="0" xfId="0" applyFont="1" applyFill="1" applyBorder="1" applyAlignment="1">
      <alignment wrapText="1"/>
    </xf>
    <xf numFmtId="0" fontId="4" fillId="0" borderId="0" xfId="0" applyFont="1" applyFill="1" applyBorder="1" applyAlignment="1">
      <alignment horizontal="center"/>
    </xf>
    <xf numFmtId="9" fontId="3" fillId="0" borderId="0" xfId="0" applyNumberFormat="1" applyFont="1" applyFill="1" applyBorder="1" applyAlignment="1">
      <alignment horizontal="right" wrapText="1"/>
    </xf>
    <xf numFmtId="0" fontId="0" fillId="0" borderId="0" xfId="0" applyFill="1" applyBorder="1" applyAlignment="1">
      <alignment wrapText="1"/>
    </xf>
    <xf numFmtId="170" fontId="3" fillId="0" borderId="0" xfId="0" applyNumberFormat="1" applyFont="1" applyFill="1" applyBorder="1"/>
    <xf numFmtId="2" fontId="3" fillId="0" borderId="0" xfId="0" applyNumberFormat="1" applyFont="1" applyBorder="1"/>
    <xf numFmtId="0" fontId="4" fillId="0" borderId="0" xfId="0" applyFont="1" applyFill="1" applyAlignment="1">
      <alignment wrapText="1"/>
    </xf>
    <xf numFmtId="0" fontId="3" fillId="4" borderId="0" xfId="0" applyFont="1" applyFill="1"/>
    <xf numFmtId="0" fontId="3" fillId="0" borderId="8" xfId="0" applyFont="1" applyFill="1" applyBorder="1"/>
    <xf numFmtId="0" fontId="5" fillId="0" borderId="8" xfId="0" applyFont="1" applyFill="1" applyBorder="1"/>
    <xf numFmtId="0" fontId="3" fillId="0" borderId="10" xfId="0" applyFont="1" applyBorder="1" applyAlignment="1">
      <alignment horizontal="center"/>
    </xf>
    <xf numFmtId="0" fontId="4" fillId="0" borderId="8" xfId="0" applyFont="1" applyBorder="1" applyAlignment="1">
      <alignment horizontal="center"/>
    </xf>
    <xf numFmtId="2" fontId="3" fillId="0" borderId="8" xfId="0" applyNumberFormat="1" applyFont="1" applyBorder="1" applyAlignment="1">
      <alignment horizontal="center"/>
    </xf>
    <xf numFmtId="4" fontId="3" fillId="0" borderId="8" xfId="0" applyNumberFormat="1" applyFont="1" applyFill="1" applyBorder="1" applyAlignment="1">
      <alignment horizontal="center"/>
    </xf>
    <xf numFmtId="0" fontId="3" fillId="0" borderId="8" xfId="0" applyFont="1" applyFill="1" applyBorder="1" applyAlignment="1">
      <alignment wrapText="1"/>
    </xf>
    <xf numFmtId="2" fontId="3" fillId="0" borderId="8" xfId="0" applyNumberFormat="1" applyFont="1" applyBorder="1" applyAlignment="1">
      <alignment wrapText="1"/>
    </xf>
    <xf numFmtId="1" fontId="4" fillId="0" borderId="0" xfId="0" applyNumberFormat="1" applyFont="1" applyFill="1" applyAlignment="1">
      <alignment horizontal="center"/>
    </xf>
    <xf numFmtId="1" fontId="4" fillId="0" borderId="0" xfId="0" applyNumberFormat="1" applyFont="1" applyFill="1"/>
    <xf numFmtId="0" fontId="5" fillId="0" borderId="8" xfId="0" applyFont="1" applyBorder="1" applyAlignment="1">
      <alignment horizontal="center" wrapText="1"/>
    </xf>
    <xf numFmtId="0" fontId="3" fillId="0" borderId="2" xfId="0" applyFont="1" applyFill="1" applyBorder="1" applyAlignment="1">
      <alignment wrapText="1"/>
    </xf>
    <xf numFmtId="0" fontId="4" fillId="0" borderId="8" xfId="0" applyFont="1" applyFill="1" applyBorder="1" applyAlignment="1">
      <alignment horizontal="center" wrapText="1"/>
    </xf>
    <xf numFmtId="0" fontId="4" fillId="0" borderId="11" xfId="0" applyFont="1" applyBorder="1" applyAlignment="1">
      <alignment wrapText="1"/>
    </xf>
    <xf numFmtId="0" fontId="4" fillId="0" borderId="11" xfId="0" applyFont="1" applyBorder="1"/>
    <xf numFmtId="0" fontId="4" fillId="0" borderId="1" xfId="0" applyFont="1" applyBorder="1"/>
    <xf numFmtId="0" fontId="4" fillId="0" borderId="0" xfId="0" applyFont="1" applyBorder="1"/>
    <xf numFmtId="0" fontId="4" fillId="0" borderId="2" xfId="0" applyFont="1" applyBorder="1"/>
    <xf numFmtId="0" fontId="2" fillId="0" borderId="8" xfId="0" applyFont="1" applyBorder="1" applyAlignment="1">
      <alignment horizontal="center" wrapText="1"/>
    </xf>
    <xf numFmtId="0" fontId="3" fillId="4" borderId="0" xfId="0" applyFont="1" applyFill="1" applyAlignment="1">
      <alignment wrapText="1"/>
    </xf>
    <xf numFmtId="2" fontId="3" fillId="4" borderId="0" xfId="0" applyNumberFormat="1" applyFont="1" applyFill="1"/>
    <xf numFmtId="166" fontId="3" fillId="0" borderId="0" xfId="0" applyNumberFormat="1" applyFont="1" applyFill="1" applyAlignment="1">
      <alignment horizontal="right"/>
    </xf>
    <xf numFmtId="2" fontId="3" fillId="0" borderId="0" xfId="0" applyNumberFormat="1" applyFont="1" applyFill="1"/>
    <xf numFmtId="0" fontId="3" fillId="0" borderId="0" xfId="0" applyNumberFormat="1" applyFont="1" applyAlignment="1">
      <alignment wrapText="1"/>
    </xf>
    <xf numFmtId="0" fontId="3" fillId="0" borderId="0" xfId="0" applyNumberFormat="1" applyFont="1" applyFill="1"/>
    <xf numFmtId="3" fontId="3" fillId="3" borderId="8" xfId="0" applyNumberFormat="1" applyFont="1" applyFill="1" applyBorder="1" applyAlignment="1">
      <alignment wrapText="1"/>
    </xf>
    <xf numFmtId="166" fontId="4" fillId="0" borderId="0" xfId="0" applyNumberFormat="1" applyFont="1" applyFill="1"/>
    <xf numFmtId="166" fontId="4" fillId="0" borderId="0" xfId="0" applyNumberFormat="1" applyFont="1" applyFill="1" applyAlignment="1">
      <alignment horizontal="right"/>
    </xf>
    <xf numFmtId="4" fontId="3" fillId="0" borderId="0" xfId="0" applyNumberFormat="1" applyFont="1" applyAlignment="1">
      <alignment horizontal="right"/>
    </xf>
    <xf numFmtId="166" fontId="4" fillId="0" borderId="0" xfId="0" applyNumberFormat="1" applyFont="1"/>
    <xf numFmtId="0" fontId="8" fillId="5" borderId="0" xfId="0" applyFont="1" applyFill="1" applyBorder="1"/>
    <xf numFmtId="0" fontId="8" fillId="5" borderId="0" xfId="0" applyFont="1" applyFill="1" applyBorder="1" applyAlignment="1"/>
    <xf numFmtId="0" fontId="7" fillId="5" borderId="0" xfId="0" applyFont="1" applyFill="1" applyBorder="1" applyAlignment="1">
      <alignment horizontal="center"/>
    </xf>
    <xf numFmtId="166" fontId="3" fillId="2" borderId="0" xfId="0" applyNumberFormat="1" applyFont="1" applyFill="1"/>
    <xf numFmtId="1" fontId="0" fillId="0" borderId="8" xfId="0" applyNumberFormat="1" applyBorder="1" applyAlignment="1">
      <alignment wrapText="1"/>
    </xf>
    <xf numFmtId="1" fontId="3" fillId="0" borderId="8" xfId="0" applyNumberFormat="1" applyFont="1" applyFill="1" applyBorder="1"/>
    <xf numFmtId="1" fontId="3" fillId="0" borderId="8" xfId="0" applyNumberFormat="1" applyFont="1" applyBorder="1"/>
    <xf numFmtId="1" fontId="5" fillId="0" borderId="8" xfId="0" applyNumberFormat="1" applyFont="1" applyFill="1" applyBorder="1"/>
    <xf numFmtId="0" fontId="4" fillId="0" borderId="0" xfId="0" applyFont="1" applyFill="1" applyAlignment="1">
      <alignment horizontal="center"/>
    </xf>
    <xf numFmtId="0" fontId="8" fillId="5" borderId="0" xfId="0" applyFont="1" applyFill="1" applyBorder="1" applyAlignment="1">
      <alignment horizontal="center"/>
    </xf>
    <xf numFmtId="3" fontId="3" fillId="0" borderId="0" xfId="0" applyNumberFormat="1" applyFont="1" applyFill="1" applyAlignment="1">
      <alignment horizontal="right"/>
    </xf>
    <xf numFmtId="1" fontId="4" fillId="0" borderId="0" xfId="0" applyNumberFormat="1" applyFont="1" applyFill="1" applyBorder="1" applyAlignment="1">
      <alignment horizontal="center"/>
    </xf>
    <xf numFmtId="0" fontId="3" fillId="0" borderId="0" xfId="0" applyNumberFormat="1" applyFont="1" applyFill="1" applyAlignment="1">
      <alignment wrapText="1"/>
    </xf>
    <xf numFmtId="2" fontId="3" fillId="0" borderId="8" xfId="0" applyNumberFormat="1" applyFont="1" applyFill="1" applyBorder="1" applyAlignment="1">
      <alignment horizontal="center"/>
    </xf>
    <xf numFmtId="0" fontId="3" fillId="0" borderId="12" xfId="0" applyFont="1" applyFill="1" applyBorder="1" applyAlignment="1">
      <alignment horizontal="left" wrapText="1"/>
    </xf>
    <xf numFmtId="0" fontId="8" fillId="6" borderId="0" xfId="0" applyFont="1" applyFill="1" applyAlignment="1">
      <alignment wrapText="1"/>
    </xf>
    <xf numFmtId="0" fontId="8" fillId="6" borderId="0" xfId="0" applyFont="1" applyFill="1"/>
    <xf numFmtId="170" fontId="3" fillId="0" borderId="0" xfId="0" applyNumberFormat="1" applyFont="1" applyAlignment="1">
      <alignment horizontal="right" wrapText="1"/>
    </xf>
    <xf numFmtId="1" fontId="3" fillId="3" borderId="8" xfId="0" applyNumberFormat="1" applyFont="1" applyFill="1" applyBorder="1"/>
    <xf numFmtId="3" fontId="3" fillId="3" borderId="8" xfId="0" applyNumberFormat="1" applyFont="1" applyFill="1" applyBorder="1" applyAlignment="1">
      <alignment horizontal="right"/>
    </xf>
    <xf numFmtId="3" fontId="3" fillId="3" borderId="8" xfId="0" applyNumberFormat="1" applyFont="1" applyFill="1" applyBorder="1" applyAlignment="1">
      <alignment horizontal="right" wrapText="1"/>
    </xf>
    <xf numFmtId="3" fontId="3" fillId="3" borderId="10" xfId="0" applyNumberFormat="1" applyFont="1" applyFill="1" applyBorder="1" applyAlignment="1">
      <alignment horizontal="right"/>
    </xf>
    <xf numFmtId="166" fontId="3" fillId="3" borderId="9" xfId="0" applyNumberFormat="1" applyFont="1" applyFill="1" applyBorder="1" applyAlignment="1">
      <alignment wrapText="1"/>
    </xf>
    <xf numFmtId="170" fontId="3" fillId="0" borderId="0" xfId="0" applyNumberFormat="1" applyFont="1"/>
    <xf numFmtId="170" fontId="3" fillId="0" borderId="0" xfId="0" applyNumberFormat="1" applyFont="1" applyFill="1"/>
    <xf numFmtId="1" fontId="5" fillId="0" borderId="8" xfId="0" applyNumberFormat="1" applyFont="1" applyBorder="1"/>
    <xf numFmtId="0" fontId="8" fillId="5" borderId="0" xfId="0" applyFont="1" applyFill="1" applyBorder="1" applyAlignment="1">
      <alignment horizontal="center" wrapText="1"/>
    </xf>
    <xf numFmtId="0" fontId="7" fillId="5" borderId="8" xfId="0" applyFont="1" applyFill="1" applyBorder="1" applyAlignment="1">
      <alignment horizontal="center" wrapText="1"/>
    </xf>
    <xf numFmtId="0" fontId="7" fillId="5" borderId="12" xfId="0" applyFont="1" applyFill="1" applyBorder="1" applyAlignment="1">
      <alignment horizontal="center" wrapText="1"/>
    </xf>
    <xf numFmtId="0" fontId="8" fillId="5" borderId="13" xfId="0" applyFont="1" applyFill="1" applyBorder="1" applyAlignment="1">
      <alignment wrapText="1"/>
    </xf>
    <xf numFmtId="0" fontId="7" fillId="5" borderId="8" xfId="0" applyFont="1" applyFill="1" applyBorder="1" applyAlignment="1">
      <alignment horizontal="center"/>
    </xf>
    <xf numFmtId="0" fontId="7" fillId="5" borderId="14" xfId="0" applyFont="1" applyFill="1" applyBorder="1" applyAlignment="1">
      <alignment horizontal="center"/>
    </xf>
    <xf numFmtId="166" fontId="8" fillId="5" borderId="8" xfId="0" applyNumberFormat="1" applyFont="1" applyFill="1" applyBorder="1" applyAlignment="1">
      <alignment wrapText="1"/>
    </xf>
    <xf numFmtId="0" fontId="8" fillId="5" borderId="14" xfId="0" applyFont="1" applyFill="1" applyBorder="1"/>
    <xf numFmtId="0" fontId="8" fillId="5" borderId="14" xfId="0" applyFont="1" applyFill="1" applyBorder="1" applyAlignment="1">
      <alignment wrapText="1"/>
    </xf>
    <xf numFmtId="166" fontId="8" fillId="5" borderId="14" xfId="0" applyNumberFormat="1" applyFont="1" applyFill="1" applyBorder="1" applyAlignment="1">
      <alignment wrapText="1"/>
    </xf>
    <xf numFmtId="0" fontId="8" fillId="5" borderId="15" xfId="0" applyFont="1" applyFill="1" applyBorder="1" applyAlignment="1">
      <alignment wrapText="1"/>
    </xf>
    <xf numFmtId="0" fontId="7" fillId="5" borderId="13" xfId="0" applyFont="1" applyFill="1" applyBorder="1" applyAlignment="1">
      <alignment horizontal="center" wrapText="1"/>
    </xf>
    <xf numFmtId="0" fontId="7" fillId="5" borderId="14" xfId="0" applyFont="1" applyFill="1" applyBorder="1" applyAlignment="1">
      <alignment horizontal="center" wrapText="1"/>
    </xf>
    <xf numFmtId="0" fontId="8" fillId="5" borderId="16" xfId="0" applyFont="1" applyFill="1" applyBorder="1" applyAlignment="1">
      <alignment horizontal="left" wrapText="1"/>
    </xf>
    <xf numFmtId="1" fontId="8" fillId="5" borderId="8" xfId="0" applyNumberFormat="1" applyFont="1" applyFill="1" applyBorder="1" applyAlignment="1">
      <alignment horizontal="center"/>
    </xf>
    <xf numFmtId="1" fontId="8" fillId="5" borderId="8" xfId="0" applyNumberFormat="1" applyFont="1" applyFill="1" applyBorder="1" applyAlignment="1">
      <alignment horizontal="center" wrapText="1"/>
    </xf>
    <xf numFmtId="0" fontId="8" fillId="5" borderId="17" xfId="0" applyFont="1" applyFill="1" applyBorder="1" applyAlignment="1">
      <alignment wrapText="1"/>
    </xf>
    <xf numFmtId="1" fontId="8" fillId="5" borderId="6" xfId="0" applyNumberFormat="1" applyFont="1" applyFill="1" applyBorder="1" applyAlignment="1">
      <alignment horizontal="center"/>
    </xf>
    <xf numFmtId="0" fontId="8" fillId="5" borderId="8" xfId="0" applyFont="1" applyFill="1" applyBorder="1"/>
    <xf numFmtId="0" fontId="8" fillId="5" borderId="8" xfId="0" applyFont="1" applyFill="1" applyBorder="1" applyAlignment="1">
      <alignment horizontal="center"/>
    </xf>
    <xf numFmtId="0" fontId="8" fillId="5" borderId="18" xfId="0" applyFont="1" applyFill="1" applyBorder="1" applyAlignment="1">
      <alignment horizontal="center" wrapText="1"/>
    </xf>
    <xf numFmtId="0" fontId="8" fillId="5" borderId="12" xfId="0" applyFont="1" applyFill="1" applyBorder="1" applyAlignment="1">
      <alignment horizontal="left" wrapText="1"/>
    </xf>
    <xf numFmtId="0" fontId="8" fillId="5" borderId="0" xfId="0" applyFont="1" applyFill="1" applyBorder="1" applyAlignment="1">
      <alignment horizontal="left" wrapText="1"/>
    </xf>
    <xf numFmtId="0" fontId="8" fillId="6" borderId="0" xfId="0" applyFont="1" applyFill="1" applyAlignment="1">
      <alignment horizontal="center"/>
    </xf>
    <xf numFmtId="0" fontId="8" fillId="5" borderId="12" xfId="0" applyFont="1" applyFill="1" applyBorder="1"/>
    <xf numFmtId="0" fontId="8" fillId="5" borderId="19" xfId="0" applyFont="1" applyFill="1" applyBorder="1"/>
    <xf numFmtId="3" fontId="4" fillId="0" borderId="0" xfId="0" applyNumberFormat="1" applyFont="1" applyFill="1" applyAlignment="1">
      <alignment horizontal="center"/>
    </xf>
    <xf numFmtId="3" fontId="4" fillId="0" borderId="0" xfId="0" applyNumberFormat="1" applyFont="1" applyFill="1"/>
    <xf numFmtId="0" fontId="8" fillId="6" borderId="0" xfId="0" applyFont="1" applyFill="1" applyBorder="1" applyAlignment="1">
      <alignment horizontal="center" wrapText="1"/>
    </xf>
    <xf numFmtId="0" fontId="7" fillId="5" borderId="9" xfId="0" applyFont="1" applyFill="1" applyBorder="1" applyAlignment="1">
      <alignment horizontal="center" wrapText="1"/>
    </xf>
    <xf numFmtId="0" fontId="7" fillId="5" borderId="18" xfId="0" applyFont="1" applyFill="1" applyBorder="1" applyAlignment="1">
      <alignment wrapText="1"/>
    </xf>
    <xf numFmtId="0" fontId="8" fillId="5" borderId="9" xfId="0" applyFont="1" applyFill="1" applyBorder="1"/>
    <xf numFmtId="0" fontId="8" fillId="5" borderId="14" xfId="0" applyFont="1" applyFill="1" applyBorder="1" applyAlignment="1">
      <alignment horizontal="center" wrapText="1"/>
    </xf>
    <xf numFmtId="0" fontId="8" fillId="5" borderId="13" xfId="0" applyFont="1" applyFill="1" applyBorder="1" applyAlignment="1">
      <alignment horizontal="center" wrapText="1"/>
    </xf>
    <xf numFmtId="0" fontId="8" fillId="5" borderId="8" xfId="0" applyFont="1" applyFill="1" applyBorder="1" applyAlignment="1">
      <alignment horizontal="center" wrapText="1"/>
    </xf>
    <xf numFmtId="0" fontId="8" fillId="5" borderId="15" xfId="0" applyFont="1" applyFill="1" applyBorder="1" applyAlignment="1">
      <alignment horizontal="center" wrapText="1"/>
    </xf>
    <xf numFmtId="0" fontId="8" fillId="5" borderId="20" xfId="0" applyFont="1" applyFill="1" applyBorder="1" applyAlignment="1">
      <alignment horizontal="center" wrapText="1"/>
    </xf>
    <xf numFmtId="0" fontId="8" fillId="5" borderId="21" xfId="0" applyFont="1" applyFill="1" applyBorder="1" applyAlignment="1">
      <alignment horizontal="center" wrapText="1"/>
    </xf>
    <xf numFmtId="0" fontId="8" fillId="5" borderId="22" xfId="0" applyFont="1" applyFill="1" applyBorder="1" applyAlignment="1">
      <alignment horizontal="center"/>
    </xf>
    <xf numFmtId="0" fontId="8" fillId="6" borderId="0" xfId="0" applyFont="1" applyFill="1" applyBorder="1" applyAlignment="1">
      <alignment horizontal="center"/>
    </xf>
    <xf numFmtId="0" fontId="7" fillId="5" borderId="0" xfId="0" applyFont="1" applyFill="1" applyBorder="1" applyAlignment="1">
      <alignment horizontal="left"/>
    </xf>
    <xf numFmtId="0" fontId="11" fillId="5" borderId="22" xfId="0" applyFont="1" applyFill="1" applyBorder="1" applyAlignment="1">
      <alignment horizontal="center"/>
    </xf>
    <xf numFmtId="0" fontId="8" fillId="5" borderId="14" xfId="0" applyFont="1" applyFill="1" applyBorder="1" applyAlignment="1">
      <alignment horizontal="center"/>
    </xf>
    <xf numFmtId="0" fontId="8" fillId="5" borderId="13" xfId="0" applyFont="1" applyFill="1" applyBorder="1"/>
    <xf numFmtId="0" fontId="8" fillId="5" borderId="23" xfId="0" applyFont="1" applyFill="1" applyBorder="1"/>
    <xf numFmtId="0" fontId="11" fillId="5" borderId="24" xfId="0" applyFont="1" applyFill="1" applyBorder="1" applyAlignment="1">
      <alignment horizontal="center"/>
    </xf>
    <xf numFmtId="0" fontId="7" fillId="5" borderId="12" xfId="0" applyFont="1" applyFill="1" applyBorder="1" applyAlignment="1">
      <alignment wrapText="1"/>
    </xf>
    <xf numFmtId="0" fontId="8" fillId="5" borderId="25" xfId="0" applyFont="1" applyFill="1" applyBorder="1"/>
    <xf numFmtId="0" fontId="8" fillId="5" borderId="26" xfId="0" applyFont="1" applyFill="1" applyBorder="1" applyAlignment="1">
      <alignment horizontal="center"/>
    </xf>
    <xf numFmtId="0" fontId="8" fillId="5" borderId="27" xfId="0" applyFont="1" applyFill="1" applyBorder="1"/>
    <xf numFmtId="0" fontId="11" fillId="5" borderId="28" xfId="0" applyFont="1" applyFill="1" applyBorder="1" applyAlignment="1">
      <alignment horizontal="center"/>
    </xf>
    <xf numFmtId="0" fontId="11" fillId="5" borderId="29" xfId="0" applyFont="1" applyFill="1" applyBorder="1" applyAlignment="1">
      <alignment horizontal="center"/>
    </xf>
    <xf numFmtId="0" fontId="8" fillId="5" borderId="26" xfId="0" applyFont="1" applyFill="1" applyBorder="1" applyAlignment="1">
      <alignment horizontal="right"/>
    </xf>
    <xf numFmtId="0" fontId="8" fillId="5" borderId="30" xfId="0" applyFont="1" applyFill="1" applyBorder="1" applyAlignment="1">
      <alignment horizontal="center"/>
    </xf>
    <xf numFmtId="1" fontId="8" fillId="5" borderId="14" xfId="0" applyNumberFormat="1" applyFont="1" applyFill="1" applyBorder="1" applyAlignment="1">
      <alignment horizontal="center"/>
    </xf>
    <xf numFmtId="0" fontId="8" fillId="5" borderId="12" xfId="0" applyFont="1" applyFill="1" applyBorder="1" applyAlignment="1">
      <alignment wrapText="1"/>
    </xf>
    <xf numFmtId="0" fontId="8" fillId="5" borderId="24" xfId="0" applyFont="1" applyFill="1" applyBorder="1" applyAlignment="1">
      <alignment horizontal="center"/>
    </xf>
    <xf numFmtId="0" fontId="8" fillId="6" borderId="19" xfId="0" applyFont="1" applyFill="1" applyBorder="1" applyAlignment="1">
      <alignment horizontal="center"/>
    </xf>
    <xf numFmtId="0" fontId="8" fillId="5" borderId="19" xfId="0" applyFont="1" applyFill="1" applyBorder="1" applyAlignment="1">
      <alignment horizontal="center"/>
    </xf>
    <xf numFmtId="0" fontId="8" fillId="5" borderId="25" xfId="0" applyFont="1" applyFill="1" applyBorder="1" applyAlignment="1">
      <alignment wrapText="1"/>
    </xf>
    <xf numFmtId="0" fontId="8" fillId="5" borderId="27" xfId="0" applyFont="1" applyFill="1" applyBorder="1" applyAlignment="1">
      <alignment wrapText="1"/>
    </xf>
    <xf numFmtId="0" fontId="8" fillId="5" borderId="28" xfId="0" applyFont="1" applyFill="1" applyBorder="1" applyAlignment="1">
      <alignment horizontal="center"/>
    </xf>
    <xf numFmtId="0" fontId="8" fillId="5" borderId="29" xfId="0" applyFont="1" applyFill="1" applyBorder="1" applyAlignment="1">
      <alignment horizontal="center"/>
    </xf>
    <xf numFmtId="0" fontId="8" fillId="6" borderId="0" xfId="0" applyFont="1" applyFill="1" applyBorder="1"/>
    <xf numFmtId="0" fontId="8" fillId="6" borderId="19" xfId="0" applyFont="1" applyFill="1" applyBorder="1"/>
    <xf numFmtId="0" fontId="10" fillId="6" borderId="0" xfId="0" applyFont="1" applyFill="1" applyAlignment="1">
      <alignment horizontal="center"/>
    </xf>
    <xf numFmtId="0" fontId="7" fillId="6" borderId="0" xfId="0" applyFont="1" applyFill="1" applyAlignment="1">
      <alignment wrapText="1"/>
    </xf>
    <xf numFmtId="9" fontId="8" fillId="6" borderId="0" xfId="0" applyNumberFormat="1" applyFont="1" applyFill="1" applyBorder="1" applyAlignment="1">
      <alignment horizontal="right" wrapText="1"/>
    </xf>
    <xf numFmtId="10" fontId="8" fillId="6" borderId="0" xfId="0" applyNumberFormat="1" applyFont="1" applyFill="1" applyBorder="1" applyAlignment="1">
      <alignment horizontal="right" wrapText="1"/>
    </xf>
    <xf numFmtId="0" fontId="8" fillId="6" borderId="0" xfId="0" applyFont="1" applyFill="1" applyBorder="1" applyAlignment="1">
      <alignment wrapText="1"/>
    </xf>
    <xf numFmtId="0" fontId="7" fillId="6" borderId="0" xfId="0" applyFont="1" applyFill="1" applyBorder="1"/>
    <xf numFmtId="0" fontId="8" fillId="6" borderId="0" xfId="0" applyFont="1" applyFill="1" applyBorder="1" applyAlignment="1">
      <alignment horizontal="right"/>
    </xf>
    <xf numFmtId="166" fontId="8" fillId="6" borderId="0" xfId="0" applyNumberFormat="1" applyFont="1" applyFill="1" applyBorder="1" applyAlignment="1">
      <alignment wrapText="1"/>
    </xf>
    <xf numFmtId="0" fontId="8" fillId="6" borderId="0" xfId="0" applyFont="1" applyFill="1" applyBorder="1" applyAlignment="1">
      <alignment horizontal="left" wrapText="1"/>
    </xf>
    <xf numFmtId="168" fontId="8" fillId="6" borderId="0" xfId="0" applyNumberFormat="1" applyFont="1" applyFill="1" applyBorder="1" applyAlignment="1">
      <alignment wrapText="1"/>
    </xf>
    <xf numFmtId="0" fontId="7" fillId="5" borderId="8" xfId="0" applyFont="1" applyFill="1" applyBorder="1"/>
    <xf numFmtId="0" fontId="7" fillId="6" borderId="0" xfId="0" applyFont="1" applyFill="1" applyAlignment="1">
      <alignment horizontal="left" wrapText="1"/>
    </xf>
    <xf numFmtId="166" fontId="8" fillId="6" borderId="0" xfId="0" applyNumberFormat="1" applyFont="1" applyFill="1" applyBorder="1" applyAlignment="1">
      <alignment horizontal="left" wrapText="1"/>
    </xf>
    <xf numFmtId="166" fontId="8" fillId="6" borderId="0" xfId="0" applyNumberFormat="1" applyFont="1" applyFill="1" applyAlignment="1">
      <alignment wrapText="1"/>
    </xf>
    <xf numFmtId="0" fontId="8" fillId="6" borderId="12" xfId="0" applyFont="1" applyFill="1" applyBorder="1" applyAlignment="1">
      <alignment wrapText="1"/>
    </xf>
    <xf numFmtId="166" fontId="8" fillId="6" borderId="19" xfId="0" applyNumberFormat="1" applyFont="1" applyFill="1" applyBorder="1" applyAlignment="1">
      <alignment wrapText="1"/>
    </xf>
    <xf numFmtId="0" fontId="7" fillId="5" borderId="31" xfId="0" applyFont="1" applyFill="1" applyBorder="1" applyAlignment="1">
      <alignment horizontal="center" wrapText="1"/>
    </xf>
    <xf numFmtId="0" fontId="7" fillId="5" borderId="32" xfId="0" applyFont="1" applyFill="1" applyBorder="1" applyAlignment="1">
      <alignment horizontal="center" wrapText="1"/>
    </xf>
    <xf numFmtId="170" fontId="8" fillId="5" borderId="8" xfId="0" applyNumberFormat="1" applyFont="1" applyFill="1" applyBorder="1" applyAlignment="1">
      <alignment wrapText="1"/>
    </xf>
    <xf numFmtId="170" fontId="8" fillId="5" borderId="13" xfId="0" applyNumberFormat="1" applyFont="1" applyFill="1" applyBorder="1" applyAlignment="1">
      <alignment wrapText="1"/>
    </xf>
    <xf numFmtId="0" fontId="8" fillId="5" borderId="16" xfId="0" applyFont="1" applyFill="1" applyBorder="1" applyAlignment="1">
      <alignment wrapText="1"/>
    </xf>
    <xf numFmtId="166" fontId="7" fillId="5" borderId="8" xfId="0" applyNumberFormat="1" applyFont="1" applyFill="1" applyBorder="1" applyAlignment="1">
      <alignment wrapText="1"/>
    </xf>
    <xf numFmtId="166" fontId="7" fillId="5" borderId="14" xfId="0" applyNumberFormat="1" applyFont="1" applyFill="1" applyBorder="1" applyAlignment="1">
      <alignment wrapText="1"/>
    </xf>
    <xf numFmtId="0" fontId="8" fillId="6" borderId="19" xfId="0" applyFont="1" applyFill="1" applyBorder="1" applyAlignment="1">
      <alignment wrapText="1"/>
    </xf>
    <xf numFmtId="0" fontId="7" fillId="5" borderId="13" xfId="0" applyFont="1" applyFill="1" applyBorder="1" applyAlignment="1">
      <alignment horizontal="center"/>
    </xf>
    <xf numFmtId="0" fontId="10" fillId="7" borderId="33" xfId="0" applyFont="1" applyFill="1" applyBorder="1" applyAlignment="1">
      <alignment horizontal="right" wrapText="1"/>
    </xf>
    <xf numFmtId="0" fontId="10" fillId="7" borderId="34" xfId="0" applyFont="1" applyFill="1" applyBorder="1" applyAlignment="1">
      <alignment horizontal="left" wrapText="1"/>
    </xf>
    <xf numFmtId="0" fontId="7" fillId="5" borderId="0" xfId="0" applyFont="1" applyFill="1" applyBorder="1" applyAlignment="1">
      <alignment horizontal="center" wrapText="1"/>
    </xf>
    <xf numFmtId="0" fontId="10" fillId="7" borderId="0" xfId="0" applyFont="1" applyFill="1" applyBorder="1" applyAlignment="1">
      <alignment horizontal="center" wrapText="1"/>
    </xf>
    <xf numFmtId="0" fontId="8" fillId="7" borderId="35" xfId="0" applyFont="1" applyFill="1" applyBorder="1" applyAlignment="1">
      <alignment horizontal="center" wrapText="1"/>
    </xf>
    <xf numFmtId="0" fontId="8" fillId="7" borderId="36" xfId="0" applyFont="1" applyFill="1" applyBorder="1" applyAlignment="1">
      <alignment horizontal="center" wrapText="1"/>
    </xf>
    <xf numFmtId="0" fontId="8" fillId="7" borderId="37" xfId="0" applyFont="1" applyFill="1" applyBorder="1" applyAlignment="1">
      <alignment horizontal="center" wrapText="1"/>
    </xf>
    <xf numFmtId="0" fontId="8" fillId="7" borderId="12" xfId="0" applyFont="1" applyFill="1" applyBorder="1" applyAlignment="1">
      <alignment horizontal="center" wrapText="1"/>
    </xf>
    <xf numFmtId="0" fontId="8" fillId="7" borderId="0" xfId="0" applyFont="1" applyFill="1" applyBorder="1" applyAlignment="1">
      <alignment horizontal="center" wrapText="1"/>
    </xf>
    <xf numFmtId="0" fontId="8" fillId="7" borderId="19" xfId="0" applyFont="1" applyFill="1" applyBorder="1" applyAlignment="1">
      <alignment horizontal="center" wrapText="1"/>
    </xf>
    <xf numFmtId="0" fontId="8" fillId="7" borderId="25" xfId="0" applyFont="1" applyFill="1" applyBorder="1" applyAlignment="1">
      <alignment horizontal="center" wrapText="1"/>
    </xf>
    <xf numFmtId="0" fontId="8" fillId="7" borderId="26" xfId="0" applyFont="1" applyFill="1" applyBorder="1" applyAlignment="1">
      <alignment horizontal="center" wrapText="1"/>
    </xf>
    <xf numFmtId="0" fontId="8" fillId="7" borderId="30" xfId="0" applyFont="1" applyFill="1" applyBorder="1" applyAlignment="1">
      <alignment horizontal="center" wrapText="1"/>
    </xf>
    <xf numFmtId="0" fontId="8" fillId="7" borderId="36" xfId="0" applyFont="1" applyFill="1" applyBorder="1"/>
    <xf numFmtId="0" fontId="8" fillId="7" borderId="36" xfId="0" applyFont="1" applyFill="1" applyBorder="1" applyAlignment="1"/>
    <xf numFmtId="166" fontId="8" fillId="5" borderId="38" xfId="0" applyNumberFormat="1" applyFont="1" applyFill="1" applyBorder="1" applyAlignment="1">
      <alignment horizontal="center" wrapText="1"/>
    </xf>
    <xf numFmtId="166" fontId="8" fillId="5" borderId="39" xfId="0" applyNumberFormat="1" applyFont="1" applyFill="1" applyBorder="1" applyAlignment="1">
      <alignment horizontal="center" wrapText="1"/>
    </xf>
    <xf numFmtId="43" fontId="8" fillId="6" borderId="0" xfId="1" applyFont="1" applyFill="1" applyBorder="1" applyAlignment="1">
      <alignment wrapText="1"/>
    </xf>
    <xf numFmtId="1" fontId="4" fillId="0" borderId="10" xfId="0" applyNumberFormat="1" applyFont="1" applyBorder="1"/>
    <xf numFmtId="1" fontId="3" fillId="3" borderId="0" xfId="0" applyNumberFormat="1" applyFont="1" applyFill="1" applyBorder="1"/>
    <xf numFmtId="0" fontId="3" fillId="3" borderId="0" xfId="0" applyFont="1" applyFill="1" applyBorder="1" applyAlignment="1">
      <alignment wrapText="1"/>
    </xf>
    <xf numFmtId="3" fontId="3" fillId="8" borderId="8" xfId="0" applyNumberFormat="1" applyFont="1" applyFill="1" applyBorder="1" applyAlignment="1">
      <alignment horizontal="right"/>
    </xf>
    <xf numFmtId="3" fontId="3" fillId="8" borderId="0" xfId="0" applyNumberFormat="1" applyFont="1" applyFill="1" applyBorder="1"/>
    <xf numFmtId="3" fontId="3" fillId="8" borderId="0" xfId="0" applyNumberFormat="1" applyFont="1" applyFill="1"/>
    <xf numFmtId="0" fontId="8" fillId="5" borderId="13" xfId="0" applyFont="1" applyFill="1" applyBorder="1" applyAlignment="1">
      <alignment horizontal="left"/>
    </xf>
    <xf numFmtId="0" fontId="8" fillId="5" borderId="13" xfId="0" applyFont="1" applyFill="1" applyBorder="1" applyAlignment="1"/>
    <xf numFmtId="0" fontId="7" fillId="6" borderId="12" xfId="0" applyFont="1" applyFill="1" applyBorder="1" applyAlignment="1">
      <alignment horizontal="center" wrapText="1"/>
    </xf>
    <xf numFmtId="0" fontId="5" fillId="6" borderId="0" xfId="0" applyFont="1" applyFill="1" applyBorder="1" applyAlignment="1">
      <alignment horizontal="left" wrapText="1"/>
    </xf>
    <xf numFmtId="0" fontId="11" fillId="5" borderId="0" xfId="0" applyFont="1" applyFill="1" applyBorder="1" applyAlignment="1">
      <alignment horizontal="center"/>
    </xf>
    <xf numFmtId="0" fontId="11" fillId="5" borderId="19" xfId="0" applyFont="1" applyFill="1" applyBorder="1" applyAlignment="1">
      <alignment horizontal="center"/>
    </xf>
    <xf numFmtId="0" fontId="10" fillId="7" borderId="40" xfId="0" applyFont="1" applyFill="1" applyBorder="1" applyAlignment="1">
      <alignment horizontal="center" wrapText="1"/>
    </xf>
    <xf numFmtId="3" fontId="8" fillId="5" borderId="0" xfId="0" applyNumberFormat="1" applyFont="1" applyFill="1" applyBorder="1" applyAlignment="1">
      <alignment horizontal="center" wrapText="1"/>
    </xf>
    <xf numFmtId="0" fontId="7" fillId="5" borderId="12" xfId="0" applyFont="1" applyFill="1" applyBorder="1" applyAlignment="1">
      <alignment horizontal="left" wrapText="1"/>
    </xf>
    <xf numFmtId="0" fontId="12" fillId="5" borderId="19" xfId="0" applyFont="1" applyFill="1" applyBorder="1" applyAlignment="1">
      <alignment wrapText="1"/>
    </xf>
    <xf numFmtId="0" fontId="7" fillId="5" borderId="8" xfId="0" applyFont="1" applyFill="1" applyBorder="1" applyAlignment="1">
      <alignment wrapText="1"/>
    </xf>
    <xf numFmtId="9" fontId="8" fillId="5" borderId="14" xfId="4" applyFont="1" applyFill="1" applyBorder="1" applyAlignment="1">
      <alignment wrapText="1"/>
    </xf>
    <xf numFmtId="166" fontId="8" fillId="5" borderId="21" xfId="0" applyNumberFormat="1" applyFont="1" applyFill="1" applyBorder="1" applyAlignment="1">
      <alignment wrapText="1"/>
    </xf>
    <xf numFmtId="170" fontId="8" fillId="5" borderId="8" xfId="0" applyNumberFormat="1" applyFont="1" applyFill="1" applyBorder="1" applyAlignment="1">
      <alignment horizontal="center" wrapText="1"/>
    </xf>
    <xf numFmtId="3" fontId="8" fillId="5" borderId="41" xfId="0" applyNumberFormat="1" applyFont="1" applyFill="1" applyBorder="1" applyAlignment="1">
      <alignment horizontal="center" wrapText="1"/>
    </xf>
    <xf numFmtId="3" fontId="8" fillId="5" borderId="26" xfId="0" applyNumberFormat="1" applyFont="1" applyFill="1" applyBorder="1" applyAlignment="1">
      <alignment horizontal="center" wrapText="1"/>
    </xf>
    <xf numFmtId="3" fontId="8" fillId="5" borderId="1" xfId="0" applyNumberFormat="1" applyFont="1" applyFill="1" applyBorder="1" applyAlignment="1">
      <alignment horizontal="center" wrapText="1"/>
    </xf>
    <xf numFmtId="44" fontId="8" fillId="5" borderId="19" xfId="2" applyFont="1" applyFill="1" applyBorder="1" applyAlignment="1">
      <alignment horizontal="center" wrapText="1"/>
    </xf>
    <xf numFmtId="44" fontId="8" fillId="5" borderId="30" xfId="2" applyFont="1" applyFill="1" applyBorder="1" applyAlignment="1">
      <alignment horizontal="center" wrapText="1"/>
    </xf>
    <xf numFmtId="0" fontId="4" fillId="0" borderId="42" xfId="0" applyFont="1" applyBorder="1" applyAlignment="1">
      <alignment horizontal="center"/>
    </xf>
    <xf numFmtId="0" fontId="3" fillId="0" borderId="0" xfId="0" applyFont="1" applyAlignment="1">
      <alignment horizontal="left"/>
    </xf>
    <xf numFmtId="166" fontId="3" fillId="0" borderId="0" xfId="0" applyNumberFormat="1" applyFont="1" applyAlignment="1">
      <alignment horizontal="right"/>
    </xf>
    <xf numFmtId="0" fontId="8" fillId="5" borderId="20" xfId="0" applyFont="1" applyFill="1" applyBorder="1"/>
    <xf numFmtId="3" fontId="3" fillId="8" borderId="8" xfId="0" applyNumberFormat="1" applyFont="1" applyFill="1" applyBorder="1" applyAlignment="1">
      <alignment horizontal="right" wrapText="1"/>
    </xf>
    <xf numFmtId="166" fontId="7" fillId="6" borderId="0" xfId="0" applyNumberFormat="1" applyFont="1" applyFill="1" applyBorder="1" applyAlignment="1">
      <alignment wrapText="1"/>
    </xf>
    <xf numFmtId="166" fontId="7" fillId="6" borderId="0" xfId="0" applyNumberFormat="1" applyFont="1" applyFill="1" applyAlignment="1">
      <alignment wrapText="1"/>
    </xf>
    <xf numFmtId="1" fontId="3" fillId="0" borderId="8" xfId="0" applyNumberFormat="1" applyFont="1" applyFill="1" applyBorder="1" applyAlignment="1">
      <alignment horizontal="right"/>
    </xf>
    <xf numFmtId="1" fontId="3" fillId="0" borderId="8" xfId="0" applyNumberFormat="1" applyFont="1" applyBorder="1" applyAlignment="1">
      <alignment horizontal="right"/>
    </xf>
    <xf numFmtId="1" fontId="5" fillId="0" borderId="8" xfId="0" applyNumberFormat="1" applyFont="1" applyFill="1" applyBorder="1" applyAlignment="1">
      <alignment horizontal="right"/>
    </xf>
    <xf numFmtId="1" fontId="3" fillId="0" borderId="8" xfId="0" applyNumberFormat="1" applyFont="1" applyBorder="1" applyAlignment="1"/>
    <xf numFmtId="166" fontId="14" fillId="5" borderId="19" xfId="0" applyNumberFormat="1" applyFont="1" applyFill="1" applyBorder="1" applyAlignment="1">
      <alignment horizontal="center" wrapText="1"/>
    </xf>
    <xf numFmtId="0" fontId="4" fillId="0" borderId="0" xfId="0" applyFont="1" applyFill="1" applyAlignment="1">
      <alignment horizontal="left" wrapText="1"/>
    </xf>
    <xf numFmtId="166" fontId="4" fillId="0" borderId="0" xfId="0" applyNumberFormat="1" applyFont="1" applyFill="1" applyAlignment="1">
      <alignment wrapText="1"/>
    </xf>
    <xf numFmtId="0" fontId="8" fillId="7" borderId="0" xfId="0" applyFont="1" applyFill="1"/>
    <xf numFmtId="1" fontId="0" fillId="0" borderId="8" xfId="0" applyNumberFormat="1" applyFill="1" applyBorder="1" applyAlignment="1">
      <alignment wrapText="1"/>
    </xf>
    <xf numFmtId="175" fontId="3" fillId="0" borderId="0" xfId="0" applyNumberFormat="1" applyFont="1"/>
    <xf numFmtId="0" fontId="0" fillId="5" borderId="0" xfId="0" applyFill="1" applyAlignment="1"/>
    <xf numFmtId="0" fontId="4" fillId="5" borderId="0" xfId="0" applyFont="1" applyFill="1" applyAlignment="1">
      <alignment horizontal="center"/>
    </xf>
    <xf numFmtId="0" fontId="10" fillId="5" borderId="0" xfId="0" applyFont="1" applyFill="1" applyAlignment="1">
      <alignment horizontal="center"/>
    </xf>
    <xf numFmtId="0" fontId="0" fillId="5" borderId="0" xfId="0" applyFill="1" applyAlignment="1">
      <alignment horizontal="left"/>
    </xf>
    <xf numFmtId="0" fontId="4" fillId="0" borderId="4" xfId="0" applyFont="1" applyBorder="1" applyAlignment="1">
      <alignment horizontal="center"/>
    </xf>
    <xf numFmtId="0" fontId="3" fillId="0" borderId="8" xfId="0" applyFont="1" applyBorder="1"/>
    <xf numFmtId="167" fontId="3" fillId="0" borderId="8" xfId="0" applyNumberFormat="1" applyFont="1" applyFill="1" applyBorder="1"/>
    <xf numFmtId="167" fontId="3" fillId="0" borderId="8" xfId="0" applyNumberFormat="1" applyFont="1" applyBorder="1"/>
    <xf numFmtId="0" fontId="8" fillId="5" borderId="14" xfId="0" applyFont="1" applyFill="1" applyBorder="1" applyAlignment="1">
      <alignment horizontal="left" wrapText="1"/>
    </xf>
    <xf numFmtId="0" fontId="8" fillId="5" borderId="0" xfId="0" applyFont="1" applyFill="1" applyAlignment="1">
      <alignment wrapText="1"/>
    </xf>
    <xf numFmtId="0" fontId="8" fillId="5" borderId="0" xfId="0" applyFont="1" applyFill="1" applyBorder="1" applyAlignment="1">
      <alignment wrapText="1"/>
    </xf>
    <xf numFmtId="3" fontId="7" fillId="5" borderId="0" xfId="0" applyNumberFormat="1" applyFont="1" applyFill="1" applyBorder="1" applyAlignment="1">
      <alignment horizontal="center" wrapText="1"/>
    </xf>
    <xf numFmtId="0" fontId="8" fillId="5" borderId="0" xfId="0" applyFont="1" applyFill="1" applyAlignment="1">
      <alignment horizontal="center" wrapText="1"/>
    </xf>
    <xf numFmtId="166" fontId="8" fillId="6" borderId="0" xfId="0" applyNumberFormat="1" applyFont="1" applyFill="1" applyBorder="1" applyAlignment="1">
      <alignment horizontal="center" wrapText="1"/>
    </xf>
    <xf numFmtId="0" fontId="8" fillId="5" borderId="0" xfId="0" applyFont="1" applyFill="1"/>
    <xf numFmtId="0" fontId="0" fillId="6" borderId="0" xfId="0" applyFill="1"/>
    <xf numFmtId="1" fontId="3" fillId="6" borderId="8" xfId="0" applyNumberFormat="1" applyFont="1" applyFill="1" applyBorder="1"/>
    <xf numFmtId="3" fontId="8" fillId="6" borderId="8" xfId="0" applyNumberFormat="1" applyFont="1" applyFill="1" applyBorder="1" applyAlignment="1" applyProtection="1">
      <alignment horizontal="center" wrapText="1"/>
      <protection locked="0"/>
    </xf>
    <xf numFmtId="0" fontId="7" fillId="6" borderId="8" xfId="0" applyFont="1" applyFill="1" applyBorder="1" applyAlignment="1" applyProtection="1">
      <alignment horizontal="center" wrapText="1"/>
      <protection locked="0"/>
    </xf>
    <xf numFmtId="3" fontId="8" fillId="6" borderId="9" xfId="0" applyNumberFormat="1" applyFont="1" applyFill="1" applyBorder="1" applyAlignment="1" applyProtection="1">
      <alignment horizontal="center" wrapText="1"/>
      <protection locked="0"/>
    </xf>
    <xf numFmtId="9" fontId="8" fillId="6" borderId="8" xfId="0" applyNumberFormat="1" applyFont="1" applyFill="1" applyBorder="1" applyAlignment="1" applyProtection="1">
      <alignment horizontal="center" wrapText="1"/>
      <protection locked="0"/>
    </xf>
    <xf numFmtId="166" fontId="8" fillId="6" borderId="8" xfId="0" applyNumberFormat="1" applyFont="1" applyFill="1" applyBorder="1" applyAlignment="1" applyProtection="1">
      <alignment horizontal="center" wrapText="1"/>
      <protection locked="0"/>
    </xf>
    <xf numFmtId="1" fontId="8" fillId="6" borderId="14" xfId="0" applyNumberFormat="1" applyFont="1" applyFill="1" applyBorder="1" applyAlignment="1" applyProtection="1">
      <alignment horizontal="center"/>
      <protection locked="0"/>
    </xf>
    <xf numFmtId="1" fontId="8" fillId="6" borderId="14" xfId="0" applyNumberFormat="1" applyFont="1" applyFill="1" applyBorder="1" applyAlignment="1" applyProtection="1">
      <alignment horizontal="center" wrapText="1"/>
      <protection locked="0"/>
    </xf>
    <xf numFmtId="1" fontId="8" fillId="6" borderId="43" xfId="0" applyNumberFormat="1" applyFont="1" applyFill="1" applyBorder="1" applyAlignment="1" applyProtection="1">
      <alignment horizontal="center"/>
      <protection locked="0"/>
    </xf>
    <xf numFmtId="0" fontId="8" fillId="5" borderId="13" xfId="0" applyFont="1" applyFill="1" applyBorder="1" applyAlignment="1" applyProtection="1">
      <alignment wrapText="1"/>
      <protection locked="0"/>
    </xf>
    <xf numFmtId="0" fontId="8" fillId="5" borderId="17" xfId="0" applyFont="1" applyFill="1" applyBorder="1" applyAlignment="1" applyProtection="1">
      <alignment wrapText="1"/>
      <protection locked="0"/>
    </xf>
    <xf numFmtId="0" fontId="8" fillId="5" borderId="13" xfId="0" applyFont="1" applyFill="1" applyBorder="1" applyProtection="1">
      <protection locked="0"/>
    </xf>
    <xf numFmtId="3" fontId="8" fillId="6" borderId="44" xfId="0" applyNumberFormat="1" applyFont="1" applyFill="1" applyBorder="1" applyAlignment="1" applyProtection="1">
      <alignment horizontal="center" wrapText="1"/>
      <protection locked="0"/>
    </xf>
    <xf numFmtId="0" fontId="8" fillId="6" borderId="44" xfId="0" applyFont="1" applyFill="1" applyBorder="1" applyAlignment="1" applyProtection="1">
      <alignment horizontal="center"/>
      <protection locked="0"/>
    </xf>
    <xf numFmtId="0" fontId="8" fillId="6" borderId="8" xfId="0" applyFont="1" applyFill="1" applyBorder="1" applyAlignment="1" applyProtection="1">
      <alignment wrapText="1"/>
      <protection locked="0"/>
    </xf>
    <xf numFmtId="9" fontId="8" fillId="6" borderId="8" xfId="4" applyFont="1" applyFill="1" applyBorder="1" applyAlignment="1" applyProtection="1">
      <alignment wrapText="1"/>
      <protection locked="0"/>
    </xf>
    <xf numFmtId="166" fontId="8" fillId="6" borderId="8" xfId="2" applyNumberFormat="1" applyFont="1" applyFill="1" applyBorder="1" applyAlignment="1" applyProtection="1">
      <alignment wrapText="1"/>
      <protection locked="0"/>
    </xf>
    <xf numFmtId="166" fontId="8" fillId="6" borderId="6" xfId="2" applyNumberFormat="1" applyFont="1" applyFill="1" applyBorder="1" applyAlignment="1" applyProtection="1">
      <alignment wrapText="1"/>
      <protection locked="0"/>
    </xf>
    <xf numFmtId="166" fontId="8" fillId="6" borderId="20" xfId="0" applyNumberFormat="1" applyFont="1" applyFill="1" applyBorder="1" applyAlignment="1" applyProtection="1">
      <alignment wrapText="1"/>
      <protection locked="0"/>
    </xf>
    <xf numFmtId="0" fontId="7" fillId="5" borderId="13" xfId="0" applyFont="1" applyFill="1" applyBorder="1" applyAlignment="1" applyProtection="1">
      <alignment wrapText="1"/>
    </xf>
    <xf numFmtId="3" fontId="8" fillId="5" borderId="8" xfId="0" applyNumberFormat="1" applyFont="1" applyFill="1" applyBorder="1" applyAlignment="1" applyProtection="1">
      <alignment horizontal="center"/>
    </xf>
    <xf numFmtId="9" fontId="8" fillId="5" borderId="8" xfId="0" applyNumberFormat="1" applyFont="1" applyFill="1" applyBorder="1" applyAlignment="1" applyProtection="1">
      <alignment horizontal="center"/>
    </xf>
    <xf numFmtId="166" fontId="8" fillId="5" borderId="8" xfId="0" applyNumberFormat="1" applyFont="1" applyFill="1" applyBorder="1" applyAlignment="1" applyProtection="1">
      <alignment horizontal="center"/>
    </xf>
    <xf numFmtId="0" fontId="7" fillId="5" borderId="15" xfId="0" applyFont="1" applyFill="1" applyBorder="1" applyAlignment="1" applyProtection="1">
      <alignment wrapText="1"/>
    </xf>
    <xf numFmtId="166" fontId="8" fillId="5" borderId="6" xfId="0" applyNumberFormat="1" applyFont="1" applyFill="1" applyBorder="1" applyAlignment="1" applyProtection="1">
      <alignment horizontal="center"/>
    </xf>
    <xf numFmtId="166" fontId="8" fillId="5" borderId="20" xfId="0" applyNumberFormat="1" applyFont="1" applyFill="1" applyBorder="1" applyAlignment="1" applyProtection="1">
      <alignment horizontal="center" wrapText="1"/>
    </xf>
    <xf numFmtId="0" fontId="8" fillId="5" borderId="8" xfId="0" applyFont="1" applyFill="1" applyBorder="1" applyAlignment="1" applyProtection="1">
      <alignment wrapText="1"/>
      <protection locked="0"/>
    </xf>
    <xf numFmtId="0" fontId="8" fillId="5" borderId="6" xfId="0" applyFont="1" applyFill="1" applyBorder="1" applyAlignment="1" applyProtection="1">
      <alignment wrapText="1"/>
      <protection locked="0"/>
    </xf>
    <xf numFmtId="0" fontId="8" fillId="5" borderId="20" xfId="0" applyFont="1" applyFill="1" applyBorder="1" applyAlignment="1" applyProtection="1">
      <alignment wrapText="1"/>
      <protection locked="0"/>
    </xf>
    <xf numFmtId="0" fontId="8" fillId="6" borderId="0" xfId="0" applyFont="1" applyFill="1" applyProtection="1">
      <protection locked="0"/>
    </xf>
    <xf numFmtId="0" fontId="8" fillId="5" borderId="15" xfId="0" applyFont="1" applyFill="1" applyBorder="1" applyAlignment="1" applyProtection="1">
      <alignment wrapText="1"/>
      <protection locked="0"/>
    </xf>
    <xf numFmtId="0" fontId="8" fillId="5" borderId="15" xfId="0" applyFont="1" applyFill="1" applyBorder="1" applyAlignment="1" applyProtection="1">
      <alignment horizontal="left" wrapText="1"/>
      <protection locked="0"/>
    </xf>
    <xf numFmtId="166" fontId="8" fillId="6" borderId="8" xfId="0" applyNumberFormat="1" applyFont="1" applyFill="1" applyBorder="1" applyProtection="1">
      <protection locked="0"/>
    </xf>
    <xf numFmtId="170" fontId="8" fillId="6" borderId="14" xfId="0" applyNumberFormat="1" applyFont="1" applyFill="1" applyBorder="1" applyAlignment="1" applyProtection="1">
      <alignment wrapText="1"/>
      <protection locked="0"/>
    </xf>
    <xf numFmtId="0" fontId="7" fillId="5" borderId="12" xfId="0" applyFont="1" applyFill="1" applyBorder="1" applyAlignment="1">
      <alignment horizontal="center"/>
    </xf>
    <xf numFmtId="0" fontId="8" fillId="5" borderId="30" xfId="0" applyFont="1" applyFill="1" applyBorder="1"/>
    <xf numFmtId="0" fontId="7" fillId="5" borderId="45" xfId="0" applyFont="1" applyFill="1" applyBorder="1" applyAlignment="1">
      <alignment wrapText="1"/>
    </xf>
    <xf numFmtId="0" fontId="8" fillId="5" borderId="4" xfId="0" applyFont="1" applyFill="1" applyBorder="1"/>
    <xf numFmtId="0" fontId="8" fillId="5" borderId="46" xfId="0" applyFont="1" applyFill="1" applyBorder="1"/>
    <xf numFmtId="0" fontId="12" fillId="6" borderId="0" xfId="0" applyFont="1" applyFill="1" applyAlignment="1">
      <alignment wrapText="1"/>
    </xf>
    <xf numFmtId="10" fontId="3" fillId="0" borderId="0" xfId="0" applyNumberFormat="1" applyFont="1" applyFill="1" applyAlignment="1">
      <alignment wrapText="1"/>
    </xf>
    <xf numFmtId="10" fontId="3" fillId="0" borderId="0" xfId="0" applyNumberFormat="1" applyFont="1" applyFill="1"/>
    <xf numFmtId="10" fontId="3" fillId="0" borderId="0" xfId="0" applyNumberFormat="1" applyFont="1"/>
    <xf numFmtId="0" fontId="3" fillId="0" borderId="0" xfId="0" applyFont="1" applyFill="1" applyAlignment="1" applyProtection="1">
      <alignment wrapText="1"/>
      <protection locked="0"/>
    </xf>
    <xf numFmtId="0" fontId="8" fillId="5" borderId="12" xfId="0" applyFont="1" applyFill="1" applyBorder="1" applyAlignment="1" applyProtection="1">
      <alignment wrapText="1"/>
      <protection locked="0"/>
    </xf>
    <xf numFmtId="0" fontId="3" fillId="0" borderId="10" xfId="0" applyFont="1" applyFill="1" applyBorder="1" applyAlignment="1" applyProtection="1">
      <alignment wrapText="1"/>
      <protection locked="0"/>
    </xf>
    <xf numFmtId="166" fontId="8" fillId="5" borderId="8" xfId="0" applyNumberFormat="1" applyFont="1" applyFill="1" applyBorder="1" applyAlignment="1">
      <alignment horizontal="right" wrapText="1"/>
    </xf>
    <xf numFmtId="166" fontId="8" fillId="5" borderId="39" xfId="0" applyNumberFormat="1" applyFont="1" applyFill="1" applyBorder="1" applyAlignment="1">
      <alignment horizontal="right" wrapText="1"/>
    </xf>
    <xf numFmtId="4" fontId="10" fillId="7" borderId="40" xfId="0" applyNumberFormat="1" applyFont="1" applyFill="1" applyBorder="1" applyAlignment="1">
      <alignment wrapText="1"/>
    </xf>
    <xf numFmtId="0" fontId="14" fillId="6" borderId="0" xfId="0" applyFont="1" applyFill="1" applyBorder="1" applyAlignment="1">
      <alignment horizontal="left" wrapText="1"/>
    </xf>
    <xf numFmtId="0" fontId="10" fillId="6" borderId="35" xfId="0" applyFont="1" applyFill="1" applyBorder="1" applyAlignment="1">
      <alignment horizontal="right" wrapText="1"/>
    </xf>
    <xf numFmtId="4" fontId="10" fillId="6" borderId="36" xfId="0" applyNumberFormat="1" applyFont="1" applyFill="1" applyBorder="1" applyAlignment="1">
      <alignment wrapText="1"/>
    </xf>
    <xf numFmtId="0" fontId="10" fillId="6" borderId="37" xfId="0" applyFont="1" applyFill="1" applyBorder="1" applyAlignment="1">
      <alignment horizontal="left" wrapText="1"/>
    </xf>
    <xf numFmtId="0" fontId="8" fillId="5" borderId="43" xfId="0" applyFont="1" applyFill="1" applyBorder="1" applyAlignment="1">
      <alignment horizontal="left" wrapText="1"/>
    </xf>
    <xf numFmtId="0" fontId="8" fillId="0" borderId="13" xfId="0" applyFont="1" applyFill="1" applyBorder="1" applyAlignment="1" applyProtection="1">
      <alignment wrapText="1"/>
      <protection locked="0"/>
    </xf>
    <xf numFmtId="166" fontId="8" fillId="0" borderId="8" xfId="0" applyNumberFormat="1" applyFont="1" applyFill="1" applyBorder="1"/>
    <xf numFmtId="42" fontId="8" fillId="5" borderId="18" xfId="2" applyNumberFormat="1" applyFont="1" applyFill="1" applyBorder="1" applyAlignment="1">
      <alignment horizontal="center" wrapText="1"/>
    </xf>
    <xf numFmtId="42" fontId="8" fillId="5" borderId="14" xfId="2" applyNumberFormat="1" applyFont="1" applyFill="1" applyBorder="1" applyAlignment="1">
      <alignment horizontal="center" wrapText="1"/>
    </xf>
    <xf numFmtId="0" fontId="7" fillId="5" borderId="13" xfId="0" applyFont="1" applyFill="1" applyBorder="1"/>
    <xf numFmtId="9" fontId="8" fillId="6" borderId="30" xfId="0" applyNumberFormat="1" applyFont="1" applyFill="1" applyBorder="1" applyAlignment="1" applyProtection="1">
      <alignment horizontal="center"/>
      <protection locked="0"/>
    </xf>
    <xf numFmtId="0" fontId="3" fillId="6" borderId="0" xfId="0" applyFont="1" applyFill="1"/>
    <xf numFmtId="0" fontId="4" fillId="6" borderId="0" xfId="0" applyFont="1" applyFill="1" applyAlignment="1">
      <alignment horizontal="center" wrapText="1"/>
    </xf>
    <xf numFmtId="3" fontId="0" fillId="6" borderId="0" xfId="0" applyNumberFormat="1" applyFill="1"/>
    <xf numFmtId="2" fontId="0" fillId="6" borderId="0" xfId="0" applyNumberFormat="1" applyFill="1"/>
    <xf numFmtId="0" fontId="6" fillId="6" borderId="0" xfId="3" applyFill="1" applyAlignment="1" applyProtection="1"/>
    <xf numFmtId="0" fontId="8" fillId="5" borderId="23" xfId="0" applyFont="1" applyFill="1" applyBorder="1" applyAlignment="1">
      <alignment horizontal="left" wrapText="1"/>
    </xf>
    <xf numFmtId="1" fontId="8" fillId="6" borderId="0" xfId="0" applyNumberFormat="1" applyFont="1" applyFill="1" applyBorder="1" applyAlignment="1" applyProtection="1">
      <alignment horizontal="center"/>
      <protection locked="0"/>
    </xf>
    <xf numFmtId="0" fontId="8" fillId="6" borderId="0" xfId="0" applyFont="1" applyFill="1" applyBorder="1" applyAlignment="1" applyProtection="1">
      <alignment horizontal="left" wrapText="1"/>
      <protection locked="0"/>
    </xf>
    <xf numFmtId="0" fontId="8" fillId="5" borderId="16" xfId="0" applyFont="1" applyFill="1" applyBorder="1" applyAlignment="1" applyProtection="1">
      <alignment horizontal="left" wrapText="1"/>
      <protection locked="0"/>
    </xf>
    <xf numFmtId="166" fontId="8" fillId="5" borderId="14" xfId="0" applyNumberFormat="1" applyFont="1" applyFill="1" applyBorder="1" applyAlignment="1" applyProtection="1">
      <alignment wrapText="1"/>
    </xf>
    <xf numFmtId="166" fontId="8" fillId="5" borderId="21" xfId="0" applyNumberFormat="1" applyFont="1" applyFill="1" applyBorder="1" applyAlignment="1" applyProtection="1">
      <alignment wrapText="1"/>
    </xf>
    <xf numFmtId="9" fontId="8" fillId="5" borderId="14" xfId="0" applyNumberFormat="1" applyFont="1" applyFill="1" applyBorder="1" applyAlignment="1" applyProtection="1">
      <alignment wrapText="1"/>
    </xf>
    <xf numFmtId="9" fontId="8" fillId="5" borderId="19" xfId="0" applyNumberFormat="1" applyFont="1" applyFill="1" applyBorder="1" applyAlignment="1" applyProtection="1">
      <alignment wrapText="1"/>
    </xf>
    <xf numFmtId="166" fontId="8" fillId="5" borderId="18" xfId="0" applyNumberFormat="1" applyFont="1" applyFill="1" applyBorder="1" applyAlignment="1" applyProtection="1">
      <alignment horizontal="center"/>
    </xf>
    <xf numFmtId="1" fontId="8" fillId="5" borderId="21" xfId="0" applyNumberFormat="1" applyFont="1" applyFill="1" applyBorder="1" applyAlignment="1" applyProtection="1">
      <alignment horizontal="center"/>
    </xf>
    <xf numFmtId="166" fontId="8" fillId="6" borderId="47" xfId="0" applyNumberFormat="1" applyFont="1" applyFill="1" applyBorder="1" applyProtection="1">
      <protection locked="0"/>
    </xf>
    <xf numFmtId="166" fontId="8" fillId="6" borderId="48" xfId="0" applyNumberFormat="1" applyFont="1" applyFill="1" applyBorder="1" applyProtection="1">
      <protection locked="0"/>
    </xf>
    <xf numFmtId="166" fontId="8" fillId="6" borderId="49" xfId="0" applyNumberFormat="1" applyFont="1" applyFill="1" applyBorder="1" applyProtection="1">
      <protection locked="0"/>
    </xf>
    <xf numFmtId="0" fontId="7" fillId="5" borderId="18" xfId="0" applyFont="1" applyFill="1" applyBorder="1" applyAlignment="1">
      <alignment horizontal="center" wrapText="1"/>
    </xf>
    <xf numFmtId="0" fontId="7" fillId="5" borderId="47" xfId="0" applyFont="1" applyFill="1" applyBorder="1" applyAlignment="1">
      <alignment horizontal="center" wrapText="1"/>
    </xf>
    <xf numFmtId="0" fontId="10" fillId="7" borderId="0" xfId="0" applyFont="1" applyFill="1" applyBorder="1" applyAlignment="1">
      <alignment horizontal="center"/>
    </xf>
    <xf numFmtId="0" fontId="10" fillId="7" borderId="0" xfId="0" applyFont="1" applyFill="1" applyBorder="1" applyAlignment="1">
      <alignment horizontal="center" wrapText="1"/>
    </xf>
    <xf numFmtId="0" fontId="10" fillId="7" borderId="12" xfId="0" applyFont="1" applyFill="1" applyBorder="1" applyAlignment="1">
      <alignment horizontal="center" wrapText="1"/>
    </xf>
    <xf numFmtId="0" fontId="10" fillId="7" borderId="19" xfId="0" applyFont="1" applyFill="1" applyBorder="1" applyAlignment="1">
      <alignment horizontal="center" wrapText="1"/>
    </xf>
    <xf numFmtId="0" fontId="7" fillId="6" borderId="35" xfId="0" applyFont="1" applyFill="1" applyBorder="1" applyAlignment="1">
      <alignment horizontal="center" wrapText="1"/>
    </xf>
    <xf numFmtId="0" fontId="7" fillId="6" borderId="36" xfId="0" applyFont="1" applyFill="1" applyBorder="1" applyAlignment="1">
      <alignment horizontal="center" wrapText="1"/>
    </xf>
    <xf numFmtId="0" fontId="7" fillId="6" borderId="37" xfId="0" applyFont="1" applyFill="1" applyBorder="1" applyAlignment="1">
      <alignment horizontal="center" wrapText="1"/>
    </xf>
    <xf numFmtId="0" fontId="8" fillId="7" borderId="35" xfId="0" applyFont="1" applyFill="1" applyBorder="1" applyAlignment="1">
      <alignment horizontal="center"/>
    </xf>
    <xf numFmtId="0" fontId="8" fillId="7" borderId="36" xfId="0" applyFont="1" applyFill="1" applyBorder="1" applyAlignment="1">
      <alignment horizontal="center"/>
    </xf>
    <xf numFmtId="0" fontId="8" fillId="7" borderId="37" xfId="0" applyFont="1" applyFill="1" applyBorder="1" applyAlignment="1">
      <alignment horizontal="center"/>
    </xf>
    <xf numFmtId="0" fontId="8" fillId="7" borderId="12" xfId="0" applyFont="1" applyFill="1" applyBorder="1" applyAlignment="1">
      <alignment horizontal="center"/>
    </xf>
    <xf numFmtId="0" fontId="8" fillId="7" borderId="0" xfId="0" applyFont="1" applyFill="1" applyBorder="1" applyAlignment="1">
      <alignment horizontal="center"/>
    </xf>
    <xf numFmtId="0" fontId="8" fillId="7" borderId="19" xfId="0" applyFont="1" applyFill="1" applyBorder="1" applyAlignment="1">
      <alignment horizontal="center"/>
    </xf>
    <xf numFmtId="0" fontId="8" fillId="7" borderId="25" xfId="0" applyFont="1" applyFill="1" applyBorder="1" applyAlignment="1">
      <alignment horizontal="center"/>
    </xf>
    <xf numFmtId="0" fontId="8" fillId="7" borderId="26" xfId="0" applyFont="1" applyFill="1" applyBorder="1" applyAlignment="1">
      <alignment horizontal="center"/>
    </xf>
    <xf numFmtId="0" fontId="8" fillId="7" borderId="30" xfId="0" applyFont="1" applyFill="1" applyBorder="1" applyAlignment="1">
      <alignment horizontal="center"/>
    </xf>
    <xf numFmtId="0" fontId="7" fillId="6" borderId="25" xfId="0" applyFont="1" applyFill="1" applyBorder="1" applyAlignment="1">
      <alignment horizontal="center" wrapText="1"/>
    </xf>
    <xf numFmtId="0" fontId="7" fillId="6" borderId="26" xfId="0" applyFont="1" applyFill="1" applyBorder="1" applyAlignment="1">
      <alignment horizontal="center" wrapText="1"/>
    </xf>
    <xf numFmtId="0" fontId="7" fillId="6" borderId="30" xfId="0" applyFont="1" applyFill="1" applyBorder="1" applyAlignment="1">
      <alignment horizontal="center" wrapText="1"/>
    </xf>
    <xf numFmtId="0" fontId="10" fillId="7" borderId="33" xfId="0" applyFont="1" applyFill="1" applyBorder="1" applyAlignment="1">
      <alignment horizontal="center" wrapText="1"/>
    </xf>
    <xf numFmtId="0" fontId="10" fillId="7" borderId="40" xfId="0" applyFont="1" applyFill="1" applyBorder="1" applyAlignment="1">
      <alignment horizontal="center" wrapText="1"/>
    </xf>
    <xf numFmtId="0" fontId="10" fillId="7" borderId="34" xfId="0" applyFont="1" applyFill="1" applyBorder="1" applyAlignment="1">
      <alignment horizontal="center" wrapText="1"/>
    </xf>
    <xf numFmtId="0" fontId="10" fillId="7" borderId="33" xfId="0" applyFont="1" applyFill="1" applyBorder="1" applyAlignment="1">
      <alignment horizontal="center"/>
    </xf>
    <xf numFmtId="0" fontId="10" fillId="7" borderId="40" xfId="0" applyFont="1" applyFill="1" applyBorder="1" applyAlignment="1">
      <alignment horizontal="center"/>
    </xf>
    <xf numFmtId="0" fontId="10" fillId="7" borderId="34" xfId="0" applyFont="1" applyFill="1" applyBorder="1" applyAlignment="1">
      <alignment horizontal="center"/>
    </xf>
    <xf numFmtId="0" fontId="8" fillId="6" borderId="33" xfId="0" applyFont="1" applyFill="1" applyBorder="1" applyAlignment="1">
      <alignment horizontal="center"/>
    </xf>
    <xf numFmtId="0" fontId="8" fillId="6" borderId="40" xfId="0" applyFont="1" applyFill="1" applyBorder="1" applyAlignment="1">
      <alignment horizontal="center"/>
    </xf>
    <xf numFmtId="0" fontId="8" fillId="6" borderId="34" xfId="0" applyFont="1" applyFill="1" applyBorder="1" applyAlignment="1">
      <alignment horizontal="center"/>
    </xf>
    <xf numFmtId="0" fontId="8" fillId="5" borderId="0" xfId="0" applyFont="1" applyFill="1" applyBorder="1" applyAlignment="1">
      <alignment horizontal="left" wrapText="1"/>
    </xf>
    <xf numFmtId="0" fontId="10" fillId="7" borderId="55" xfId="0" applyFont="1" applyFill="1" applyBorder="1" applyAlignment="1">
      <alignment horizontal="center" wrapText="1"/>
    </xf>
    <xf numFmtId="0" fontId="10" fillId="7" borderId="11" xfId="0" applyFont="1" applyFill="1" applyBorder="1" applyAlignment="1">
      <alignment horizontal="center" wrapText="1"/>
    </xf>
    <xf numFmtId="0" fontId="10" fillId="7" borderId="54" xfId="0" applyFont="1" applyFill="1" applyBorder="1" applyAlignment="1">
      <alignment horizontal="center" wrapText="1"/>
    </xf>
    <xf numFmtId="0" fontId="12" fillId="5" borderId="0" xfId="0" applyFont="1" applyFill="1" applyBorder="1" applyAlignment="1">
      <alignment horizontal="left" wrapText="1"/>
    </xf>
    <xf numFmtId="0" fontId="8" fillId="6" borderId="0" xfId="0" applyFont="1" applyFill="1" applyBorder="1" applyAlignment="1">
      <alignment horizontal="left" wrapText="1"/>
    </xf>
    <xf numFmtId="0" fontId="10" fillId="7" borderId="0" xfId="0" applyFont="1" applyFill="1" applyAlignment="1">
      <alignment horizontal="center" wrapText="1"/>
    </xf>
    <xf numFmtId="0" fontId="7" fillId="5" borderId="0" xfId="0" applyFont="1" applyFill="1" applyBorder="1" applyAlignment="1">
      <alignment horizontal="left" wrapText="1"/>
    </xf>
    <xf numFmtId="0" fontId="8" fillId="5" borderId="56" xfId="0" applyFont="1" applyFill="1" applyBorder="1" applyAlignment="1">
      <alignment horizontal="center" wrapText="1"/>
    </xf>
    <xf numFmtId="0" fontId="8" fillId="5" borderId="57" xfId="0" applyFont="1" applyFill="1" applyBorder="1" applyAlignment="1">
      <alignment horizontal="center" wrapText="1"/>
    </xf>
    <xf numFmtId="0" fontId="8" fillId="5" borderId="58"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Border="1" applyAlignment="1">
      <alignment horizontal="center" wrapText="1"/>
    </xf>
    <xf numFmtId="0" fontId="7" fillId="5" borderId="19" xfId="0" applyFont="1" applyFill="1" applyBorder="1" applyAlignment="1">
      <alignment horizontal="center" wrapText="1"/>
    </xf>
    <xf numFmtId="0" fontId="7" fillId="5" borderId="56" xfId="0" applyFont="1" applyFill="1" applyBorder="1" applyAlignment="1">
      <alignment horizontal="center" wrapText="1"/>
    </xf>
    <xf numFmtId="0" fontId="7" fillId="5" borderId="57" xfId="0" applyFont="1" applyFill="1" applyBorder="1" applyAlignment="1">
      <alignment horizontal="center" wrapText="1"/>
    </xf>
    <xf numFmtId="0" fontId="7" fillId="5" borderId="58" xfId="0" applyFont="1" applyFill="1" applyBorder="1" applyAlignment="1">
      <alignment horizontal="center" wrapText="1"/>
    </xf>
    <xf numFmtId="0" fontId="7" fillId="5" borderId="12" xfId="0" applyFont="1" applyFill="1" applyBorder="1" applyAlignment="1">
      <alignment horizontal="center"/>
    </xf>
    <xf numFmtId="0" fontId="7" fillId="5" borderId="0" xfId="0" applyFont="1" applyFill="1" applyBorder="1" applyAlignment="1">
      <alignment horizontal="center"/>
    </xf>
    <xf numFmtId="0" fontId="7" fillId="5" borderId="19" xfId="0" applyFont="1" applyFill="1" applyBorder="1" applyAlignment="1">
      <alignment horizontal="center"/>
    </xf>
    <xf numFmtId="0" fontId="8" fillId="5" borderId="27" xfId="0" applyFont="1" applyFill="1" applyBorder="1" applyAlignment="1">
      <alignment horizontal="left" wrapText="1"/>
    </xf>
    <xf numFmtId="0" fontId="8" fillId="5" borderId="28" xfId="0" applyFont="1" applyFill="1" applyBorder="1" applyAlignment="1">
      <alignment horizontal="left" wrapText="1"/>
    </xf>
    <xf numFmtId="0" fontId="8" fillId="5" borderId="29" xfId="0" applyFont="1" applyFill="1" applyBorder="1" applyAlignment="1">
      <alignment horizontal="left" wrapText="1"/>
    </xf>
    <xf numFmtId="0" fontId="7" fillId="5" borderId="19" xfId="0" applyFont="1" applyFill="1" applyBorder="1" applyAlignment="1">
      <alignment horizontal="left" wrapText="1"/>
    </xf>
    <xf numFmtId="0" fontId="10" fillId="7" borderId="35" xfId="0" applyFont="1" applyFill="1" applyBorder="1" applyAlignment="1">
      <alignment horizontal="center" wrapText="1"/>
    </xf>
    <xf numFmtId="0" fontId="10" fillId="7" borderId="36" xfId="0" applyFont="1" applyFill="1" applyBorder="1" applyAlignment="1">
      <alignment horizontal="center" wrapText="1"/>
    </xf>
    <xf numFmtId="0" fontId="10" fillId="7" borderId="37" xfId="0" applyFont="1" applyFill="1" applyBorder="1" applyAlignment="1">
      <alignment horizontal="center" wrapText="1"/>
    </xf>
    <xf numFmtId="0" fontId="7" fillId="5" borderId="59" xfId="0" applyFont="1" applyFill="1" applyBorder="1" applyAlignment="1">
      <alignment horizontal="center" wrapText="1"/>
    </xf>
    <xf numFmtId="0" fontId="7" fillId="5" borderId="39" xfId="0" applyFont="1" applyFill="1" applyBorder="1" applyAlignment="1">
      <alignment horizontal="center" wrapText="1"/>
    </xf>
    <xf numFmtId="0" fontId="7" fillId="5" borderId="3" xfId="0" applyFont="1" applyFill="1" applyBorder="1" applyAlignment="1">
      <alignment horizontal="center" wrapText="1"/>
    </xf>
    <xf numFmtId="0" fontId="7" fillId="5" borderId="46" xfId="0" applyFont="1" applyFill="1" applyBorder="1" applyAlignment="1">
      <alignment horizontal="center" wrapText="1"/>
    </xf>
    <xf numFmtId="0" fontId="7" fillId="5" borderId="38" xfId="0" applyFont="1" applyFill="1" applyBorder="1" applyAlignment="1">
      <alignment horizontal="center"/>
    </xf>
    <xf numFmtId="0" fontId="7" fillId="5" borderId="39" xfId="0" applyFont="1" applyFill="1" applyBorder="1" applyAlignment="1">
      <alignment horizontal="center"/>
    </xf>
    <xf numFmtId="0" fontId="10" fillId="7" borderId="35" xfId="0" applyFont="1" applyFill="1" applyBorder="1" applyAlignment="1">
      <alignment horizontal="center"/>
    </xf>
    <xf numFmtId="0" fontId="10" fillId="7" borderId="36" xfId="0" applyFont="1" applyFill="1" applyBorder="1" applyAlignment="1">
      <alignment horizontal="center"/>
    </xf>
    <xf numFmtId="0" fontId="10" fillId="7" borderId="37" xfId="0" applyFont="1" applyFill="1" applyBorder="1" applyAlignment="1">
      <alignment horizontal="center"/>
    </xf>
    <xf numFmtId="0" fontId="8" fillId="5" borderId="51" xfId="0" applyFont="1" applyFill="1" applyBorder="1" applyAlignment="1">
      <alignment horizontal="left" wrapText="1"/>
    </xf>
    <xf numFmtId="0" fontId="8" fillId="5" borderId="52" xfId="0" applyFont="1" applyFill="1" applyBorder="1" applyAlignment="1">
      <alignment horizontal="left" wrapText="1"/>
    </xf>
    <xf numFmtId="0" fontId="8" fillId="5" borderId="53" xfId="0" applyFont="1" applyFill="1" applyBorder="1" applyAlignment="1">
      <alignment horizontal="left" wrapText="1"/>
    </xf>
    <xf numFmtId="1" fontId="7" fillId="5" borderId="38" xfId="0" applyNumberFormat="1" applyFont="1" applyFill="1" applyBorder="1" applyAlignment="1">
      <alignment horizontal="center" wrapText="1"/>
    </xf>
    <xf numFmtId="1" fontId="7" fillId="5" borderId="39" xfId="0" applyNumberFormat="1" applyFont="1" applyFill="1" applyBorder="1" applyAlignment="1">
      <alignment horizontal="center" wrapText="1"/>
    </xf>
    <xf numFmtId="0" fontId="8" fillId="5" borderId="50" xfId="0" applyFont="1" applyFill="1" applyBorder="1" applyAlignment="1">
      <alignment horizontal="left" wrapText="1"/>
    </xf>
    <xf numFmtId="0" fontId="8" fillId="5" borderId="31" xfId="0" applyFont="1" applyFill="1" applyBorder="1" applyAlignment="1">
      <alignment horizontal="left" wrapText="1"/>
    </xf>
    <xf numFmtId="0" fontId="8" fillId="5" borderId="32" xfId="0" applyFont="1" applyFill="1" applyBorder="1" applyAlignment="1">
      <alignment horizontal="left" wrapText="1"/>
    </xf>
    <xf numFmtId="0" fontId="10" fillId="7" borderId="60" xfId="0" applyFont="1" applyFill="1" applyBorder="1" applyAlignment="1">
      <alignment horizontal="center"/>
    </xf>
    <xf numFmtId="0" fontId="10" fillId="7" borderId="61" xfId="0" applyFont="1" applyFill="1" applyBorder="1" applyAlignment="1">
      <alignment horizontal="center"/>
    </xf>
    <xf numFmtId="0" fontId="10" fillId="7" borderId="62" xfId="0" applyFont="1" applyFill="1" applyBorder="1" applyAlignment="1">
      <alignment horizontal="center"/>
    </xf>
    <xf numFmtId="0" fontId="8" fillId="5" borderId="59" xfId="0" applyFont="1" applyFill="1" applyBorder="1" applyAlignment="1">
      <alignment horizontal="left" wrapText="1"/>
    </xf>
    <xf numFmtId="0" fontId="8" fillId="5" borderId="42" xfId="0" applyFont="1" applyFill="1" applyBorder="1" applyAlignment="1">
      <alignment horizontal="left" wrapText="1"/>
    </xf>
    <xf numFmtId="0" fontId="8" fillId="5" borderId="39" xfId="0" applyFont="1" applyFill="1" applyBorder="1" applyAlignment="1">
      <alignment horizontal="left" wrapText="1"/>
    </xf>
    <xf numFmtId="0" fontId="8" fillId="5" borderId="60" xfId="0" applyFont="1" applyFill="1" applyBorder="1" applyAlignment="1">
      <alignment horizontal="center" wrapText="1"/>
    </xf>
    <xf numFmtId="0" fontId="8" fillId="5" borderId="61" xfId="0" applyFont="1" applyFill="1" applyBorder="1" applyAlignment="1">
      <alignment horizontal="center" wrapText="1"/>
    </xf>
    <xf numFmtId="0" fontId="8" fillId="5" borderId="62" xfId="0" applyFont="1" applyFill="1" applyBorder="1" applyAlignment="1">
      <alignment horizontal="center" wrapText="1"/>
    </xf>
    <xf numFmtId="0" fontId="8" fillId="5" borderId="12" xfId="0" applyFont="1" applyFill="1" applyBorder="1" applyAlignment="1">
      <alignment horizontal="left" wrapText="1"/>
    </xf>
    <xf numFmtId="0" fontId="8" fillId="5" borderId="25" xfId="0" applyFont="1" applyFill="1" applyBorder="1" applyAlignment="1">
      <alignment horizontal="left" wrapText="1"/>
    </xf>
    <xf numFmtId="0" fontId="8" fillId="5" borderId="26" xfId="0" applyFont="1" applyFill="1" applyBorder="1" applyAlignment="1">
      <alignment horizontal="left" wrapText="1"/>
    </xf>
    <xf numFmtId="0" fontId="8" fillId="5" borderId="35" xfId="0" applyFont="1" applyFill="1" applyBorder="1" applyAlignment="1">
      <alignment horizontal="left"/>
    </xf>
    <xf numFmtId="0" fontId="8" fillId="5" borderId="36" xfId="0" applyFont="1" applyFill="1" applyBorder="1" applyAlignment="1">
      <alignment horizontal="left"/>
    </xf>
    <xf numFmtId="0" fontId="8" fillId="5" borderId="37" xfId="0" applyFont="1" applyFill="1" applyBorder="1" applyAlignment="1">
      <alignment horizontal="left"/>
    </xf>
    <xf numFmtId="0" fontId="8" fillId="5" borderId="25" xfId="0" applyFont="1" applyFill="1" applyBorder="1" applyAlignment="1">
      <alignment horizontal="left"/>
    </xf>
    <xf numFmtId="0" fontId="8" fillId="5" borderId="26" xfId="0" applyFont="1" applyFill="1" applyBorder="1" applyAlignment="1">
      <alignment horizontal="left"/>
    </xf>
    <xf numFmtId="0" fontId="8" fillId="5" borderId="30" xfId="0" applyFont="1" applyFill="1" applyBorder="1" applyAlignment="1">
      <alignment horizontal="left"/>
    </xf>
    <xf numFmtId="0" fontId="10" fillId="7" borderId="17" xfId="0" applyFont="1" applyFill="1" applyBorder="1" applyAlignment="1">
      <alignment horizontal="center" wrapText="1"/>
    </xf>
    <xf numFmtId="0" fontId="10" fillId="7" borderId="6" xfId="0" applyFont="1" applyFill="1" applyBorder="1" applyAlignment="1">
      <alignment horizontal="center" wrapText="1"/>
    </xf>
    <xf numFmtId="0" fontId="10" fillId="7" borderId="43" xfId="0" applyFont="1" applyFill="1" applyBorder="1" applyAlignment="1">
      <alignment horizontal="center" wrapText="1"/>
    </xf>
    <xf numFmtId="0" fontId="8" fillId="5" borderId="16" xfId="0" applyFont="1" applyFill="1" applyBorder="1" applyAlignment="1">
      <alignment horizontal="center" wrapText="1"/>
    </xf>
    <xf numFmtId="0" fontId="8" fillId="5" borderId="9" xfId="0" applyFont="1" applyFill="1" applyBorder="1" applyAlignment="1">
      <alignment horizontal="center" wrapText="1"/>
    </xf>
    <xf numFmtId="0" fontId="8" fillId="5" borderId="18" xfId="0" applyFont="1" applyFill="1" applyBorder="1" applyAlignment="1">
      <alignment horizontal="center" wrapText="1"/>
    </xf>
    <xf numFmtId="0" fontId="10" fillId="7" borderId="25" xfId="0" applyFont="1" applyFill="1" applyBorder="1" applyAlignment="1">
      <alignment horizontal="center" wrapText="1"/>
    </xf>
    <xf numFmtId="0" fontId="10" fillId="7" borderId="26" xfId="0" applyFont="1" applyFill="1" applyBorder="1" applyAlignment="1">
      <alignment horizontal="center" wrapText="1"/>
    </xf>
    <xf numFmtId="0" fontId="0" fillId="0" borderId="36" xfId="0" applyBorder="1"/>
    <xf numFmtId="0" fontId="0" fillId="0" borderId="37" xfId="0" applyBorder="1"/>
    <xf numFmtId="0" fontId="0" fillId="0" borderId="45" xfId="0" applyBorder="1"/>
    <xf numFmtId="0" fontId="0" fillId="0" borderId="4" xfId="0" applyBorder="1"/>
    <xf numFmtId="0" fontId="0" fillId="0" borderId="46" xfId="0" applyBorder="1"/>
    <xf numFmtId="0" fontId="10" fillId="7" borderId="63" xfId="0" applyFont="1" applyFill="1" applyBorder="1" applyAlignment="1">
      <alignment horizontal="center" wrapText="1"/>
    </xf>
    <xf numFmtId="0" fontId="10" fillId="7" borderId="64" xfId="0" applyFont="1" applyFill="1" applyBorder="1" applyAlignment="1">
      <alignment horizontal="center" wrapText="1"/>
    </xf>
    <xf numFmtId="0" fontId="10" fillId="7" borderId="65" xfId="0" applyFont="1" applyFill="1" applyBorder="1" applyAlignment="1">
      <alignment horizontal="center" wrapText="1"/>
    </xf>
    <xf numFmtId="0" fontId="8" fillId="5" borderId="23" xfId="0" applyFont="1" applyFill="1" applyBorder="1" applyAlignment="1">
      <alignment horizontal="left" wrapText="1"/>
    </xf>
    <xf numFmtId="0" fontId="8" fillId="5" borderId="22" xfId="0" applyFont="1" applyFill="1" applyBorder="1" applyAlignment="1">
      <alignment horizontal="left" wrapText="1"/>
    </xf>
    <xf numFmtId="0" fontId="8" fillId="5" borderId="24" xfId="0" applyFont="1" applyFill="1" applyBorder="1" applyAlignment="1">
      <alignment horizontal="left" wrapText="1"/>
    </xf>
    <xf numFmtId="0" fontId="8" fillId="5" borderId="19" xfId="0" applyFont="1" applyFill="1" applyBorder="1" applyAlignment="1">
      <alignment horizontal="left" wrapText="1"/>
    </xf>
    <xf numFmtId="0" fontId="8" fillId="5" borderId="45" xfId="0" applyFont="1" applyFill="1" applyBorder="1" applyAlignment="1">
      <alignment horizontal="left" wrapText="1"/>
    </xf>
    <xf numFmtId="0" fontId="8" fillId="5" borderId="4" xfId="0" applyFont="1" applyFill="1" applyBorder="1" applyAlignment="1">
      <alignment horizontal="left" wrapText="1"/>
    </xf>
    <xf numFmtId="0" fontId="8" fillId="5" borderId="46" xfId="0" applyFont="1" applyFill="1" applyBorder="1" applyAlignment="1">
      <alignment horizontal="left" wrapText="1"/>
    </xf>
    <xf numFmtId="0" fontId="10" fillId="7" borderId="59" xfId="0" applyFont="1" applyFill="1" applyBorder="1" applyAlignment="1">
      <alignment horizontal="center" wrapText="1"/>
    </xf>
    <xf numFmtId="0" fontId="10" fillId="7" borderId="42" xfId="0" applyFont="1" applyFill="1" applyBorder="1" applyAlignment="1">
      <alignment horizontal="center" wrapText="1"/>
    </xf>
    <xf numFmtId="0" fontId="10" fillId="7" borderId="39" xfId="0" applyFont="1" applyFill="1" applyBorder="1" applyAlignment="1">
      <alignment horizontal="center" wrapText="1"/>
    </xf>
    <xf numFmtId="0" fontId="7" fillId="5" borderId="38" xfId="0" applyFont="1" applyFill="1" applyBorder="1" applyAlignment="1">
      <alignment horizontal="center" wrapText="1"/>
    </xf>
    <xf numFmtId="0" fontId="10" fillId="7" borderId="60" xfId="0" applyFont="1" applyFill="1" applyBorder="1" applyAlignment="1">
      <alignment horizontal="left" wrapText="1"/>
    </xf>
    <xf numFmtId="0" fontId="10" fillId="7" borderId="61" xfId="0" applyFont="1" applyFill="1" applyBorder="1" applyAlignment="1">
      <alignment horizontal="left" wrapText="1"/>
    </xf>
    <xf numFmtId="0" fontId="10" fillId="7" borderId="62" xfId="0" applyFont="1" applyFill="1" applyBorder="1" applyAlignment="1">
      <alignment horizontal="left" wrapText="1"/>
    </xf>
    <xf numFmtId="0" fontId="7" fillId="5" borderId="42" xfId="0" applyFont="1" applyFill="1" applyBorder="1" applyAlignment="1">
      <alignment horizontal="center" wrapText="1"/>
    </xf>
    <xf numFmtId="0" fontId="7" fillId="5" borderId="33" xfId="0" applyFont="1" applyFill="1" applyBorder="1" applyAlignment="1">
      <alignment horizontal="center"/>
    </xf>
    <xf numFmtId="0" fontId="7" fillId="5" borderId="40" xfId="0" applyFont="1" applyFill="1" applyBorder="1" applyAlignment="1">
      <alignment horizontal="center"/>
    </xf>
    <xf numFmtId="0" fontId="7" fillId="5" borderId="34" xfId="0" applyFont="1" applyFill="1" applyBorder="1" applyAlignment="1">
      <alignment horizontal="center"/>
    </xf>
    <xf numFmtId="0" fontId="8" fillId="5" borderId="8" xfId="0" applyFont="1" applyFill="1" applyBorder="1" applyAlignment="1">
      <alignment horizontal="center" wrapText="1"/>
    </xf>
    <xf numFmtId="0" fontId="8" fillId="5" borderId="14" xfId="0" applyFont="1" applyFill="1" applyBorder="1" applyAlignment="1">
      <alignment horizontal="center" wrapText="1"/>
    </xf>
    <xf numFmtId="166" fontId="8" fillId="5" borderId="38" xfId="0" applyNumberFormat="1" applyFont="1" applyFill="1" applyBorder="1" applyAlignment="1">
      <alignment horizontal="center" wrapText="1"/>
    </xf>
    <xf numFmtId="166" fontId="8" fillId="5" borderId="39" xfId="0" applyNumberFormat="1" applyFont="1" applyFill="1" applyBorder="1" applyAlignment="1">
      <alignment horizontal="center" wrapText="1"/>
    </xf>
    <xf numFmtId="170" fontId="14" fillId="5" borderId="12" xfId="0" applyNumberFormat="1" applyFont="1" applyFill="1" applyBorder="1" applyAlignment="1">
      <alignment horizontal="left" wrapText="1"/>
    </xf>
    <xf numFmtId="170" fontId="14" fillId="5" borderId="0" xfId="0" applyNumberFormat="1" applyFont="1" applyFill="1" applyBorder="1" applyAlignment="1">
      <alignment horizontal="left" wrapText="1"/>
    </xf>
    <xf numFmtId="166" fontId="14" fillId="5" borderId="12" xfId="0" applyNumberFormat="1" applyFont="1" applyFill="1" applyBorder="1" applyAlignment="1">
      <alignment horizontal="left" wrapText="1"/>
    </xf>
    <xf numFmtId="166" fontId="14" fillId="5" borderId="0" xfId="0" applyNumberFormat="1" applyFont="1" applyFill="1" applyBorder="1" applyAlignment="1">
      <alignment horizontal="left" wrapText="1"/>
    </xf>
    <xf numFmtId="166" fontId="14" fillId="5" borderId="19" xfId="0" applyNumberFormat="1" applyFont="1" applyFill="1" applyBorder="1" applyAlignment="1">
      <alignment horizontal="left" wrapText="1"/>
    </xf>
    <xf numFmtId="0" fontId="14" fillId="5" borderId="12" xfId="0" applyFont="1" applyFill="1" applyBorder="1" applyAlignment="1">
      <alignment horizontal="left" wrapText="1"/>
    </xf>
    <xf numFmtId="0" fontId="14" fillId="5" borderId="0" xfId="0" applyFont="1" applyFill="1" applyBorder="1" applyAlignment="1">
      <alignment horizontal="left" wrapText="1"/>
    </xf>
    <xf numFmtId="0" fontId="14" fillId="5" borderId="19" xfId="0" applyFont="1" applyFill="1" applyBorder="1" applyAlignment="1">
      <alignment horizontal="left" wrapText="1"/>
    </xf>
    <xf numFmtId="0" fontId="14" fillId="5" borderId="25" xfId="0" applyFont="1" applyFill="1" applyBorder="1" applyAlignment="1">
      <alignment horizontal="left" wrapText="1"/>
    </xf>
    <xf numFmtId="0" fontId="14" fillId="5" borderId="26" xfId="0" applyFont="1" applyFill="1" applyBorder="1" applyAlignment="1">
      <alignment horizontal="left" wrapText="1"/>
    </xf>
    <xf numFmtId="0" fontId="14" fillId="5" borderId="30" xfId="0" applyFont="1" applyFill="1" applyBorder="1" applyAlignment="1">
      <alignment horizontal="left" wrapText="1"/>
    </xf>
    <xf numFmtId="0" fontId="8" fillId="5" borderId="6" xfId="0" applyFont="1" applyFill="1" applyBorder="1" applyAlignment="1">
      <alignment horizontal="center" wrapText="1"/>
    </xf>
    <xf numFmtId="0" fontId="8" fillId="5" borderId="43" xfId="0" applyFont="1" applyFill="1" applyBorder="1" applyAlignment="1">
      <alignment horizontal="center" wrapText="1"/>
    </xf>
    <xf numFmtId="0" fontId="8" fillId="5" borderId="38" xfId="0" applyFont="1" applyFill="1" applyBorder="1" applyAlignment="1">
      <alignment horizontal="center" wrapText="1"/>
    </xf>
    <xf numFmtId="0" fontId="8" fillId="5" borderId="39" xfId="0" applyFont="1" applyFill="1" applyBorder="1" applyAlignment="1">
      <alignment horizontal="center" wrapText="1"/>
    </xf>
    <xf numFmtId="166" fontId="8" fillId="5" borderId="66" xfId="0" applyNumberFormat="1" applyFont="1" applyFill="1" applyBorder="1" applyAlignment="1">
      <alignment horizontal="center"/>
    </xf>
    <xf numFmtId="166" fontId="8" fillId="5" borderId="67" xfId="0" applyNumberFormat="1" applyFont="1" applyFill="1" applyBorder="1" applyAlignment="1">
      <alignment horizontal="center"/>
    </xf>
    <xf numFmtId="1" fontId="8" fillId="5" borderId="66" xfId="0" applyNumberFormat="1" applyFont="1" applyFill="1" applyBorder="1" applyAlignment="1">
      <alignment horizontal="center" wrapText="1"/>
    </xf>
    <xf numFmtId="1" fontId="8" fillId="5" borderId="67" xfId="0" applyNumberFormat="1" applyFont="1" applyFill="1" applyBorder="1" applyAlignment="1">
      <alignment horizontal="center" wrapText="1"/>
    </xf>
    <xf numFmtId="0" fontId="8" fillId="5" borderId="38" xfId="0" applyFont="1" applyFill="1" applyBorder="1" applyAlignment="1">
      <alignment horizontal="center"/>
    </xf>
    <xf numFmtId="0" fontId="8" fillId="5" borderId="39" xfId="0" applyFont="1" applyFill="1" applyBorder="1" applyAlignment="1">
      <alignment horizontal="center"/>
    </xf>
    <xf numFmtId="1" fontId="8" fillId="5" borderId="38" xfId="0" applyNumberFormat="1" applyFont="1" applyFill="1" applyBorder="1" applyAlignment="1">
      <alignment horizontal="center" wrapText="1"/>
    </xf>
    <xf numFmtId="1" fontId="8" fillId="5" borderId="10" xfId="0" applyNumberFormat="1" applyFont="1" applyFill="1" applyBorder="1" applyAlignment="1">
      <alignment horizontal="center" wrapText="1"/>
    </xf>
    <xf numFmtId="1" fontId="8" fillId="5" borderId="72" xfId="0" applyNumberFormat="1" applyFont="1" applyFill="1" applyBorder="1" applyAlignment="1">
      <alignment horizontal="center" wrapText="1"/>
    </xf>
    <xf numFmtId="1" fontId="8" fillId="5" borderId="70" xfId="0" applyNumberFormat="1" applyFont="1" applyFill="1" applyBorder="1" applyAlignment="1">
      <alignment horizontal="center" wrapText="1"/>
    </xf>
    <xf numFmtId="1" fontId="8" fillId="5" borderId="71" xfId="0" applyNumberFormat="1" applyFont="1" applyFill="1" applyBorder="1" applyAlignment="1">
      <alignment horizontal="center" wrapText="1"/>
    </xf>
    <xf numFmtId="170" fontId="8" fillId="5" borderId="38" xfId="0" applyNumberFormat="1" applyFont="1" applyFill="1" applyBorder="1" applyAlignment="1">
      <alignment horizontal="center" wrapText="1"/>
    </xf>
    <xf numFmtId="170" fontId="8" fillId="5" borderId="10" xfId="0" applyNumberFormat="1" applyFont="1" applyFill="1" applyBorder="1" applyAlignment="1">
      <alignment horizontal="center" wrapText="1"/>
    </xf>
    <xf numFmtId="0" fontId="10" fillId="7" borderId="40" xfId="0" applyFont="1" applyFill="1" applyBorder="1" applyAlignment="1">
      <alignment horizontal="left" wrapText="1"/>
    </xf>
    <xf numFmtId="0" fontId="10" fillId="7" borderId="34" xfId="0" applyFont="1" applyFill="1" applyBorder="1" applyAlignment="1">
      <alignment horizontal="left" wrapText="1"/>
    </xf>
    <xf numFmtId="0" fontId="7" fillId="5" borderId="63" xfId="0" applyFont="1" applyFill="1" applyBorder="1" applyAlignment="1">
      <alignment horizontal="left" wrapText="1"/>
    </xf>
    <xf numFmtId="0" fontId="7" fillId="5" borderId="64" xfId="0" applyFont="1" applyFill="1" applyBorder="1" applyAlignment="1">
      <alignment horizontal="left" wrapText="1"/>
    </xf>
    <xf numFmtId="0" fontId="7" fillId="5" borderId="65" xfId="0" applyFont="1" applyFill="1" applyBorder="1" applyAlignment="1">
      <alignment horizontal="left" wrapText="1"/>
    </xf>
    <xf numFmtId="0" fontId="7" fillId="5" borderId="63" xfId="0" applyFont="1" applyFill="1" applyBorder="1" applyAlignment="1">
      <alignment horizontal="left"/>
    </xf>
    <xf numFmtId="0" fontId="7" fillId="5" borderId="64" xfId="0" applyFont="1" applyFill="1" applyBorder="1" applyAlignment="1">
      <alignment horizontal="left"/>
    </xf>
    <xf numFmtId="0" fontId="7" fillId="5" borderId="65" xfId="0" applyFont="1" applyFill="1" applyBorder="1" applyAlignment="1">
      <alignment horizontal="left"/>
    </xf>
    <xf numFmtId="170" fontId="7" fillId="5" borderId="68" xfId="0" applyNumberFormat="1" applyFont="1" applyFill="1" applyBorder="1" applyAlignment="1">
      <alignment horizontal="center" wrapText="1"/>
    </xf>
    <xf numFmtId="170" fontId="7" fillId="5" borderId="69" xfId="0" applyNumberFormat="1" applyFont="1" applyFill="1" applyBorder="1" applyAlignment="1">
      <alignment horizontal="center" wrapText="1"/>
    </xf>
    <xf numFmtId="170" fontId="7" fillId="5" borderId="67" xfId="0" applyNumberFormat="1" applyFont="1" applyFill="1" applyBorder="1" applyAlignment="1">
      <alignment horizontal="center" wrapText="1"/>
    </xf>
    <xf numFmtId="170" fontId="8" fillId="5" borderId="70" xfId="0" applyNumberFormat="1" applyFont="1" applyFill="1" applyBorder="1" applyAlignment="1">
      <alignment horizontal="center" wrapText="1"/>
    </xf>
    <xf numFmtId="170" fontId="8" fillId="5" borderId="71" xfId="0" applyNumberFormat="1" applyFont="1" applyFill="1" applyBorder="1" applyAlignment="1">
      <alignment horizontal="center" wrapText="1"/>
    </xf>
    <xf numFmtId="0" fontId="5" fillId="6" borderId="12" xfId="0" applyFont="1" applyFill="1" applyBorder="1" applyAlignment="1">
      <alignment horizontal="left" wrapText="1"/>
    </xf>
    <xf numFmtId="0" fontId="5" fillId="6" borderId="0" xfId="0" applyFont="1" applyFill="1" applyBorder="1" applyAlignment="1">
      <alignment horizontal="left" wrapText="1"/>
    </xf>
    <xf numFmtId="170" fontId="7" fillId="5" borderId="59" xfId="0" applyNumberFormat="1" applyFont="1" applyFill="1" applyBorder="1" applyAlignment="1">
      <alignment horizontal="left" wrapText="1"/>
    </xf>
    <xf numFmtId="170" fontId="7" fillId="5" borderId="10" xfId="0" applyNumberFormat="1" applyFont="1" applyFill="1" applyBorder="1" applyAlignment="1">
      <alignment horizontal="left" wrapText="1"/>
    </xf>
    <xf numFmtId="0" fontId="7" fillId="5" borderId="10" xfId="0" applyFont="1" applyFill="1" applyBorder="1" applyAlignment="1">
      <alignment horizontal="center" wrapText="1"/>
    </xf>
    <xf numFmtId="0" fontId="4" fillId="0" borderId="38" xfId="0" applyFont="1" applyBorder="1" applyAlignment="1">
      <alignment horizontal="center" wrapText="1"/>
    </xf>
    <xf numFmtId="0" fontId="4" fillId="0" borderId="42" xfId="0" applyFont="1" applyBorder="1" applyAlignment="1">
      <alignment horizontal="center" wrapText="1"/>
    </xf>
    <xf numFmtId="0" fontId="4" fillId="0" borderId="10" xfId="0" applyFont="1" applyBorder="1" applyAlignment="1">
      <alignment horizontal="center" wrapText="1"/>
    </xf>
    <xf numFmtId="0" fontId="4" fillId="0" borderId="73" xfId="0" applyFont="1" applyBorder="1" applyAlignment="1">
      <alignment horizontal="center" wrapText="1"/>
    </xf>
    <xf numFmtId="0" fontId="4" fillId="0" borderId="22" xfId="0" applyFont="1" applyBorder="1" applyAlignment="1">
      <alignment horizontal="center" wrapText="1"/>
    </xf>
    <xf numFmtId="0" fontId="4" fillId="0" borderId="73" xfId="0" applyFont="1" applyBorder="1" applyAlignment="1">
      <alignment horizontal="center"/>
    </xf>
    <xf numFmtId="0" fontId="4" fillId="0" borderId="74" xfId="0" applyFont="1" applyBorder="1" applyAlignment="1">
      <alignment horizontal="center"/>
    </xf>
    <xf numFmtId="0" fontId="4" fillId="0" borderId="38" xfId="0" applyFont="1" applyBorder="1" applyAlignment="1">
      <alignment horizontal="center"/>
    </xf>
    <xf numFmtId="0" fontId="4" fillId="0" borderId="42" xfId="0" applyFont="1" applyBorder="1" applyAlignment="1">
      <alignment horizontal="center"/>
    </xf>
    <xf numFmtId="0" fontId="8" fillId="6" borderId="0" xfId="0" applyFont="1" applyFill="1" applyAlignment="1">
      <alignment horizontal="center"/>
    </xf>
    <xf numFmtId="0" fontId="8" fillId="5" borderId="13" xfId="0" applyFont="1" applyFill="1" applyBorder="1" applyAlignment="1">
      <alignment horizontal="left" wrapText="1"/>
    </xf>
    <xf numFmtId="0" fontId="8" fillId="5" borderId="8" xfId="0" applyFont="1" applyFill="1" applyBorder="1" applyAlignment="1">
      <alignment horizontal="left" wrapText="1"/>
    </xf>
    <xf numFmtId="0" fontId="8" fillId="5" borderId="16" xfId="0" applyFont="1" applyFill="1" applyBorder="1" applyAlignment="1">
      <alignment horizontal="left" wrapText="1"/>
    </xf>
    <xf numFmtId="0" fontId="8" fillId="5" borderId="9" xfId="0" applyFont="1" applyFill="1" applyBorder="1" applyAlignment="1">
      <alignment horizontal="left" wrapText="1"/>
    </xf>
    <xf numFmtId="0" fontId="10" fillId="7" borderId="51" xfId="0" applyFont="1" applyFill="1" applyBorder="1" applyAlignment="1">
      <alignment horizontal="center"/>
    </xf>
    <xf numFmtId="0" fontId="10" fillId="7" borderId="52" xfId="0" applyFont="1" applyFill="1" applyBorder="1" applyAlignment="1">
      <alignment horizontal="center"/>
    </xf>
    <xf numFmtId="0" fontId="10" fillId="7" borderId="53" xfId="0" applyFont="1" applyFill="1" applyBorder="1" applyAlignment="1">
      <alignment horizontal="center"/>
    </xf>
    <xf numFmtId="0" fontId="10" fillId="7" borderId="12" xfId="0" applyFont="1" applyFill="1" applyBorder="1" applyAlignment="1">
      <alignment horizontal="center"/>
    </xf>
    <xf numFmtId="0" fontId="10" fillId="7" borderId="19" xfId="0" applyFont="1" applyFill="1" applyBorder="1" applyAlignment="1">
      <alignment horizontal="center"/>
    </xf>
    <xf numFmtId="0" fontId="10" fillId="7" borderId="56" xfId="0" applyFont="1" applyFill="1" applyBorder="1" applyAlignment="1">
      <alignment horizontal="center"/>
    </xf>
    <xf numFmtId="0" fontId="10" fillId="7" borderId="57" xfId="0" applyFont="1" applyFill="1" applyBorder="1" applyAlignment="1">
      <alignment horizontal="center"/>
    </xf>
    <xf numFmtId="0" fontId="10" fillId="7" borderId="58" xfId="0" applyFont="1" applyFill="1" applyBorder="1" applyAlignment="1">
      <alignment horizontal="center"/>
    </xf>
    <xf numFmtId="0" fontId="10" fillId="7" borderId="13" xfId="0" applyFont="1" applyFill="1" applyBorder="1" applyAlignment="1">
      <alignment horizontal="center" wrapText="1"/>
    </xf>
    <xf numFmtId="0" fontId="10" fillId="7" borderId="8" xfId="0" applyFont="1" applyFill="1" applyBorder="1" applyAlignment="1">
      <alignment horizontal="center" wrapText="1"/>
    </xf>
    <xf numFmtId="0" fontId="10" fillId="7" borderId="14" xfId="0" applyFont="1" applyFill="1" applyBorder="1" applyAlignment="1">
      <alignment horizontal="center" wrapText="1"/>
    </xf>
    <xf numFmtId="0" fontId="7" fillId="5" borderId="16" xfId="0" applyFont="1" applyFill="1" applyBorder="1" applyAlignment="1">
      <alignment horizontal="center" wrapText="1"/>
    </xf>
    <xf numFmtId="0" fontId="7" fillId="5" borderId="9" xfId="0" applyFont="1" applyFill="1" applyBorder="1" applyAlignment="1">
      <alignment horizontal="center" wrapText="1"/>
    </xf>
    <xf numFmtId="0" fontId="7" fillId="5" borderId="13" xfId="0" applyFont="1" applyFill="1" applyBorder="1" applyAlignment="1">
      <alignment horizontal="center" wrapText="1"/>
    </xf>
    <xf numFmtId="0" fontId="7" fillId="5" borderId="8" xfId="0" applyFont="1" applyFill="1" applyBorder="1" applyAlignment="1">
      <alignment horizontal="center" wrapText="1"/>
    </xf>
    <xf numFmtId="0" fontId="8" fillId="5" borderId="15" xfId="0" applyFont="1" applyFill="1" applyBorder="1" applyAlignment="1">
      <alignment horizontal="left" wrapText="1"/>
    </xf>
    <xf numFmtId="0" fontId="8" fillId="5" borderId="20" xfId="0" applyFont="1" applyFill="1" applyBorder="1" applyAlignment="1">
      <alignment horizontal="left" wrapText="1"/>
    </xf>
    <xf numFmtId="0" fontId="8" fillId="6" borderId="4" xfId="0" applyFont="1" applyFill="1" applyBorder="1" applyAlignment="1">
      <alignment horizontal="center"/>
    </xf>
    <xf numFmtId="0" fontId="8" fillId="5" borderId="10" xfId="0" applyFont="1" applyFill="1" applyBorder="1" applyAlignment="1">
      <alignment horizontal="left" wrapText="1"/>
    </xf>
    <xf numFmtId="0" fontId="10" fillId="7" borderId="38" xfId="0" applyFont="1" applyFill="1" applyBorder="1" applyAlignment="1">
      <alignment horizontal="center"/>
    </xf>
    <xf numFmtId="0" fontId="10" fillId="7" borderId="42" xfId="0" applyFont="1" applyFill="1" applyBorder="1" applyAlignment="1">
      <alignment horizontal="center"/>
    </xf>
    <xf numFmtId="0" fontId="10" fillId="7" borderId="10" xfId="0" applyFont="1" applyFill="1" applyBorder="1" applyAlignment="1">
      <alignment horizontal="center"/>
    </xf>
    <xf numFmtId="0" fontId="8" fillId="5" borderId="10" xfId="0" applyFont="1" applyFill="1" applyBorder="1" applyAlignment="1">
      <alignment horizontal="center"/>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Drop" dropStyle="combo" dx="26" fmlaLink="Status!$F$9" fmlaRange="Status!$B$21:$B$23" noThreeD="1" sel="1" val="0"/>
</file>

<file path=xl/ctrlProps/ctrlProp19.xml><?xml version="1.0" encoding="utf-8"?>
<formControlPr xmlns="http://schemas.microsoft.com/office/spreadsheetml/2009/9/main" objectType="Drop" dropStyle="combo" dx="26" fmlaLink="Status!$F$10" fmlaRange="Status!$C$21:$C$22" noThreeD="1" sel="1" val="0"/>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Drop" dropStyle="combo" dx="26" fmlaLink="Status!$F$11" fmlaRange="Status!$D$21:$D$23" noThreeD="1" sel="1" val="0"/>
</file>

<file path=xl/ctrlProps/ctrlProp21.xml><?xml version="1.0" encoding="utf-8"?>
<formControlPr xmlns="http://schemas.microsoft.com/office/spreadsheetml/2009/9/main" objectType="Drop" dropStyle="combo" dx="26" fmlaLink="Status!$F$14" fmlaRange="Status!$F$21:$F$23" noThreeD="1" sel="1" val="0"/>
</file>

<file path=xl/ctrlProps/ctrlProp22.xml><?xml version="1.0" encoding="utf-8"?>
<formControlPr xmlns="http://schemas.microsoft.com/office/spreadsheetml/2009/9/main" objectType="Drop" dropStyle="combo" dx="26" fmlaLink="Status!$F$16" fmlaRange="Status!$G$21:$G$22" noThreeD="1" sel="2" val="0"/>
</file>

<file path=xl/ctrlProps/ctrlProp23.xml><?xml version="1.0" encoding="utf-8"?>
<formControlPr xmlns="http://schemas.microsoft.com/office/spreadsheetml/2009/9/main" objectType="Drop" dropStyle="combo" dx="26" fmlaLink="Status!$F$17" fmlaRange="Status!$H$21:$H$22" noThreeD="1" sel="2" val="0"/>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Drop" dropStyle="combo" dx="26" fmlaLink="Status!$G$12" fmlaRange="Status!$E$21:$E$23" noThreeD="1" sel="1" val="0"/>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1.xml><?xml version="1.0" encoding="utf-8"?>
<formControlPr xmlns="http://schemas.microsoft.com/office/spreadsheetml/2009/9/main" objectType="Radio" firstButton="1" fmlaLink="Status!$C$26" lockText="1" noThreeD="1"/>
</file>

<file path=xl/ctrlProps/ctrlProp32.xml><?xml version="1.0" encoding="utf-8"?>
<formControlPr xmlns="http://schemas.microsoft.com/office/spreadsheetml/2009/9/main" objectType="Radio" checked="Checked" lockText="1" noThreeD="1"/>
</file>

<file path=xl/ctrlProps/ctrlProp33.xml><?xml version="1.0" encoding="utf-8"?>
<formControlPr xmlns="http://schemas.microsoft.com/office/spreadsheetml/2009/9/main" objectType="GBox" noThreeD="1"/>
</file>

<file path=xl/ctrlProps/ctrlProp34.xml><?xml version="1.0" encoding="utf-8"?>
<formControlPr xmlns="http://schemas.microsoft.com/office/spreadsheetml/2009/9/main" objectType="GBox" noThreeD="1"/>
</file>

<file path=xl/ctrlProps/ctrlProp35.xml><?xml version="1.0" encoding="utf-8"?>
<formControlPr xmlns="http://schemas.microsoft.com/office/spreadsheetml/2009/9/main" objectType="Radio" firstButton="1" fmlaLink="Status!$C$27" lockText="1" noThreeD="1"/>
</file>

<file path=xl/ctrlProps/ctrlProp36.xml><?xml version="1.0" encoding="utf-8"?>
<formControlPr xmlns="http://schemas.microsoft.com/office/spreadsheetml/2009/9/main" objectType="Radio" checked="Checked" lockText="1" noThreeD="1"/>
</file>

<file path=xl/ctrlProps/ctrlProp37.xml><?xml version="1.0" encoding="utf-8"?>
<formControlPr xmlns="http://schemas.microsoft.com/office/spreadsheetml/2009/9/main" objectType="GBox" noThreeD="1"/>
</file>

<file path=xl/ctrlProps/ctrlProp38.xml><?xml version="1.0" encoding="utf-8"?>
<formControlPr xmlns="http://schemas.microsoft.com/office/spreadsheetml/2009/9/main" objectType="Radio" firstButton="1" fmlaLink="Status!$C$28" lockText="1" noThreeD="1"/>
</file>

<file path=xl/ctrlProps/ctrlProp39.xml><?xml version="1.0" encoding="utf-8"?>
<formControlPr xmlns="http://schemas.microsoft.com/office/spreadsheetml/2009/9/main" objectType="Radio" checked="Checked" lockText="1" noThreeD="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Button" lockText="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GBox" noThreeD="1"/>
</file>

<file path=xl/ctrlProps/ctrlProp44.xml><?xml version="1.0" encoding="utf-8"?>
<formControlPr xmlns="http://schemas.microsoft.com/office/spreadsheetml/2009/9/main" objectType="GBox" noThreeD="1"/>
</file>

<file path=xl/ctrlProps/ctrlProp45.xml><?xml version="1.0" encoding="utf-8"?>
<formControlPr xmlns="http://schemas.microsoft.com/office/spreadsheetml/2009/9/main" objectType="Radio" checked="Checked" firstButton="1" fmlaLink="G9"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Radio" checked="Checked" firstButton="1" fmlaLink="G10" lockText="1" noThreeD="1"/>
</file>

<file path=xl/ctrlProps/ctrlProp48.xml><?xml version="1.0" encoding="utf-8"?>
<formControlPr xmlns="http://schemas.microsoft.com/office/spreadsheetml/2009/9/main" objectType="Radio" lockText="1" noThreeD="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GBox" noThreeD="1"/>
</file>

<file path=xl/ctrlProps/ctrlProp51.xml><?xml version="1.0" encoding="utf-8"?>
<formControlPr xmlns="http://schemas.microsoft.com/office/spreadsheetml/2009/9/main" objectType="Radio" checked="Checked" firstButton="1" fmlaLink="G13" lockText="1" noThreeD="1"/>
</file>

<file path=xl/ctrlProps/ctrlProp52.xml><?xml version="1.0" encoding="utf-8"?>
<formControlPr xmlns="http://schemas.microsoft.com/office/spreadsheetml/2009/9/main" objectType="Radio" lockText="1" noThreeD="1"/>
</file>

<file path=xl/ctrlProps/ctrlProp53.xml><?xml version="1.0" encoding="utf-8"?>
<formControlPr xmlns="http://schemas.microsoft.com/office/spreadsheetml/2009/9/main" objectType="GBox" noThreeD="1"/>
</file>

<file path=xl/ctrlProps/ctrlProp54.xml><?xml version="1.0" encoding="utf-8"?>
<formControlPr xmlns="http://schemas.microsoft.com/office/spreadsheetml/2009/9/main" objectType="Radio" firstButton="1" fmlaLink="$G$15" lockText="1" noThreeD="1"/>
</file>

<file path=xl/ctrlProps/ctrlProp55.xml><?xml version="1.0" encoding="utf-8"?>
<formControlPr xmlns="http://schemas.microsoft.com/office/spreadsheetml/2009/9/main" objectType="Radio" checked="Checked" lockText="1" noThreeD="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Radio" checked="Checked" firstButton="1" fmlaLink="G11" lockText="1" noThreeD="1"/>
</file>

<file path=xl/ctrlProps/ctrlProp58.xml><?xml version="1.0" encoding="utf-8"?>
<formControlPr xmlns="http://schemas.microsoft.com/office/spreadsheetml/2009/9/main" objectType="Radio" lockText="1" noThreeD="1"/>
</file>

<file path=xl/ctrlProps/ctrlProp59.xml><?xml version="1.0" encoding="utf-8"?>
<formControlPr xmlns="http://schemas.microsoft.com/office/spreadsheetml/2009/9/main" objectType="GBox" noThreeD="1"/>
</file>

<file path=xl/ctrlProps/ctrlProp6.xml><?xml version="1.0" encoding="utf-8"?>
<formControlPr xmlns="http://schemas.microsoft.com/office/spreadsheetml/2009/9/main" objectType="Button" lockText="1"/>
</file>

<file path=xl/ctrlProps/ctrlProp60.xml><?xml version="1.0" encoding="utf-8"?>
<formControlPr xmlns="http://schemas.microsoft.com/office/spreadsheetml/2009/9/main" objectType="Radio" checked="Checked" firstButton="1" fmlaLink="G12" lockText="1" noThreeD="1"/>
</file>

<file path=xl/ctrlProps/ctrlProp61.xml><?xml version="1.0" encoding="utf-8"?>
<formControlPr xmlns="http://schemas.microsoft.com/office/spreadsheetml/2009/9/main" objectType="Radio" lockText="1" noThreeD="1"/>
</file>

<file path=xl/ctrlProps/ctrlProp62.xml><?xml version="1.0" encoding="utf-8"?>
<formControlPr xmlns="http://schemas.microsoft.com/office/spreadsheetml/2009/9/main" objectType="GBox" noThreeD="1"/>
</file>

<file path=xl/ctrlProps/ctrlProp63.xml><?xml version="1.0" encoding="utf-8"?>
<formControlPr xmlns="http://schemas.microsoft.com/office/spreadsheetml/2009/9/main" objectType="Radio" checked="Checked" firstButton="1" fmlaLink="G14" lockText="1" noThreeD="1"/>
</file>

<file path=xl/ctrlProps/ctrlProp64.xml><?xml version="1.0" encoding="utf-8"?>
<formControlPr xmlns="http://schemas.microsoft.com/office/spreadsheetml/2009/9/main" objectType="Radio" lockText="1" noThreeD="1"/>
</file>

<file path=xl/ctrlProps/ctrlProp65.xml><?xml version="1.0" encoding="utf-8"?>
<formControlPr xmlns="http://schemas.microsoft.com/office/spreadsheetml/2009/9/main" objectType="GBox" noThreeD="1"/>
</file>

<file path=xl/ctrlProps/ctrlProp66.xml><?xml version="1.0" encoding="utf-8"?>
<formControlPr xmlns="http://schemas.microsoft.com/office/spreadsheetml/2009/9/main" objectType="Radio" checked="Checked" firstButton="1" fmlaLink="G16" lockText="1" noThreeD="1"/>
</file>

<file path=xl/ctrlProps/ctrlProp67.xml><?xml version="1.0" encoding="utf-8"?>
<formControlPr xmlns="http://schemas.microsoft.com/office/spreadsheetml/2009/9/main" objectType="Radio" lockText="1" noThreeD="1"/>
</file>

<file path=xl/ctrlProps/ctrlProp68.xml><?xml version="1.0" encoding="utf-8"?>
<formControlPr xmlns="http://schemas.microsoft.com/office/spreadsheetml/2009/9/main" objectType="Radio" checked="Checked" firstButton="1" fmlaLink="G8" lockText="1" noThreeD="1"/>
</file>

<file path=xl/ctrlProps/ctrlProp69.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Button" lockText="1"/>
</file>

<file path=xl/ctrlProps/ctrlProp70.xml><?xml version="1.0" encoding="utf-8"?>
<formControlPr xmlns="http://schemas.microsoft.com/office/spreadsheetml/2009/9/main" objectType="Button" lockText="1"/>
</file>

<file path=xl/ctrlProps/ctrlProp71.xml><?xml version="1.0" encoding="utf-8"?>
<formControlPr xmlns="http://schemas.microsoft.com/office/spreadsheetml/2009/9/main" objectType="Button" lockText="1"/>
</file>

<file path=xl/ctrlProps/ctrlProp72.xml><?xml version="1.0" encoding="utf-8"?>
<formControlPr xmlns="http://schemas.microsoft.com/office/spreadsheetml/2009/9/main" objectType="Button" lockText="1"/>
</file>

<file path=xl/ctrlProps/ctrlProp73.xml><?xml version="1.0" encoding="utf-8"?>
<formControlPr xmlns="http://schemas.microsoft.com/office/spreadsheetml/2009/9/main" objectType="Button" lockText="1"/>
</file>

<file path=xl/ctrlProps/ctrlProp74.xml><?xml version="1.0" encoding="utf-8"?>
<formControlPr xmlns="http://schemas.microsoft.com/office/spreadsheetml/2009/9/main" objectType="Button" lockText="1"/>
</file>

<file path=xl/ctrlProps/ctrlProp75.xml><?xml version="1.0" encoding="utf-8"?>
<formControlPr xmlns="http://schemas.microsoft.com/office/spreadsheetml/2009/9/main" objectType="Button" lockText="1"/>
</file>

<file path=xl/ctrlProps/ctrlProp76.xml><?xml version="1.0" encoding="utf-8"?>
<formControlPr xmlns="http://schemas.microsoft.com/office/spreadsheetml/2009/9/main" objectType="Button" lockText="1"/>
</file>

<file path=xl/ctrlProps/ctrlProp77.xml><?xml version="1.0" encoding="utf-8"?>
<formControlPr xmlns="http://schemas.microsoft.com/office/spreadsheetml/2009/9/main" objectType="Button" lockText="1"/>
</file>

<file path=xl/ctrlProps/ctrlProp78.xml><?xml version="1.0" encoding="utf-8"?>
<formControlPr xmlns="http://schemas.microsoft.com/office/spreadsheetml/2009/9/main" objectType="Button" lockText="1"/>
</file>

<file path=xl/ctrlProps/ctrlProp79.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80.xml><?xml version="1.0" encoding="utf-8"?>
<formControlPr xmlns="http://schemas.microsoft.com/office/spreadsheetml/2009/9/main" objectType="Button" lockText="1"/>
</file>

<file path=xl/ctrlProps/ctrlProp81.xml><?xml version="1.0" encoding="utf-8"?>
<formControlPr xmlns="http://schemas.microsoft.com/office/spreadsheetml/2009/9/main" objectType="Button" lockText="1"/>
</file>

<file path=xl/ctrlProps/ctrlProp82.xml><?xml version="1.0" encoding="utf-8"?>
<formControlPr xmlns="http://schemas.microsoft.com/office/spreadsheetml/2009/9/main" objectType="Button" lockText="1"/>
</file>

<file path=xl/ctrlProps/ctrlProp83.xml><?xml version="1.0" encoding="utf-8"?>
<formControlPr xmlns="http://schemas.microsoft.com/office/spreadsheetml/2009/9/main" objectType="Button" lockText="1"/>
</file>

<file path=xl/ctrlProps/ctrlProp84.xml><?xml version="1.0" encoding="utf-8"?>
<formControlPr xmlns="http://schemas.microsoft.com/office/spreadsheetml/2009/9/main" objectType="Button" lockText="1"/>
</file>

<file path=xl/ctrlProps/ctrlProp85.xml><?xml version="1.0" encoding="utf-8"?>
<formControlPr xmlns="http://schemas.microsoft.com/office/spreadsheetml/2009/9/main" objectType="Button" lockText="1"/>
</file>

<file path=xl/ctrlProps/ctrlProp86.xml><?xml version="1.0" encoding="utf-8"?>
<formControlPr xmlns="http://schemas.microsoft.com/office/spreadsheetml/2009/9/main" objectType="Button" lockText="1"/>
</file>

<file path=xl/ctrlProps/ctrlProp87.xml><?xml version="1.0" encoding="utf-8"?>
<formControlPr xmlns="http://schemas.microsoft.com/office/spreadsheetml/2009/9/main" objectType="Button" lockText="1"/>
</file>

<file path=xl/ctrlProps/ctrlProp88.xml><?xml version="1.0" encoding="utf-8"?>
<formControlPr xmlns="http://schemas.microsoft.com/office/spreadsheetml/2009/9/main" objectType="Button" lockText="1"/>
</file>

<file path=xl/ctrlProps/ctrlProp89.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ctrlProps/ctrlProp90.xml><?xml version="1.0" encoding="utf-8"?>
<formControlPr xmlns="http://schemas.microsoft.com/office/spreadsheetml/2009/9/main" objectType="Button" lockText="1"/>
</file>

<file path=xl/ctrlProps/ctrlProp9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8.png"/><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eg"/><Relationship Id="rId1" Type="http://schemas.openxmlformats.org/officeDocument/2006/relationships/image" Target="../media/image2.jpeg"/><Relationship Id="rId4" Type="http://schemas.openxmlformats.org/officeDocument/2006/relationships/image" Target="../media/image5.wmf"/></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571500</xdr:colOff>
      <xdr:row>0</xdr:row>
      <xdr:rowOff>0</xdr:rowOff>
    </xdr:from>
    <xdr:to>
      <xdr:col>14</xdr:col>
      <xdr:colOff>312420</xdr:colOff>
      <xdr:row>38</xdr:row>
      <xdr:rowOff>22860</xdr:rowOff>
    </xdr:to>
    <xdr:pic>
      <xdr:nvPicPr>
        <xdr:cNvPr id="20481" name="Picture 1">
          <a:extLst>
            <a:ext uri="{FF2B5EF4-FFF2-40B4-BE49-F238E27FC236}">
              <a16:creationId xmlns:a16="http://schemas.microsoft.com/office/drawing/2014/main" id="{12B90CAC-30C0-E48D-4495-6D6FAC591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0"/>
          <a:ext cx="8275320" cy="6393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0</xdr:col>
          <xdr:colOff>152400</xdr:colOff>
          <xdr:row>8</xdr:row>
          <xdr:rowOff>144780</xdr:rowOff>
        </xdr:from>
        <xdr:to>
          <xdr:col>0</xdr:col>
          <xdr:colOff>426720</xdr:colOff>
          <xdr:row>23</xdr:row>
          <xdr:rowOff>68580</xdr:rowOff>
        </xdr:to>
        <xdr:sp macro="" textlink="">
          <xdr:nvSpPr>
            <xdr:cNvPr id="20484" name="Button 4" hidden="1">
              <a:extLst>
                <a:ext uri="{63B3BB69-23CF-44E3-9099-C40C66FF867C}">
                  <a14:compatExt spid="_x0000_s20484"/>
                </a:ext>
                <a:ext uri="{FF2B5EF4-FFF2-40B4-BE49-F238E27FC236}">
                  <a16:creationId xmlns:a16="http://schemas.microsoft.com/office/drawing/2014/main" id="{F2811A91-2EFC-722A-BAE6-85B802B9CA6A}"/>
                </a:ext>
              </a:extLst>
            </xdr:cNvPr>
            <xdr:cNvSpPr/>
          </xdr:nvSpPr>
          <xdr:spPr bwMode="auto">
            <a:xfrm>
              <a:off x="0" y="0"/>
              <a:ext cx="0" cy="0"/>
            </a:xfrm>
            <a:prstGeom prst="rect">
              <a:avLst/>
            </a:prstGeom>
            <a:noFill/>
            <a:ln w="9525">
              <a:miter lim="800000"/>
              <a:headEnd/>
              <a:tailEnd/>
            </a:ln>
          </xdr:spPr>
          <xdr:txBody>
            <a:bodyPr vertOverflow="clip" wrap="square" lIns="54864" tIns="41148" rIns="54864" bIns="41148" anchor="ctr" upright="1"/>
            <a:lstStyle/>
            <a:p>
              <a:pPr algn="ctr" rtl="0">
                <a:defRPr sz="1000"/>
              </a:pPr>
              <a:r>
                <a:rPr lang="en-US" sz="1800" b="1" i="0" u="none" strike="noStrike" baseline="0">
                  <a:solidFill>
                    <a:srgbClr val="000080"/>
                  </a:solidFill>
                  <a:latin typeface="Arial"/>
                  <a:cs typeface="Arial"/>
                </a:rPr>
                <a:t>S T A R 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0</xdr:row>
          <xdr:rowOff>106680</xdr:rowOff>
        </xdr:from>
        <xdr:to>
          <xdr:col>3</xdr:col>
          <xdr:colOff>1417320</xdr:colOff>
          <xdr:row>3</xdr:row>
          <xdr:rowOff>30480</xdr:rowOff>
        </xdr:to>
        <xdr:sp macro="" textlink="">
          <xdr:nvSpPr>
            <xdr:cNvPr id="11265" name="Button 1" hidden="1">
              <a:extLst>
                <a:ext uri="{63B3BB69-23CF-44E3-9099-C40C66FF867C}">
                  <a14:compatExt spid="_x0000_s11265"/>
                </a:ext>
                <a:ext uri="{FF2B5EF4-FFF2-40B4-BE49-F238E27FC236}">
                  <a16:creationId xmlns:a16="http://schemas.microsoft.com/office/drawing/2014/main" id="{DF165A9D-4AA1-0A8F-C2D7-607B30AAE748}"/>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RETURN TO MAP OF THE MODEL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883920</xdr:colOff>
          <xdr:row>0</xdr:row>
          <xdr:rowOff>83820</xdr:rowOff>
        </xdr:from>
        <xdr:to>
          <xdr:col>5</xdr:col>
          <xdr:colOff>944880</xdr:colOff>
          <xdr:row>3</xdr:row>
          <xdr:rowOff>15240</xdr:rowOff>
        </xdr:to>
        <xdr:sp macro="" textlink="">
          <xdr:nvSpPr>
            <xdr:cNvPr id="11267" name="Button 3" hidden="1">
              <a:extLst>
                <a:ext uri="{63B3BB69-23CF-44E3-9099-C40C66FF867C}">
                  <a14:compatExt spid="_x0000_s11267"/>
                </a:ext>
                <a:ext uri="{FF2B5EF4-FFF2-40B4-BE49-F238E27FC236}">
                  <a16:creationId xmlns:a16="http://schemas.microsoft.com/office/drawing/2014/main" id="{707538C4-ECE9-531E-BD92-FA4D6FD22A54}"/>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EXIT MODEL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2019300</xdr:colOff>
          <xdr:row>9</xdr:row>
          <xdr:rowOff>22860</xdr:rowOff>
        </xdr:from>
        <xdr:to>
          <xdr:col>3</xdr:col>
          <xdr:colOff>2651760</xdr:colOff>
          <xdr:row>9</xdr:row>
          <xdr:rowOff>274320</xdr:rowOff>
        </xdr:to>
        <xdr:sp macro="" textlink="">
          <xdr:nvSpPr>
            <xdr:cNvPr id="11270" name="Button 6" hidden="1">
              <a:extLst>
                <a:ext uri="{63B3BB69-23CF-44E3-9099-C40C66FF867C}">
                  <a14:compatExt spid="_x0000_s11270"/>
                </a:ext>
                <a:ext uri="{FF2B5EF4-FFF2-40B4-BE49-F238E27FC236}">
                  <a16:creationId xmlns:a16="http://schemas.microsoft.com/office/drawing/2014/main" id="{AF026FA2-39BF-33B2-6A40-50C2DFE9A2F6}"/>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Details</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2026920</xdr:colOff>
          <xdr:row>13</xdr:row>
          <xdr:rowOff>22860</xdr:rowOff>
        </xdr:from>
        <xdr:to>
          <xdr:col>3</xdr:col>
          <xdr:colOff>2712720</xdr:colOff>
          <xdr:row>13</xdr:row>
          <xdr:rowOff>274320</xdr:rowOff>
        </xdr:to>
        <xdr:sp macro="" textlink="">
          <xdr:nvSpPr>
            <xdr:cNvPr id="11271" name="Button 7" hidden="1">
              <a:extLst>
                <a:ext uri="{63B3BB69-23CF-44E3-9099-C40C66FF867C}">
                  <a14:compatExt spid="_x0000_s11271"/>
                </a:ext>
                <a:ext uri="{FF2B5EF4-FFF2-40B4-BE49-F238E27FC236}">
                  <a16:creationId xmlns:a16="http://schemas.microsoft.com/office/drawing/2014/main" id="{821FD90C-5AE2-DF93-AB45-9BEDCCD22B5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Details</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2019300</xdr:colOff>
          <xdr:row>15</xdr:row>
          <xdr:rowOff>38100</xdr:rowOff>
        </xdr:from>
        <xdr:to>
          <xdr:col>3</xdr:col>
          <xdr:colOff>2667000</xdr:colOff>
          <xdr:row>15</xdr:row>
          <xdr:rowOff>289560</xdr:rowOff>
        </xdr:to>
        <xdr:sp macro="" textlink="">
          <xdr:nvSpPr>
            <xdr:cNvPr id="11272" name="Button 8" hidden="1">
              <a:extLst>
                <a:ext uri="{63B3BB69-23CF-44E3-9099-C40C66FF867C}">
                  <a14:compatExt spid="_x0000_s11272"/>
                </a:ext>
                <a:ext uri="{FF2B5EF4-FFF2-40B4-BE49-F238E27FC236}">
                  <a16:creationId xmlns:a16="http://schemas.microsoft.com/office/drawing/2014/main" id="{5303CF9E-036A-609C-606B-CA565A72F4AB}"/>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Details</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114300</xdr:colOff>
          <xdr:row>7</xdr:row>
          <xdr:rowOff>121920</xdr:rowOff>
        </xdr:from>
        <xdr:to>
          <xdr:col>3</xdr:col>
          <xdr:colOff>3276600</xdr:colOff>
          <xdr:row>7</xdr:row>
          <xdr:rowOff>358140</xdr:rowOff>
        </xdr:to>
        <xdr:sp macro="" textlink="">
          <xdr:nvSpPr>
            <xdr:cNvPr id="11280" name="Button 16" hidden="1">
              <a:extLst>
                <a:ext uri="{63B3BB69-23CF-44E3-9099-C40C66FF867C}">
                  <a14:compatExt spid="_x0000_s11280"/>
                </a:ext>
                <a:ext uri="{FF2B5EF4-FFF2-40B4-BE49-F238E27FC236}">
                  <a16:creationId xmlns:a16="http://schemas.microsoft.com/office/drawing/2014/main" id="{5DA66B26-F9F0-6C4B-EA62-D8D1536479CA}"/>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Observations and Operations Summary</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304800</xdr:colOff>
          <xdr:row>36</xdr:row>
          <xdr:rowOff>220980</xdr:rowOff>
        </xdr:from>
        <xdr:to>
          <xdr:col>5</xdr:col>
          <xdr:colOff>754380</xdr:colOff>
          <xdr:row>36</xdr:row>
          <xdr:rowOff>411480</xdr:rowOff>
        </xdr:to>
        <xdr:sp macro="" textlink="">
          <xdr:nvSpPr>
            <xdr:cNvPr id="11281" name="Button 17" hidden="1">
              <a:extLst>
                <a:ext uri="{63B3BB69-23CF-44E3-9099-C40C66FF867C}">
                  <a14:compatExt spid="_x0000_s11281"/>
                </a:ext>
                <a:ext uri="{FF2B5EF4-FFF2-40B4-BE49-F238E27FC236}">
                  <a16:creationId xmlns:a16="http://schemas.microsoft.com/office/drawing/2014/main" id="{158226C3-CEDB-7B39-2664-B135F4C91E0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Return to Top of Page</a:t>
              </a:r>
            </a:p>
          </xdr:txBody>
        </xdr:sp>
        <xdr:clientData/>
      </xdr:twoCellAnchor>
    </mc:Choice>
    <mc:Fallback/>
  </mc:AlternateContent>
  <xdr:twoCellAnchor>
    <xdr:from>
      <xdr:col>4</xdr:col>
      <xdr:colOff>685800</xdr:colOff>
      <xdr:row>4</xdr:row>
      <xdr:rowOff>15240</xdr:rowOff>
    </xdr:from>
    <xdr:to>
      <xdr:col>5</xdr:col>
      <xdr:colOff>1013460</xdr:colOff>
      <xdr:row>4</xdr:row>
      <xdr:rowOff>297180</xdr:rowOff>
    </xdr:to>
    <xdr:grpSp>
      <xdr:nvGrpSpPr>
        <xdr:cNvPr id="11285" name="Group 21">
          <a:extLst>
            <a:ext uri="{FF2B5EF4-FFF2-40B4-BE49-F238E27FC236}">
              <a16:creationId xmlns:a16="http://schemas.microsoft.com/office/drawing/2014/main" id="{94299CED-7F57-013D-E3E3-883D8422E5B3}"/>
            </a:ext>
          </a:extLst>
        </xdr:cNvPr>
        <xdr:cNvGrpSpPr>
          <a:grpSpLocks/>
        </xdr:cNvGrpSpPr>
      </xdr:nvGrpSpPr>
      <xdr:grpSpPr bwMode="auto">
        <a:xfrm>
          <a:off x="5994400" y="794173"/>
          <a:ext cx="1555327" cy="281940"/>
          <a:chOff x="697" y="8"/>
          <a:chExt cx="159" cy="29"/>
        </a:xfrm>
      </xdr:grpSpPr>
      <xdr:pic>
        <xdr:nvPicPr>
          <xdr:cNvPr id="11286" name="Picture 22">
            <a:extLst>
              <a:ext uri="{FF2B5EF4-FFF2-40B4-BE49-F238E27FC236}">
                <a16:creationId xmlns:a16="http://schemas.microsoft.com/office/drawing/2014/main" id="{26F2FD8E-E314-5F98-0AB3-E7B7492A99C9}"/>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 y="8"/>
            <a:ext cx="74" cy="2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1287" name="Picture 23">
            <a:extLst>
              <a:ext uri="{FF2B5EF4-FFF2-40B4-BE49-F238E27FC236}">
                <a16:creationId xmlns:a16="http://schemas.microsoft.com/office/drawing/2014/main" id="{E77B3077-DA6A-B9AC-F6F4-8EB369BD7110}"/>
              </a:ext>
            </a:extLst>
          </xdr:cNvPr>
          <xdr:cNvPicPr preferRelativeResize="0">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1" y="12"/>
            <a:ext cx="75" cy="25"/>
          </a:xfrm>
          <a:prstGeom prst="rect">
            <a:avLst/>
          </a:prstGeom>
          <a:solidFill>
            <a:srgbClr val="FF9933"/>
          </a:solidFill>
        </xdr:spPr>
      </xdr:pic>
    </xdr:grpSp>
    <xdr:clientData/>
  </xdr:twoCellAnchor>
  <xdr:twoCellAnchor>
    <xdr:from>
      <xdr:col>4</xdr:col>
      <xdr:colOff>678180</xdr:colOff>
      <xdr:row>34</xdr:row>
      <xdr:rowOff>68580</xdr:rowOff>
    </xdr:from>
    <xdr:to>
      <xdr:col>5</xdr:col>
      <xdr:colOff>1005840</xdr:colOff>
      <xdr:row>34</xdr:row>
      <xdr:rowOff>342900</xdr:rowOff>
    </xdr:to>
    <xdr:grpSp>
      <xdr:nvGrpSpPr>
        <xdr:cNvPr id="11288" name="Group 24">
          <a:extLst>
            <a:ext uri="{FF2B5EF4-FFF2-40B4-BE49-F238E27FC236}">
              <a16:creationId xmlns:a16="http://schemas.microsoft.com/office/drawing/2014/main" id="{A8FA1E29-313F-BA99-CE0D-E09C85A36C50}"/>
            </a:ext>
          </a:extLst>
        </xdr:cNvPr>
        <xdr:cNvGrpSpPr>
          <a:grpSpLocks/>
        </xdr:cNvGrpSpPr>
      </xdr:nvGrpSpPr>
      <xdr:grpSpPr bwMode="auto">
        <a:xfrm>
          <a:off x="5986780" y="10829713"/>
          <a:ext cx="1555327" cy="274320"/>
          <a:chOff x="697" y="8"/>
          <a:chExt cx="159" cy="29"/>
        </a:xfrm>
      </xdr:grpSpPr>
      <xdr:pic>
        <xdr:nvPicPr>
          <xdr:cNvPr id="11289" name="Picture 25">
            <a:extLst>
              <a:ext uri="{FF2B5EF4-FFF2-40B4-BE49-F238E27FC236}">
                <a16:creationId xmlns:a16="http://schemas.microsoft.com/office/drawing/2014/main" id="{F9404DAA-A67C-FE0F-6012-3C7A7DA8B072}"/>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 y="8"/>
            <a:ext cx="74" cy="2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1290" name="Picture 26">
            <a:extLst>
              <a:ext uri="{FF2B5EF4-FFF2-40B4-BE49-F238E27FC236}">
                <a16:creationId xmlns:a16="http://schemas.microsoft.com/office/drawing/2014/main" id="{4EA4CDDE-CFA0-425F-F2CB-E9F46CB2FF9B}"/>
              </a:ext>
            </a:extLst>
          </xdr:cNvPr>
          <xdr:cNvPicPr preferRelativeResize="0">
            <a:picLocks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81" y="12"/>
            <a:ext cx="75" cy="25"/>
          </a:xfrm>
          <a:prstGeom prst="rect">
            <a:avLst/>
          </a:prstGeom>
          <a:solidFill>
            <a:srgbClr val="FF9933"/>
          </a:solidFill>
        </xdr:spPr>
      </xdr:pic>
    </xdr:grpSp>
    <xdr:clientData/>
  </xdr:twoCellAnchor>
  <mc:AlternateContent xmlns:mc="http://schemas.openxmlformats.org/markup-compatibility/2006">
    <mc:Choice xmlns:a14="http://schemas.microsoft.com/office/drawing/2010/main" Requires="a14">
      <xdr:twoCellAnchor>
        <xdr:from>
          <xdr:col>3</xdr:col>
          <xdr:colOff>1653540</xdr:colOff>
          <xdr:row>51</xdr:row>
          <xdr:rowOff>167640</xdr:rowOff>
        </xdr:from>
        <xdr:to>
          <xdr:col>5</xdr:col>
          <xdr:colOff>182880</xdr:colOff>
          <xdr:row>53</xdr:row>
          <xdr:rowOff>91440</xdr:rowOff>
        </xdr:to>
        <xdr:sp macro="" textlink="">
          <xdr:nvSpPr>
            <xdr:cNvPr id="11291" name="Button 27" hidden="1">
              <a:extLst>
                <a:ext uri="{63B3BB69-23CF-44E3-9099-C40C66FF867C}">
                  <a14:compatExt spid="_x0000_s11291"/>
                </a:ext>
                <a:ext uri="{FF2B5EF4-FFF2-40B4-BE49-F238E27FC236}">
                  <a16:creationId xmlns:a16="http://schemas.microsoft.com/office/drawing/2014/main" id="{C0F017E2-BD5E-657C-3632-64D6779318D3}"/>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200" b="1" i="0" u="none" strike="noStrike" baseline="0">
                  <a:solidFill>
                    <a:srgbClr val="993366"/>
                  </a:solidFill>
                  <a:latin typeface="Arial"/>
                  <a:cs typeface="Arial"/>
                </a:rPr>
                <a:t>Next Step:  Results Details</a:t>
              </a:r>
            </a:p>
          </xdr:txBody>
        </xdr:sp>
        <xdr:clientData fPrintsWithSheet="0"/>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22860</xdr:colOff>
          <xdr:row>6</xdr:row>
          <xdr:rowOff>15240</xdr:rowOff>
        </xdr:from>
        <xdr:to>
          <xdr:col>6</xdr:col>
          <xdr:colOff>967740</xdr:colOff>
          <xdr:row>6</xdr:row>
          <xdr:rowOff>289560</xdr:rowOff>
        </xdr:to>
        <xdr:sp macro="" textlink="">
          <xdr:nvSpPr>
            <xdr:cNvPr id="17419" name="Button 11" hidden="1">
              <a:extLst>
                <a:ext uri="{63B3BB69-23CF-44E3-9099-C40C66FF867C}">
                  <a14:compatExt spid="_x0000_s17419"/>
                </a:ext>
                <a:ext uri="{FF2B5EF4-FFF2-40B4-BE49-F238E27FC236}">
                  <a16:creationId xmlns:a16="http://schemas.microsoft.com/office/drawing/2014/main" id="{251A121C-4232-B5D5-E185-CE2186595753}"/>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Return to Results Summary</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22860</xdr:colOff>
          <xdr:row>19</xdr:row>
          <xdr:rowOff>30480</xdr:rowOff>
        </xdr:from>
        <xdr:to>
          <xdr:col>6</xdr:col>
          <xdr:colOff>967740</xdr:colOff>
          <xdr:row>19</xdr:row>
          <xdr:rowOff>358140</xdr:rowOff>
        </xdr:to>
        <xdr:sp macro="" textlink="">
          <xdr:nvSpPr>
            <xdr:cNvPr id="17420" name="Button 12" hidden="1">
              <a:extLst>
                <a:ext uri="{63B3BB69-23CF-44E3-9099-C40C66FF867C}">
                  <a14:compatExt spid="_x0000_s17420"/>
                </a:ext>
                <a:ext uri="{FF2B5EF4-FFF2-40B4-BE49-F238E27FC236}">
                  <a16:creationId xmlns:a16="http://schemas.microsoft.com/office/drawing/2014/main" id="{DBA621F3-7102-96DD-34DD-F78A0F04D622}"/>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Return to Results Summary</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990600</xdr:colOff>
          <xdr:row>41</xdr:row>
          <xdr:rowOff>30480</xdr:rowOff>
        </xdr:from>
        <xdr:to>
          <xdr:col>6</xdr:col>
          <xdr:colOff>922020</xdr:colOff>
          <xdr:row>41</xdr:row>
          <xdr:rowOff>365760</xdr:rowOff>
        </xdr:to>
        <xdr:sp macro="" textlink="">
          <xdr:nvSpPr>
            <xdr:cNvPr id="17421" name="Button 13" hidden="1">
              <a:extLst>
                <a:ext uri="{63B3BB69-23CF-44E3-9099-C40C66FF867C}">
                  <a14:compatExt spid="_x0000_s17421"/>
                </a:ext>
                <a:ext uri="{FF2B5EF4-FFF2-40B4-BE49-F238E27FC236}">
                  <a16:creationId xmlns:a16="http://schemas.microsoft.com/office/drawing/2014/main" id="{781E4091-25A2-BC72-2421-49364218721D}"/>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Return to Results Summary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220980</xdr:colOff>
          <xdr:row>0</xdr:row>
          <xdr:rowOff>121920</xdr:rowOff>
        </xdr:from>
        <xdr:to>
          <xdr:col>3</xdr:col>
          <xdr:colOff>1790700</xdr:colOff>
          <xdr:row>3</xdr:row>
          <xdr:rowOff>45720</xdr:rowOff>
        </xdr:to>
        <xdr:sp macro="" textlink="">
          <xdr:nvSpPr>
            <xdr:cNvPr id="17422" name="Button 14" hidden="1">
              <a:extLst>
                <a:ext uri="{63B3BB69-23CF-44E3-9099-C40C66FF867C}">
                  <a14:compatExt spid="_x0000_s17422"/>
                </a:ext>
                <a:ext uri="{FF2B5EF4-FFF2-40B4-BE49-F238E27FC236}">
                  <a16:creationId xmlns:a16="http://schemas.microsoft.com/office/drawing/2014/main" id="{7B4753DF-A633-E5D3-C905-BD21D06C4721}"/>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RETURN TO MAP OF THE MODEL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586740</xdr:colOff>
          <xdr:row>0</xdr:row>
          <xdr:rowOff>152400</xdr:rowOff>
        </xdr:from>
        <xdr:to>
          <xdr:col>6</xdr:col>
          <xdr:colOff>853440</xdr:colOff>
          <xdr:row>3</xdr:row>
          <xdr:rowOff>83820</xdr:rowOff>
        </xdr:to>
        <xdr:sp macro="" textlink="">
          <xdr:nvSpPr>
            <xdr:cNvPr id="17424" name="Button 16" hidden="1">
              <a:extLst>
                <a:ext uri="{63B3BB69-23CF-44E3-9099-C40C66FF867C}">
                  <a14:compatExt spid="_x0000_s17424"/>
                </a:ext>
                <a:ext uri="{FF2B5EF4-FFF2-40B4-BE49-F238E27FC236}">
                  <a16:creationId xmlns:a16="http://schemas.microsoft.com/office/drawing/2014/main" id="{942771B2-B45D-2D85-ABB1-3B3DE5136585}"/>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EXIT MODEL</a:t>
              </a:r>
            </a:p>
          </xdr:txBody>
        </xdr:sp>
        <xdr:clientData fPrintsWithSheet="0"/>
      </xdr:twoCellAnchor>
    </mc:Choice>
    <mc:Fallback/>
  </mc:AlternateContent>
  <xdr:twoCellAnchor>
    <xdr:from>
      <xdr:col>5</xdr:col>
      <xdr:colOff>822960</xdr:colOff>
      <xdr:row>4</xdr:row>
      <xdr:rowOff>38100</xdr:rowOff>
    </xdr:from>
    <xdr:to>
      <xdr:col>6</xdr:col>
      <xdr:colOff>1303020</xdr:colOff>
      <xdr:row>4</xdr:row>
      <xdr:rowOff>312420</xdr:rowOff>
    </xdr:to>
    <xdr:grpSp>
      <xdr:nvGrpSpPr>
        <xdr:cNvPr id="17429" name="Group 21">
          <a:extLst>
            <a:ext uri="{FF2B5EF4-FFF2-40B4-BE49-F238E27FC236}">
              <a16:creationId xmlns:a16="http://schemas.microsoft.com/office/drawing/2014/main" id="{42E2E396-A952-6327-10C8-7682F75C005E}"/>
            </a:ext>
          </a:extLst>
        </xdr:cNvPr>
        <xdr:cNvGrpSpPr>
          <a:grpSpLocks/>
        </xdr:cNvGrpSpPr>
      </xdr:nvGrpSpPr>
      <xdr:grpSpPr bwMode="auto">
        <a:xfrm>
          <a:off x="7156027" y="817033"/>
          <a:ext cx="1555326" cy="274320"/>
          <a:chOff x="697" y="8"/>
          <a:chExt cx="159" cy="29"/>
        </a:xfrm>
      </xdr:grpSpPr>
      <xdr:pic>
        <xdr:nvPicPr>
          <xdr:cNvPr id="17430" name="Picture 22">
            <a:extLst>
              <a:ext uri="{FF2B5EF4-FFF2-40B4-BE49-F238E27FC236}">
                <a16:creationId xmlns:a16="http://schemas.microsoft.com/office/drawing/2014/main" id="{CC138CB1-E7FF-C51E-8C3C-2AAA22D0B826}"/>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 y="8"/>
            <a:ext cx="74" cy="2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431" name="Picture 23">
            <a:extLst>
              <a:ext uri="{FF2B5EF4-FFF2-40B4-BE49-F238E27FC236}">
                <a16:creationId xmlns:a16="http://schemas.microsoft.com/office/drawing/2014/main" id="{38DD1218-12BC-21E6-2F23-E1471F08F94B}"/>
              </a:ext>
            </a:extLst>
          </xdr:cNvPr>
          <xdr:cNvPicPr preferRelativeResize="0">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1" y="12"/>
            <a:ext cx="75" cy="25"/>
          </a:xfrm>
          <a:prstGeom prst="rect">
            <a:avLst/>
          </a:prstGeom>
          <a:solidFill>
            <a:srgbClr val="FF9933"/>
          </a:solidFill>
        </xdr:spPr>
      </xdr:pic>
    </xdr:grpSp>
    <xdr:clientData/>
  </xdr:twoCellAnchor>
  <mc:AlternateContent xmlns:mc="http://schemas.openxmlformats.org/markup-compatibility/2006">
    <mc:Choice xmlns:a14="http://schemas.microsoft.com/office/drawing/2010/main" Requires="a14">
      <xdr:twoCellAnchor>
        <xdr:from>
          <xdr:col>3</xdr:col>
          <xdr:colOff>2019300</xdr:colOff>
          <xdr:row>46</xdr:row>
          <xdr:rowOff>160020</xdr:rowOff>
        </xdr:from>
        <xdr:to>
          <xdr:col>5</xdr:col>
          <xdr:colOff>289560</xdr:colOff>
          <xdr:row>48</xdr:row>
          <xdr:rowOff>129540</xdr:rowOff>
        </xdr:to>
        <xdr:sp macro="" textlink="">
          <xdr:nvSpPr>
            <xdr:cNvPr id="17432" name="Button 24" hidden="1">
              <a:extLst>
                <a:ext uri="{63B3BB69-23CF-44E3-9099-C40C66FF867C}">
                  <a14:compatExt spid="_x0000_s17432"/>
                </a:ext>
                <a:ext uri="{FF2B5EF4-FFF2-40B4-BE49-F238E27FC236}">
                  <a16:creationId xmlns:a16="http://schemas.microsoft.com/office/drawing/2014/main" id="{81207108-23C1-EFCC-4AFB-545E203A15F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RETURN TO MAP OF THE MODEL</a:t>
              </a:r>
            </a:p>
          </xdr:txBody>
        </xdr:sp>
        <xdr:clientData fPrintsWithSheet="0"/>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845820</xdr:colOff>
          <xdr:row>0</xdr:row>
          <xdr:rowOff>53340</xdr:rowOff>
        </xdr:from>
        <xdr:to>
          <xdr:col>1</xdr:col>
          <xdr:colOff>320040</xdr:colOff>
          <xdr:row>2</xdr:row>
          <xdr:rowOff>60960</xdr:rowOff>
        </xdr:to>
        <xdr:sp macro="" textlink="">
          <xdr:nvSpPr>
            <xdr:cNvPr id="1041" name="Button 17" hidden="1">
              <a:extLst>
                <a:ext uri="{63B3BB69-23CF-44E3-9099-C40C66FF867C}">
                  <a14:compatExt spid="_x0000_s1041"/>
                </a:ext>
                <a:ext uri="{FF2B5EF4-FFF2-40B4-BE49-F238E27FC236}">
                  <a16:creationId xmlns:a16="http://schemas.microsoft.com/office/drawing/2014/main" id="{36C5FE1F-BC7F-6C01-B761-69F51B963B9A}"/>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RETURN TO MAP OF THE MODEL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91440</xdr:colOff>
          <xdr:row>0</xdr:row>
          <xdr:rowOff>76200</xdr:rowOff>
        </xdr:from>
        <xdr:to>
          <xdr:col>4</xdr:col>
          <xdr:colOff>312420</xdr:colOff>
          <xdr:row>2</xdr:row>
          <xdr:rowOff>83820</xdr:rowOff>
        </xdr:to>
        <xdr:sp macro="" textlink="">
          <xdr:nvSpPr>
            <xdr:cNvPr id="1042" name="Button 18" hidden="1">
              <a:extLst>
                <a:ext uri="{63B3BB69-23CF-44E3-9099-C40C66FF867C}">
                  <a14:compatExt spid="_x0000_s1042"/>
                </a:ext>
                <a:ext uri="{FF2B5EF4-FFF2-40B4-BE49-F238E27FC236}">
                  <a16:creationId xmlns:a16="http://schemas.microsoft.com/office/drawing/2014/main" id="{65ACD5A6-446C-74C6-53C3-13D072C36C4C}"/>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EXIT MODEL</a:t>
              </a:r>
            </a:p>
          </xdr:txBody>
        </xdr:sp>
        <xdr:clientData fPrintsWithSheet="0"/>
      </xdr:twoCellAnchor>
    </mc:Choice>
    <mc:Fallback/>
  </mc:AlternateContent>
  <xdr:twoCellAnchor>
    <xdr:from>
      <xdr:col>5</xdr:col>
      <xdr:colOff>480060</xdr:colOff>
      <xdr:row>0</xdr:row>
      <xdr:rowOff>45720</xdr:rowOff>
    </xdr:from>
    <xdr:to>
      <xdr:col>7</xdr:col>
      <xdr:colOff>129540</xdr:colOff>
      <xdr:row>2</xdr:row>
      <xdr:rowOff>38100</xdr:rowOff>
    </xdr:to>
    <xdr:grpSp>
      <xdr:nvGrpSpPr>
        <xdr:cNvPr id="1045" name="Group 21">
          <a:extLst>
            <a:ext uri="{FF2B5EF4-FFF2-40B4-BE49-F238E27FC236}">
              <a16:creationId xmlns:a16="http://schemas.microsoft.com/office/drawing/2014/main" id="{8E2064D4-F1FB-657C-5E17-E4303A55D461}"/>
            </a:ext>
          </a:extLst>
        </xdr:cNvPr>
        <xdr:cNvGrpSpPr>
          <a:grpSpLocks/>
        </xdr:cNvGrpSpPr>
      </xdr:nvGrpSpPr>
      <xdr:grpSpPr bwMode="auto">
        <a:xfrm>
          <a:off x="6873240" y="45720"/>
          <a:ext cx="1562100" cy="251460"/>
          <a:chOff x="697" y="8"/>
          <a:chExt cx="159" cy="29"/>
        </a:xfrm>
      </xdr:grpSpPr>
      <xdr:pic>
        <xdr:nvPicPr>
          <xdr:cNvPr id="1046" name="Picture 22">
            <a:extLst>
              <a:ext uri="{FF2B5EF4-FFF2-40B4-BE49-F238E27FC236}">
                <a16:creationId xmlns:a16="http://schemas.microsoft.com/office/drawing/2014/main" id="{55B2FE9F-6E84-5255-CD06-BC0FD84312A7}"/>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 y="8"/>
            <a:ext cx="74" cy="2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47" name="Picture 23">
            <a:extLst>
              <a:ext uri="{FF2B5EF4-FFF2-40B4-BE49-F238E27FC236}">
                <a16:creationId xmlns:a16="http://schemas.microsoft.com/office/drawing/2014/main" id="{92471AC1-5C3C-7E46-4A1E-CE550E47926E}"/>
              </a:ext>
            </a:extLst>
          </xdr:cNvPr>
          <xdr:cNvPicPr preferRelativeResize="0">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1" y="12"/>
            <a:ext cx="75" cy="25"/>
          </a:xfrm>
          <a:prstGeom prst="rect">
            <a:avLst/>
          </a:prstGeom>
          <a:solidFill>
            <a:srgbClr val="FF9933"/>
          </a:solidFill>
        </xdr:spPr>
      </xdr:pic>
    </xdr:grpSp>
    <xdr:clientData/>
  </xdr:twoCellAnchor>
  <mc:AlternateContent xmlns:mc="http://schemas.openxmlformats.org/markup-compatibility/2006">
    <mc:Choice xmlns:a14="http://schemas.microsoft.com/office/drawing/2010/main" Requires="a14">
      <xdr:twoCellAnchor>
        <xdr:from>
          <xdr:col>3</xdr:col>
          <xdr:colOff>91440</xdr:colOff>
          <xdr:row>223</xdr:row>
          <xdr:rowOff>106680</xdr:rowOff>
        </xdr:from>
        <xdr:to>
          <xdr:col>5</xdr:col>
          <xdr:colOff>281940</xdr:colOff>
          <xdr:row>226</xdr:row>
          <xdr:rowOff>53340</xdr:rowOff>
        </xdr:to>
        <xdr:sp macro="" textlink="">
          <xdr:nvSpPr>
            <xdr:cNvPr id="1048" name="Button 24" hidden="1">
              <a:extLst>
                <a:ext uri="{63B3BB69-23CF-44E3-9099-C40C66FF867C}">
                  <a14:compatExt spid="_x0000_s1048"/>
                </a:ext>
                <a:ext uri="{FF2B5EF4-FFF2-40B4-BE49-F238E27FC236}">
                  <a16:creationId xmlns:a16="http://schemas.microsoft.com/office/drawing/2014/main" id="{FCB305E9-DD80-032A-12DD-6499C2641B3C}"/>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RETURN TO MAP OF THE MODEL</a:t>
              </a:r>
            </a:p>
          </xdr:txBody>
        </xdr:sp>
        <xdr:clientData fPrintsWithSheet="0"/>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7</xdr:col>
      <xdr:colOff>45720</xdr:colOff>
      <xdr:row>0</xdr:row>
      <xdr:rowOff>68580</xdr:rowOff>
    </xdr:from>
    <xdr:to>
      <xdr:col>9</xdr:col>
      <xdr:colOff>76200</xdr:colOff>
      <xdr:row>2</xdr:row>
      <xdr:rowOff>22860</xdr:rowOff>
    </xdr:to>
    <xdr:grpSp>
      <xdr:nvGrpSpPr>
        <xdr:cNvPr id="13314" name="Group 2">
          <a:extLst>
            <a:ext uri="{FF2B5EF4-FFF2-40B4-BE49-F238E27FC236}">
              <a16:creationId xmlns:a16="http://schemas.microsoft.com/office/drawing/2014/main" id="{E0AAE7CF-21DA-E6FB-5DC7-C7CA5FC2DED8}"/>
            </a:ext>
          </a:extLst>
        </xdr:cNvPr>
        <xdr:cNvGrpSpPr>
          <a:grpSpLocks/>
        </xdr:cNvGrpSpPr>
      </xdr:nvGrpSpPr>
      <xdr:grpSpPr bwMode="auto">
        <a:xfrm>
          <a:off x="6042660" y="68580"/>
          <a:ext cx="1554480" cy="289560"/>
          <a:chOff x="697" y="8"/>
          <a:chExt cx="159" cy="29"/>
        </a:xfrm>
      </xdr:grpSpPr>
      <xdr:pic>
        <xdr:nvPicPr>
          <xdr:cNvPr id="13315" name="Picture 3">
            <a:extLst>
              <a:ext uri="{FF2B5EF4-FFF2-40B4-BE49-F238E27FC236}">
                <a16:creationId xmlns:a16="http://schemas.microsoft.com/office/drawing/2014/main" id="{0553B28D-079E-2BCF-A37D-734900B6E684}"/>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 y="8"/>
            <a:ext cx="74" cy="2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3316" name="Picture 4">
            <a:extLst>
              <a:ext uri="{FF2B5EF4-FFF2-40B4-BE49-F238E27FC236}">
                <a16:creationId xmlns:a16="http://schemas.microsoft.com/office/drawing/2014/main" id="{487C0005-FA0D-329E-878E-FC432C9CC8D5}"/>
              </a:ext>
            </a:extLst>
          </xdr:cNvPr>
          <xdr:cNvPicPr preferRelativeResize="0">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1" y="12"/>
            <a:ext cx="75" cy="25"/>
          </a:xfrm>
          <a:prstGeom prst="rect">
            <a:avLst/>
          </a:prstGeom>
          <a:solidFill>
            <a:srgbClr val="FF9933"/>
          </a:solidFill>
        </xdr:spPr>
      </xdr:pic>
    </xdr:grp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167640</xdr:colOff>
      <xdr:row>4</xdr:row>
      <xdr:rowOff>38100</xdr:rowOff>
    </xdr:from>
    <xdr:to>
      <xdr:col>6</xdr:col>
      <xdr:colOff>784860</xdr:colOff>
      <xdr:row>4</xdr:row>
      <xdr:rowOff>312420</xdr:rowOff>
    </xdr:to>
    <xdr:grpSp>
      <xdr:nvGrpSpPr>
        <xdr:cNvPr id="15362" name="Group 2">
          <a:extLst>
            <a:ext uri="{FF2B5EF4-FFF2-40B4-BE49-F238E27FC236}">
              <a16:creationId xmlns:a16="http://schemas.microsoft.com/office/drawing/2014/main" id="{0C5C6036-9CF2-2DE4-6958-F609EF75E984}"/>
            </a:ext>
          </a:extLst>
        </xdr:cNvPr>
        <xdr:cNvGrpSpPr>
          <a:grpSpLocks/>
        </xdr:cNvGrpSpPr>
      </xdr:nvGrpSpPr>
      <xdr:grpSpPr bwMode="auto">
        <a:xfrm>
          <a:off x="4465320" y="807720"/>
          <a:ext cx="1554480" cy="274320"/>
          <a:chOff x="697" y="8"/>
          <a:chExt cx="159" cy="29"/>
        </a:xfrm>
      </xdr:grpSpPr>
      <xdr:pic>
        <xdr:nvPicPr>
          <xdr:cNvPr id="15363" name="Picture 3">
            <a:extLst>
              <a:ext uri="{FF2B5EF4-FFF2-40B4-BE49-F238E27FC236}">
                <a16:creationId xmlns:a16="http://schemas.microsoft.com/office/drawing/2014/main" id="{735E136A-54FF-6F6F-CABD-E5CC4629ED12}"/>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 y="8"/>
            <a:ext cx="74" cy="2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364" name="Picture 4">
            <a:extLst>
              <a:ext uri="{FF2B5EF4-FFF2-40B4-BE49-F238E27FC236}">
                <a16:creationId xmlns:a16="http://schemas.microsoft.com/office/drawing/2014/main" id="{433478B3-A99E-5894-C70E-DAB0D2970FF3}"/>
              </a:ext>
            </a:extLst>
          </xdr:cNvPr>
          <xdr:cNvPicPr preferRelativeResize="0">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1" y="12"/>
            <a:ext cx="75" cy="25"/>
          </a:xfrm>
          <a:prstGeom prst="rect">
            <a:avLst/>
          </a:prstGeom>
          <a:solidFill>
            <a:srgbClr val="FF9933"/>
          </a:solidFill>
        </xdr:spPr>
      </xdr:pic>
    </xdr:grpSp>
    <xdr:clientData/>
  </xdr:twoCellAnchor>
  <mc:AlternateContent xmlns:mc="http://schemas.openxmlformats.org/markup-compatibility/2006">
    <mc:Choice xmlns:a14="http://schemas.microsoft.com/office/drawing/2010/main" Requires="a14">
      <xdr:twoCellAnchor>
        <xdr:from>
          <xdr:col>2</xdr:col>
          <xdr:colOff>175260</xdr:colOff>
          <xdr:row>0</xdr:row>
          <xdr:rowOff>144780</xdr:rowOff>
        </xdr:from>
        <xdr:to>
          <xdr:col>3</xdr:col>
          <xdr:colOff>777240</xdr:colOff>
          <xdr:row>3</xdr:row>
          <xdr:rowOff>7620</xdr:rowOff>
        </xdr:to>
        <xdr:sp macro="" textlink="">
          <xdr:nvSpPr>
            <xdr:cNvPr id="15365" name="Button 5" hidden="1">
              <a:extLst>
                <a:ext uri="{63B3BB69-23CF-44E3-9099-C40C66FF867C}">
                  <a14:compatExt spid="_x0000_s15365"/>
                </a:ext>
                <a:ext uri="{FF2B5EF4-FFF2-40B4-BE49-F238E27FC236}">
                  <a16:creationId xmlns:a16="http://schemas.microsoft.com/office/drawing/2014/main" id="{96C2E50D-9267-2237-3FA9-98AA0483C51C}"/>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RETURN TO MAP OF THE MODEL</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518160</xdr:colOff>
      <xdr:row>12</xdr:row>
      <xdr:rowOff>83820</xdr:rowOff>
    </xdr:from>
    <xdr:to>
      <xdr:col>11</xdr:col>
      <xdr:colOff>518160</xdr:colOff>
      <xdr:row>25</xdr:row>
      <xdr:rowOff>15240</xdr:rowOff>
    </xdr:to>
    <xdr:sp macro="" textlink="">
      <xdr:nvSpPr>
        <xdr:cNvPr id="3073" name="Rectangle 1">
          <a:extLst>
            <a:ext uri="{FF2B5EF4-FFF2-40B4-BE49-F238E27FC236}">
              <a16:creationId xmlns:a16="http://schemas.microsoft.com/office/drawing/2014/main" id="{2294F981-2109-412C-2BB6-D655C0517634}"/>
            </a:ext>
          </a:extLst>
        </xdr:cNvPr>
        <xdr:cNvSpPr>
          <a:spLocks noChangeArrowheads="1"/>
        </xdr:cNvSpPr>
      </xdr:nvSpPr>
      <xdr:spPr bwMode="auto">
        <a:xfrm>
          <a:off x="518160" y="2430780"/>
          <a:ext cx="6873240" cy="2415540"/>
        </a:xfrm>
        <a:prstGeom prst="rect">
          <a:avLst/>
        </a:prstGeom>
        <a:solidFill>
          <a:srgbClr xmlns:mc="http://schemas.openxmlformats.org/markup-compatibility/2006" xmlns:a14="http://schemas.microsoft.com/office/drawing/2010/main" val="FFFFFF" mc:Ignorable="a14" a14:legacySpreadsheetColorIndex="9"/>
        </a:solidFill>
        <a:ln w="57150">
          <a:solidFill>
            <a:srgbClr xmlns:mc="http://schemas.openxmlformats.org/markup-compatibility/2006" xmlns:a14="http://schemas.microsoft.com/office/drawing/2010/main" val="000080" mc:Ignorable="a14" a14:legacySpreadsheetColorIndex="18"/>
          </a:solidFill>
          <a:miter lim="800000"/>
          <a:headEnd/>
          <a:tailEnd/>
        </a:ln>
      </xdr:spPr>
      <xdr:txBody>
        <a:bodyPr vertOverflow="clip" wrap="square" lIns="36576" tIns="27432" rIns="0" bIns="0" anchor="t" upright="1"/>
        <a:lstStyle/>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Center for Criminal Justice Technology at Mitretek Systems developed this model under Cooperative Agreement, 2001-LT-BX-K002, from the Office of Justice Programs, National Institute of Justice, Department of Justice.   Points of view in this document are those of the authors and do not necessarily represent the official position of the U. S. Department of Justice.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model serves as an impact analysis tool to assist state law enforcement agencies to define their processes and estimate the size of the systems required to implement a ballistic-imaging database that meets national standards.  Such information helps guide budgeting and planning activities.  Additional information and guidance  is provided in the handbook </a:t>
          </a:r>
          <a:r>
            <a:rPr lang="en-US" sz="1000" b="0" i="1" u="none" strike="noStrike" baseline="0">
              <a:solidFill>
                <a:srgbClr val="000000"/>
              </a:solidFill>
              <a:latin typeface="Arial"/>
              <a:cs typeface="Arial"/>
            </a:rPr>
            <a:t>Ballistic Identification Capability Modeling:  A Guide for State Program Establishment (February 2002)</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Take a few minutes to familiarize yourself with the model prior to entering any information.  Click on the "GO TO THE MAP OF THE MODEL" button above to begin.</a:t>
          </a:r>
        </a:p>
        <a:p>
          <a:pPr algn="l" rtl="0">
            <a:defRPr sz="1000"/>
          </a:pPr>
          <a:endParaRPr lang="en-US"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9</xdr:col>
          <xdr:colOff>91440</xdr:colOff>
          <xdr:row>8</xdr:row>
          <xdr:rowOff>68580</xdr:rowOff>
        </xdr:from>
        <xdr:to>
          <xdr:col>11</xdr:col>
          <xdr:colOff>480060</xdr:colOff>
          <xdr:row>10</xdr:row>
          <xdr:rowOff>152400</xdr:rowOff>
        </xdr:to>
        <xdr:sp macro="" textlink="">
          <xdr:nvSpPr>
            <xdr:cNvPr id="3078" name="Button 6" hidden="1">
              <a:extLst>
                <a:ext uri="{63B3BB69-23CF-44E3-9099-C40C66FF867C}">
                  <a14:compatExt spid="_x0000_s3078"/>
                </a:ext>
                <a:ext uri="{FF2B5EF4-FFF2-40B4-BE49-F238E27FC236}">
                  <a16:creationId xmlns:a16="http://schemas.microsoft.com/office/drawing/2014/main" id="{DB18B7E7-6684-97E5-B906-B16FB8BF0442}"/>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200" b="1" i="0" u="none" strike="noStrike" baseline="0">
                  <a:solidFill>
                    <a:srgbClr val="000080"/>
                  </a:solidFill>
                  <a:latin typeface="Arial"/>
                  <a:cs typeface="Arial"/>
                </a:rPr>
                <a:t>GO TO THE MAP OF THE MODEL</a:t>
              </a:r>
            </a:p>
          </xdr:txBody>
        </xdr:sp>
        <xdr:clientData fPrintsWithSheet="0"/>
      </xdr:twoCellAnchor>
    </mc:Choice>
    <mc:Fallback/>
  </mc:AlternateContent>
  <xdr:twoCellAnchor editAs="oneCell">
    <xdr:from>
      <xdr:col>3</xdr:col>
      <xdr:colOff>457200</xdr:colOff>
      <xdr:row>0</xdr:row>
      <xdr:rowOff>83820</xdr:rowOff>
    </xdr:from>
    <xdr:to>
      <xdr:col>8</xdr:col>
      <xdr:colOff>449580</xdr:colOff>
      <xdr:row>11</xdr:row>
      <xdr:rowOff>182880</xdr:rowOff>
    </xdr:to>
    <xdr:pic>
      <xdr:nvPicPr>
        <xdr:cNvPr id="3081" name="Picture 9">
          <a:extLst>
            <a:ext uri="{FF2B5EF4-FFF2-40B4-BE49-F238E27FC236}">
              <a16:creationId xmlns:a16="http://schemas.microsoft.com/office/drawing/2014/main" id="{B8617A09-89B3-0896-A1E2-772B7F468D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31720" y="83820"/>
          <a:ext cx="3116580" cy="2255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487680</xdr:colOff>
      <xdr:row>25</xdr:row>
      <xdr:rowOff>114300</xdr:rowOff>
    </xdr:from>
    <xdr:to>
      <xdr:col>11</xdr:col>
      <xdr:colOff>487680</xdr:colOff>
      <xdr:row>28</xdr:row>
      <xdr:rowOff>38100</xdr:rowOff>
    </xdr:to>
    <xdr:pic>
      <xdr:nvPicPr>
        <xdr:cNvPr id="3082" name="Picture 10">
          <a:extLst>
            <a:ext uri="{FF2B5EF4-FFF2-40B4-BE49-F238E27FC236}">
              <a16:creationId xmlns:a16="http://schemas.microsoft.com/office/drawing/2014/main" id="{C33A3882-8091-3028-2A01-0367429F3A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11240" y="4945380"/>
          <a:ext cx="124968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510540</xdr:colOff>
      <xdr:row>25</xdr:row>
      <xdr:rowOff>144780</xdr:rowOff>
    </xdr:from>
    <xdr:to>
      <xdr:col>8</xdr:col>
      <xdr:colOff>60960</xdr:colOff>
      <xdr:row>28</xdr:row>
      <xdr:rowOff>15240</xdr:rowOff>
    </xdr:to>
    <xdr:grpSp>
      <xdr:nvGrpSpPr>
        <xdr:cNvPr id="3083" name="Group 11">
          <a:extLst>
            <a:ext uri="{FF2B5EF4-FFF2-40B4-BE49-F238E27FC236}">
              <a16:creationId xmlns:a16="http://schemas.microsoft.com/office/drawing/2014/main" id="{09F47055-00D5-3BB2-AC13-AECFC1D31211}"/>
            </a:ext>
          </a:extLst>
        </xdr:cNvPr>
        <xdr:cNvGrpSpPr>
          <a:grpSpLocks/>
        </xdr:cNvGrpSpPr>
      </xdr:nvGrpSpPr>
      <xdr:grpSpPr bwMode="auto">
        <a:xfrm>
          <a:off x="510540" y="4975860"/>
          <a:ext cx="4549140" cy="449580"/>
          <a:chOff x="67" y="498"/>
          <a:chExt cx="466" cy="47"/>
        </a:xfrm>
      </xdr:grpSpPr>
      <xdr:pic>
        <xdr:nvPicPr>
          <xdr:cNvPr id="3084" name="Picture 12">
            <a:extLst>
              <a:ext uri="{FF2B5EF4-FFF2-40B4-BE49-F238E27FC236}">
                <a16:creationId xmlns:a16="http://schemas.microsoft.com/office/drawing/2014/main" id="{2F061B18-1AD7-80BC-DC43-64F55F73285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7" y="498"/>
            <a:ext cx="130" cy="43"/>
          </a:xfrm>
          <a:prstGeom prst="rect">
            <a:avLst/>
          </a:prstGeom>
          <a:solidFill>
            <a:srgbClr val="FF9933"/>
          </a:solidFill>
        </xdr:spPr>
      </xdr:pic>
      <xdr:pic>
        <xdr:nvPicPr>
          <xdr:cNvPr id="3085" name="Picture 13">
            <a:extLst>
              <a:ext uri="{FF2B5EF4-FFF2-40B4-BE49-F238E27FC236}">
                <a16:creationId xmlns:a16="http://schemas.microsoft.com/office/drawing/2014/main" id="{3E9AB1F2-134F-2908-FBB3-82A6F8FA595A}"/>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5" y="526"/>
            <a:ext cx="328" cy="19"/>
          </a:xfrm>
          <a:prstGeom prst="rect">
            <a:avLst/>
          </a:prstGeom>
          <a:noFill/>
          <a:ln>
            <a:noFill/>
          </a:ln>
          <a:effectLst/>
          <a:extLst>
            <a:ext uri="{909E8E84-426E-40DD-AFC4-6F175D3DCCD1}">
              <a14:hiddenFill xmlns:a14="http://schemas.microsoft.com/office/drawing/2010/main">
                <a:solidFill>
                  <a:srgbClr val="FF9933"/>
                </a:solidFill>
              </a14:hiddenFill>
            </a:ext>
            <a:ext uri="{91240B29-F687-4F45-9708-019B960494DF}">
              <a14:hiddenLine xmlns:a14="http://schemas.microsoft.com/office/drawing/2010/main" w="9525">
                <a:solidFill>
                  <a:srgbClr val="FFFFCC"/>
                </a:solidFill>
                <a:miter lim="800000"/>
                <a:headEnd/>
                <a:tailEnd/>
              </a14:hiddenLine>
            </a:ext>
            <a:ext uri="{AF507438-7753-43E0-B8FC-AC1667EBCBE1}">
              <a14:hiddenEffects xmlns:a14="http://schemas.microsoft.com/office/drawing/2010/main">
                <a:effectLst>
                  <a:outerShdw dist="35921" dir="2700000" algn="ctr" rotWithShape="0">
                    <a:srgbClr val="5F5F5F"/>
                  </a:outerShdw>
                </a:effectLst>
              </a14:hiddenEffects>
            </a:ext>
          </a:extLst>
        </xdr:spPr>
      </xdr:pic>
    </xdr:grp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358140</xdr:colOff>
          <xdr:row>15</xdr:row>
          <xdr:rowOff>7620</xdr:rowOff>
        </xdr:from>
        <xdr:to>
          <xdr:col>4</xdr:col>
          <xdr:colOff>335280</xdr:colOff>
          <xdr:row>19</xdr:row>
          <xdr:rowOff>22860</xdr:rowOff>
        </xdr:to>
        <xdr:sp macro="" textlink="">
          <xdr:nvSpPr>
            <xdr:cNvPr id="4102" name="Button 6" hidden="1">
              <a:extLst>
                <a:ext uri="{63B3BB69-23CF-44E3-9099-C40C66FF867C}">
                  <a14:compatExt spid="_x0000_s4102"/>
                </a:ext>
                <a:ext uri="{FF2B5EF4-FFF2-40B4-BE49-F238E27FC236}">
                  <a16:creationId xmlns:a16="http://schemas.microsoft.com/office/drawing/2014/main" id="{8C88A90D-622C-47E8-7186-5B3779F5A0F5}"/>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Enter Background State Information </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312420</xdr:colOff>
          <xdr:row>15</xdr:row>
          <xdr:rowOff>7620</xdr:rowOff>
        </xdr:from>
        <xdr:to>
          <xdr:col>11</xdr:col>
          <xdr:colOff>251460</xdr:colOff>
          <xdr:row>19</xdr:row>
          <xdr:rowOff>0</xdr:rowOff>
        </xdr:to>
        <xdr:sp macro="" textlink="">
          <xdr:nvSpPr>
            <xdr:cNvPr id="4103" name="Button 7" hidden="1">
              <a:extLst>
                <a:ext uri="{63B3BB69-23CF-44E3-9099-C40C66FF867C}">
                  <a14:compatExt spid="_x0000_s4103"/>
                </a:ext>
                <a:ext uri="{FF2B5EF4-FFF2-40B4-BE49-F238E27FC236}">
                  <a16:creationId xmlns:a16="http://schemas.microsoft.com/office/drawing/2014/main" id="{3D1268D5-D6DF-D386-DCB0-727677570A66}"/>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Modify Cost Assumptions</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533400</xdr:colOff>
          <xdr:row>15</xdr:row>
          <xdr:rowOff>7620</xdr:rowOff>
        </xdr:from>
        <xdr:to>
          <xdr:col>6</xdr:col>
          <xdr:colOff>495300</xdr:colOff>
          <xdr:row>19</xdr:row>
          <xdr:rowOff>7620</xdr:rowOff>
        </xdr:to>
        <xdr:sp macro="" textlink="">
          <xdr:nvSpPr>
            <xdr:cNvPr id="4104" name="Button 8" hidden="1">
              <a:extLst>
                <a:ext uri="{63B3BB69-23CF-44E3-9099-C40C66FF867C}">
                  <a14:compatExt spid="_x0000_s4104"/>
                </a:ext>
                <a:ext uri="{FF2B5EF4-FFF2-40B4-BE49-F238E27FC236}">
                  <a16:creationId xmlns:a16="http://schemas.microsoft.com/office/drawing/2014/main" id="{64C9E45E-1373-9A44-8756-DEA73CCA6B2F}"/>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Calculate Performance Assumptions</a:t>
              </a:r>
            </a:p>
          </xdr:txBody>
        </xdr:sp>
        <xdr:clientData/>
      </xdr:twoCellAnchor>
    </mc:Choice>
    <mc:Fallback/>
  </mc:AlternateContent>
  <mc:AlternateContent xmlns:mc="http://schemas.openxmlformats.org/markup-compatibility/2006">
    <mc:Choice xmlns:a14="http://schemas.microsoft.com/office/drawing/2010/main" Requires="a14">
      <xdr:twoCellAnchor>
        <xdr:from>
          <xdr:col>7</xdr:col>
          <xdr:colOff>129540</xdr:colOff>
          <xdr:row>15</xdr:row>
          <xdr:rowOff>22860</xdr:rowOff>
        </xdr:from>
        <xdr:to>
          <xdr:col>9</xdr:col>
          <xdr:colOff>76200</xdr:colOff>
          <xdr:row>19</xdr:row>
          <xdr:rowOff>7620</xdr:rowOff>
        </xdr:to>
        <xdr:sp macro="" textlink="">
          <xdr:nvSpPr>
            <xdr:cNvPr id="4105" name="Button 9" hidden="1">
              <a:extLst>
                <a:ext uri="{63B3BB69-23CF-44E3-9099-C40C66FF867C}">
                  <a14:compatExt spid="_x0000_s4105"/>
                </a:ext>
                <a:ext uri="{FF2B5EF4-FFF2-40B4-BE49-F238E27FC236}">
                  <a16:creationId xmlns:a16="http://schemas.microsoft.com/office/drawing/2014/main" id="{FC9B260E-053F-894D-BA1B-DB9BDEF72354}"/>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Enter Miscellaneous Parameters</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60960</xdr:colOff>
          <xdr:row>21</xdr:row>
          <xdr:rowOff>76200</xdr:rowOff>
        </xdr:from>
        <xdr:to>
          <xdr:col>6</xdr:col>
          <xdr:colOff>144780</xdr:colOff>
          <xdr:row>24</xdr:row>
          <xdr:rowOff>121920</xdr:rowOff>
        </xdr:to>
        <xdr:sp macro="" textlink="">
          <xdr:nvSpPr>
            <xdr:cNvPr id="4106" name="Button 10" hidden="1">
              <a:extLst>
                <a:ext uri="{63B3BB69-23CF-44E3-9099-C40C66FF867C}">
                  <a14:compatExt spid="_x0000_s4106"/>
                </a:ext>
                <a:ext uri="{FF2B5EF4-FFF2-40B4-BE49-F238E27FC236}">
                  <a16:creationId xmlns:a16="http://schemas.microsoft.com/office/drawing/2014/main" id="{65618E8D-0070-C43E-4E64-84FD46F1815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View A Summary of the Results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586740</xdr:colOff>
          <xdr:row>5</xdr:row>
          <xdr:rowOff>144780</xdr:rowOff>
        </xdr:from>
        <xdr:to>
          <xdr:col>6</xdr:col>
          <xdr:colOff>487680</xdr:colOff>
          <xdr:row>8</xdr:row>
          <xdr:rowOff>182880</xdr:rowOff>
        </xdr:to>
        <xdr:sp macro="" textlink="">
          <xdr:nvSpPr>
            <xdr:cNvPr id="4110" name="Button 14" hidden="1">
              <a:extLst>
                <a:ext uri="{63B3BB69-23CF-44E3-9099-C40C66FF867C}">
                  <a14:compatExt spid="_x0000_s4110"/>
                </a:ext>
                <a:ext uri="{FF2B5EF4-FFF2-40B4-BE49-F238E27FC236}">
                  <a16:creationId xmlns:a16="http://schemas.microsoft.com/office/drawing/2014/main" id="{937D0CF0-42A1-F27B-8673-6C4E437D4A5F}"/>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Read Me First</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129540</xdr:colOff>
          <xdr:row>21</xdr:row>
          <xdr:rowOff>76200</xdr:rowOff>
        </xdr:from>
        <xdr:to>
          <xdr:col>10</xdr:col>
          <xdr:colOff>22860</xdr:colOff>
          <xdr:row>24</xdr:row>
          <xdr:rowOff>83820</xdr:rowOff>
        </xdr:to>
        <xdr:sp macro="" textlink="">
          <xdr:nvSpPr>
            <xdr:cNvPr id="4111" name="Button 15" hidden="1">
              <a:extLst>
                <a:ext uri="{63B3BB69-23CF-44E3-9099-C40C66FF867C}">
                  <a14:compatExt spid="_x0000_s4111"/>
                </a:ext>
                <a:ext uri="{FF2B5EF4-FFF2-40B4-BE49-F238E27FC236}">
                  <a16:creationId xmlns:a16="http://schemas.microsoft.com/office/drawing/2014/main" id="{52AC6298-7357-CA9F-7A2D-6E21504954CE}"/>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View All Model Calculations</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167640</xdr:colOff>
          <xdr:row>6</xdr:row>
          <xdr:rowOff>144780</xdr:rowOff>
        </xdr:from>
        <xdr:to>
          <xdr:col>4</xdr:col>
          <xdr:colOff>266700</xdr:colOff>
          <xdr:row>8</xdr:row>
          <xdr:rowOff>182880</xdr:rowOff>
        </xdr:to>
        <xdr:sp macro="" textlink="">
          <xdr:nvSpPr>
            <xdr:cNvPr id="4112" name="Button 16" hidden="1">
              <a:extLst>
                <a:ext uri="{63B3BB69-23CF-44E3-9099-C40C66FF867C}">
                  <a14:compatExt spid="_x0000_s4112"/>
                </a:ext>
                <a:ext uri="{FF2B5EF4-FFF2-40B4-BE49-F238E27FC236}">
                  <a16:creationId xmlns:a16="http://schemas.microsoft.com/office/drawing/2014/main" id="{3964AA08-D10D-7F83-AA41-FA5024D112C5}"/>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Return To Welcome </a:t>
              </a:r>
            </a:p>
          </xdr:txBody>
        </xdr:sp>
        <xdr:clientData/>
      </xdr:twoCellAnchor>
    </mc:Choice>
    <mc:Fallback/>
  </mc:AlternateContent>
  <mc:AlternateContent xmlns:mc="http://schemas.openxmlformats.org/markup-compatibility/2006">
    <mc:Choice xmlns:a14="http://schemas.microsoft.com/office/drawing/2010/main" Requires="a14">
      <xdr:twoCellAnchor>
        <xdr:from>
          <xdr:col>7</xdr:col>
          <xdr:colOff>144780</xdr:colOff>
          <xdr:row>5</xdr:row>
          <xdr:rowOff>160020</xdr:rowOff>
        </xdr:from>
        <xdr:to>
          <xdr:col>9</xdr:col>
          <xdr:colOff>76200</xdr:colOff>
          <xdr:row>8</xdr:row>
          <xdr:rowOff>167640</xdr:rowOff>
        </xdr:to>
        <xdr:sp macro="" textlink="">
          <xdr:nvSpPr>
            <xdr:cNvPr id="4115" name="Button 19" hidden="1">
              <a:extLst>
                <a:ext uri="{63B3BB69-23CF-44E3-9099-C40C66FF867C}">
                  <a14:compatExt spid="_x0000_s4115"/>
                </a:ext>
                <a:ext uri="{FF2B5EF4-FFF2-40B4-BE49-F238E27FC236}">
                  <a16:creationId xmlns:a16="http://schemas.microsoft.com/office/drawing/2014/main" id="{EB6D7DF4-C073-59A7-EFB8-F6CA22F3A785}"/>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Enter Comments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487680</xdr:colOff>
          <xdr:row>6</xdr:row>
          <xdr:rowOff>121920</xdr:rowOff>
        </xdr:from>
        <xdr:to>
          <xdr:col>10</xdr:col>
          <xdr:colOff>449580</xdr:colOff>
          <xdr:row>8</xdr:row>
          <xdr:rowOff>167640</xdr:rowOff>
        </xdr:to>
        <xdr:sp macro="" textlink="">
          <xdr:nvSpPr>
            <xdr:cNvPr id="4116" name="Button 20" hidden="1">
              <a:extLst>
                <a:ext uri="{63B3BB69-23CF-44E3-9099-C40C66FF867C}">
                  <a14:compatExt spid="_x0000_s4116"/>
                </a:ext>
                <a:ext uri="{FF2B5EF4-FFF2-40B4-BE49-F238E27FC236}">
                  <a16:creationId xmlns:a16="http://schemas.microsoft.com/office/drawing/2014/main" id="{6D844545-042D-50BF-E0B1-79AC37858BB5}"/>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Exit Model</a:t>
              </a:r>
            </a:p>
          </xdr:txBody>
        </xdr:sp>
        <xdr:clientData/>
      </xdr:twoCellAnchor>
    </mc:Choice>
    <mc:Fallback/>
  </mc:AlternateContent>
  <xdr:twoCellAnchor>
    <xdr:from>
      <xdr:col>9</xdr:col>
      <xdr:colOff>236220</xdr:colOff>
      <xdr:row>1</xdr:row>
      <xdr:rowOff>60960</xdr:rowOff>
    </xdr:from>
    <xdr:to>
      <xdr:col>11</xdr:col>
      <xdr:colOff>533400</xdr:colOff>
      <xdr:row>2</xdr:row>
      <xdr:rowOff>144780</xdr:rowOff>
    </xdr:to>
    <xdr:grpSp>
      <xdr:nvGrpSpPr>
        <xdr:cNvPr id="4120" name="Group 24">
          <a:extLst>
            <a:ext uri="{FF2B5EF4-FFF2-40B4-BE49-F238E27FC236}">
              <a16:creationId xmlns:a16="http://schemas.microsoft.com/office/drawing/2014/main" id="{8EB1B26C-2F95-4B4C-10D2-17CA9C96DB9C}"/>
            </a:ext>
          </a:extLst>
        </xdr:cNvPr>
        <xdr:cNvGrpSpPr>
          <a:grpSpLocks/>
        </xdr:cNvGrpSpPr>
      </xdr:nvGrpSpPr>
      <xdr:grpSpPr bwMode="auto">
        <a:xfrm>
          <a:off x="5433060" y="251460"/>
          <a:ext cx="1546860" cy="274320"/>
          <a:chOff x="697" y="8"/>
          <a:chExt cx="159" cy="29"/>
        </a:xfrm>
      </xdr:grpSpPr>
      <xdr:pic>
        <xdr:nvPicPr>
          <xdr:cNvPr id="4121" name="Picture 25">
            <a:extLst>
              <a:ext uri="{FF2B5EF4-FFF2-40B4-BE49-F238E27FC236}">
                <a16:creationId xmlns:a16="http://schemas.microsoft.com/office/drawing/2014/main" id="{C5E91789-1C45-BD4E-990F-98FA75A70926}"/>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 y="8"/>
            <a:ext cx="74" cy="2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22" name="Picture 26">
            <a:extLst>
              <a:ext uri="{FF2B5EF4-FFF2-40B4-BE49-F238E27FC236}">
                <a16:creationId xmlns:a16="http://schemas.microsoft.com/office/drawing/2014/main" id="{D8A99FCF-4839-DBCC-1350-DEECC4104304}"/>
              </a:ext>
            </a:extLst>
          </xdr:cNvPr>
          <xdr:cNvPicPr preferRelativeResize="0">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1" y="12"/>
            <a:ext cx="75" cy="25"/>
          </a:xfrm>
          <a:prstGeom prst="rect">
            <a:avLst/>
          </a:prstGeom>
          <a:solidFill>
            <a:srgbClr val="FF9933"/>
          </a:solidFill>
        </xdr:spPr>
      </xdr:pic>
    </xdr:grp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99060</xdr:colOff>
          <xdr:row>1</xdr:row>
          <xdr:rowOff>60960</xdr:rowOff>
        </xdr:from>
        <xdr:to>
          <xdr:col>2</xdr:col>
          <xdr:colOff>998220</xdr:colOff>
          <xdr:row>3</xdr:row>
          <xdr:rowOff>167640</xdr:rowOff>
        </xdr:to>
        <xdr:sp macro="" textlink="">
          <xdr:nvSpPr>
            <xdr:cNvPr id="9217" name="Button 1" hidden="1">
              <a:extLst>
                <a:ext uri="{63B3BB69-23CF-44E3-9099-C40C66FF867C}">
                  <a14:compatExt spid="_x0000_s9217"/>
                </a:ext>
                <a:ext uri="{FF2B5EF4-FFF2-40B4-BE49-F238E27FC236}">
                  <a16:creationId xmlns:a16="http://schemas.microsoft.com/office/drawing/2014/main" id="{7EC1BE59-790D-1E6F-007C-3FE8A5B01F23}"/>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RETURN TO  MAP OF THE MODEL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601980</xdr:colOff>
          <xdr:row>1</xdr:row>
          <xdr:rowOff>76200</xdr:rowOff>
        </xdr:from>
        <xdr:to>
          <xdr:col>7</xdr:col>
          <xdr:colOff>487680</xdr:colOff>
          <xdr:row>3</xdr:row>
          <xdr:rowOff>129540</xdr:rowOff>
        </xdr:to>
        <xdr:sp macro="" textlink="">
          <xdr:nvSpPr>
            <xdr:cNvPr id="9218" name="Button 2" hidden="1">
              <a:extLst>
                <a:ext uri="{63B3BB69-23CF-44E3-9099-C40C66FF867C}">
                  <a14:compatExt spid="_x0000_s9218"/>
                </a:ext>
                <a:ext uri="{FF2B5EF4-FFF2-40B4-BE49-F238E27FC236}">
                  <a16:creationId xmlns:a16="http://schemas.microsoft.com/office/drawing/2014/main" id="{E5495EC8-8A64-7118-920C-9B09A7D2B08E}"/>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EXIT MODEL</a:t>
              </a:r>
            </a:p>
          </xdr:txBody>
        </xdr:sp>
        <xdr:clientData fPrintsWithSheet="0"/>
      </xdr:twoCellAnchor>
    </mc:Choice>
    <mc:Fallback/>
  </mc:AlternateContent>
  <xdr:twoCellAnchor>
    <xdr:from>
      <xdr:col>1</xdr:col>
      <xdr:colOff>76200</xdr:colOff>
      <xdr:row>4</xdr:row>
      <xdr:rowOff>22860</xdr:rowOff>
    </xdr:from>
    <xdr:to>
      <xdr:col>9</xdr:col>
      <xdr:colOff>495300</xdr:colOff>
      <xdr:row>32</xdr:row>
      <xdr:rowOff>30480</xdr:rowOff>
    </xdr:to>
    <xdr:sp macro="" textlink="">
      <xdr:nvSpPr>
        <xdr:cNvPr id="9220" name="Text Box 4">
          <a:extLst>
            <a:ext uri="{FF2B5EF4-FFF2-40B4-BE49-F238E27FC236}">
              <a16:creationId xmlns:a16="http://schemas.microsoft.com/office/drawing/2014/main" id="{C145118D-15BF-5828-B7FB-6770D74254E2}"/>
            </a:ext>
          </a:extLst>
        </xdr:cNvPr>
        <xdr:cNvSpPr txBox="1">
          <a:spLocks noChangeArrowheads="1"/>
        </xdr:cNvSpPr>
      </xdr:nvSpPr>
      <xdr:spPr bwMode="auto">
        <a:xfrm>
          <a:off x="899160" y="754380"/>
          <a:ext cx="6903720" cy="47015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General Information</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First Time Usage Instructions</a:t>
          </a:r>
        </a:p>
        <a:p>
          <a:pPr algn="l" rtl="0">
            <a:defRPr sz="1000"/>
          </a:pPr>
          <a:r>
            <a:rPr lang="en-US" sz="1000" b="0" i="0" u="none" strike="noStrike" baseline="0">
              <a:solidFill>
                <a:srgbClr val="000000"/>
              </a:solidFill>
              <a:latin typeface="Arial"/>
              <a:cs typeface="Arial"/>
            </a:rPr>
            <a:t>Use the </a:t>
          </a:r>
          <a:r>
            <a:rPr lang="en-US" sz="1000" b="0" i="1" u="none" strike="noStrike" baseline="0">
              <a:solidFill>
                <a:srgbClr val="000000"/>
              </a:solidFill>
              <a:latin typeface="Arial"/>
              <a:cs typeface="Arial"/>
            </a:rPr>
            <a:t>File-Save As</a:t>
          </a:r>
          <a:r>
            <a:rPr lang="en-US" sz="1000" b="0" i="0" u="none" strike="noStrike" baseline="0">
              <a:solidFill>
                <a:srgbClr val="000000"/>
              </a:solidFill>
              <a:latin typeface="Arial"/>
              <a:cs typeface="Arial"/>
            </a:rPr>
            <a:t> option to make a backup copy of the original model so that the original version will be available in the event inadvertent changes are made to the model.</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Enabling Macros</a:t>
          </a:r>
        </a:p>
        <a:p>
          <a:pPr algn="l" rtl="0">
            <a:defRPr sz="1000"/>
          </a:pPr>
          <a:r>
            <a:rPr lang="en-US" sz="1000" b="0" i="0" u="none" strike="noStrike" baseline="0">
              <a:solidFill>
                <a:srgbClr val="000000"/>
              </a:solidFill>
              <a:latin typeface="Arial"/>
              <a:cs typeface="Arial"/>
            </a:rPr>
            <a:t>When you open the file you will be given the following options:  </a:t>
          </a:r>
          <a:r>
            <a:rPr lang="en-US" sz="1000" b="0" i="1" u="none" strike="noStrike" baseline="0">
              <a:solidFill>
                <a:srgbClr val="000000"/>
              </a:solidFill>
              <a:latin typeface="Arial"/>
              <a:cs typeface="Arial"/>
            </a:rPr>
            <a:t>Disable Macros</a:t>
          </a:r>
          <a:r>
            <a:rPr lang="en-US" sz="1000" b="0" i="0" u="none" strike="noStrike" baseline="0">
              <a:solidFill>
                <a:srgbClr val="000000"/>
              </a:solidFill>
              <a:latin typeface="Arial"/>
              <a:cs typeface="Arial"/>
            </a:rPr>
            <a:t>, </a:t>
          </a:r>
          <a:r>
            <a:rPr lang="en-US" sz="1000" b="0" i="1" u="none" strike="noStrike" baseline="0">
              <a:solidFill>
                <a:srgbClr val="000000"/>
              </a:solidFill>
              <a:latin typeface="Arial"/>
              <a:cs typeface="Arial"/>
            </a:rPr>
            <a:t>Enable Macros</a:t>
          </a:r>
          <a:r>
            <a:rPr lang="en-US" sz="1000" b="0" i="0" u="none" strike="noStrike" baseline="0">
              <a:solidFill>
                <a:srgbClr val="000000"/>
              </a:solidFill>
              <a:latin typeface="Arial"/>
              <a:cs typeface="Arial"/>
            </a:rPr>
            <a:t>, or </a:t>
          </a:r>
          <a:r>
            <a:rPr lang="en-US" sz="1000" b="0" i="1" u="none" strike="noStrike" baseline="0">
              <a:solidFill>
                <a:srgbClr val="000000"/>
              </a:solidFill>
              <a:latin typeface="Arial"/>
              <a:cs typeface="Arial"/>
            </a:rPr>
            <a:t>More Information</a:t>
          </a:r>
          <a:r>
            <a:rPr lang="en-US" sz="1000" b="0" i="0" u="none" strike="noStrike" baseline="0">
              <a:solidFill>
                <a:srgbClr val="000000"/>
              </a:solidFill>
              <a:latin typeface="Arial"/>
              <a:cs typeface="Arial"/>
            </a:rPr>
            <a:t>.  Choose the Enable Macros option.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Saving Scenarios</a:t>
          </a:r>
        </a:p>
        <a:p>
          <a:pPr algn="l" rtl="0">
            <a:defRPr sz="1000"/>
          </a:pPr>
          <a:r>
            <a:rPr lang="en-US" sz="1000" b="0" i="0" u="none" strike="noStrike" baseline="0">
              <a:solidFill>
                <a:srgbClr val="000000"/>
              </a:solidFill>
              <a:latin typeface="Arial"/>
              <a:cs typeface="Arial"/>
            </a:rPr>
            <a:t>Changes to the model/scenarios are not saved automatically.  You must use the </a:t>
          </a:r>
          <a:r>
            <a:rPr lang="en-US" sz="1000" b="0" i="1" u="none" strike="noStrike" baseline="0">
              <a:solidFill>
                <a:srgbClr val="000000"/>
              </a:solidFill>
              <a:latin typeface="Arial"/>
              <a:cs typeface="Arial"/>
            </a:rPr>
            <a:t>File-Save As</a:t>
          </a:r>
          <a:r>
            <a:rPr lang="en-US" sz="1000" b="0" i="0" u="none" strike="noStrike" baseline="0">
              <a:solidFill>
                <a:srgbClr val="000000"/>
              </a:solidFill>
              <a:latin typeface="Arial"/>
              <a:cs typeface="Arial"/>
            </a:rPr>
            <a:t> option to save your changes under a different file name, otherwise, the previous scenario will be overwritten.  The </a:t>
          </a:r>
          <a:r>
            <a:rPr lang="en-US" sz="1000" b="0" i="1" u="none" strike="noStrike" baseline="0">
              <a:solidFill>
                <a:srgbClr val="000000"/>
              </a:solidFill>
              <a:latin typeface="Arial"/>
              <a:cs typeface="Arial"/>
            </a:rPr>
            <a:t>File-Save</a:t>
          </a:r>
          <a:r>
            <a:rPr lang="en-US" sz="1000" b="0" i="0" u="none" strike="noStrike" baseline="0">
              <a:solidFill>
                <a:srgbClr val="000000"/>
              </a:solidFill>
              <a:latin typeface="Arial"/>
              <a:cs typeface="Arial"/>
            </a:rPr>
            <a:t> option will save your scenario, but overwrite the previous scenario.</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Data Entry</a:t>
          </a:r>
        </a:p>
        <a:p>
          <a:pPr algn="l" rtl="0">
            <a:defRPr sz="1000"/>
          </a:pPr>
          <a:r>
            <a:rPr lang="en-US" sz="1000" b="0" i="0" u="none" strike="noStrike" baseline="0">
              <a:solidFill>
                <a:srgbClr val="000000"/>
              </a:solidFill>
              <a:latin typeface="Arial"/>
              <a:cs typeface="Arial"/>
            </a:rPr>
            <a:t>Users may enter information in the white boxes, via drop down boxes, or option buttons.  Shaded boxes may not be altered, as they contain information necessary for model calculations.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Enter data without format symbols.  For example, enter 15% as 15, without the percentage sign.  The model will convert the entry into percentage, dollar, so forth.</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Protected Worksheets</a:t>
          </a:r>
        </a:p>
        <a:p>
          <a:pPr algn="l" rtl="0">
            <a:defRPr sz="1000"/>
          </a:pPr>
          <a:r>
            <a:rPr lang="en-US" sz="1000" b="0" i="0" u="none" strike="noStrike" baseline="0">
              <a:solidFill>
                <a:srgbClr val="000000"/>
              </a:solidFill>
              <a:latin typeface="Arial"/>
              <a:cs typeface="Arial"/>
            </a:rPr>
            <a:t>Some sheets have cells that are protected.  This Excel feature is used to prevent overwriting default values and other entries that must remain constant.  If it becomes necessary to unprotect the sheet, from the toolbar select </a:t>
          </a:r>
          <a:r>
            <a:rPr lang="en-US" sz="1000" b="0" i="1" u="none" strike="noStrike" baseline="0">
              <a:solidFill>
                <a:srgbClr val="000000"/>
              </a:solidFill>
              <a:latin typeface="Arial"/>
              <a:cs typeface="Arial"/>
            </a:rPr>
            <a:t>Tools</a:t>
          </a:r>
          <a:r>
            <a:rPr lang="en-US" sz="1000" b="0" i="0" u="none" strike="noStrike" baseline="0">
              <a:solidFill>
                <a:srgbClr val="000000"/>
              </a:solidFill>
              <a:latin typeface="Arial"/>
              <a:cs typeface="Arial"/>
            </a:rPr>
            <a:t>, then </a:t>
          </a:r>
          <a:r>
            <a:rPr lang="en-US" sz="1000" b="0" i="1" u="none" strike="noStrike" baseline="0">
              <a:solidFill>
                <a:srgbClr val="000000"/>
              </a:solidFill>
              <a:latin typeface="Arial"/>
              <a:cs typeface="Arial"/>
            </a:rPr>
            <a:t>Protection</a:t>
          </a:r>
          <a:r>
            <a:rPr lang="en-US" sz="1000" b="0" i="0" u="none" strike="noStrike" baseline="0">
              <a:solidFill>
                <a:srgbClr val="000000"/>
              </a:solidFill>
              <a:latin typeface="Arial"/>
              <a:cs typeface="Arial"/>
            </a:rPr>
            <a:t>, and then </a:t>
          </a:r>
          <a:r>
            <a:rPr lang="en-US" sz="1000" b="0" i="1" u="none" strike="noStrike" baseline="0">
              <a:solidFill>
                <a:srgbClr val="000000"/>
              </a:solidFill>
              <a:latin typeface="Arial"/>
              <a:cs typeface="Arial"/>
            </a:rPr>
            <a:t>Unprotect Worksheet</a:t>
          </a:r>
          <a:r>
            <a:rPr lang="en-US" sz="1000" b="0" i="0" u="none" strike="noStrike" baseline="0">
              <a:solidFill>
                <a:srgbClr val="000000"/>
              </a:solidFill>
              <a:latin typeface="Arial"/>
              <a:cs typeface="Arial"/>
            </a:rPr>
            <a:t>.  A password has not been assigned to remove protection.  Therefore, when the password prompt appears, just hit </a:t>
          </a:r>
          <a:r>
            <a:rPr lang="en-US" sz="1000" b="0" i="1" u="none" strike="noStrike" baseline="0">
              <a:solidFill>
                <a:srgbClr val="000000"/>
              </a:solidFill>
              <a:latin typeface="Arial"/>
              <a:cs typeface="Arial"/>
            </a:rPr>
            <a:t>Enter</a:t>
          </a:r>
          <a:r>
            <a:rPr lang="en-US" sz="1000" b="0" i="0" u="none" strike="noStrike" baseline="0">
              <a:solidFill>
                <a:srgbClr val="000000"/>
              </a:solidFill>
              <a:latin typeface="Arial"/>
              <a:cs typeface="Arial"/>
            </a:rPr>
            <a:t>.  </a:t>
          </a:r>
        </a:p>
      </xdr:txBody>
    </xdr:sp>
    <xdr:clientData/>
  </xdr:twoCellAnchor>
  <xdr:twoCellAnchor>
    <xdr:from>
      <xdr:col>1</xdr:col>
      <xdr:colOff>99060</xdr:colOff>
      <xdr:row>33</xdr:row>
      <xdr:rowOff>30480</xdr:rowOff>
    </xdr:from>
    <xdr:to>
      <xdr:col>9</xdr:col>
      <xdr:colOff>518160</xdr:colOff>
      <xdr:row>66</xdr:row>
      <xdr:rowOff>38100</xdr:rowOff>
    </xdr:to>
    <xdr:sp macro="" textlink="">
      <xdr:nvSpPr>
        <xdr:cNvPr id="9221" name="Text Box 5">
          <a:extLst>
            <a:ext uri="{FF2B5EF4-FFF2-40B4-BE49-F238E27FC236}">
              <a16:creationId xmlns:a16="http://schemas.microsoft.com/office/drawing/2014/main" id="{1B22A379-32EE-95E3-833C-A49248660183}"/>
            </a:ext>
          </a:extLst>
        </xdr:cNvPr>
        <xdr:cNvSpPr txBox="1">
          <a:spLocks noChangeArrowheads="1"/>
        </xdr:cNvSpPr>
      </xdr:nvSpPr>
      <xdr:spPr bwMode="auto">
        <a:xfrm>
          <a:off x="922020" y="5623560"/>
          <a:ext cx="6903720" cy="55397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Operating the Model:  Input Sheets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Map of the Model provides the recommended sequence for entering data and viewing results.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Background State Information</a:t>
          </a:r>
        </a:p>
        <a:p>
          <a:pPr algn="l" rtl="0">
            <a:defRPr sz="1000"/>
          </a:pPr>
          <a:r>
            <a:rPr lang="en-US" sz="1000" b="0" i="0" u="none" strike="noStrike" baseline="0">
              <a:solidFill>
                <a:srgbClr val="000000"/>
              </a:solidFill>
              <a:latin typeface="Arial"/>
              <a:cs typeface="Arial"/>
            </a:rPr>
            <a:t>The Background State Information sheet is where users create a reference ballistic imaging program scenario.  Scenarios are defined by gun sales transactions volume, imaging operations, test fire operations, community relations, and funding sources.  Users may also link to the Performance Assumptions sheet below.  This sheet requires input from the user.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Performance Assumptions</a:t>
          </a:r>
        </a:p>
        <a:p>
          <a:pPr algn="l" rtl="0">
            <a:defRPr sz="1000"/>
          </a:pPr>
          <a:r>
            <a:rPr lang="en-US" sz="1000" b="0" i="0" u="none" strike="noStrike" baseline="0">
              <a:solidFill>
                <a:srgbClr val="000000"/>
              </a:solidFill>
              <a:latin typeface="Arial"/>
              <a:cs typeface="Arial"/>
            </a:rPr>
            <a:t>The Performance Assumptions sheet is used to calculate imaging rate, test fire rate, and number of program locations. Each of these three values is calculated separately.  Calculations are made based on default times to perform tasks associated with imaging and with test firing.  However, the user may opt to use her/his own times to perform tasks, so that rates consistent with the state’s operations may be calculated. The number of program locations are calculated based on a user specified “maximum distance between program sites” and a generic calculation.  As an alternative, the user may opt to specify the number of program locations.  This sheet requires input from the user.</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Miscellaneous Parameters</a:t>
          </a:r>
        </a:p>
        <a:p>
          <a:pPr algn="l" rtl="0">
            <a:defRPr sz="1000"/>
          </a:pPr>
          <a:r>
            <a:rPr lang="en-US" sz="1000" b="0" i="0" u="none" strike="noStrike" baseline="0">
              <a:solidFill>
                <a:srgbClr val="000000"/>
              </a:solidFill>
              <a:latin typeface="Arial"/>
              <a:cs typeface="Arial"/>
            </a:rPr>
            <a:t>General operations data are entered on the Miscellaneous Parameters sheet.   Default values are provided, but the user may opt to user her/his own values.  Entries pertain to expected system life, compliance rate by manufacturers, annual salary increases, annual increase in operating expenses, fees charged for test fires, and additional cost to setting up or implementing a gun sales ballistic imaging program.  This sheet requires input from the user.</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Cost Assumptions</a:t>
          </a:r>
        </a:p>
        <a:p>
          <a:pPr algn="l" rtl="0">
            <a:defRPr sz="1000"/>
          </a:pPr>
          <a:r>
            <a:rPr lang="en-US" sz="1000" b="0" i="0" u="none" strike="noStrike" baseline="0">
              <a:solidFill>
                <a:srgbClr val="000000"/>
              </a:solidFill>
              <a:latin typeface="Arial"/>
              <a:cs typeface="Arial"/>
            </a:rPr>
            <a:t>The Cost Assumptions sheet is where the user enters equipment unit costs, unit floor space requirements for personnel, unit floor space costs, labor categories by type, and unit labor category costs.  Labor category types include lab technicians to perform imaging, staff to test fire weapons, lab technician managers, and personnel to support the gun sales ballistic imaging program.  The user may enter the number of full time equivalents (FTEs) for support personnel.  The number of lab technicians, lab technician managers, and staff to test fire weapons are calculated by the model and cannot be modified by the user.  This sheet requires input from the user.</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xdr:col>
      <xdr:colOff>76200</xdr:colOff>
      <xdr:row>66</xdr:row>
      <xdr:rowOff>129540</xdr:rowOff>
    </xdr:from>
    <xdr:to>
      <xdr:col>9</xdr:col>
      <xdr:colOff>510540</xdr:colOff>
      <xdr:row>93</xdr:row>
      <xdr:rowOff>91440</xdr:rowOff>
    </xdr:to>
    <xdr:sp macro="" textlink="">
      <xdr:nvSpPr>
        <xdr:cNvPr id="9222" name="Text Box 6">
          <a:extLst>
            <a:ext uri="{FF2B5EF4-FFF2-40B4-BE49-F238E27FC236}">
              <a16:creationId xmlns:a16="http://schemas.microsoft.com/office/drawing/2014/main" id="{469FD3BD-BEF1-97BA-DD16-619725586394}"/>
            </a:ext>
          </a:extLst>
        </xdr:cNvPr>
        <xdr:cNvSpPr txBox="1">
          <a:spLocks noChangeArrowheads="1"/>
        </xdr:cNvSpPr>
      </xdr:nvSpPr>
      <xdr:spPr bwMode="auto">
        <a:xfrm>
          <a:off x="899160" y="11254740"/>
          <a:ext cx="6918960" cy="44881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Operating the Model:  Output Sheets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Results Summary</a:t>
          </a:r>
        </a:p>
        <a:p>
          <a:pPr algn="l" rtl="0">
            <a:defRPr sz="1000"/>
          </a:pPr>
          <a:r>
            <a:rPr lang="en-US" sz="1000" b="0" i="0" u="none" strike="noStrike" baseline="0">
              <a:solidFill>
                <a:srgbClr val="000000"/>
              </a:solidFill>
              <a:latin typeface="Arial"/>
              <a:cs typeface="Arial"/>
            </a:rPr>
            <a:t>The Results Summary sheet provides a summary of the calculations made in the model, including cost for the initial year and for the life cycle.  Costs are for personnel, training, equipment maintenance, floor space (lease), and equipment.  Results are shown only for the system configuration preferred by the user.  Also provided is a review of the gun sales ballistic imaging operation, as defined by the user on the Background State Information sheet, Performance Assumptions sheet, and Miscellaneous Parameters sheet.  Links to the Results Detail sheet are provided (see below).  Model output data is provided on this sheet, but no user input is allowed.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Results Details</a:t>
          </a:r>
        </a:p>
        <a:p>
          <a:pPr algn="l" rtl="0">
            <a:defRPr sz="1000"/>
          </a:pPr>
          <a:r>
            <a:rPr lang="en-US" sz="1000" b="0" i="0" u="none" strike="noStrike" baseline="0">
              <a:solidFill>
                <a:srgbClr val="000000"/>
              </a:solidFill>
              <a:latin typeface="Arial"/>
              <a:cs typeface="Arial"/>
            </a:rPr>
            <a:t>The Results Details sheet provides initial year FTEs, initial year costs, and life cycle costs for each labor category.  Also provided are the number of units required for each type of equipment, equipment floor space requirements, and personnel floor space requirements.  Model output data is provided on this sheet, but no user input is allowed.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Model Calculations</a:t>
          </a:r>
        </a:p>
        <a:p>
          <a:pPr algn="l" rtl="0">
            <a:defRPr sz="1000"/>
          </a:pPr>
          <a:r>
            <a:rPr lang="en-US" sz="1000" b="0" i="0" u="none" strike="noStrike" baseline="0">
              <a:solidFill>
                <a:srgbClr val="000000"/>
              </a:solidFill>
              <a:latin typeface="Arial"/>
              <a:cs typeface="Arial"/>
            </a:rPr>
            <a:t>The Model Calculations sheet contains all raw calculations, annually for year one through year fifteen.  Values from the Background State Information, Performance Assumptions, Cost Assumptions, and Miscellaneous Parameters sheets are reflected in the raw calculations.  Results are calculated for each of the three possible system configurations.  Equipment footprints and capacity assumptions are found on this sheet.  All model output is generated on this sheet, but no user input is allowed.  All information provided in the Results Summary and Results Detail worksheets are taken from this sheet.</a:t>
          </a:r>
        </a:p>
      </xdr:txBody>
    </xdr:sp>
    <xdr:clientData/>
  </xdr:twoCellAnchor>
  <xdr:twoCellAnchor>
    <xdr:from>
      <xdr:col>6</xdr:col>
      <xdr:colOff>822960</xdr:colOff>
      <xdr:row>4</xdr:row>
      <xdr:rowOff>38100</xdr:rowOff>
    </xdr:from>
    <xdr:to>
      <xdr:col>9</xdr:col>
      <xdr:colOff>274320</xdr:colOff>
      <xdr:row>5</xdr:row>
      <xdr:rowOff>160020</xdr:rowOff>
    </xdr:to>
    <xdr:grpSp>
      <xdr:nvGrpSpPr>
        <xdr:cNvPr id="9223" name="Group 7">
          <a:extLst>
            <a:ext uri="{FF2B5EF4-FFF2-40B4-BE49-F238E27FC236}">
              <a16:creationId xmlns:a16="http://schemas.microsoft.com/office/drawing/2014/main" id="{E1AAA9DF-71F9-4908-B43F-D15746861CE5}"/>
            </a:ext>
          </a:extLst>
        </xdr:cNvPr>
        <xdr:cNvGrpSpPr>
          <a:grpSpLocks/>
        </xdr:cNvGrpSpPr>
      </xdr:nvGrpSpPr>
      <xdr:grpSpPr bwMode="auto">
        <a:xfrm>
          <a:off x="6027420" y="769620"/>
          <a:ext cx="1554480" cy="289560"/>
          <a:chOff x="697" y="8"/>
          <a:chExt cx="159" cy="29"/>
        </a:xfrm>
      </xdr:grpSpPr>
      <xdr:pic>
        <xdr:nvPicPr>
          <xdr:cNvPr id="9224" name="Picture 8">
            <a:extLst>
              <a:ext uri="{FF2B5EF4-FFF2-40B4-BE49-F238E27FC236}">
                <a16:creationId xmlns:a16="http://schemas.microsoft.com/office/drawing/2014/main" id="{93C8E162-AA92-8E77-9BB9-7DC2704918F6}"/>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 y="8"/>
            <a:ext cx="74" cy="2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225" name="Picture 9">
            <a:extLst>
              <a:ext uri="{FF2B5EF4-FFF2-40B4-BE49-F238E27FC236}">
                <a16:creationId xmlns:a16="http://schemas.microsoft.com/office/drawing/2014/main" id="{92CA13F6-0F02-9DC7-B5D9-E1836CB7C91A}"/>
              </a:ext>
            </a:extLst>
          </xdr:cNvPr>
          <xdr:cNvPicPr preferRelativeResize="0">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1" y="12"/>
            <a:ext cx="75" cy="25"/>
          </a:xfrm>
          <a:prstGeom prst="rect">
            <a:avLst/>
          </a:prstGeom>
          <a:solidFill>
            <a:srgbClr val="FF9933"/>
          </a:solidFill>
        </xdr:spPr>
      </xdr:pic>
    </xdr:grpSp>
    <xdr:clientData/>
  </xdr:twoCellAnchor>
  <xdr:twoCellAnchor>
    <xdr:from>
      <xdr:col>7</xdr:col>
      <xdr:colOff>160020</xdr:colOff>
      <xdr:row>33</xdr:row>
      <xdr:rowOff>91440</xdr:rowOff>
    </xdr:from>
    <xdr:to>
      <xdr:col>9</xdr:col>
      <xdr:colOff>457200</xdr:colOff>
      <xdr:row>35</xdr:row>
      <xdr:rowOff>38100</xdr:rowOff>
    </xdr:to>
    <xdr:grpSp>
      <xdr:nvGrpSpPr>
        <xdr:cNvPr id="9226" name="Group 10">
          <a:extLst>
            <a:ext uri="{FF2B5EF4-FFF2-40B4-BE49-F238E27FC236}">
              <a16:creationId xmlns:a16="http://schemas.microsoft.com/office/drawing/2014/main" id="{E60628C0-B252-0AF6-004A-AAEB4A517A10}"/>
            </a:ext>
          </a:extLst>
        </xdr:cNvPr>
        <xdr:cNvGrpSpPr>
          <a:grpSpLocks/>
        </xdr:cNvGrpSpPr>
      </xdr:nvGrpSpPr>
      <xdr:grpSpPr bwMode="auto">
        <a:xfrm>
          <a:off x="6217920" y="5684520"/>
          <a:ext cx="1546860" cy="281940"/>
          <a:chOff x="697" y="8"/>
          <a:chExt cx="159" cy="29"/>
        </a:xfrm>
      </xdr:grpSpPr>
      <xdr:pic>
        <xdr:nvPicPr>
          <xdr:cNvPr id="9227" name="Picture 11">
            <a:extLst>
              <a:ext uri="{FF2B5EF4-FFF2-40B4-BE49-F238E27FC236}">
                <a16:creationId xmlns:a16="http://schemas.microsoft.com/office/drawing/2014/main" id="{3845B96C-04EA-36B9-4D35-C72CE4F4D03C}"/>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 y="8"/>
            <a:ext cx="74" cy="2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228" name="Picture 12">
            <a:extLst>
              <a:ext uri="{FF2B5EF4-FFF2-40B4-BE49-F238E27FC236}">
                <a16:creationId xmlns:a16="http://schemas.microsoft.com/office/drawing/2014/main" id="{422CB564-438B-C958-A210-6432FC787E74}"/>
              </a:ext>
            </a:extLst>
          </xdr:cNvPr>
          <xdr:cNvPicPr preferRelativeResize="0">
            <a:picLocks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81" y="12"/>
            <a:ext cx="75" cy="25"/>
          </a:xfrm>
          <a:prstGeom prst="rect">
            <a:avLst/>
          </a:prstGeom>
          <a:solidFill>
            <a:srgbClr val="FF9933"/>
          </a:solidFill>
        </xdr:spPr>
      </xdr:pic>
    </xdr:grpSp>
    <xdr:clientData/>
  </xdr:twoCellAnchor>
  <xdr:twoCellAnchor>
    <xdr:from>
      <xdr:col>7</xdr:col>
      <xdr:colOff>144780</xdr:colOff>
      <xdr:row>67</xdr:row>
      <xdr:rowOff>45720</xdr:rowOff>
    </xdr:from>
    <xdr:to>
      <xdr:col>9</xdr:col>
      <xdr:colOff>449580</xdr:colOff>
      <xdr:row>69</xdr:row>
      <xdr:rowOff>0</xdr:rowOff>
    </xdr:to>
    <xdr:grpSp>
      <xdr:nvGrpSpPr>
        <xdr:cNvPr id="9229" name="Group 13">
          <a:extLst>
            <a:ext uri="{FF2B5EF4-FFF2-40B4-BE49-F238E27FC236}">
              <a16:creationId xmlns:a16="http://schemas.microsoft.com/office/drawing/2014/main" id="{042AEE96-A8D9-B0FC-C250-6F264AC01FC4}"/>
            </a:ext>
          </a:extLst>
        </xdr:cNvPr>
        <xdr:cNvGrpSpPr>
          <a:grpSpLocks/>
        </xdr:cNvGrpSpPr>
      </xdr:nvGrpSpPr>
      <xdr:grpSpPr bwMode="auto">
        <a:xfrm>
          <a:off x="6202680" y="11338560"/>
          <a:ext cx="1554480" cy="289560"/>
          <a:chOff x="697" y="8"/>
          <a:chExt cx="159" cy="29"/>
        </a:xfrm>
      </xdr:grpSpPr>
      <xdr:pic>
        <xdr:nvPicPr>
          <xdr:cNvPr id="9230" name="Picture 14">
            <a:extLst>
              <a:ext uri="{FF2B5EF4-FFF2-40B4-BE49-F238E27FC236}">
                <a16:creationId xmlns:a16="http://schemas.microsoft.com/office/drawing/2014/main" id="{806C4C4E-BF1B-6469-CB1C-B6EC6FA5391D}"/>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 y="8"/>
            <a:ext cx="74" cy="2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231" name="Picture 15">
            <a:extLst>
              <a:ext uri="{FF2B5EF4-FFF2-40B4-BE49-F238E27FC236}">
                <a16:creationId xmlns:a16="http://schemas.microsoft.com/office/drawing/2014/main" id="{E7BF57BF-1A3F-AF18-6C93-373CDA5BD57B}"/>
              </a:ext>
            </a:extLst>
          </xdr:cNvPr>
          <xdr:cNvPicPr preferRelativeResize="0">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1" y="12"/>
            <a:ext cx="75" cy="25"/>
          </a:xfrm>
          <a:prstGeom prst="rect">
            <a:avLst/>
          </a:prstGeom>
          <a:solidFill>
            <a:srgbClr val="FF9933"/>
          </a:solidFill>
        </xdr:spPr>
      </xdr:pic>
    </xdr:grp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129540</xdr:colOff>
          <xdr:row>0</xdr:row>
          <xdr:rowOff>99060</xdr:rowOff>
        </xdr:from>
        <xdr:to>
          <xdr:col>3</xdr:col>
          <xdr:colOff>198120</xdr:colOff>
          <xdr:row>3</xdr:row>
          <xdr:rowOff>129540</xdr:rowOff>
        </xdr:to>
        <xdr:sp macro="" textlink="">
          <xdr:nvSpPr>
            <xdr:cNvPr id="16385" name="Button 1" hidden="1">
              <a:extLst>
                <a:ext uri="{63B3BB69-23CF-44E3-9099-C40C66FF867C}">
                  <a14:compatExt spid="_x0000_s16385"/>
                </a:ext>
                <a:ext uri="{FF2B5EF4-FFF2-40B4-BE49-F238E27FC236}">
                  <a16:creationId xmlns:a16="http://schemas.microsoft.com/office/drawing/2014/main" id="{7BC0675E-4CD2-16C4-D687-0CD9C5F07B38}"/>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RETURN TO MAP OF MODEL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403860</xdr:colOff>
          <xdr:row>1</xdr:row>
          <xdr:rowOff>7620</xdr:rowOff>
        </xdr:from>
        <xdr:to>
          <xdr:col>9</xdr:col>
          <xdr:colOff>388620</xdr:colOff>
          <xdr:row>3</xdr:row>
          <xdr:rowOff>129540</xdr:rowOff>
        </xdr:to>
        <xdr:sp macro="" textlink="">
          <xdr:nvSpPr>
            <xdr:cNvPr id="16386" name="Button 2" hidden="1">
              <a:extLst>
                <a:ext uri="{63B3BB69-23CF-44E3-9099-C40C66FF867C}">
                  <a14:compatExt spid="_x0000_s16386"/>
                </a:ext>
                <a:ext uri="{FF2B5EF4-FFF2-40B4-BE49-F238E27FC236}">
                  <a16:creationId xmlns:a16="http://schemas.microsoft.com/office/drawing/2014/main" id="{00810A85-8A98-A086-824B-D0D989E01894}"/>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EXIT MODEL</a:t>
              </a:r>
            </a:p>
          </xdr:txBody>
        </xdr:sp>
        <xdr:clientData fPrintsWithSheet="0"/>
      </xdr:twoCellAnchor>
    </mc:Choice>
    <mc:Fallback/>
  </mc:AlternateContent>
  <xdr:twoCellAnchor>
    <xdr:from>
      <xdr:col>1</xdr:col>
      <xdr:colOff>0</xdr:colOff>
      <xdr:row>9</xdr:row>
      <xdr:rowOff>76200</xdr:rowOff>
    </xdr:from>
    <xdr:to>
      <xdr:col>9</xdr:col>
      <xdr:colOff>594360</xdr:colOff>
      <xdr:row>32</xdr:row>
      <xdr:rowOff>76200</xdr:rowOff>
    </xdr:to>
    <xdr:sp macro="" textlink="">
      <xdr:nvSpPr>
        <xdr:cNvPr id="16388" name="Text Box 4">
          <a:extLst>
            <a:ext uri="{FF2B5EF4-FFF2-40B4-BE49-F238E27FC236}">
              <a16:creationId xmlns:a16="http://schemas.microsoft.com/office/drawing/2014/main" id="{F7720E8E-8527-7755-D625-481BB1D9F384}"/>
            </a:ext>
          </a:extLst>
        </xdr:cNvPr>
        <xdr:cNvSpPr txBox="1">
          <a:spLocks noChangeArrowheads="1"/>
        </xdr:cNvSpPr>
      </xdr:nvSpPr>
      <xdr:spPr bwMode="auto">
        <a:xfrm>
          <a:off x="624840" y="1836420"/>
          <a:ext cx="5593080" cy="4381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endParaRPr lang="en-US" sz="10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Enter comments here.</a:t>
          </a:r>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2232660</xdr:colOff>
          <xdr:row>0</xdr:row>
          <xdr:rowOff>114300</xdr:rowOff>
        </xdr:from>
        <xdr:to>
          <xdr:col>3</xdr:col>
          <xdr:colOff>106680</xdr:colOff>
          <xdr:row>3</xdr:row>
          <xdr:rowOff>60960</xdr:rowOff>
        </xdr:to>
        <xdr:sp macro="" textlink="">
          <xdr:nvSpPr>
            <xdr:cNvPr id="5132" name="Button 12" hidden="1">
              <a:extLst>
                <a:ext uri="{63B3BB69-23CF-44E3-9099-C40C66FF867C}">
                  <a14:compatExt spid="_x0000_s5132"/>
                </a:ext>
                <a:ext uri="{FF2B5EF4-FFF2-40B4-BE49-F238E27FC236}">
                  <a16:creationId xmlns:a16="http://schemas.microsoft.com/office/drawing/2014/main" id="{2635F044-8485-C8BC-9EAB-B4F037C5165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RETURN TO MAP OF THE MODEL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99060</xdr:colOff>
          <xdr:row>15</xdr:row>
          <xdr:rowOff>99060</xdr:rowOff>
        </xdr:from>
        <xdr:to>
          <xdr:col>5</xdr:col>
          <xdr:colOff>1958340</xdr:colOff>
          <xdr:row>15</xdr:row>
          <xdr:rowOff>342900</xdr:rowOff>
        </xdr:to>
        <xdr:sp macro="" textlink="">
          <xdr:nvSpPr>
            <xdr:cNvPr id="5139" name="Drop Down 19" hidden="1">
              <a:extLst>
                <a:ext uri="{63B3BB69-23CF-44E3-9099-C40C66FF867C}">
                  <a14:compatExt spid="_x0000_s5139"/>
                </a:ext>
                <a:ext uri="{FF2B5EF4-FFF2-40B4-BE49-F238E27FC236}">
                  <a16:creationId xmlns:a16="http://schemas.microsoft.com/office/drawing/2014/main" id="{A20BF9C0-8213-F566-07A5-0995064F100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91440</xdr:colOff>
          <xdr:row>16</xdr:row>
          <xdr:rowOff>53340</xdr:rowOff>
        </xdr:from>
        <xdr:to>
          <xdr:col>6</xdr:col>
          <xdr:colOff>0</xdr:colOff>
          <xdr:row>16</xdr:row>
          <xdr:rowOff>312420</xdr:rowOff>
        </xdr:to>
        <xdr:sp macro="" textlink="">
          <xdr:nvSpPr>
            <xdr:cNvPr id="5140" name="Drop Down 20" hidden="1">
              <a:extLst>
                <a:ext uri="{63B3BB69-23CF-44E3-9099-C40C66FF867C}">
                  <a14:compatExt spid="_x0000_s5140"/>
                </a:ext>
                <a:ext uri="{FF2B5EF4-FFF2-40B4-BE49-F238E27FC236}">
                  <a16:creationId xmlns:a16="http://schemas.microsoft.com/office/drawing/2014/main" id="{E7A50102-6946-1E7E-2FFE-90271C4566C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17</xdr:row>
          <xdr:rowOff>464820</xdr:rowOff>
        </xdr:from>
        <xdr:to>
          <xdr:col>5</xdr:col>
          <xdr:colOff>1943100</xdr:colOff>
          <xdr:row>17</xdr:row>
          <xdr:rowOff>731520</xdr:rowOff>
        </xdr:to>
        <xdr:sp macro="" textlink="">
          <xdr:nvSpPr>
            <xdr:cNvPr id="5141" name="Drop Down 21" hidden="1">
              <a:extLst>
                <a:ext uri="{63B3BB69-23CF-44E3-9099-C40C66FF867C}">
                  <a14:compatExt spid="_x0000_s5141"/>
                </a:ext>
                <a:ext uri="{FF2B5EF4-FFF2-40B4-BE49-F238E27FC236}">
                  <a16:creationId xmlns:a16="http://schemas.microsoft.com/office/drawing/2014/main" id="{988558A9-6B80-4CCC-0BB3-53458D9ED90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129540</xdr:colOff>
          <xdr:row>20</xdr:row>
          <xdr:rowOff>76200</xdr:rowOff>
        </xdr:from>
        <xdr:to>
          <xdr:col>5</xdr:col>
          <xdr:colOff>1935480</xdr:colOff>
          <xdr:row>20</xdr:row>
          <xdr:rowOff>342900</xdr:rowOff>
        </xdr:to>
        <xdr:sp macro="" textlink="">
          <xdr:nvSpPr>
            <xdr:cNvPr id="5142" name="Drop Down 22" hidden="1">
              <a:extLst>
                <a:ext uri="{63B3BB69-23CF-44E3-9099-C40C66FF867C}">
                  <a14:compatExt spid="_x0000_s5142"/>
                </a:ext>
                <a:ext uri="{FF2B5EF4-FFF2-40B4-BE49-F238E27FC236}">
                  <a16:creationId xmlns:a16="http://schemas.microsoft.com/office/drawing/2014/main" id="{6D2D6862-1D7C-B888-0690-6AEF0FD52D1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129540</xdr:colOff>
          <xdr:row>22</xdr:row>
          <xdr:rowOff>76200</xdr:rowOff>
        </xdr:from>
        <xdr:to>
          <xdr:col>5</xdr:col>
          <xdr:colOff>1927860</xdr:colOff>
          <xdr:row>22</xdr:row>
          <xdr:rowOff>320040</xdr:rowOff>
        </xdr:to>
        <xdr:sp macro="" textlink="">
          <xdr:nvSpPr>
            <xdr:cNvPr id="5143" name="Drop Down 23" hidden="1">
              <a:extLst>
                <a:ext uri="{63B3BB69-23CF-44E3-9099-C40C66FF867C}">
                  <a14:compatExt spid="_x0000_s5143"/>
                </a:ext>
                <a:ext uri="{FF2B5EF4-FFF2-40B4-BE49-F238E27FC236}">
                  <a16:creationId xmlns:a16="http://schemas.microsoft.com/office/drawing/2014/main" id="{FECE8DBE-D567-AF44-3AC5-B34DE7A704C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129540</xdr:colOff>
          <xdr:row>23</xdr:row>
          <xdr:rowOff>53340</xdr:rowOff>
        </xdr:from>
        <xdr:to>
          <xdr:col>5</xdr:col>
          <xdr:colOff>1950720</xdr:colOff>
          <xdr:row>23</xdr:row>
          <xdr:rowOff>312420</xdr:rowOff>
        </xdr:to>
        <xdr:sp macro="" textlink="">
          <xdr:nvSpPr>
            <xdr:cNvPr id="5144" name="Drop Down 24" hidden="1">
              <a:extLst>
                <a:ext uri="{63B3BB69-23CF-44E3-9099-C40C66FF867C}">
                  <a14:compatExt spid="_x0000_s5144"/>
                </a:ext>
                <a:ext uri="{FF2B5EF4-FFF2-40B4-BE49-F238E27FC236}">
                  <a16:creationId xmlns:a16="http://schemas.microsoft.com/office/drawing/2014/main" id="{5CD3F80E-2D6F-1410-42B2-8A69C5B216A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30480</xdr:colOff>
          <xdr:row>0</xdr:row>
          <xdr:rowOff>114300</xdr:rowOff>
        </xdr:from>
        <xdr:to>
          <xdr:col>4</xdr:col>
          <xdr:colOff>891540</xdr:colOff>
          <xdr:row>3</xdr:row>
          <xdr:rowOff>76200</xdr:rowOff>
        </xdr:to>
        <xdr:sp macro="" textlink="">
          <xdr:nvSpPr>
            <xdr:cNvPr id="5146" name="Button 26" hidden="1">
              <a:extLst>
                <a:ext uri="{63B3BB69-23CF-44E3-9099-C40C66FF867C}">
                  <a14:compatExt spid="_x0000_s5146"/>
                </a:ext>
                <a:ext uri="{FF2B5EF4-FFF2-40B4-BE49-F238E27FC236}">
                  <a16:creationId xmlns:a16="http://schemas.microsoft.com/office/drawing/2014/main" id="{4FFD2742-73CC-FE33-2A8F-E2E53484188A}"/>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EXIT MODEL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281940</xdr:colOff>
          <xdr:row>27</xdr:row>
          <xdr:rowOff>30480</xdr:rowOff>
        </xdr:from>
        <xdr:to>
          <xdr:col>1</xdr:col>
          <xdr:colOff>1965960</xdr:colOff>
          <xdr:row>28</xdr:row>
          <xdr:rowOff>160020</xdr:rowOff>
        </xdr:to>
        <xdr:sp macro="" textlink="">
          <xdr:nvSpPr>
            <xdr:cNvPr id="5147" name="Button 27" hidden="1">
              <a:extLst>
                <a:ext uri="{63B3BB69-23CF-44E3-9099-C40C66FF867C}">
                  <a14:compatExt spid="_x0000_s5147"/>
                </a:ext>
                <a:ext uri="{FF2B5EF4-FFF2-40B4-BE49-F238E27FC236}">
                  <a16:creationId xmlns:a16="http://schemas.microsoft.com/office/drawing/2014/main" id="{FA86ECB4-D658-7953-A33A-EDB2B3AC2F28}"/>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Click Here to Calculate Imaging Rates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182880</xdr:colOff>
          <xdr:row>27</xdr:row>
          <xdr:rowOff>60960</xdr:rowOff>
        </xdr:from>
        <xdr:to>
          <xdr:col>3</xdr:col>
          <xdr:colOff>861060</xdr:colOff>
          <xdr:row>28</xdr:row>
          <xdr:rowOff>167640</xdr:rowOff>
        </xdr:to>
        <xdr:sp macro="" textlink="">
          <xdr:nvSpPr>
            <xdr:cNvPr id="5148" name="Button 28" hidden="1">
              <a:extLst>
                <a:ext uri="{63B3BB69-23CF-44E3-9099-C40C66FF867C}">
                  <a14:compatExt spid="_x0000_s5148"/>
                </a:ext>
                <a:ext uri="{FF2B5EF4-FFF2-40B4-BE49-F238E27FC236}">
                  <a16:creationId xmlns:a16="http://schemas.microsoft.com/office/drawing/2014/main" id="{EA523961-DB45-99C3-0065-6826A2CF036D}"/>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Click Here to Calculate Test Fire Rates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868680</xdr:colOff>
          <xdr:row>27</xdr:row>
          <xdr:rowOff>38100</xdr:rowOff>
        </xdr:from>
        <xdr:to>
          <xdr:col>5</xdr:col>
          <xdr:colOff>1386840</xdr:colOff>
          <xdr:row>28</xdr:row>
          <xdr:rowOff>167640</xdr:rowOff>
        </xdr:to>
        <xdr:sp macro="" textlink="">
          <xdr:nvSpPr>
            <xdr:cNvPr id="5149" name="Button 29" hidden="1">
              <a:extLst>
                <a:ext uri="{63B3BB69-23CF-44E3-9099-C40C66FF867C}">
                  <a14:compatExt spid="_x0000_s5149"/>
                </a:ext>
                <a:ext uri="{FF2B5EF4-FFF2-40B4-BE49-F238E27FC236}">
                  <a16:creationId xmlns:a16="http://schemas.microsoft.com/office/drawing/2014/main" id="{9C08E0AA-948A-EB65-2650-8D3B9A6E5288}"/>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Click Here to Calculate Number of Operations Locations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18</xdr:row>
          <xdr:rowOff>160020</xdr:rowOff>
        </xdr:from>
        <xdr:to>
          <xdr:col>5</xdr:col>
          <xdr:colOff>1958340</xdr:colOff>
          <xdr:row>18</xdr:row>
          <xdr:rowOff>396240</xdr:rowOff>
        </xdr:to>
        <xdr:sp macro="" textlink="">
          <xdr:nvSpPr>
            <xdr:cNvPr id="5153" name="Drop Down 33" hidden="1">
              <a:extLst>
                <a:ext uri="{63B3BB69-23CF-44E3-9099-C40C66FF867C}">
                  <a14:compatExt spid="_x0000_s5153"/>
                </a:ext>
                <a:ext uri="{FF2B5EF4-FFF2-40B4-BE49-F238E27FC236}">
                  <a16:creationId xmlns:a16="http://schemas.microsoft.com/office/drawing/2014/main" id="{DCC56F6C-6A4A-093C-7A18-2B483A2DF1F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5</xdr:col>
      <xdr:colOff>304800</xdr:colOff>
      <xdr:row>4</xdr:row>
      <xdr:rowOff>30480</xdr:rowOff>
    </xdr:from>
    <xdr:to>
      <xdr:col>5</xdr:col>
      <xdr:colOff>1859280</xdr:colOff>
      <xdr:row>4</xdr:row>
      <xdr:rowOff>304800</xdr:rowOff>
    </xdr:to>
    <xdr:grpSp>
      <xdr:nvGrpSpPr>
        <xdr:cNvPr id="5154" name="Group 34">
          <a:extLst>
            <a:ext uri="{FF2B5EF4-FFF2-40B4-BE49-F238E27FC236}">
              <a16:creationId xmlns:a16="http://schemas.microsoft.com/office/drawing/2014/main" id="{4C766E24-8E9F-6437-DFFA-333E5B260775}"/>
            </a:ext>
          </a:extLst>
        </xdr:cNvPr>
        <xdr:cNvGrpSpPr>
          <a:grpSpLocks/>
        </xdr:cNvGrpSpPr>
      </xdr:nvGrpSpPr>
      <xdr:grpSpPr bwMode="auto">
        <a:xfrm>
          <a:off x="7018867" y="809413"/>
          <a:ext cx="1554480" cy="274320"/>
          <a:chOff x="697" y="8"/>
          <a:chExt cx="159" cy="29"/>
        </a:xfrm>
      </xdr:grpSpPr>
      <xdr:pic>
        <xdr:nvPicPr>
          <xdr:cNvPr id="5155" name="Picture 35">
            <a:extLst>
              <a:ext uri="{FF2B5EF4-FFF2-40B4-BE49-F238E27FC236}">
                <a16:creationId xmlns:a16="http://schemas.microsoft.com/office/drawing/2014/main" id="{0D55C48C-5173-000D-8CA1-E1C20F4E558B}"/>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 y="8"/>
            <a:ext cx="74" cy="2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56" name="Picture 36">
            <a:extLst>
              <a:ext uri="{FF2B5EF4-FFF2-40B4-BE49-F238E27FC236}">
                <a16:creationId xmlns:a16="http://schemas.microsoft.com/office/drawing/2014/main" id="{6F561255-63EB-7EE1-9013-E387F570A2F3}"/>
              </a:ext>
            </a:extLst>
          </xdr:cNvPr>
          <xdr:cNvPicPr preferRelativeResize="0">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1" y="12"/>
            <a:ext cx="75" cy="25"/>
          </a:xfrm>
          <a:prstGeom prst="rect">
            <a:avLst/>
          </a:prstGeom>
          <a:solidFill>
            <a:srgbClr val="FF9933"/>
          </a:solidFill>
        </xdr:spPr>
      </xdr:pic>
    </xdr:grp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1066800</xdr:colOff>
          <xdr:row>0</xdr:row>
          <xdr:rowOff>144780</xdr:rowOff>
        </xdr:from>
        <xdr:to>
          <xdr:col>2</xdr:col>
          <xdr:colOff>2796540</xdr:colOff>
          <xdr:row>3</xdr:row>
          <xdr:rowOff>76200</xdr:rowOff>
        </xdr:to>
        <xdr:sp macro="" textlink="">
          <xdr:nvSpPr>
            <xdr:cNvPr id="7171" name="Button 3" hidden="1">
              <a:extLst>
                <a:ext uri="{63B3BB69-23CF-44E3-9099-C40C66FF867C}">
                  <a14:compatExt spid="_x0000_s7171"/>
                </a:ext>
                <a:ext uri="{FF2B5EF4-FFF2-40B4-BE49-F238E27FC236}">
                  <a16:creationId xmlns:a16="http://schemas.microsoft.com/office/drawing/2014/main" id="{BD6E70F5-D0D6-F091-CA53-B79E69E8A10B}"/>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RETURN TO  MAP OF THE MODEL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3688080</xdr:colOff>
          <xdr:row>0</xdr:row>
          <xdr:rowOff>160020</xdr:rowOff>
        </xdr:from>
        <xdr:to>
          <xdr:col>3</xdr:col>
          <xdr:colOff>800100</xdr:colOff>
          <xdr:row>3</xdr:row>
          <xdr:rowOff>106680</xdr:rowOff>
        </xdr:to>
        <xdr:sp macro="" textlink="">
          <xdr:nvSpPr>
            <xdr:cNvPr id="7174" name="Button 6" hidden="1">
              <a:extLst>
                <a:ext uri="{63B3BB69-23CF-44E3-9099-C40C66FF867C}">
                  <a14:compatExt spid="_x0000_s7174"/>
                </a:ext>
                <a:ext uri="{FF2B5EF4-FFF2-40B4-BE49-F238E27FC236}">
                  <a16:creationId xmlns:a16="http://schemas.microsoft.com/office/drawing/2014/main" id="{2DCAD88B-73C1-1E59-7117-74C1A44AEE48}"/>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EXIT MODEL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20</xdr:row>
          <xdr:rowOff>0</xdr:rowOff>
        </xdr:from>
        <xdr:to>
          <xdr:col>3</xdr:col>
          <xdr:colOff>1196340</xdr:colOff>
          <xdr:row>20</xdr:row>
          <xdr:rowOff>220980</xdr:rowOff>
        </xdr:to>
        <xdr:sp macro="" textlink="">
          <xdr:nvSpPr>
            <xdr:cNvPr id="7176" name="Option Button 8" hidden="1">
              <a:extLst>
                <a:ext uri="{63B3BB69-23CF-44E3-9099-C40C66FF867C}">
                  <a14:compatExt spid="_x0000_s7176"/>
                </a:ext>
                <a:ext uri="{FF2B5EF4-FFF2-40B4-BE49-F238E27FC236}">
                  <a16:creationId xmlns:a16="http://schemas.microsoft.com/office/drawing/2014/main" id="{19D8B3BB-14D8-133E-48C9-17FB59DAA8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Accept Default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91440</xdr:colOff>
          <xdr:row>19</xdr:row>
          <xdr:rowOff>182880</xdr:rowOff>
        </xdr:from>
        <xdr:to>
          <xdr:col>4</xdr:col>
          <xdr:colOff>1135380</xdr:colOff>
          <xdr:row>20</xdr:row>
          <xdr:rowOff>213360</xdr:rowOff>
        </xdr:to>
        <xdr:sp macro="" textlink="">
          <xdr:nvSpPr>
            <xdr:cNvPr id="7177" name="Option Button 9" hidden="1">
              <a:extLst>
                <a:ext uri="{63B3BB69-23CF-44E3-9099-C40C66FF867C}">
                  <a14:compatExt spid="_x0000_s7177"/>
                </a:ext>
                <a:ext uri="{FF2B5EF4-FFF2-40B4-BE49-F238E27FC236}">
                  <a16:creationId xmlns:a16="http://schemas.microsoft.com/office/drawing/2014/main" id="{0FD472B8-27F2-19DB-D68E-39C8FD85EFD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Use My Estimates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3688080</xdr:colOff>
          <xdr:row>19</xdr:row>
          <xdr:rowOff>182880</xdr:rowOff>
        </xdr:from>
        <xdr:to>
          <xdr:col>4</xdr:col>
          <xdr:colOff>1211580</xdr:colOff>
          <xdr:row>20</xdr:row>
          <xdr:rowOff>236220</xdr:rowOff>
        </xdr:to>
        <xdr:sp macro="" textlink="">
          <xdr:nvSpPr>
            <xdr:cNvPr id="7175" name="Group Box 7" hidden="1">
              <a:extLst>
                <a:ext uri="{63B3BB69-23CF-44E3-9099-C40C66FF867C}">
                  <a14:compatExt spid="_x0000_s7175"/>
                </a:ext>
                <a:ext uri="{FF2B5EF4-FFF2-40B4-BE49-F238E27FC236}">
                  <a16:creationId xmlns:a16="http://schemas.microsoft.com/office/drawing/2014/main" id="{0F7DAC7E-E057-EA4F-53DC-9C7C69BCEC32}"/>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42</xdr:row>
          <xdr:rowOff>167640</xdr:rowOff>
        </xdr:from>
        <xdr:to>
          <xdr:col>4</xdr:col>
          <xdr:colOff>1211580</xdr:colOff>
          <xdr:row>44</xdr:row>
          <xdr:rowOff>0</xdr:rowOff>
        </xdr:to>
        <xdr:sp macro="" textlink="">
          <xdr:nvSpPr>
            <xdr:cNvPr id="7178" name="Group Box 10" hidden="1">
              <a:extLst>
                <a:ext uri="{63B3BB69-23CF-44E3-9099-C40C66FF867C}">
                  <a14:compatExt spid="_x0000_s7178"/>
                </a:ext>
                <a:ext uri="{FF2B5EF4-FFF2-40B4-BE49-F238E27FC236}">
                  <a16:creationId xmlns:a16="http://schemas.microsoft.com/office/drawing/2014/main" id="{A137071A-D108-6ABA-4E08-67881FD95BAA}"/>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144780</xdr:colOff>
          <xdr:row>43</xdr:row>
          <xdr:rowOff>22860</xdr:rowOff>
        </xdr:from>
        <xdr:to>
          <xdr:col>3</xdr:col>
          <xdr:colOff>1234440</xdr:colOff>
          <xdr:row>44</xdr:row>
          <xdr:rowOff>0</xdr:rowOff>
        </xdr:to>
        <xdr:sp macro="" textlink="">
          <xdr:nvSpPr>
            <xdr:cNvPr id="7180" name="Option Button 12" hidden="1">
              <a:extLst>
                <a:ext uri="{63B3BB69-23CF-44E3-9099-C40C66FF867C}">
                  <a14:compatExt spid="_x0000_s7180"/>
                </a:ext>
                <a:ext uri="{FF2B5EF4-FFF2-40B4-BE49-F238E27FC236}">
                  <a16:creationId xmlns:a16="http://schemas.microsoft.com/office/drawing/2014/main" id="{31642CE0-1AB4-E0BF-C47A-EBC51F054FB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Accept Default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43</xdr:row>
          <xdr:rowOff>22860</xdr:rowOff>
        </xdr:from>
        <xdr:to>
          <xdr:col>4</xdr:col>
          <xdr:colOff>1127760</xdr:colOff>
          <xdr:row>44</xdr:row>
          <xdr:rowOff>0</xdr:rowOff>
        </xdr:to>
        <xdr:sp macro="" textlink="">
          <xdr:nvSpPr>
            <xdr:cNvPr id="7181" name="Option Button 13" hidden="1">
              <a:extLst>
                <a:ext uri="{63B3BB69-23CF-44E3-9099-C40C66FF867C}">
                  <a14:compatExt spid="_x0000_s7181"/>
                </a:ext>
                <a:ext uri="{FF2B5EF4-FFF2-40B4-BE49-F238E27FC236}">
                  <a16:creationId xmlns:a16="http://schemas.microsoft.com/office/drawing/2014/main" id="{E626812A-F59E-EADD-DA48-7A6945E8AD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Use My Estimates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62</xdr:row>
          <xdr:rowOff>137160</xdr:rowOff>
        </xdr:from>
        <xdr:to>
          <xdr:col>4</xdr:col>
          <xdr:colOff>1211580</xdr:colOff>
          <xdr:row>63</xdr:row>
          <xdr:rowOff>0</xdr:rowOff>
        </xdr:to>
        <xdr:sp macro="" textlink="">
          <xdr:nvSpPr>
            <xdr:cNvPr id="7182" name="Group Box 14" hidden="1">
              <a:extLst>
                <a:ext uri="{63B3BB69-23CF-44E3-9099-C40C66FF867C}">
                  <a14:compatExt spid="_x0000_s7182"/>
                </a:ext>
                <a:ext uri="{FF2B5EF4-FFF2-40B4-BE49-F238E27FC236}">
                  <a16:creationId xmlns:a16="http://schemas.microsoft.com/office/drawing/2014/main" id="{63F18FB0-1EE8-CC9B-502D-50E3BBC2FBDA}"/>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68580</xdr:colOff>
          <xdr:row>62</xdr:row>
          <xdr:rowOff>144780</xdr:rowOff>
        </xdr:from>
        <xdr:to>
          <xdr:col>3</xdr:col>
          <xdr:colOff>1203960</xdr:colOff>
          <xdr:row>63</xdr:row>
          <xdr:rowOff>0</xdr:rowOff>
        </xdr:to>
        <xdr:sp macro="" textlink="">
          <xdr:nvSpPr>
            <xdr:cNvPr id="7183" name="Option Button 15" hidden="1">
              <a:extLst>
                <a:ext uri="{63B3BB69-23CF-44E3-9099-C40C66FF867C}">
                  <a14:compatExt spid="_x0000_s7183"/>
                </a:ext>
                <a:ext uri="{FF2B5EF4-FFF2-40B4-BE49-F238E27FC236}">
                  <a16:creationId xmlns:a16="http://schemas.microsoft.com/office/drawing/2014/main" id="{25E3B290-A8CD-BF6B-3052-4742AC29C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Use Model Estimate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129540</xdr:colOff>
          <xdr:row>62</xdr:row>
          <xdr:rowOff>137160</xdr:rowOff>
        </xdr:from>
        <xdr:to>
          <xdr:col>4</xdr:col>
          <xdr:colOff>1143000</xdr:colOff>
          <xdr:row>63</xdr:row>
          <xdr:rowOff>0</xdr:rowOff>
        </xdr:to>
        <xdr:sp macro="" textlink="">
          <xdr:nvSpPr>
            <xdr:cNvPr id="7184" name="Option Button 16" hidden="1">
              <a:extLst>
                <a:ext uri="{63B3BB69-23CF-44E3-9099-C40C66FF867C}">
                  <a14:compatExt spid="_x0000_s7184"/>
                </a:ext>
                <a:ext uri="{FF2B5EF4-FFF2-40B4-BE49-F238E27FC236}">
                  <a16:creationId xmlns:a16="http://schemas.microsoft.com/office/drawing/2014/main" id="{1A45CEE0-573C-7EBA-05C0-F9A62BB2C06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Use My Estimate</a:t>
              </a:r>
            </a:p>
          </xdr:txBody>
        </xdr:sp>
        <xdr:clientData/>
      </xdr:twoCellAnchor>
    </mc:Choice>
    <mc:Fallback/>
  </mc:AlternateContent>
  <xdr:twoCellAnchor>
    <xdr:from>
      <xdr:col>3</xdr:col>
      <xdr:colOff>922020</xdr:colOff>
      <xdr:row>4</xdr:row>
      <xdr:rowOff>7620</xdr:rowOff>
    </xdr:from>
    <xdr:to>
      <xdr:col>4</xdr:col>
      <xdr:colOff>1203960</xdr:colOff>
      <xdr:row>4</xdr:row>
      <xdr:rowOff>281940</xdr:rowOff>
    </xdr:to>
    <xdr:grpSp>
      <xdr:nvGrpSpPr>
        <xdr:cNvPr id="7189" name="Group 21">
          <a:extLst>
            <a:ext uri="{FF2B5EF4-FFF2-40B4-BE49-F238E27FC236}">
              <a16:creationId xmlns:a16="http://schemas.microsoft.com/office/drawing/2014/main" id="{AB4FD6F0-4481-DCF4-2DB6-D4529BE4F2DC}"/>
            </a:ext>
          </a:extLst>
        </xdr:cNvPr>
        <xdr:cNvGrpSpPr>
          <a:grpSpLocks/>
        </xdr:cNvGrpSpPr>
      </xdr:nvGrpSpPr>
      <xdr:grpSpPr bwMode="auto">
        <a:xfrm>
          <a:off x="5867400" y="777240"/>
          <a:ext cx="1554480" cy="274320"/>
          <a:chOff x="697" y="8"/>
          <a:chExt cx="159" cy="29"/>
        </a:xfrm>
      </xdr:grpSpPr>
      <xdr:pic>
        <xdr:nvPicPr>
          <xdr:cNvPr id="7190" name="Picture 22">
            <a:extLst>
              <a:ext uri="{FF2B5EF4-FFF2-40B4-BE49-F238E27FC236}">
                <a16:creationId xmlns:a16="http://schemas.microsoft.com/office/drawing/2014/main" id="{98A1C4C6-1DE1-4D98-9E03-DB0F08DBAD16}"/>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 y="8"/>
            <a:ext cx="74" cy="2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191" name="Picture 23">
            <a:extLst>
              <a:ext uri="{FF2B5EF4-FFF2-40B4-BE49-F238E27FC236}">
                <a16:creationId xmlns:a16="http://schemas.microsoft.com/office/drawing/2014/main" id="{4127BB0A-2692-04B1-29A1-809F6E62A422}"/>
              </a:ext>
            </a:extLst>
          </xdr:cNvPr>
          <xdr:cNvPicPr preferRelativeResize="0">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1" y="12"/>
            <a:ext cx="75" cy="25"/>
          </a:xfrm>
          <a:prstGeom prst="rect">
            <a:avLst/>
          </a:prstGeom>
          <a:solidFill>
            <a:srgbClr val="FF9933"/>
          </a:solidFill>
        </xdr:spPr>
      </xdr:pic>
    </xdr:grpSp>
    <xdr:clientData/>
  </xdr:twoCellAnchor>
  <xdr:twoCellAnchor>
    <xdr:from>
      <xdr:col>3</xdr:col>
      <xdr:colOff>929640</xdr:colOff>
      <xdr:row>28</xdr:row>
      <xdr:rowOff>38100</xdr:rowOff>
    </xdr:from>
    <xdr:to>
      <xdr:col>4</xdr:col>
      <xdr:colOff>1211580</xdr:colOff>
      <xdr:row>28</xdr:row>
      <xdr:rowOff>312420</xdr:rowOff>
    </xdr:to>
    <xdr:grpSp>
      <xdr:nvGrpSpPr>
        <xdr:cNvPr id="7192" name="Group 24">
          <a:extLst>
            <a:ext uri="{FF2B5EF4-FFF2-40B4-BE49-F238E27FC236}">
              <a16:creationId xmlns:a16="http://schemas.microsoft.com/office/drawing/2014/main" id="{289A6E66-3B99-1E84-D0BB-01D0BB68BAC0}"/>
            </a:ext>
          </a:extLst>
        </xdr:cNvPr>
        <xdr:cNvGrpSpPr>
          <a:grpSpLocks/>
        </xdr:cNvGrpSpPr>
      </xdr:nvGrpSpPr>
      <xdr:grpSpPr bwMode="auto">
        <a:xfrm>
          <a:off x="5875020" y="7955280"/>
          <a:ext cx="1554480" cy="274320"/>
          <a:chOff x="697" y="8"/>
          <a:chExt cx="159" cy="29"/>
        </a:xfrm>
      </xdr:grpSpPr>
      <xdr:pic>
        <xdr:nvPicPr>
          <xdr:cNvPr id="7193" name="Picture 25">
            <a:extLst>
              <a:ext uri="{FF2B5EF4-FFF2-40B4-BE49-F238E27FC236}">
                <a16:creationId xmlns:a16="http://schemas.microsoft.com/office/drawing/2014/main" id="{1741B83F-C23D-6769-E9B5-0F7353FB590C}"/>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 y="8"/>
            <a:ext cx="74" cy="2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194" name="Picture 26">
            <a:extLst>
              <a:ext uri="{FF2B5EF4-FFF2-40B4-BE49-F238E27FC236}">
                <a16:creationId xmlns:a16="http://schemas.microsoft.com/office/drawing/2014/main" id="{93CF8D3D-F61B-AA88-AB20-90D67CC28DC0}"/>
              </a:ext>
            </a:extLst>
          </xdr:cNvPr>
          <xdr:cNvPicPr preferRelativeResize="0">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1" y="12"/>
            <a:ext cx="75" cy="25"/>
          </a:xfrm>
          <a:prstGeom prst="rect">
            <a:avLst/>
          </a:prstGeom>
          <a:solidFill>
            <a:srgbClr val="FF9933"/>
          </a:solidFill>
        </xdr:spPr>
      </xdr:pic>
    </xdr:grpSp>
    <xdr:clientData/>
  </xdr:twoCellAnchor>
  <xdr:twoCellAnchor>
    <xdr:from>
      <xdr:col>3</xdr:col>
      <xdr:colOff>922020</xdr:colOff>
      <xdr:row>51</xdr:row>
      <xdr:rowOff>38100</xdr:rowOff>
    </xdr:from>
    <xdr:to>
      <xdr:col>4</xdr:col>
      <xdr:colOff>1203960</xdr:colOff>
      <xdr:row>51</xdr:row>
      <xdr:rowOff>312420</xdr:rowOff>
    </xdr:to>
    <xdr:grpSp>
      <xdr:nvGrpSpPr>
        <xdr:cNvPr id="7195" name="Group 27">
          <a:extLst>
            <a:ext uri="{FF2B5EF4-FFF2-40B4-BE49-F238E27FC236}">
              <a16:creationId xmlns:a16="http://schemas.microsoft.com/office/drawing/2014/main" id="{00A5253B-3773-524E-B13A-F0E40637D712}"/>
            </a:ext>
          </a:extLst>
        </xdr:cNvPr>
        <xdr:cNvGrpSpPr>
          <a:grpSpLocks/>
        </xdr:cNvGrpSpPr>
      </xdr:nvGrpSpPr>
      <xdr:grpSpPr bwMode="auto">
        <a:xfrm>
          <a:off x="5867400" y="15125700"/>
          <a:ext cx="1554480" cy="274320"/>
          <a:chOff x="697" y="8"/>
          <a:chExt cx="159" cy="29"/>
        </a:xfrm>
      </xdr:grpSpPr>
      <xdr:pic>
        <xdr:nvPicPr>
          <xdr:cNvPr id="7196" name="Picture 28">
            <a:extLst>
              <a:ext uri="{FF2B5EF4-FFF2-40B4-BE49-F238E27FC236}">
                <a16:creationId xmlns:a16="http://schemas.microsoft.com/office/drawing/2014/main" id="{A98FD96A-35E5-836A-0DE0-3E00CA627F78}"/>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 y="8"/>
            <a:ext cx="74" cy="2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197" name="Picture 29">
            <a:extLst>
              <a:ext uri="{FF2B5EF4-FFF2-40B4-BE49-F238E27FC236}">
                <a16:creationId xmlns:a16="http://schemas.microsoft.com/office/drawing/2014/main" id="{353911CB-0E9F-CFB6-D966-605ECC6E4AA9}"/>
              </a:ext>
            </a:extLst>
          </xdr:cNvPr>
          <xdr:cNvPicPr preferRelativeResize="0">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1" y="12"/>
            <a:ext cx="75" cy="25"/>
          </a:xfrm>
          <a:prstGeom prst="rect">
            <a:avLst/>
          </a:prstGeom>
          <a:solidFill>
            <a:srgbClr val="FF9933"/>
          </a:solidFill>
        </xdr:spPr>
      </xdr:pic>
    </xdr:grpSp>
    <xdr:clientData/>
  </xdr:twoCellAnchor>
  <mc:AlternateContent xmlns:mc="http://schemas.openxmlformats.org/markup-compatibility/2006">
    <mc:Choice xmlns:a14="http://schemas.microsoft.com/office/drawing/2010/main" Requires="a14">
      <xdr:twoCellAnchor>
        <xdr:from>
          <xdr:col>2</xdr:col>
          <xdr:colOff>1630680</xdr:colOff>
          <xdr:row>71</xdr:row>
          <xdr:rowOff>38100</xdr:rowOff>
        </xdr:from>
        <xdr:to>
          <xdr:col>4</xdr:col>
          <xdr:colOff>99060</xdr:colOff>
          <xdr:row>72</xdr:row>
          <xdr:rowOff>152400</xdr:rowOff>
        </xdr:to>
        <xdr:sp macro="" textlink="">
          <xdr:nvSpPr>
            <xdr:cNvPr id="7198" name="Button 30" hidden="1">
              <a:extLst>
                <a:ext uri="{63B3BB69-23CF-44E3-9099-C40C66FF867C}">
                  <a14:compatExt spid="_x0000_s7198"/>
                </a:ext>
                <a:ext uri="{FF2B5EF4-FFF2-40B4-BE49-F238E27FC236}">
                  <a16:creationId xmlns:a16="http://schemas.microsoft.com/office/drawing/2014/main" id="{DEE81314-3F63-6D16-28EF-A82334AEDA0B}"/>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200" b="1" i="0" u="none" strike="noStrike" baseline="0">
                  <a:solidFill>
                    <a:srgbClr val="993366"/>
                  </a:solidFill>
                  <a:latin typeface="Arial"/>
                  <a:cs typeface="Arial"/>
                </a:rPr>
                <a:t>Next Step:  Miscellaneous Parameters</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2217420</xdr:colOff>
          <xdr:row>1</xdr:row>
          <xdr:rowOff>0</xdr:rowOff>
        </xdr:from>
        <xdr:to>
          <xdr:col>2</xdr:col>
          <xdr:colOff>152400</xdr:colOff>
          <xdr:row>3</xdr:row>
          <xdr:rowOff>83820</xdr:rowOff>
        </xdr:to>
        <xdr:sp macro="" textlink="">
          <xdr:nvSpPr>
            <xdr:cNvPr id="6157" name="Button 13" hidden="1">
              <a:extLst>
                <a:ext uri="{63B3BB69-23CF-44E3-9099-C40C66FF867C}">
                  <a14:compatExt spid="_x0000_s6157"/>
                </a:ext>
                <a:ext uri="{FF2B5EF4-FFF2-40B4-BE49-F238E27FC236}">
                  <a16:creationId xmlns:a16="http://schemas.microsoft.com/office/drawing/2014/main" id="{34AEF38C-679C-4285-8881-87AD7E62E362}"/>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RETURN TO MAP OF THE MODEL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60960</xdr:colOff>
          <xdr:row>0</xdr:row>
          <xdr:rowOff>167640</xdr:rowOff>
        </xdr:from>
        <xdr:to>
          <xdr:col>4</xdr:col>
          <xdr:colOff>1158240</xdr:colOff>
          <xdr:row>3</xdr:row>
          <xdr:rowOff>45720</xdr:rowOff>
        </xdr:to>
        <xdr:sp macro="" textlink="">
          <xdr:nvSpPr>
            <xdr:cNvPr id="6161" name="Button 17" hidden="1">
              <a:extLst>
                <a:ext uri="{63B3BB69-23CF-44E3-9099-C40C66FF867C}">
                  <a14:compatExt spid="_x0000_s6161"/>
                </a:ext>
                <a:ext uri="{FF2B5EF4-FFF2-40B4-BE49-F238E27FC236}">
                  <a16:creationId xmlns:a16="http://schemas.microsoft.com/office/drawing/2014/main" id="{4A0C59B9-4ABC-6DAA-9629-0A9BCACAB991}"/>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EXIT MODEL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7</xdr:row>
          <xdr:rowOff>76200</xdr:rowOff>
        </xdr:from>
        <xdr:to>
          <xdr:col>4</xdr:col>
          <xdr:colOff>2278380</xdr:colOff>
          <xdr:row>7</xdr:row>
          <xdr:rowOff>464820</xdr:rowOff>
        </xdr:to>
        <xdr:sp macro="" textlink="">
          <xdr:nvSpPr>
            <xdr:cNvPr id="6173" name="Group Box 29" hidden="1">
              <a:extLst>
                <a:ext uri="{63B3BB69-23CF-44E3-9099-C40C66FF867C}">
                  <a14:compatExt spid="_x0000_s6173"/>
                </a:ext>
                <a:ext uri="{FF2B5EF4-FFF2-40B4-BE49-F238E27FC236}">
                  <a16:creationId xmlns:a16="http://schemas.microsoft.com/office/drawing/2014/main" id="{910C19B5-F0CB-EA83-ED9E-BB036369776B}"/>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45720</xdr:colOff>
          <xdr:row>8</xdr:row>
          <xdr:rowOff>228600</xdr:rowOff>
        </xdr:from>
        <xdr:to>
          <xdr:col>4</xdr:col>
          <xdr:colOff>2293620</xdr:colOff>
          <xdr:row>8</xdr:row>
          <xdr:rowOff>624840</xdr:rowOff>
        </xdr:to>
        <xdr:sp macro="" textlink="">
          <xdr:nvSpPr>
            <xdr:cNvPr id="6176" name="Group Box 32" hidden="1">
              <a:extLst>
                <a:ext uri="{63B3BB69-23CF-44E3-9099-C40C66FF867C}">
                  <a14:compatExt spid="_x0000_s6176"/>
                </a:ext>
                <a:ext uri="{FF2B5EF4-FFF2-40B4-BE49-F238E27FC236}">
                  <a16:creationId xmlns:a16="http://schemas.microsoft.com/office/drawing/2014/main" id="{D8240A80-3053-AAD4-4408-F0B0F885973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8</xdr:row>
          <xdr:rowOff>320040</xdr:rowOff>
        </xdr:from>
        <xdr:to>
          <xdr:col>4</xdr:col>
          <xdr:colOff>960120</xdr:colOff>
          <xdr:row>8</xdr:row>
          <xdr:rowOff>541020</xdr:rowOff>
        </xdr:to>
        <xdr:sp macro="" textlink="">
          <xdr:nvSpPr>
            <xdr:cNvPr id="6177" name="Option Button 33" hidden="1">
              <a:extLst>
                <a:ext uri="{63B3BB69-23CF-44E3-9099-C40C66FF867C}">
                  <a14:compatExt spid="_x0000_s6177"/>
                </a:ext>
                <a:ext uri="{FF2B5EF4-FFF2-40B4-BE49-F238E27FC236}">
                  <a16:creationId xmlns:a16="http://schemas.microsoft.com/office/drawing/2014/main" id="{C8D233DF-E852-06F1-B7A9-FEC71048CF5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accept default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1280160</xdr:colOff>
          <xdr:row>8</xdr:row>
          <xdr:rowOff>327660</xdr:rowOff>
        </xdr:from>
        <xdr:to>
          <xdr:col>4</xdr:col>
          <xdr:colOff>2286000</xdr:colOff>
          <xdr:row>8</xdr:row>
          <xdr:rowOff>548640</xdr:rowOff>
        </xdr:to>
        <xdr:sp macro="" textlink="">
          <xdr:nvSpPr>
            <xdr:cNvPr id="6179" name="Option Button 35" hidden="1">
              <a:extLst>
                <a:ext uri="{63B3BB69-23CF-44E3-9099-C40C66FF867C}">
                  <a14:compatExt spid="_x0000_s6179"/>
                </a:ext>
                <a:ext uri="{FF2B5EF4-FFF2-40B4-BE49-F238E27FC236}">
                  <a16:creationId xmlns:a16="http://schemas.microsoft.com/office/drawing/2014/main" id="{596BDC0B-FB22-1BAE-5F0A-4C3ECA1B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use my estimate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9</xdr:row>
          <xdr:rowOff>167640</xdr:rowOff>
        </xdr:from>
        <xdr:to>
          <xdr:col>4</xdr:col>
          <xdr:colOff>1021080</xdr:colOff>
          <xdr:row>9</xdr:row>
          <xdr:rowOff>403860</xdr:rowOff>
        </xdr:to>
        <xdr:sp macro="" textlink="">
          <xdr:nvSpPr>
            <xdr:cNvPr id="6181" name="Option Button 37" hidden="1">
              <a:extLst>
                <a:ext uri="{63B3BB69-23CF-44E3-9099-C40C66FF867C}">
                  <a14:compatExt spid="_x0000_s6181"/>
                </a:ext>
                <a:ext uri="{FF2B5EF4-FFF2-40B4-BE49-F238E27FC236}">
                  <a16:creationId xmlns:a16="http://schemas.microsoft.com/office/drawing/2014/main" id="{61E96DAF-D023-D9BA-C5DF-7879494DC2A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accept default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1287780</xdr:colOff>
          <xdr:row>9</xdr:row>
          <xdr:rowOff>152400</xdr:rowOff>
        </xdr:from>
        <xdr:to>
          <xdr:col>4</xdr:col>
          <xdr:colOff>2278380</xdr:colOff>
          <xdr:row>9</xdr:row>
          <xdr:rowOff>449580</xdr:rowOff>
        </xdr:to>
        <xdr:sp macro="" textlink="">
          <xdr:nvSpPr>
            <xdr:cNvPr id="6182" name="Option Button 38" hidden="1">
              <a:extLst>
                <a:ext uri="{63B3BB69-23CF-44E3-9099-C40C66FF867C}">
                  <a14:compatExt spid="_x0000_s6182"/>
                </a:ext>
                <a:ext uri="{FF2B5EF4-FFF2-40B4-BE49-F238E27FC236}">
                  <a16:creationId xmlns:a16="http://schemas.microsoft.com/office/drawing/2014/main" id="{0331C54F-186E-B9F2-A912-42FB6383BE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use my estimate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xdr:colOff>
          <xdr:row>9</xdr:row>
          <xdr:rowOff>144780</xdr:rowOff>
        </xdr:from>
        <xdr:to>
          <xdr:col>4</xdr:col>
          <xdr:colOff>2293620</xdr:colOff>
          <xdr:row>9</xdr:row>
          <xdr:rowOff>487680</xdr:rowOff>
        </xdr:to>
        <xdr:sp macro="" textlink="">
          <xdr:nvSpPr>
            <xdr:cNvPr id="6183" name="Group Box 39" hidden="1">
              <a:extLst>
                <a:ext uri="{63B3BB69-23CF-44E3-9099-C40C66FF867C}">
                  <a14:compatExt spid="_x0000_s6183"/>
                </a:ext>
                <a:ext uri="{FF2B5EF4-FFF2-40B4-BE49-F238E27FC236}">
                  <a16:creationId xmlns:a16="http://schemas.microsoft.com/office/drawing/2014/main" id="{4E287F6E-2A00-039D-71B4-7292C1195F0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12</xdr:row>
          <xdr:rowOff>121920</xdr:rowOff>
        </xdr:from>
        <xdr:to>
          <xdr:col>4</xdr:col>
          <xdr:colOff>2278380</xdr:colOff>
          <xdr:row>12</xdr:row>
          <xdr:rowOff>434340</xdr:rowOff>
        </xdr:to>
        <xdr:sp macro="" textlink="">
          <xdr:nvSpPr>
            <xdr:cNvPr id="6193" name="Group Box 49" hidden="1">
              <a:extLst>
                <a:ext uri="{63B3BB69-23CF-44E3-9099-C40C66FF867C}">
                  <a14:compatExt spid="_x0000_s6193"/>
                </a:ext>
                <a:ext uri="{FF2B5EF4-FFF2-40B4-BE49-F238E27FC236}">
                  <a16:creationId xmlns:a16="http://schemas.microsoft.com/office/drawing/2014/main" id="{0E8B9D01-6DD3-7F15-479E-F9D377B93108}"/>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12</xdr:row>
          <xdr:rowOff>190500</xdr:rowOff>
        </xdr:from>
        <xdr:to>
          <xdr:col>4</xdr:col>
          <xdr:colOff>1059180</xdr:colOff>
          <xdr:row>12</xdr:row>
          <xdr:rowOff>411480</xdr:rowOff>
        </xdr:to>
        <xdr:sp macro="" textlink="">
          <xdr:nvSpPr>
            <xdr:cNvPr id="6194" name="Option Button 50" hidden="1">
              <a:extLst>
                <a:ext uri="{63B3BB69-23CF-44E3-9099-C40C66FF867C}">
                  <a14:compatExt spid="_x0000_s6194"/>
                </a:ext>
                <a:ext uri="{FF2B5EF4-FFF2-40B4-BE49-F238E27FC236}">
                  <a16:creationId xmlns:a16="http://schemas.microsoft.com/office/drawing/2014/main" id="{E2A0D045-3A4A-6E72-7112-8F3C777CEAA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accept default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1249680</xdr:colOff>
          <xdr:row>12</xdr:row>
          <xdr:rowOff>167640</xdr:rowOff>
        </xdr:from>
        <xdr:to>
          <xdr:col>4</xdr:col>
          <xdr:colOff>2247900</xdr:colOff>
          <xdr:row>12</xdr:row>
          <xdr:rowOff>388620</xdr:rowOff>
        </xdr:to>
        <xdr:sp macro="" textlink="">
          <xdr:nvSpPr>
            <xdr:cNvPr id="6195" name="Option Button 51" hidden="1">
              <a:extLst>
                <a:ext uri="{63B3BB69-23CF-44E3-9099-C40C66FF867C}">
                  <a14:compatExt spid="_x0000_s6195"/>
                </a:ext>
                <a:ext uri="{FF2B5EF4-FFF2-40B4-BE49-F238E27FC236}">
                  <a16:creationId xmlns:a16="http://schemas.microsoft.com/office/drawing/2014/main" id="{D95CD308-F638-0BA2-696D-48F03373CB5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use my estimate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14</xdr:row>
          <xdr:rowOff>68580</xdr:rowOff>
        </xdr:from>
        <xdr:to>
          <xdr:col>4</xdr:col>
          <xdr:colOff>2301240</xdr:colOff>
          <xdr:row>14</xdr:row>
          <xdr:rowOff>365760</xdr:rowOff>
        </xdr:to>
        <xdr:sp macro="" textlink="">
          <xdr:nvSpPr>
            <xdr:cNvPr id="6203" name="Group Box 59" hidden="1">
              <a:extLst>
                <a:ext uri="{63B3BB69-23CF-44E3-9099-C40C66FF867C}">
                  <a14:compatExt spid="_x0000_s6203"/>
                </a:ext>
                <a:ext uri="{FF2B5EF4-FFF2-40B4-BE49-F238E27FC236}">
                  <a16:creationId xmlns:a16="http://schemas.microsoft.com/office/drawing/2014/main" id="{2634AC7A-65F1-90D4-A34A-C70D70E68A1C}"/>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14</xdr:row>
          <xdr:rowOff>106680</xdr:rowOff>
        </xdr:from>
        <xdr:to>
          <xdr:col>4</xdr:col>
          <xdr:colOff>1005840</xdr:colOff>
          <xdr:row>14</xdr:row>
          <xdr:rowOff>327660</xdr:rowOff>
        </xdr:to>
        <xdr:sp macro="" textlink="">
          <xdr:nvSpPr>
            <xdr:cNvPr id="6204" name="Option Button 60" hidden="1">
              <a:extLst>
                <a:ext uri="{63B3BB69-23CF-44E3-9099-C40C66FF867C}">
                  <a14:compatExt spid="_x0000_s6204"/>
                </a:ext>
                <a:ext uri="{FF2B5EF4-FFF2-40B4-BE49-F238E27FC236}">
                  <a16:creationId xmlns:a16="http://schemas.microsoft.com/office/drawing/2014/main" id="{B4E6F1E9-4F5C-E6FF-6D5F-F04D3D5E4AE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accept default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1287780</xdr:colOff>
          <xdr:row>14</xdr:row>
          <xdr:rowOff>121920</xdr:rowOff>
        </xdr:from>
        <xdr:to>
          <xdr:col>4</xdr:col>
          <xdr:colOff>2286000</xdr:colOff>
          <xdr:row>14</xdr:row>
          <xdr:rowOff>342900</xdr:rowOff>
        </xdr:to>
        <xdr:sp macro="" textlink="">
          <xdr:nvSpPr>
            <xdr:cNvPr id="6205" name="Option Button 61" hidden="1">
              <a:extLst>
                <a:ext uri="{63B3BB69-23CF-44E3-9099-C40C66FF867C}">
                  <a14:compatExt spid="_x0000_s6205"/>
                </a:ext>
                <a:ext uri="{FF2B5EF4-FFF2-40B4-BE49-F238E27FC236}">
                  <a16:creationId xmlns:a16="http://schemas.microsoft.com/office/drawing/2014/main" id="{F6D5A7ED-B244-FAF2-F445-D2E259DAFDD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use my estimate</a:t>
              </a:r>
            </a:p>
          </xdr:txBody>
        </xdr:sp>
        <xdr:clientData/>
      </xdr:twoCellAnchor>
    </mc:Choice>
    <mc:Fallback/>
  </mc:AlternateContent>
  <xdr:twoCellAnchor>
    <xdr:from>
      <xdr:col>4</xdr:col>
      <xdr:colOff>1996440</xdr:colOff>
      <xdr:row>4</xdr:row>
      <xdr:rowOff>38100</xdr:rowOff>
    </xdr:from>
    <xdr:to>
      <xdr:col>5</xdr:col>
      <xdr:colOff>830580</xdr:colOff>
      <xdr:row>4</xdr:row>
      <xdr:rowOff>312420</xdr:rowOff>
    </xdr:to>
    <xdr:grpSp>
      <xdr:nvGrpSpPr>
        <xdr:cNvPr id="6216" name="Group 72">
          <a:extLst>
            <a:ext uri="{FF2B5EF4-FFF2-40B4-BE49-F238E27FC236}">
              <a16:creationId xmlns:a16="http://schemas.microsoft.com/office/drawing/2014/main" id="{E8D73F6E-4EED-B062-F76D-B64B8CFC7A86}"/>
            </a:ext>
          </a:extLst>
        </xdr:cNvPr>
        <xdr:cNvGrpSpPr>
          <a:grpSpLocks/>
        </xdr:cNvGrpSpPr>
      </xdr:nvGrpSpPr>
      <xdr:grpSpPr bwMode="auto">
        <a:xfrm>
          <a:off x="7500769" y="809065"/>
          <a:ext cx="1245646" cy="274320"/>
          <a:chOff x="697" y="8"/>
          <a:chExt cx="159" cy="29"/>
        </a:xfrm>
      </xdr:grpSpPr>
      <xdr:pic>
        <xdr:nvPicPr>
          <xdr:cNvPr id="6217" name="Picture 73">
            <a:extLst>
              <a:ext uri="{FF2B5EF4-FFF2-40B4-BE49-F238E27FC236}">
                <a16:creationId xmlns:a16="http://schemas.microsoft.com/office/drawing/2014/main" id="{AB0BA0E5-0278-1C6F-54EC-557CA232E19B}"/>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 y="8"/>
            <a:ext cx="74" cy="2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18" name="Picture 74">
            <a:extLst>
              <a:ext uri="{FF2B5EF4-FFF2-40B4-BE49-F238E27FC236}">
                <a16:creationId xmlns:a16="http://schemas.microsoft.com/office/drawing/2014/main" id="{447F98D2-B140-8B24-4CEB-589F72F704C2}"/>
              </a:ext>
            </a:extLst>
          </xdr:cNvPr>
          <xdr:cNvPicPr preferRelativeResize="0">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1" y="12"/>
            <a:ext cx="75" cy="25"/>
          </a:xfrm>
          <a:prstGeom prst="rect">
            <a:avLst/>
          </a:prstGeom>
          <a:solidFill>
            <a:srgbClr val="FF9933"/>
          </a:solidFill>
        </xdr:spPr>
      </xdr:pic>
    </xdr:grpSp>
    <xdr:clientData/>
  </xdr:twoCellAnchor>
  <mc:AlternateContent xmlns:mc="http://schemas.openxmlformats.org/markup-compatibility/2006">
    <mc:Choice xmlns:a14="http://schemas.microsoft.com/office/drawing/2010/main" Requires="a14">
      <xdr:twoCellAnchor editAs="oneCell">
        <xdr:from>
          <xdr:col>4</xdr:col>
          <xdr:colOff>76200</xdr:colOff>
          <xdr:row>10</xdr:row>
          <xdr:rowOff>83820</xdr:rowOff>
        </xdr:from>
        <xdr:to>
          <xdr:col>4</xdr:col>
          <xdr:colOff>2339340</xdr:colOff>
          <xdr:row>10</xdr:row>
          <xdr:rowOff>449580</xdr:rowOff>
        </xdr:to>
        <xdr:sp macro="" textlink="">
          <xdr:nvSpPr>
            <xdr:cNvPr id="6219" name="Group Box 75" hidden="1">
              <a:extLst>
                <a:ext uri="{63B3BB69-23CF-44E3-9099-C40C66FF867C}">
                  <a14:compatExt spid="_x0000_s6219"/>
                </a:ext>
                <a:ext uri="{FF2B5EF4-FFF2-40B4-BE49-F238E27FC236}">
                  <a16:creationId xmlns:a16="http://schemas.microsoft.com/office/drawing/2014/main" id="{78071AC3-12FC-7C2F-D524-9A3A30DF761D}"/>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10</xdr:row>
          <xdr:rowOff>152400</xdr:rowOff>
        </xdr:from>
        <xdr:to>
          <xdr:col>4</xdr:col>
          <xdr:colOff>1021080</xdr:colOff>
          <xdr:row>10</xdr:row>
          <xdr:rowOff>373380</xdr:rowOff>
        </xdr:to>
        <xdr:sp macro="" textlink="">
          <xdr:nvSpPr>
            <xdr:cNvPr id="6220" name="Option Button 76" hidden="1">
              <a:extLst>
                <a:ext uri="{63B3BB69-23CF-44E3-9099-C40C66FF867C}">
                  <a14:compatExt spid="_x0000_s6220"/>
                </a:ext>
                <a:ext uri="{FF2B5EF4-FFF2-40B4-BE49-F238E27FC236}">
                  <a16:creationId xmlns:a16="http://schemas.microsoft.com/office/drawing/2014/main" id="{D02955E5-57BE-5E1E-D6E0-D1F3C5119A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accept default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1287780</xdr:colOff>
          <xdr:row>10</xdr:row>
          <xdr:rowOff>137160</xdr:rowOff>
        </xdr:from>
        <xdr:to>
          <xdr:col>4</xdr:col>
          <xdr:colOff>2308860</xdr:colOff>
          <xdr:row>10</xdr:row>
          <xdr:rowOff>396240</xdr:rowOff>
        </xdr:to>
        <xdr:sp macro="" textlink="">
          <xdr:nvSpPr>
            <xdr:cNvPr id="6221" name="Option Button 77" hidden="1">
              <a:extLst>
                <a:ext uri="{63B3BB69-23CF-44E3-9099-C40C66FF867C}">
                  <a14:compatExt spid="_x0000_s6221"/>
                </a:ext>
                <a:ext uri="{FF2B5EF4-FFF2-40B4-BE49-F238E27FC236}">
                  <a16:creationId xmlns:a16="http://schemas.microsoft.com/office/drawing/2014/main" id="{28BFD908-0DD1-1869-798E-31DE6614B9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use my estimate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11</xdr:row>
          <xdr:rowOff>152400</xdr:rowOff>
        </xdr:from>
        <xdr:to>
          <xdr:col>4</xdr:col>
          <xdr:colOff>2346960</xdr:colOff>
          <xdr:row>11</xdr:row>
          <xdr:rowOff>556260</xdr:rowOff>
        </xdr:to>
        <xdr:sp macro="" textlink="">
          <xdr:nvSpPr>
            <xdr:cNvPr id="6222" name="Group Box 78" hidden="1">
              <a:extLst>
                <a:ext uri="{63B3BB69-23CF-44E3-9099-C40C66FF867C}">
                  <a14:compatExt spid="_x0000_s6222"/>
                </a:ext>
                <a:ext uri="{FF2B5EF4-FFF2-40B4-BE49-F238E27FC236}">
                  <a16:creationId xmlns:a16="http://schemas.microsoft.com/office/drawing/2014/main" id="{D0813D8B-5848-C30A-38B8-62206A10B0F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129540</xdr:colOff>
          <xdr:row>11</xdr:row>
          <xdr:rowOff>243840</xdr:rowOff>
        </xdr:from>
        <xdr:to>
          <xdr:col>4</xdr:col>
          <xdr:colOff>1066800</xdr:colOff>
          <xdr:row>11</xdr:row>
          <xdr:rowOff>464820</xdr:rowOff>
        </xdr:to>
        <xdr:sp macro="" textlink="">
          <xdr:nvSpPr>
            <xdr:cNvPr id="6223" name="Option Button 79" hidden="1">
              <a:extLst>
                <a:ext uri="{63B3BB69-23CF-44E3-9099-C40C66FF867C}">
                  <a14:compatExt spid="_x0000_s6223"/>
                </a:ext>
                <a:ext uri="{FF2B5EF4-FFF2-40B4-BE49-F238E27FC236}">
                  <a16:creationId xmlns:a16="http://schemas.microsoft.com/office/drawing/2014/main" id="{73E5C06B-A054-5277-3D29-A60831F732F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accept default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1303020</xdr:colOff>
          <xdr:row>11</xdr:row>
          <xdr:rowOff>228600</xdr:rowOff>
        </xdr:from>
        <xdr:to>
          <xdr:col>4</xdr:col>
          <xdr:colOff>2293620</xdr:colOff>
          <xdr:row>11</xdr:row>
          <xdr:rowOff>457200</xdr:rowOff>
        </xdr:to>
        <xdr:sp macro="" textlink="">
          <xdr:nvSpPr>
            <xdr:cNvPr id="6224" name="Option Button 80" hidden="1">
              <a:extLst>
                <a:ext uri="{63B3BB69-23CF-44E3-9099-C40C66FF867C}">
                  <a14:compatExt spid="_x0000_s6224"/>
                </a:ext>
                <a:ext uri="{FF2B5EF4-FFF2-40B4-BE49-F238E27FC236}">
                  <a16:creationId xmlns:a16="http://schemas.microsoft.com/office/drawing/2014/main" id="{3E250195-A63E-42BA-F720-55679FEC753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use my estimate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13</xdr:row>
          <xdr:rowOff>251460</xdr:rowOff>
        </xdr:from>
        <xdr:to>
          <xdr:col>4</xdr:col>
          <xdr:colOff>2301240</xdr:colOff>
          <xdr:row>13</xdr:row>
          <xdr:rowOff>693420</xdr:rowOff>
        </xdr:to>
        <xdr:sp macro="" textlink="">
          <xdr:nvSpPr>
            <xdr:cNvPr id="6225" name="Group Box 81" hidden="1">
              <a:extLst>
                <a:ext uri="{63B3BB69-23CF-44E3-9099-C40C66FF867C}">
                  <a14:compatExt spid="_x0000_s6225"/>
                </a:ext>
                <a:ext uri="{FF2B5EF4-FFF2-40B4-BE49-F238E27FC236}">
                  <a16:creationId xmlns:a16="http://schemas.microsoft.com/office/drawing/2014/main" id="{F9457769-8254-FA4E-7553-8903C32CEE0C}"/>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13</xdr:row>
          <xdr:rowOff>335280</xdr:rowOff>
        </xdr:from>
        <xdr:to>
          <xdr:col>4</xdr:col>
          <xdr:colOff>975360</xdr:colOff>
          <xdr:row>13</xdr:row>
          <xdr:rowOff>556260</xdr:rowOff>
        </xdr:to>
        <xdr:sp macro="" textlink="">
          <xdr:nvSpPr>
            <xdr:cNvPr id="6226" name="Option Button 82" hidden="1">
              <a:extLst>
                <a:ext uri="{63B3BB69-23CF-44E3-9099-C40C66FF867C}">
                  <a14:compatExt spid="_x0000_s6226"/>
                </a:ext>
                <a:ext uri="{FF2B5EF4-FFF2-40B4-BE49-F238E27FC236}">
                  <a16:creationId xmlns:a16="http://schemas.microsoft.com/office/drawing/2014/main" id="{5D3CFB76-5D0B-6A86-4B42-1E9B98D5670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accept default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1234440</xdr:colOff>
          <xdr:row>13</xdr:row>
          <xdr:rowOff>335280</xdr:rowOff>
        </xdr:from>
        <xdr:to>
          <xdr:col>4</xdr:col>
          <xdr:colOff>2240280</xdr:colOff>
          <xdr:row>13</xdr:row>
          <xdr:rowOff>586740</xdr:rowOff>
        </xdr:to>
        <xdr:sp macro="" textlink="">
          <xdr:nvSpPr>
            <xdr:cNvPr id="6227" name="Option Button 83" hidden="1">
              <a:extLst>
                <a:ext uri="{63B3BB69-23CF-44E3-9099-C40C66FF867C}">
                  <a14:compatExt spid="_x0000_s6227"/>
                </a:ext>
                <a:ext uri="{FF2B5EF4-FFF2-40B4-BE49-F238E27FC236}">
                  <a16:creationId xmlns:a16="http://schemas.microsoft.com/office/drawing/2014/main" id="{C48A713F-CED0-1C97-B95B-B6D345ACC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use my estimate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15</xdr:row>
          <xdr:rowOff>114300</xdr:rowOff>
        </xdr:from>
        <xdr:to>
          <xdr:col>4</xdr:col>
          <xdr:colOff>2301240</xdr:colOff>
          <xdr:row>15</xdr:row>
          <xdr:rowOff>434340</xdr:rowOff>
        </xdr:to>
        <xdr:sp macro="" textlink="">
          <xdr:nvSpPr>
            <xdr:cNvPr id="6228" name="Group Box 84" hidden="1">
              <a:extLst>
                <a:ext uri="{63B3BB69-23CF-44E3-9099-C40C66FF867C}">
                  <a14:compatExt spid="_x0000_s6228"/>
                </a:ext>
                <a:ext uri="{FF2B5EF4-FFF2-40B4-BE49-F238E27FC236}">
                  <a16:creationId xmlns:a16="http://schemas.microsoft.com/office/drawing/2014/main" id="{42839BE5-4CE4-BC95-D88B-C28E9CB3C83C}"/>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15</xdr:row>
          <xdr:rowOff>152400</xdr:rowOff>
        </xdr:from>
        <xdr:to>
          <xdr:col>4</xdr:col>
          <xdr:colOff>1013460</xdr:colOff>
          <xdr:row>15</xdr:row>
          <xdr:rowOff>381000</xdr:rowOff>
        </xdr:to>
        <xdr:sp macro="" textlink="">
          <xdr:nvSpPr>
            <xdr:cNvPr id="6229" name="Option Button 85" hidden="1">
              <a:extLst>
                <a:ext uri="{63B3BB69-23CF-44E3-9099-C40C66FF867C}">
                  <a14:compatExt spid="_x0000_s6229"/>
                </a:ext>
                <a:ext uri="{FF2B5EF4-FFF2-40B4-BE49-F238E27FC236}">
                  <a16:creationId xmlns:a16="http://schemas.microsoft.com/office/drawing/2014/main" id="{F0505549-28E1-8DAC-D867-5B2E60BD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accept default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1287780</xdr:colOff>
          <xdr:row>15</xdr:row>
          <xdr:rowOff>129540</xdr:rowOff>
        </xdr:from>
        <xdr:to>
          <xdr:col>4</xdr:col>
          <xdr:colOff>2278380</xdr:colOff>
          <xdr:row>15</xdr:row>
          <xdr:rowOff>358140</xdr:rowOff>
        </xdr:to>
        <xdr:sp macro="" textlink="">
          <xdr:nvSpPr>
            <xdr:cNvPr id="6230" name="Option Button 86" hidden="1">
              <a:extLst>
                <a:ext uri="{63B3BB69-23CF-44E3-9099-C40C66FF867C}">
                  <a14:compatExt spid="_x0000_s6230"/>
                </a:ext>
                <a:ext uri="{FF2B5EF4-FFF2-40B4-BE49-F238E27FC236}">
                  <a16:creationId xmlns:a16="http://schemas.microsoft.com/office/drawing/2014/main" id="{A1220457-F03E-D754-F1EC-AE849CBF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use my estimate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7</xdr:row>
          <xdr:rowOff>129540</xdr:rowOff>
        </xdr:from>
        <xdr:to>
          <xdr:col>4</xdr:col>
          <xdr:colOff>1021080</xdr:colOff>
          <xdr:row>7</xdr:row>
          <xdr:rowOff>388620</xdr:rowOff>
        </xdr:to>
        <xdr:sp macro="" textlink="">
          <xdr:nvSpPr>
            <xdr:cNvPr id="6231" name="Option Button 87" hidden="1">
              <a:extLst>
                <a:ext uri="{63B3BB69-23CF-44E3-9099-C40C66FF867C}">
                  <a14:compatExt spid="_x0000_s6231"/>
                </a:ext>
                <a:ext uri="{FF2B5EF4-FFF2-40B4-BE49-F238E27FC236}">
                  <a16:creationId xmlns:a16="http://schemas.microsoft.com/office/drawing/2014/main" id="{C70A3273-E1F1-F9AF-04F4-DC2E1ADF7C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accept default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1249680</xdr:colOff>
          <xdr:row>7</xdr:row>
          <xdr:rowOff>152400</xdr:rowOff>
        </xdr:from>
        <xdr:to>
          <xdr:col>4</xdr:col>
          <xdr:colOff>2225040</xdr:colOff>
          <xdr:row>7</xdr:row>
          <xdr:rowOff>373380</xdr:rowOff>
        </xdr:to>
        <xdr:sp macro="" textlink="">
          <xdr:nvSpPr>
            <xdr:cNvPr id="6232" name="Option Button 88" hidden="1">
              <a:extLst>
                <a:ext uri="{63B3BB69-23CF-44E3-9099-C40C66FF867C}">
                  <a14:compatExt spid="_x0000_s6232"/>
                </a:ext>
                <a:ext uri="{FF2B5EF4-FFF2-40B4-BE49-F238E27FC236}">
                  <a16:creationId xmlns:a16="http://schemas.microsoft.com/office/drawing/2014/main" id="{67BDFF70-073C-1F59-FBBA-A363AD85BB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use my estimate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2865120</xdr:colOff>
          <xdr:row>17</xdr:row>
          <xdr:rowOff>106680</xdr:rowOff>
        </xdr:from>
        <xdr:to>
          <xdr:col>4</xdr:col>
          <xdr:colOff>1501140</xdr:colOff>
          <xdr:row>20</xdr:row>
          <xdr:rowOff>22860</xdr:rowOff>
        </xdr:to>
        <xdr:sp macro="" textlink="">
          <xdr:nvSpPr>
            <xdr:cNvPr id="6233" name="Button 89" hidden="1">
              <a:extLst>
                <a:ext uri="{63B3BB69-23CF-44E3-9099-C40C66FF867C}">
                  <a14:compatExt spid="_x0000_s6233"/>
                </a:ext>
                <a:ext uri="{FF2B5EF4-FFF2-40B4-BE49-F238E27FC236}">
                  <a16:creationId xmlns:a16="http://schemas.microsoft.com/office/drawing/2014/main" id="{DCAC65E6-DB16-59F3-B0AD-6B66FB779037}"/>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200" b="1" i="0" u="none" strike="noStrike" baseline="0">
                  <a:solidFill>
                    <a:srgbClr val="993366"/>
                  </a:solidFill>
                  <a:latin typeface="Arial"/>
                  <a:cs typeface="Arial"/>
                </a:rPr>
                <a:t>Next Step:  Cost Assumptions</a:t>
              </a:r>
            </a:p>
          </xdr:txBody>
        </xdr:sp>
        <xdr:clientData fPrintsWithSheet="0"/>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1348740</xdr:colOff>
          <xdr:row>0</xdr:row>
          <xdr:rowOff>83820</xdr:rowOff>
        </xdr:from>
        <xdr:to>
          <xdr:col>2</xdr:col>
          <xdr:colOff>1173480</xdr:colOff>
          <xdr:row>3</xdr:row>
          <xdr:rowOff>30480</xdr:rowOff>
        </xdr:to>
        <xdr:sp macro="" textlink="">
          <xdr:nvSpPr>
            <xdr:cNvPr id="12289" name="Button 1" hidden="1">
              <a:extLst>
                <a:ext uri="{63B3BB69-23CF-44E3-9099-C40C66FF867C}">
                  <a14:compatExt spid="_x0000_s12289"/>
                </a:ext>
                <a:ext uri="{FF2B5EF4-FFF2-40B4-BE49-F238E27FC236}">
                  <a16:creationId xmlns:a16="http://schemas.microsoft.com/office/drawing/2014/main" id="{0AB2B9CE-7FB1-C36A-3A04-8100DA79F201}"/>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RETURN TO MAP OF THE MODEL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579120</xdr:colOff>
          <xdr:row>0</xdr:row>
          <xdr:rowOff>76200</xdr:rowOff>
        </xdr:from>
        <xdr:to>
          <xdr:col>5</xdr:col>
          <xdr:colOff>160020</xdr:colOff>
          <xdr:row>3</xdr:row>
          <xdr:rowOff>68580</xdr:rowOff>
        </xdr:to>
        <xdr:sp macro="" textlink="">
          <xdr:nvSpPr>
            <xdr:cNvPr id="12292" name="Button 4" hidden="1">
              <a:extLst>
                <a:ext uri="{63B3BB69-23CF-44E3-9099-C40C66FF867C}">
                  <a14:compatExt spid="_x0000_s12292"/>
                </a:ext>
                <a:ext uri="{FF2B5EF4-FFF2-40B4-BE49-F238E27FC236}">
                  <a16:creationId xmlns:a16="http://schemas.microsoft.com/office/drawing/2014/main" id="{39DB7D3C-BF85-8687-A0FF-FF81295FB4F5}"/>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993366"/>
                  </a:solidFill>
                  <a:latin typeface="Arial"/>
                  <a:cs typeface="Arial"/>
                </a:rPr>
                <a:t>EXIT MODEL</a:t>
              </a:r>
            </a:p>
          </xdr:txBody>
        </xdr:sp>
        <xdr:clientData fPrintsWithSheet="0"/>
      </xdr:twoCellAnchor>
    </mc:Choice>
    <mc:Fallback/>
  </mc:AlternateContent>
  <xdr:twoCellAnchor>
    <xdr:from>
      <xdr:col>2</xdr:col>
      <xdr:colOff>1371600</xdr:colOff>
      <xdr:row>5</xdr:row>
      <xdr:rowOff>152400</xdr:rowOff>
    </xdr:from>
    <xdr:to>
      <xdr:col>3</xdr:col>
      <xdr:colOff>1310640</xdr:colOff>
      <xdr:row>6</xdr:row>
      <xdr:rowOff>220980</xdr:rowOff>
    </xdr:to>
    <xdr:grpSp>
      <xdr:nvGrpSpPr>
        <xdr:cNvPr id="12300" name="Group 12">
          <a:extLst>
            <a:ext uri="{FF2B5EF4-FFF2-40B4-BE49-F238E27FC236}">
              <a16:creationId xmlns:a16="http://schemas.microsoft.com/office/drawing/2014/main" id="{6A420216-B574-343C-85B7-744262EB64CC}"/>
            </a:ext>
          </a:extLst>
        </xdr:cNvPr>
        <xdr:cNvGrpSpPr>
          <a:grpSpLocks/>
        </xdr:cNvGrpSpPr>
      </xdr:nvGrpSpPr>
      <xdr:grpSpPr bwMode="auto">
        <a:xfrm>
          <a:off x="4876800" y="1162050"/>
          <a:ext cx="1482090" cy="278130"/>
          <a:chOff x="697" y="8"/>
          <a:chExt cx="159" cy="29"/>
        </a:xfrm>
      </xdr:grpSpPr>
      <xdr:pic>
        <xdr:nvPicPr>
          <xdr:cNvPr id="12301" name="Picture 13">
            <a:extLst>
              <a:ext uri="{FF2B5EF4-FFF2-40B4-BE49-F238E27FC236}">
                <a16:creationId xmlns:a16="http://schemas.microsoft.com/office/drawing/2014/main" id="{DAE7F67A-7896-F887-3549-937C968BA332}"/>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 y="8"/>
            <a:ext cx="74" cy="2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2302" name="Picture 14">
            <a:extLst>
              <a:ext uri="{FF2B5EF4-FFF2-40B4-BE49-F238E27FC236}">
                <a16:creationId xmlns:a16="http://schemas.microsoft.com/office/drawing/2014/main" id="{5A1D65C6-97D0-04A3-33B4-83FAB315F5C5}"/>
              </a:ext>
            </a:extLst>
          </xdr:cNvPr>
          <xdr:cNvPicPr preferRelativeResize="0">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1" y="12"/>
            <a:ext cx="75" cy="25"/>
          </a:xfrm>
          <a:prstGeom prst="rect">
            <a:avLst/>
          </a:prstGeom>
          <a:solidFill>
            <a:srgbClr val="FF9933"/>
          </a:solidFill>
        </xdr:spPr>
      </xdr:pic>
    </xdr:grpSp>
    <xdr:clientData/>
  </xdr:twoCellAnchor>
  <xdr:twoCellAnchor>
    <xdr:from>
      <xdr:col>2</xdr:col>
      <xdr:colOff>1356360</xdr:colOff>
      <xdr:row>34</xdr:row>
      <xdr:rowOff>38100</xdr:rowOff>
    </xdr:from>
    <xdr:to>
      <xdr:col>3</xdr:col>
      <xdr:colOff>1295400</xdr:colOff>
      <xdr:row>34</xdr:row>
      <xdr:rowOff>312420</xdr:rowOff>
    </xdr:to>
    <xdr:grpSp>
      <xdr:nvGrpSpPr>
        <xdr:cNvPr id="12305" name="Group 17">
          <a:extLst>
            <a:ext uri="{FF2B5EF4-FFF2-40B4-BE49-F238E27FC236}">
              <a16:creationId xmlns:a16="http://schemas.microsoft.com/office/drawing/2014/main" id="{3BCFA919-71C5-4AA8-04DC-FA1C36D5040B}"/>
            </a:ext>
          </a:extLst>
        </xdr:cNvPr>
        <xdr:cNvGrpSpPr>
          <a:grpSpLocks/>
        </xdr:cNvGrpSpPr>
      </xdr:nvGrpSpPr>
      <xdr:grpSpPr bwMode="auto">
        <a:xfrm>
          <a:off x="4861560" y="10172700"/>
          <a:ext cx="1482090" cy="274320"/>
          <a:chOff x="697" y="8"/>
          <a:chExt cx="159" cy="29"/>
        </a:xfrm>
      </xdr:grpSpPr>
      <xdr:pic>
        <xdr:nvPicPr>
          <xdr:cNvPr id="12306" name="Picture 18">
            <a:extLst>
              <a:ext uri="{FF2B5EF4-FFF2-40B4-BE49-F238E27FC236}">
                <a16:creationId xmlns:a16="http://schemas.microsoft.com/office/drawing/2014/main" id="{D93CC5B7-710E-706A-4168-2F74E6C519F4}"/>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 y="8"/>
            <a:ext cx="74" cy="2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2307" name="Picture 19">
            <a:extLst>
              <a:ext uri="{FF2B5EF4-FFF2-40B4-BE49-F238E27FC236}">
                <a16:creationId xmlns:a16="http://schemas.microsoft.com/office/drawing/2014/main" id="{E1630850-E7D6-DB63-7FF2-A699970F2B8A}"/>
              </a:ext>
            </a:extLst>
          </xdr:cNvPr>
          <xdr:cNvPicPr preferRelativeResize="0">
            <a:picLocks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81" y="12"/>
            <a:ext cx="75" cy="25"/>
          </a:xfrm>
          <a:prstGeom prst="rect">
            <a:avLst/>
          </a:prstGeom>
          <a:solidFill>
            <a:srgbClr val="FF9933"/>
          </a:solidFill>
        </xdr:spPr>
      </xdr:pic>
    </xdr:grpSp>
    <xdr:clientData/>
  </xdr:twoCellAnchor>
  <mc:AlternateContent xmlns:mc="http://schemas.openxmlformats.org/markup-compatibility/2006">
    <mc:Choice xmlns:a14="http://schemas.microsoft.com/office/drawing/2010/main" Requires="a14">
      <xdr:twoCellAnchor>
        <xdr:from>
          <xdr:col>1</xdr:col>
          <xdr:colOff>1173480</xdr:colOff>
          <xdr:row>58</xdr:row>
          <xdr:rowOff>38100</xdr:rowOff>
        </xdr:from>
        <xdr:to>
          <xdr:col>3</xdr:col>
          <xdr:colOff>175260</xdr:colOff>
          <xdr:row>60</xdr:row>
          <xdr:rowOff>60960</xdr:rowOff>
        </xdr:to>
        <xdr:sp macro="" textlink="">
          <xdr:nvSpPr>
            <xdr:cNvPr id="12308" name="Button 20" hidden="1">
              <a:extLst>
                <a:ext uri="{63B3BB69-23CF-44E3-9099-C40C66FF867C}">
                  <a14:compatExt spid="_x0000_s12308"/>
                </a:ext>
                <a:ext uri="{FF2B5EF4-FFF2-40B4-BE49-F238E27FC236}">
                  <a16:creationId xmlns:a16="http://schemas.microsoft.com/office/drawing/2014/main" id="{EB9EF84C-CFB9-12CD-77C1-B52827E5FE8E}"/>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200" b="1" i="0" u="none" strike="noStrike" baseline="0">
                  <a:solidFill>
                    <a:srgbClr val="993366"/>
                  </a:solidFill>
                  <a:latin typeface="Arial"/>
                  <a:cs typeface="Arial"/>
                </a:rPr>
                <a:t>Next Step:  Results Summary</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78.xml"/><Relationship Id="rId3" Type="http://schemas.openxmlformats.org/officeDocument/2006/relationships/vmlDrawing" Target="../drawings/vmlDrawing10.vml"/><Relationship Id="rId7" Type="http://schemas.openxmlformats.org/officeDocument/2006/relationships/ctrlProp" Target="../ctrlProps/ctrlProp77.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ctrlProp" Target="../ctrlProps/ctrlProp76.xml"/><Relationship Id="rId11" Type="http://schemas.openxmlformats.org/officeDocument/2006/relationships/ctrlProp" Target="../ctrlProps/ctrlProp81.xml"/><Relationship Id="rId5" Type="http://schemas.openxmlformats.org/officeDocument/2006/relationships/ctrlProp" Target="../ctrlProps/ctrlProp75.xml"/><Relationship Id="rId10" Type="http://schemas.openxmlformats.org/officeDocument/2006/relationships/ctrlProp" Target="../ctrlProps/ctrlProp80.xml"/><Relationship Id="rId4" Type="http://schemas.openxmlformats.org/officeDocument/2006/relationships/ctrlProp" Target="../ctrlProps/ctrlProp74.xml"/><Relationship Id="rId9" Type="http://schemas.openxmlformats.org/officeDocument/2006/relationships/ctrlProp" Target="../ctrlProps/ctrlProp79.xm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86.xml"/><Relationship Id="rId3" Type="http://schemas.openxmlformats.org/officeDocument/2006/relationships/vmlDrawing" Target="../drawings/vmlDrawing11.vml"/><Relationship Id="rId7" Type="http://schemas.openxmlformats.org/officeDocument/2006/relationships/ctrlProp" Target="../ctrlProps/ctrlProp85.xml"/><Relationship Id="rId2" Type="http://schemas.openxmlformats.org/officeDocument/2006/relationships/drawing" Target="../drawings/drawing11.xml"/><Relationship Id="rId1" Type="http://schemas.openxmlformats.org/officeDocument/2006/relationships/printerSettings" Target="../printerSettings/printerSettings11.bin"/><Relationship Id="rId6" Type="http://schemas.openxmlformats.org/officeDocument/2006/relationships/ctrlProp" Target="../ctrlProps/ctrlProp84.xml"/><Relationship Id="rId5" Type="http://schemas.openxmlformats.org/officeDocument/2006/relationships/ctrlProp" Target="../ctrlProps/ctrlProp83.xml"/><Relationship Id="rId4" Type="http://schemas.openxmlformats.org/officeDocument/2006/relationships/ctrlProp" Target="../ctrlProps/ctrlProp82.xml"/><Relationship Id="rId9" Type="http://schemas.openxmlformats.org/officeDocument/2006/relationships/ctrlProp" Target="../ctrlProps/ctrlProp8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6" Type="http://schemas.openxmlformats.org/officeDocument/2006/relationships/ctrlProp" Target="../ctrlProps/ctrlProp90.xml"/><Relationship Id="rId5" Type="http://schemas.openxmlformats.org/officeDocument/2006/relationships/ctrlProp" Target="../ctrlProps/ctrlProp89.xml"/><Relationship Id="rId4" Type="http://schemas.openxmlformats.org/officeDocument/2006/relationships/ctrlProp" Target="../ctrlProps/ctrlProp88.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quickfacts.census.gov/qfd/" TargetMode="Externa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trlProp" Target="../ctrlProps/ctrlProp9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7.xml"/><Relationship Id="rId13" Type="http://schemas.openxmlformats.org/officeDocument/2006/relationships/ctrlProp" Target="../ctrlProps/ctrlProp12.xml"/><Relationship Id="rId3" Type="http://schemas.openxmlformats.org/officeDocument/2006/relationships/vmlDrawing" Target="../drawings/vmlDrawing3.vml"/><Relationship Id="rId7" Type="http://schemas.openxmlformats.org/officeDocument/2006/relationships/ctrlProp" Target="../ctrlProps/ctrlProp6.xml"/><Relationship Id="rId12" Type="http://schemas.openxmlformats.org/officeDocument/2006/relationships/ctrlProp" Target="../ctrlProps/ctrlProp11.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5.xml"/><Relationship Id="rId11" Type="http://schemas.openxmlformats.org/officeDocument/2006/relationships/ctrlProp" Target="../ctrlProps/ctrlProp10.xml"/><Relationship Id="rId5" Type="http://schemas.openxmlformats.org/officeDocument/2006/relationships/ctrlProp" Target="../ctrlProps/ctrlProp4.xml"/><Relationship Id="rId10" Type="http://schemas.openxmlformats.org/officeDocument/2006/relationships/ctrlProp" Target="../ctrlProps/ctrlProp9.xml"/><Relationship Id="rId4" Type="http://schemas.openxmlformats.org/officeDocument/2006/relationships/ctrlProp" Target="../ctrlProps/ctrlProp3.xml"/><Relationship Id="rId9" Type="http://schemas.openxmlformats.org/officeDocument/2006/relationships/ctrlProp" Target="../ctrlProps/ctrlProp8.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ctrlProp" Target="../ctrlProps/ctrlProp16.xml"/><Relationship Id="rId4" Type="http://schemas.openxmlformats.org/officeDocument/2006/relationships/ctrlProp" Target="../ctrlProps/ctrlProp15.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21.xml"/><Relationship Id="rId13" Type="http://schemas.openxmlformats.org/officeDocument/2006/relationships/ctrlProp" Target="../ctrlProps/ctrlProp26.xml"/><Relationship Id="rId3" Type="http://schemas.openxmlformats.org/officeDocument/2006/relationships/vmlDrawing" Target="../drawings/vmlDrawing6.vml"/><Relationship Id="rId7" Type="http://schemas.openxmlformats.org/officeDocument/2006/relationships/ctrlProp" Target="../ctrlProps/ctrlProp20.xml"/><Relationship Id="rId12" Type="http://schemas.openxmlformats.org/officeDocument/2006/relationships/ctrlProp" Target="../ctrlProps/ctrlProp25.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11" Type="http://schemas.openxmlformats.org/officeDocument/2006/relationships/ctrlProp" Target="../ctrlProps/ctrlProp24.xml"/><Relationship Id="rId5" Type="http://schemas.openxmlformats.org/officeDocument/2006/relationships/ctrlProp" Target="../ctrlProps/ctrlProp18.xml"/><Relationship Id="rId15" Type="http://schemas.openxmlformats.org/officeDocument/2006/relationships/ctrlProp" Target="../ctrlProps/ctrlProp28.xml"/><Relationship Id="rId10" Type="http://schemas.openxmlformats.org/officeDocument/2006/relationships/ctrlProp" Target="../ctrlProps/ctrlProp23.xml"/><Relationship Id="rId4" Type="http://schemas.openxmlformats.org/officeDocument/2006/relationships/ctrlProp" Target="../ctrlProps/ctrlProp17.xml"/><Relationship Id="rId9" Type="http://schemas.openxmlformats.org/officeDocument/2006/relationships/ctrlProp" Target="../ctrlProps/ctrlProp22.xml"/><Relationship Id="rId14" Type="http://schemas.openxmlformats.org/officeDocument/2006/relationships/ctrlProp" Target="../ctrlProps/ctrlProp27.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33.xml"/><Relationship Id="rId13" Type="http://schemas.openxmlformats.org/officeDocument/2006/relationships/ctrlProp" Target="../ctrlProps/ctrlProp38.xml"/><Relationship Id="rId3" Type="http://schemas.openxmlformats.org/officeDocument/2006/relationships/vmlDrawing" Target="../drawings/vmlDrawing7.vml"/><Relationship Id="rId7" Type="http://schemas.openxmlformats.org/officeDocument/2006/relationships/ctrlProp" Target="../ctrlProps/ctrlProp32.xml"/><Relationship Id="rId12" Type="http://schemas.openxmlformats.org/officeDocument/2006/relationships/ctrlProp" Target="../ctrlProps/ctrlProp37.x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openxmlformats.org/officeDocument/2006/relationships/ctrlProp" Target="../ctrlProps/ctrlProp31.xml"/><Relationship Id="rId11" Type="http://schemas.openxmlformats.org/officeDocument/2006/relationships/ctrlProp" Target="../ctrlProps/ctrlProp36.xml"/><Relationship Id="rId5" Type="http://schemas.openxmlformats.org/officeDocument/2006/relationships/ctrlProp" Target="../ctrlProps/ctrlProp30.xml"/><Relationship Id="rId15" Type="http://schemas.openxmlformats.org/officeDocument/2006/relationships/ctrlProp" Target="../ctrlProps/ctrlProp40.xml"/><Relationship Id="rId10" Type="http://schemas.openxmlformats.org/officeDocument/2006/relationships/ctrlProp" Target="../ctrlProps/ctrlProp35.xml"/><Relationship Id="rId4" Type="http://schemas.openxmlformats.org/officeDocument/2006/relationships/ctrlProp" Target="../ctrlProps/ctrlProp29.xml"/><Relationship Id="rId9" Type="http://schemas.openxmlformats.org/officeDocument/2006/relationships/ctrlProp" Target="../ctrlProps/ctrlProp34.xml"/><Relationship Id="rId14" Type="http://schemas.openxmlformats.org/officeDocument/2006/relationships/ctrlProp" Target="../ctrlProps/ctrlProp39.xml"/></Relationships>
</file>

<file path=xl/worksheets/_rels/sheet8.xml.rels><?xml version="1.0" encoding="UTF-8" standalone="yes"?>
<Relationships xmlns="http://schemas.openxmlformats.org/package/2006/relationships"><Relationship Id="rId13" Type="http://schemas.openxmlformats.org/officeDocument/2006/relationships/ctrlProp" Target="../ctrlProps/ctrlProp50.xml"/><Relationship Id="rId18" Type="http://schemas.openxmlformats.org/officeDocument/2006/relationships/ctrlProp" Target="../ctrlProps/ctrlProp55.xml"/><Relationship Id="rId26" Type="http://schemas.openxmlformats.org/officeDocument/2006/relationships/ctrlProp" Target="../ctrlProps/ctrlProp63.xml"/><Relationship Id="rId3" Type="http://schemas.openxmlformats.org/officeDocument/2006/relationships/vmlDrawing" Target="../drawings/vmlDrawing8.vml"/><Relationship Id="rId21" Type="http://schemas.openxmlformats.org/officeDocument/2006/relationships/ctrlProp" Target="../ctrlProps/ctrlProp58.xml"/><Relationship Id="rId34" Type="http://schemas.openxmlformats.org/officeDocument/2006/relationships/comments" Target="../comments1.xml"/><Relationship Id="rId7" Type="http://schemas.openxmlformats.org/officeDocument/2006/relationships/ctrlProp" Target="../ctrlProps/ctrlProp44.xml"/><Relationship Id="rId12" Type="http://schemas.openxmlformats.org/officeDocument/2006/relationships/ctrlProp" Target="../ctrlProps/ctrlProp49.xml"/><Relationship Id="rId17" Type="http://schemas.openxmlformats.org/officeDocument/2006/relationships/ctrlProp" Target="../ctrlProps/ctrlProp54.xml"/><Relationship Id="rId25" Type="http://schemas.openxmlformats.org/officeDocument/2006/relationships/ctrlProp" Target="../ctrlProps/ctrlProp62.xml"/><Relationship Id="rId33" Type="http://schemas.openxmlformats.org/officeDocument/2006/relationships/ctrlProp" Target="../ctrlProps/ctrlProp70.xml"/><Relationship Id="rId2" Type="http://schemas.openxmlformats.org/officeDocument/2006/relationships/drawing" Target="../drawings/drawing8.xml"/><Relationship Id="rId16" Type="http://schemas.openxmlformats.org/officeDocument/2006/relationships/ctrlProp" Target="../ctrlProps/ctrlProp53.xml"/><Relationship Id="rId20" Type="http://schemas.openxmlformats.org/officeDocument/2006/relationships/ctrlProp" Target="../ctrlProps/ctrlProp57.xml"/><Relationship Id="rId29" Type="http://schemas.openxmlformats.org/officeDocument/2006/relationships/ctrlProp" Target="../ctrlProps/ctrlProp66.xml"/><Relationship Id="rId1" Type="http://schemas.openxmlformats.org/officeDocument/2006/relationships/printerSettings" Target="../printerSettings/printerSettings8.bin"/><Relationship Id="rId6" Type="http://schemas.openxmlformats.org/officeDocument/2006/relationships/ctrlProp" Target="../ctrlProps/ctrlProp43.xml"/><Relationship Id="rId11" Type="http://schemas.openxmlformats.org/officeDocument/2006/relationships/ctrlProp" Target="../ctrlProps/ctrlProp48.xml"/><Relationship Id="rId24" Type="http://schemas.openxmlformats.org/officeDocument/2006/relationships/ctrlProp" Target="../ctrlProps/ctrlProp61.xml"/><Relationship Id="rId32" Type="http://schemas.openxmlformats.org/officeDocument/2006/relationships/ctrlProp" Target="../ctrlProps/ctrlProp69.xml"/><Relationship Id="rId5" Type="http://schemas.openxmlformats.org/officeDocument/2006/relationships/ctrlProp" Target="../ctrlProps/ctrlProp42.xml"/><Relationship Id="rId15" Type="http://schemas.openxmlformats.org/officeDocument/2006/relationships/ctrlProp" Target="../ctrlProps/ctrlProp52.xml"/><Relationship Id="rId23" Type="http://schemas.openxmlformats.org/officeDocument/2006/relationships/ctrlProp" Target="../ctrlProps/ctrlProp60.xml"/><Relationship Id="rId28" Type="http://schemas.openxmlformats.org/officeDocument/2006/relationships/ctrlProp" Target="../ctrlProps/ctrlProp65.xml"/><Relationship Id="rId10" Type="http://schemas.openxmlformats.org/officeDocument/2006/relationships/ctrlProp" Target="../ctrlProps/ctrlProp47.xml"/><Relationship Id="rId19" Type="http://schemas.openxmlformats.org/officeDocument/2006/relationships/ctrlProp" Target="../ctrlProps/ctrlProp56.xml"/><Relationship Id="rId31" Type="http://schemas.openxmlformats.org/officeDocument/2006/relationships/ctrlProp" Target="../ctrlProps/ctrlProp68.xml"/><Relationship Id="rId4" Type="http://schemas.openxmlformats.org/officeDocument/2006/relationships/ctrlProp" Target="../ctrlProps/ctrlProp41.xml"/><Relationship Id="rId9" Type="http://schemas.openxmlformats.org/officeDocument/2006/relationships/ctrlProp" Target="../ctrlProps/ctrlProp46.xml"/><Relationship Id="rId14" Type="http://schemas.openxmlformats.org/officeDocument/2006/relationships/ctrlProp" Target="../ctrlProps/ctrlProp51.xml"/><Relationship Id="rId22" Type="http://schemas.openxmlformats.org/officeDocument/2006/relationships/ctrlProp" Target="../ctrlProps/ctrlProp59.xml"/><Relationship Id="rId27" Type="http://schemas.openxmlformats.org/officeDocument/2006/relationships/ctrlProp" Target="../ctrlProps/ctrlProp64.xml"/><Relationship Id="rId30" Type="http://schemas.openxmlformats.org/officeDocument/2006/relationships/ctrlProp" Target="../ctrlProps/ctrlProp67.xml"/><Relationship Id="rId8" Type="http://schemas.openxmlformats.org/officeDocument/2006/relationships/ctrlProp" Target="../ctrlProps/ctrlProp4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openxmlformats.org/officeDocument/2006/relationships/ctrlProp" Target="../ctrlProps/ctrlProp73.xml"/><Relationship Id="rId5" Type="http://schemas.openxmlformats.org/officeDocument/2006/relationships/ctrlProp" Target="../ctrlProps/ctrlProp72.xml"/><Relationship Id="rId4" Type="http://schemas.openxmlformats.org/officeDocument/2006/relationships/ctrlProp" Target="../ctrlProps/ctrlProp7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AK75"/>
  <sheetViews>
    <sheetView showRowColHeaders="0" tabSelected="1" topLeftCell="A3" workbookViewId="0">
      <selection activeCell="A28" sqref="A28"/>
    </sheetView>
  </sheetViews>
  <sheetFormatPr defaultRowHeight="13.2" x14ac:dyDescent="0.25"/>
  <sheetData>
    <row r="1" spans="1:37" x14ac:dyDescent="0.25">
      <c r="A1" s="295"/>
      <c r="B1" s="295"/>
      <c r="C1" s="295"/>
      <c r="D1" s="295"/>
      <c r="E1" s="295"/>
      <c r="F1" s="295"/>
      <c r="G1" s="295"/>
      <c r="H1" s="295"/>
      <c r="I1" s="295"/>
      <c r="J1" s="295"/>
      <c r="K1" s="295"/>
      <c r="L1" s="295"/>
      <c r="M1" s="295"/>
      <c r="N1" s="295"/>
      <c r="O1" s="295"/>
      <c r="P1" s="295"/>
      <c r="Q1" s="295"/>
      <c r="R1" s="295"/>
      <c r="S1" s="295"/>
      <c r="T1" s="295"/>
      <c r="U1" s="295"/>
      <c r="V1" s="295"/>
      <c r="W1" s="295"/>
      <c r="X1" s="295"/>
      <c r="Y1" s="295"/>
      <c r="Z1" s="295"/>
      <c r="AA1" s="295"/>
      <c r="AB1" s="295"/>
      <c r="AC1" s="295"/>
      <c r="AD1" s="295"/>
      <c r="AE1" s="295"/>
      <c r="AF1" s="295"/>
      <c r="AG1" s="295"/>
      <c r="AH1" s="295"/>
      <c r="AI1" s="295"/>
      <c r="AJ1" s="295"/>
      <c r="AK1" s="295"/>
    </row>
    <row r="2" spans="1:37" x14ac:dyDescent="0.25">
      <c r="A2" s="295"/>
      <c r="B2" s="295"/>
      <c r="C2" s="295"/>
      <c r="D2" s="295"/>
      <c r="E2" s="295"/>
      <c r="F2" s="295"/>
      <c r="G2" s="295"/>
      <c r="H2" s="295"/>
      <c r="I2" s="295"/>
      <c r="J2" s="295"/>
      <c r="K2" s="295"/>
      <c r="L2" s="295"/>
      <c r="M2" s="295"/>
      <c r="N2" s="295"/>
      <c r="O2" s="295"/>
      <c r="P2" s="295"/>
      <c r="Q2" s="295"/>
      <c r="R2" s="295"/>
      <c r="S2" s="295"/>
      <c r="T2" s="295"/>
      <c r="U2" s="295"/>
      <c r="V2" s="295"/>
      <c r="W2" s="295"/>
      <c r="X2" s="295"/>
      <c r="Y2" s="295"/>
      <c r="Z2" s="295"/>
      <c r="AA2" s="295"/>
      <c r="AB2" s="295"/>
      <c r="AC2" s="295"/>
      <c r="AD2" s="295"/>
      <c r="AE2" s="295"/>
      <c r="AF2" s="295"/>
      <c r="AG2" s="295"/>
      <c r="AH2" s="295"/>
      <c r="AI2" s="295"/>
      <c r="AJ2" s="295"/>
      <c r="AK2" s="295"/>
    </row>
    <row r="3" spans="1:37" x14ac:dyDescent="0.25">
      <c r="A3" s="295"/>
      <c r="B3" s="295"/>
      <c r="C3" s="295"/>
      <c r="D3" s="295"/>
      <c r="E3" s="295"/>
      <c r="F3" s="295"/>
      <c r="G3" s="295"/>
      <c r="H3" s="295"/>
      <c r="I3" s="295"/>
      <c r="J3" s="295"/>
      <c r="K3" s="295"/>
      <c r="L3" s="295"/>
      <c r="M3" s="295"/>
      <c r="N3" s="295"/>
      <c r="O3" s="295"/>
      <c r="P3" s="295"/>
      <c r="Q3" s="295"/>
      <c r="R3" s="295"/>
      <c r="S3" s="295"/>
      <c r="T3" s="295"/>
      <c r="U3" s="295"/>
      <c r="V3" s="295"/>
      <c r="W3" s="295"/>
      <c r="X3" s="295"/>
      <c r="Y3" s="295"/>
      <c r="Z3" s="295"/>
      <c r="AA3" s="295"/>
      <c r="AB3" s="295"/>
      <c r="AC3" s="295"/>
      <c r="AD3" s="295"/>
      <c r="AE3" s="295"/>
      <c r="AF3" s="295"/>
      <c r="AG3" s="295"/>
      <c r="AH3" s="295"/>
      <c r="AI3" s="295"/>
      <c r="AJ3" s="295"/>
      <c r="AK3" s="295"/>
    </row>
    <row r="4" spans="1:37" x14ac:dyDescent="0.25">
      <c r="A4" s="295"/>
      <c r="B4" s="295"/>
      <c r="C4" s="295"/>
      <c r="D4" s="295"/>
      <c r="E4" s="295"/>
      <c r="F4" s="295"/>
      <c r="G4" s="295"/>
      <c r="H4" s="295"/>
      <c r="I4" s="295"/>
      <c r="J4" s="295"/>
      <c r="K4" s="295"/>
      <c r="L4" s="295"/>
      <c r="M4" s="295"/>
      <c r="N4" s="295"/>
      <c r="O4" s="295"/>
      <c r="P4" s="295"/>
      <c r="Q4" s="295"/>
      <c r="R4" s="295"/>
      <c r="S4" s="295"/>
      <c r="T4" s="295"/>
      <c r="U4" s="295"/>
      <c r="V4" s="295"/>
      <c r="W4" s="295"/>
      <c r="X4" s="295"/>
      <c r="Y4" s="295"/>
      <c r="Z4" s="295"/>
      <c r="AA4" s="295"/>
      <c r="AB4" s="295"/>
      <c r="AC4" s="295"/>
      <c r="AD4" s="295"/>
      <c r="AE4" s="295"/>
      <c r="AF4" s="295"/>
      <c r="AG4" s="295"/>
      <c r="AH4" s="295"/>
      <c r="AI4" s="295"/>
      <c r="AJ4" s="295"/>
      <c r="AK4" s="295"/>
    </row>
    <row r="5" spans="1:37" x14ac:dyDescent="0.25">
      <c r="A5" s="295"/>
      <c r="B5" s="295"/>
      <c r="C5" s="295"/>
      <c r="D5" s="295"/>
      <c r="E5" s="295"/>
      <c r="F5" s="295"/>
      <c r="G5" s="295"/>
      <c r="H5" s="295"/>
      <c r="I5" s="295"/>
      <c r="J5" s="295"/>
      <c r="K5" s="295"/>
      <c r="L5" s="295"/>
      <c r="M5" s="295"/>
      <c r="N5" s="295"/>
      <c r="O5" s="295"/>
      <c r="P5" s="295"/>
      <c r="Q5" s="295"/>
      <c r="R5" s="295"/>
      <c r="S5" s="295"/>
      <c r="T5" s="295"/>
      <c r="U5" s="295"/>
      <c r="V5" s="295"/>
      <c r="W5" s="295"/>
      <c r="X5" s="295"/>
      <c r="Y5" s="295"/>
      <c r="Z5" s="295"/>
      <c r="AA5" s="295"/>
      <c r="AB5" s="295"/>
      <c r="AC5" s="295"/>
      <c r="AD5" s="295"/>
      <c r="AE5" s="295"/>
      <c r="AF5" s="295"/>
      <c r="AG5" s="295"/>
      <c r="AH5" s="295"/>
      <c r="AI5" s="295"/>
      <c r="AJ5" s="295"/>
      <c r="AK5" s="295"/>
    </row>
    <row r="6" spans="1:37" x14ac:dyDescent="0.25">
      <c r="A6" s="295"/>
      <c r="B6" s="295"/>
      <c r="C6" s="295"/>
      <c r="D6" s="295"/>
      <c r="E6" s="295"/>
      <c r="F6" s="295"/>
      <c r="G6" s="295"/>
      <c r="H6" s="295"/>
      <c r="I6" s="295"/>
      <c r="J6" s="295"/>
      <c r="K6" s="295"/>
      <c r="L6" s="295"/>
      <c r="M6" s="295"/>
      <c r="N6" s="295"/>
      <c r="O6" s="295"/>
      <c r="P6" s="295"/>
      <c r="Q6" s="295"/>
      <c r="R6" s="295"/>
      <c r="S6" s="295"/>
      <c r="T6" s="295"/>
      <c r="U6" s="295"/>
      <c r="V6" s="295"/>
      <c r="W6" s="295"/>
      <c r="X6" s="295"/>
      <c r="Y6" s="295"/>
      <c r="Z6" s="295"/>
      <c r="AA6" s="295"/>
      <c r="AB6" s="295"/>
      <c r="AC6" s="295"/>
      <c r="AD6" s="295"/>
      <c r="AE6" s="295"/>
      <c r="AF6" s="295"/>
      <c r="AG6" s="295"/>
      <c r="AH6" s="295"/>
      <c r="AI6" s="295"/>
      <c r="AJ6" s="295"/>
      <c r="AK6" s="295"/>
    </row>
    <row r="7" spans="1:37" x14ac:dyDescent="0.25">
      <c r="A7" s="295"/>
      <c r="B7" s="295"/>
      <c r="C7" s="295"/>
      <c r="D7" s="295"/>
      <c r="E7" s="295"/>
      <c r="F7" s="295"/>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row>
    <row r="8" spans="1:37" x14ac:dyDescent="0.25">
      <c r="A8" s="295"/>
      <c r="B8" s="295"/>
      <c r="C8" s="295"/>
      <c r="D8" s="295"/>
      <c r="E8" s="295"/>
      <c r="F8" s="295"/>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row>
    <row r="9" spans="1:37" x14ac:dyDescent="0.25">
      <c r="A9" s="295"/>
      <c r="B9" s="295"/>
      <c r="C9" s="295"/>
      <c r="D9" s="295"/>
      <c r="E9" s="295"/>
      <c r="F9" s="295"/>
      <c r="G9" s="295"/>
      <c r="H9" s="295"/>
      <c r="I9" s="295"/>
      <c r="J9" s="295"/>
      <c r="K9" s="295"/>
      <c r="L9" s="295"/>
      <c r="M9" s="295"/>
      <c r="N9" s="295"/>
      <c r="O9" s="295"/>
      <c r="P9" s="295"/>
      <c r="Q9" s="295"/>
      <c r="R9" s="295"/>
      <c r="S9" s="295"/>
      <c r="T9" s="295"/>
      <c r="U9" s="295"/>
      <c r="V9" s="295"/>
      <c r="W9" s="295"/>
      <c r="X9" s="295"/>
      <c r="Y9" s="295"/>
      <c r="Z9" s="295"/>
      <c r="AA9" s="295"/>
      <c r="AB9" s="295"/>
      <c r="AC9" s="295"/>
      <c r="AD9" s="295"/>
      <c r="AE9" s="295"/>
      <c r="AF9" s="295"/>
      <c r="AG9" s="295"/>
      <c r="AH9" s="295"/>
      <c r="AI9" s="295"/>
      <c r="AJ9" s="295"/>
      <c r="AK9" s="295"/>
    </row>
    <row r="10" spans="1:37" x14ac:dyDescent="0.25">
      <c r="A10" s="295"/>
      <c r="B10" s="295"/>
      <c r="C10" s="295"/>
      <c r="D10" s="295"/>
      <c r="E10" s="295"/>
      <c r="F10" s="295"/>
      <c r="G10" s="295"/>
      <c r="H10" s="295"/>
      <c r="I10" s="295"/>
      <c r="J10" s="295"/>
      <c r="K10" s="295"/>
      <c r="L10" s="295"/>
      <c r="M10" s="295"/>
      <c r="N10" s="295"/>
      <c r="O10" s="295"/>
      <c r="P10" s="295"/>
      <c r="Q10" s="295"/>
      <c r="R10" s="295"/>
      <c r="S10" s="295"/>
      <c r="T10" s="295"/>
      <c r="U10" s="295"/>
      <c r="V10" s="295"/>
      <c r="W10" s="295"/>
      <c r="X10" s="295"/>
      <c r="Y10" s="295"/>
      <c r="Z10" s="295"/>
      <c r="AA10" s="295"/>
      <c r="AB10" s="295"/>
      <c r="AC10" s="295"/>
      <c r="AD10" s="295"/>
      <c r="AE10" s="295"/>
      <c r="AF10" s="295"/>
      <c r="AG10" s="295"/>
      <c r="AH10" s="295"/>
      <c r="AI10" s="295"/>
      <c r="AJ10" s="295"/>
      <c r="AK10" s="295"/>
    </row>
    <row r="11" spans="1:37" x14ac:dyDescent="0.25">
      <c r="A11" s="295"/>
      <c r="B11" s="295"/>
      <c r="C11" s="295"/>
      <c r="D11" s="295"/>
      <c r="E11" s="295"/>
      <c r="F11" s="295"/>
      <c r="G11" s="295"/>
      <c r="H11" s="295"/>
      <c r="I11" s="295"/>
      <c r="J11" s="295"/>
      <c r="K11" s="295"/>
      <c r="L11" s="295"/>
      <c r="M11" s="295"/>
      <c r="N11" s="295"/>
      <c r="O11" s="295"/>
      <c r="P11" s="295"/>
      <c r="Q11" s="295"/>
      <c r="R11" s="295"/>
      <c r="S11" s="295"/>
      <c r="T11" s="295"/>
      <c r="U11" s="295"/>
      <c r="V11" s="295"/>
      <c r="W11" s="295"/>
      <c r="X11" s="295"/>
      <c r="Y11" s="295"/>
      <c r="Z11" s="295"/>
      <c r="AA11" s="295"/>
      <c r="AB11" s="295"/>
      <c r="AC11" s="295"/>
      <c r="AD11" s="295"/>
      <c r="AE11" s="295"/>
      <c r="AF11" s="295"/>
      <c r="AG11" s="295"/>
      <c r="AH11" s="295"/>
      <c r="AI11" s="295"/>
      <c r="AJ11" s="295"/>
      <c r="AK11" s="295"/>
    </row>
    <row r="12" spans="1:37" x14ac:dyDescent="0.25">
      <c r="A12" s="295"/>
      <c r="B12" s="295"/>
      <c r="C12" s="295"/>
      <c r="D12" s="295"/>
      <c r="E12" s="295"/>
      <c r="F12" s="295"/>
      <c r="G12" s="295"/>
      <c r="H12" s="295"/>
      <c r="I12" s="295"/>
      <c r="J12" s="295"/>
      <c r="K12" s="295"/>
      <c r="L12" s="295"/>
      <c r="M12" s="295"/>
      <c r="N12" s="295"/>
      <c r="O12" s="295"/>
      <c r="P12" s="295"/>
      <c r="Q12" s="295"/>
      <c r="R12" s="295"/>
      <c r="S12" s="295"/>
      <c r="T12" s="295"/>
      <c r="U12" s="295"/>
      <c r="V12" s="295"/>
      <c r="W12" s="295"/>
      <c r="X12" s="295"/>
      <c r="Y12" s="295"/>
      <c r="Z12" s="295"/>
      <c r="AA12" s="295"/>
      <c r="AB12" s="295"/>
      <c r="AC12" s="295"/>
      <c r="AD12" s="295"/>
      <c r="AE12" s="295"/>
      <c r="AF12" s="295"/>
      <c r="AG12" s="295"/>
      <c r="AH12" s="295"/>
      <c r="AI12" s="295"/>
      <c r="AJ12" s="295"/>
      <c r="AK12" s="295"/>
    </row>
    <row r="13" spans="1:37" x14ac:dyDescent="0.25">
      <c r="A13" s="295"/>
      <c r="B13" s="295"/>
      <c r="C13" s="295"/>
      <c r="D13" s="295"/>
      <c r="E13" s="295"/>
      <c r="F13" s="295"/>
      <c r="G13" s="295"/>
      <c r="H13" s="295"/>
      <c r="I13" s="295"/>
      <c r="J13" s="295"/>
      <c r="K13" s="295"/>
      <c r="L13" s="295"/>
      <c r="M13" s="295"/>
      <c r="N13" s="295"/>
      <c r="O13" s="295"/>
      <c r="P13" s="295"/>
      <c r="Q13" s="295"/>
      <c r="R13" s="295"/>
      <c r="S13" s="295"/>
      <c r="T13" s="295"/>
      <c r="U13" s="295"/>
      <c r="V13" s="295"/>
      <c r="W13" s="295"/>
      <c r="X13" s="295"/>
      <c r="Y13" s="295"/>
      <c r="Z13" s="295"/>
      <c r="AA13" s="295"/>
      <c r="AB13" s="295"/>
      <c r="AC13" s="295"/>
      <c r="AD13" s="295"/>
      <c r="AE13" s="295"/>
      <c r="AF13" s="295"/>
      <c r="AG13" s="295"/>
      <c r="AH13" s="295"/>
      <c r="AI13" s="295"/>
      <c r="AJ13" s="295"/>
      <c r="AK13" s="295"/>
    </row>
    <row r="14" spans="1:37" x14ac:dyDescent="0.25">
      <c r="A14" s="295"/>
      <c r="B14" s="295"/>
      <c r="C14" s="295"/>
      <c r="D14" s="295"/>
      <c r="E14" s="295"/>
      <c r="F14" s="295"/>
      <c r="G14" s="295"/>
      <c r="H14" s="295"/>
      <c r="I14" s="295"/>
      <c r="J14" s="295"/>
      <c r="K14" s="295"/>
      <c r="L14" s="295"/>
      <c r="M14" s="295"/>
      <c r="N14" s="295"/>
      <c r="O14" s="295"/>
      <c r="P14" s="295"/>
      <c r="Q14" s="295"/>
      <c r="R14" s="295"/>
      <c r="S14" s="295"/>
      <c r="T14" s="295"/>
      <c r="U14" s="295"/>
      <c r="V14" s="295"/>
      <c r="W14" s="295"/>
      <c r="X14" s="295"/>
      <c r="Y14" s="295"/>
      <c r="Z14" s="295"/>
      <c r="AA14" s="295"/>
      <c r="AB14" s="295"/>
      <c r="AC14" s="295"/>
      <c r="AD14" s="295"/>
      <c r="AE14" s="295"/>
      <c r="AF14" s="295"/>
      <c r="AG14" s="295"/>
      <c r="AH14" s="295"/>
      <c r="AI14" s="295"/>
      <c r="AJ14" s="295"/>
      <c r="AK14" s="295"/>
    </row>
    <row r="15" spans="1:37" x14ac:dyDescent="0.25">
      <c r="A15" s="295"/>
      <c r="B15" s="295"/>
      <c r="C15" s="295"/>
      <c r="D15" s="295"/>
      <c r="E15" s="295"/>
      <c r="F15" s="295"/>
      <c r="G15" s="295"/>
      <c r="H15" s="295"/>
      <c r="I15" s="295"/>
      <c r="J15" s="295"/>
      <c r="K15" s="295"/>
      <c r="L15" s="295"/>
      <c r="M15" s="295"/>
      <c r="N15" s="295"/>
      <c r="O15" s="295"/>
      <c r="P15" s="295"/>
      <c r="Q15" s="295"/>
      <c r="R15" s="295"/>
      <c r="S15" s="295"/>
      <c r="T15" s="295"/>
      <c r="U15" s="295"/>
      <c r="V15" s="295"/>
      <c r="W15" s="295"/>
      <c r="X15" s="295"/>
      <c r="Y15" s="295"/>
      <c r="Z15" s="295"/>
      <c r="AA15" s="295"/>
      <c r="AB15" s="295"/>
      <c r="AC15" s="295"/>
      <c r="AD15" s="295"/>
      <c r="AE15" s="295"/>
      <c r="AF15" s="295"/>
      <c r="AG15" s="295"/>
      <c r="AH15" s="295"/>
      <c r="AI15" s="295"/>
      <c r="AJ15" s="295"/>
      <c r="AK15" s="295"/>
    </row>
    <row r="16" spans="1:37" x14ac:dyDescent="0.25">
      <c r="A16" s="295"/>
      <c r="B16" s="295"/>
      <c r="C16" s="295"/>
      <c r="D16" s="295"/>
      <c r="E16" s="295"/>
      <c r="F16" s="295"/>
      <c r="G16" s="295"/>
      <c r="H16" s="295"/>
      <c r="I16" s="295"/>
      <c r="J16" s="295"/>
      <c r="K16" s="295"/>
      <c r="L16" s="295"/>
      <c r="M16" s="295"/>
      <c r="N16" s="295"/>
      <c r="O16" s="295"/>
      <c r="P16" s="295"/>
      <c r="Q16" s="295"/>
      <c r="R16" s="295"/>
      <c r="S16" s="295"/>
      <c r="T16" s="295"/>
      <c r="U16" s="295"/>
      <c r="V16" s="295"/>
      <c r="W16" s="295"/>
      <c r="X16" s="295"/>
      <c r="Y16" s="295"/>
      <c r="Z16" s="295"/>
      <c r="AA16" s="295"/>
      <c r="AB16" s="295"/>
      <c r="AC16" s="295"/>
      <c r="AD16" s="295"/>
      <c r="AE16" s="295"/>
      <c r="AF16" s="295"/>
      <c r="AG16" s="295"/>
      <c r="AH16" s="295"/>
      <c r="AI16" s="295"/>
      <c r="AJ16" s="295"/>
      <c r="AK16" s="295"/>
    </row>
    <row r="17" spans="1:37" x14ac:dyDescent="0.25">
      <c r="A17" s="295"/>
      <c r="B17" s="295"/>
      <c r="C17" s="295"/>
      <c r="D17" s="295"/>
      <c r="E17" s="295"/>
      <c r="F17" s="295"/>
      <c r="G17" s="295"/>
      <c r="H17" s="295"/>
      <c r="I17" s="295"/>
      <c r="J17" s="295"/>
      <c r="K17" s="295"/>
      <c r="L17" s="295"/>
      <c r="M17" s="295"/>
      <c r="N17" s="295"/>
      <c r="O17" s="295"/>
      <c r="P17" s="295"/>
      <c r="Q17" s="295"/>
      <c r="R17" s="295"/>
      <c r="S17" s="295"/>
      <c r="T17" s="295"/>
      <c r="U17" s="295"/>
      <c r="V17" s="295"/>
      <c r="W17" s="295"/>
      <c r="X17" s="295"/>
      <c r="Y17" s="295"/>
      <c r="Z17" s="295"/>
      <c r="AA17" s="295"/>
      <c r="AB17" s="295"/>
      <c r="AC17" s="295"/>
      <c r="AD17" s="295"/>
      <c r="AE17" s="295"/>
      <c r="AF17" s="295"/>
      <c r="AG17" s="295"/>
      <c r="AH17" s="295"/>
      <c r="AI17" s="295"/>
      <c r="AJ17" s="295"/>
      <c r="AK17" s="295"/>
    </row>
    <row r="18" spans="1:37" x14ac:dyDescent="0.25">
      <c r="A18" s="295"/>
      <c r="B18" s="295"/>
      <c r="C18" s="295"/>
      <c r="D18" s="295"/>
      <c r="E18" s="295"/>
      <c r="F18" s="295"/>
      <c r="G18" s="295"/>
      <c r="H18" s="295"/>
      <c r="I18" s="295"/>
      <c r="J18" s="295"/>
      <c r="K18" s="295"/>
      <c r="L18" s="295"/>
      <c r="M18" s="295"/>
      <c r="N18" s="295"/>
      <c r="O18" s="295"/>
      <c r="P18" s="295"/>
      <c r="Q18" s="295"/>
      <c r="R18" s="295"/>
      <c r="S18" s="295"/>
      <c r="T18" s="295"/>
      <c r="U18" s="295"/>
      <c r="V18" s="295"/>
      <c r="W18" s="295"/>
      <c r="X18" s="295"/>
      <c r="Y18" s="295"/>
      <c r="Z18" s="295"/>
      <c r="AA18" s="295"/>
      <c r="AB18" s="295"/>
      <c r="AC18" s="295"/>
      <c r="AD18" s="295"/>
      <c r="AE18" s="295"/>
      <c r="AF18" s="295"/>
      <c r="AG18" s="295"/>
      <c r="AH18" s="295"/>
      <c r="AI18" s="295"/>
      <c r="AJ18" s="295"/>
      <c r="AK18" s="295"/>
    </row>
    <row r="19" spans="1:37" x14ac:dyDescent="0.25">
      <c r="A19" s="295"/>
      <c r="B19" s="295"/>
      <c r="C19" s="295"/>
      <c r="D19" s="295"/>
      <c r="E19" s="295"/>
      <c r="F19" s="295"/>
      <c r="G19" s="295"/>
      <c r="H19" s="295"/>
      <c r="I19" s="295"/>
      <c r="J19" s="295"/>
      <c r="K19" s="295"/>
      <c r="L19" s="295"/>
      <c r="M19" s="295"/>
      <c r="N19" s="295"/>
      <c r="O19" s="295"/>
      <c r="P19" s="295"/>
      <c r="Q19" s="295"/>
      <c r="R19" s="295"/>
      <c r="S19" s="295"/>
      <c r="T19" s="295"/>
      <c r="U19" s="295"/>
      <c r="V19" s="295"/>
      <c r="W19" s="295"/>
      <c r="X19" s="295"/>
      <c r="Y19" s="295"/>
      <c r="Z19" s="295"/>
      <c r="AA19" s="295"/>
      <c r="AB19" s="295"/>
      <c r="AC19" s="295"/>
      <c r="AD19" s="295"/>
      <c r="AE19" s="295"/>
      <c r="AF19" s="295"/>
      <c r="AG19" s="295"/>
      <c r="AH19" s="295"/>
      <c r="AI19" s="295"/>
      <c r="AJ19" s="295"/>
      <c r="AK19" s="295"/>
    </row>
    <row r="20" spans="1:37" x14ac:dyDescent="0.25">
      <c r="A20" s="295"/>
      <c r="B20" s="295"/>
      <c r="C20" s="295"/>
      <c r="D20" s="295"/>
      <c r="E20" s="295"/>
      <c r="F20" s="295"/>
      <c r="G20" s="295"/>
      <c r="H20" s="295"/>
      <c r="I20" s="295"/>
      <c r="J20" s="295"/>
      <c r="K20" s="295"/>
      <c r="L20" s="295"/>
      <c r="M20" s="295"/>
      <c r="N20" s="295"/>
      <c r="O20" s="295"/>
      <c r="P20" s="295"/>
      <c r="Q20" s="295"/>
      <c r="R20" s="295"/>
      <c r="S20" s="295"/>
      <c r="T20" s="295"/>
      <c r="U20" s="295"/>
      <c r="V20" s="295"/>
      <c r="W20" s="295"/>
      <c r="X20" s="295"/>
      <c r="Y20" s="295"/>
      <c r="Z20" s="295"/>
      <c r="AA20" s="295"/>
      <c r="AB20" s="295"/>
      <c r="AC20" s="295"/>
      <c r="AD20" s="295"/>
      <c r="AE20" s="295"/>
      <c r="AF20" s="295"/>
      <c r="AG20" s="295"/>
      <c r="AH20" s="295"/>
      <c r="AI20" s="295"/>
      <c r="AJ20" s="295"/>
      <c r="AK20" s="295"/>
    </row>
    <row r="21" spans="1:37" x14ac:dyDescent="0.25">
      <c r="A21" s="295"/>
      <c r="B21" s="295"/>
      <c r="C21" s="295"/>
      <c r="D21" s="295"/>
      <c r="E21" s="295"/>
      <c r="F21" s="295"/>
      <c r="G21" s="295"/>
      <c r="H21" s="295"/>
      <c r="I21" s="295"/>
      <c r="J21" s="295"/>
      <c r="K21" s="295"/>
      <c r="L21" s="295"/>
      <c r="M21" s="295"/>
      <c r="N21" s="295"/>
      <c r="O21" s="295"/>
      <c r="P21" s="295"/>
      <c r="Q21" s="295"/>
      <c r="R21" s="295"/>
      <c r="S21" s="295"/>
      <c r="T21" s="295"/>
      <c r="U21" s="295"/>
      <c r="V21" s="295"/>
      <c r="W21" s="295"/>
      <c r="X21" s="295"/>
      <c r="Y21" s="295"/>
      <c r="Z21" s="295"/>
      <c r="AA21" s="295"/>
      <c r="AB21" s="295"/>
      <c r="AC21" s="295"/>
      <c r="AD21" s="295"/>
      <c r="AE21" s="295"/>
      <c r="AF21" s="295"/>
      <c r="AG21" s="295"/>
      <c r="AH21" s="295"/>
      <c r="AI21" s="295"/>
      <c r="AJ21" s="295"/>
      <c r="AK21" s="295"/>
    </row>
    <row r="22" spans="1:37" x14ac:dyDescent="0.25">
      <c r="A22" s="295"/>
      <c r="B22" s="295"/>
      <c r="C22" s="295"/>
      <c r="D22" s="295"/>
      <c r="E22" s="295"/>
      <c r="F22" s="295"/>
      <c r="G22" s="295"/>
      <c r="H22" s="295"/>
      <c r="I22" s="295"/>
      <c r="J22" s="295"/>
      <c r="K22" s="295"/>
      <c r="L22" s="295"/>
      <c r="M22" s="295"/>
      <c r="N22" s="295"/>
      <c r="O22" s="295"/>
      <c r="P22" s="295"/>
      <c r="Q22" s="295"/>
      <c r="R22" s="295"/>
      <c r="S22" s="295"/>
      <c r="T22" s="295"/>
      <c r="U22" s="295"/>
      <c r="V22" s="295"/>
      <c r="W22" s="295"/>
      <c r="X22" s="295"/>
      <c r="Y22" s="295"/>
      <c r="Z22" s="295"/>
      <c r="AA22" s="295"/>
      <c r="AB22" s="295"/>
      <c r="AC22" s="295"/>
      <c r="AD22" s="295"/>
      <c r="AE22" s="295"/>
      <c r="AF22" s="295"/>
      <c r="AG22" s="295"/>
      <c r="AH22" s="295"/>
      <c r="AI22" s="295"/>
      <c r="AJ22" s="295"/>
      <c r="AK22" s="295"/>
    </row>
    <row r="23" spans="1:37" x14ac:dyDescent="0.25">
      <c r="A23" s="295"/>
      <c r="B23" s="295"/>
      <c r="C23" s="295"/>
      <c r="D23" s="295"/>
      <c r="E23" s="295"/>
      <c r="F23" s="295"/>
      <c r="G23" s="295"/>
      <c r="H23" s="295"/>
      <c r="I23" s="295"/>
      <c r="J23" s="295"/>
      <c r="K23" s="295"/>
      <c r="L23" s="295"/>
      <c r="M23" s="295"/>
      <c r="N23" s="295"/>
      <c r="O23" s="295"/>
      <c r="P23" s="295"/>
      <c r="Q23" s="295"/>
      <c r="R23" s="295"/>
      <c r="S23" s="295"/>
      <c r="T23" s="295"/>
      <c r="U23" s="295"/>
      <c r="V23" s="295"/>
      <c r="W23" s="295"/>
      <c r="X23" s="295"/>
      <c r="Y23" s="295"/>
      <c r="Z23" s="295"/>
      <c r="AA23" s="295"/>
      <c r="AB23" s="295"/>
      <c r="AC23" s="295"/>
      <c r="AD23" s="295"/>
      <c r="AE23" s="295"/>
      <c r="AF23" s="295"/>
      <c r="AG23" s="295"/>
      <c r="AH23" s="295"/>
      <c r="AI23" s="295"/>
      <c r="AJ23" s="295"/>
      <c r="AK23" s="295"/>
    </row>
    <row r="24" spans="1:37" x14ac:dyDescent="0.25">
      <c r="A24" s="295"/>
      <c r="B24" s="295"/>
      <c r="C24" s="295"/>
      <c r="D24" s="295"/>
      <c r="E24" s="295"/>
      <c r="F24" s="295"/>
      <c r="G24" s="295"/>
      <c r="H24" s="295"/>
      <c r="I24" s="295"/>
      <c r="J24" s="295"/>
      <c r="K24" s="295"/>
      <c r="L24" s="295"/>
      <c r="M24" s="295"/>
      <c r="N24" s="295"/>
      <c r="O24" s="295"/>
      <c r="P24" s="295"/>
      <c r="Q24" s="295"/>
      <c r="R24" s="295"/>
      <c r="S24" s="295"/>
      <c r="T24" s="295"/>
      <c r="U24" s="295"/>
      <c r="V24" s="295"/>
      <c r="W24" s="295"/>
      <c r="X24" s="295"/>
      <c r="Y24" s="295"/>
      <c r="Z24" s="295"/>
      <c r="AA24" s="295"/>
      <c r="AB24" s="295"/>
      <c r="AC24" s="295"/>
      <c r="AD24" s="295"/>
      <c r="AE24" s="295"/>
      <c r="AF24" s="295"/>
      <c r="AG24" s="295"/>
      <c r="AH24" s="295"/>
      <c r="AI24" s="295"/>
      <c r="AJ24" s="295"/>
      <c r="AK24" s="295"/>
    </row>
    <row r="25" spans="1:37" x14ac:dyDescent="0.25">
      <c r="A25" s="295"/>
      <c r="B25" s="295"/>
      <c r="C25" s="295"/>
      <c r="D25" s="295"/>
      <c r="E25" s="295"/>
      <c r="F25" s="295"/>
      <c r="G25" s="295"/>
      <c r="H25" s="295"/>
      <c r="I25" s="295"/>
      <c r="J25" s="295"/>
      <c r="K25" s="295"/>
      <c r="L25" s="295"/>
      <c r="M25" s="295"/>
      <c r="N25" s="295"/>
      <c r="O25" s="295"/>
      <c r="P25" s="295"/>
      <c r="Q25" s="295"/>
      <c r="R25" s="295"/>
      <c r="S25" s="295"/>
      <c r="T25" s="295"/>
      <c r="U25" s="295"/>
      <c r="V25" s="295"/>
      <c r="W25" s="295"/>
      <c r="X25" s="295"/>
      <c r="Y25" s="295"/>
      <c r="Z25" s="295"/>
      <c r="AA25" s="295"/>
      <c r="AB25" s="295"/>
      <c r="AC25" s="295"/>
      <c r="AD25" s="295"/>
      <c r="AE25" s="295"/>
      <c r="AF25" s="295"/>
      <c r="AG25" s="295"/>
      <c r="AH25" s="295"/>
      <c r="AI25" s="295"/>
      <c r="AJ25" s="295"/>
      <c r="AK25" s="295"/>
    </row>
    <row r="26" spans="1:37" x14ac:dyDescent="0.25">
      <c r="A26" s="295"/>
      <c r="B26" s="295"/>
      <c r="C26" s="295"/>
      <c r="D26" s="295"/>
      <c r="E26" s="295"/>
      <c r="F26" s="295"/>
      <c r="G26" s="295"/>
      <c r="H26" s="295"/>
      <c r="I26" s="295"/>
      <c r="J26" s="295"/>
      <c r="K26" s="295"/>
      <c r="L26" s="295"/>
      <c r="M26" s="295"/>
      <c r="N26" s="295"/>
      <c r="O26" s="295"/>
      <c r="P26" s="295"/>
      <c r="Q26" s="295"/>
      <c r="R26" s="295"/>
      <c r="S26" s="295"/>
      <c r="T26" s="295"/>
      <c r="U26" s="295"/>
      <c r="V26" s="295"/>
      <c r="W26" s="295"/>
      <c r="X26" s="295"/>
      <c r="Y26" s="295"/>
      <c r="Z26" s="295"/>
      <c r="AA26" s="295"/>
      <c r="AB26" s="295"/>
      <c r="AC26" s="295"/>
      <c r="AD26" s="295"/>
      <c r="AE26" s="295"/>
      <c r="AF26" s="295"/>
      <c r="AG26" s="295"/>
      <c r="AH26" s="295"/>
      <c r="AI26" s="295"/>
      <c r="AJ26" s="295"/>
      <c r="AK26" s="295"/>
    </row>
    <row r="27" spans="1:37" x14ac:dyDescent="0.25">
      <c r="A27" s="295"/>
      <c r="B27" s="295"/>
      <c r="C27" s="295"/>
      <c r="D27" s="295"/>
      <c r="E27" s="295"/>
      <c r="F27" s="295"/>
      <c r="G27" s="295"/>
      <c r="H27" s="295"/>
      <c r="I27" s="295"/>
      <c r="J27" s="295"/>
      <c r="K27" s="295"/>
      <c r="L27" s="295"/>
      <c r="M27" s="295"/>
      <c r="N27" s="295"/>
      <c r="O27" s="295"/>
      <c r="P27" s="295"/>
      <c r="Q27" s="295"/>
      <c r="R27" s="295"/>
      <c r="S27" s="295"/>
      <c r="T27" s="295"/>
      <c r="U27" s="295"/>
      <c r="V27" s="295"/>
      <c r="W27" s="295"/>
      <c r="X27" s="295"/>
      <c r="Y27" s="295"/>
      <c r="Z27" s="295"/>
      <c r="AA27" s="295"/>
      <c r="AB27" s="295"/>
      <c r="AC27" s="295"/>
      <c r="AD27" s="295"/>
      <c r="AE27" s="295"/>
      <c r="AF27" s="295"/>
      <c r="AG27" s="295"/>
      <c r="AH27" s="295"/>
      <c r="AI27" s="295"/>
      <c r="AJ27" s="295"/>
      <c r="AK27" s="295"/>
    </row>
    <row r="28" spans="1:37" x14ac:dyDescent="0.25">
      <c r="A28" s="295"/>
      <c r="B28" s="295"/>
      <c r="C28" s="295"/>
      <c r="D28" s="295"/>
      <c r="E28" s="295"/>
      <c r="F28" s="295"/>
      <c r="G28" s="295"/>
      <c r="H28" s="295"/>
      <c r="I28" s="295"/>
      <c r="J28" s="295"/>
      <c r="K28" s="295"/>
      <c r="L28" s="295"/>
      <c r="M28" s="295"/>
      <c r="N28" s="295"/>
      <c r="O28" s="295"/>
      <c r="P28" s="295"/>
      <c r="Q28" s="295"/>
      <c r="R28" s="295"/>
      <c r="S28" s="295"/>
      <c r="T28" s="295"/>
      <c r="U28" s="295"/>
      <c r="V28" s="295"/>
      <c r="W28" s="295"/>
      <c r="X28" s="295"/>
      <c r="Y28" s="295"/>
      <c r="Z28" s="295"/>
      <c r="AA28" s="295"/>
      <c r="AB28" s="295"/>
      <c r="AC28" s="295"/>
      <c r="AD28" s="295"/>
      <c r="AE28" s="295"/>
      <c r="AF28" s="295"/>
      <c r="AG28" s="295"/>
      <c r="AH28" s="295"/>
      <c r="AI28" s="295"/>
      <c r="AJ28" s="295"/>
      <c r="AK28" s="295"/>
    </row>
    <row r="29" spans="1:37" x14ac:dyDescent="0.25">
      <c r="A29" s="295"/>
      <c r="B29" s="295"/>
      <c r="C29" s="295"/>
      <c r="D29" s="295"/>
      <c r="E29" s="295"/>
      <c r="F29" s="295"/>
      <c r="G29" s="295"/>
      <c r="H29" s="295"/>
      <c r="I29" s="295"/>
      <c r="J29" s="295"/>
      <c r="K29" s="295"/>
      <c r="L29" s="295"/>
      <c r="M29" s="295"/>
      <c r="N29" s="295"/>
      <c r="O29" s="295"/>
      <c r="P29" s="295"/>
      <c r="Q29" s="295"/>
      <c r="R29" s="295"/>
      <c r="S29" s="295"/>
      <c r="T29" s="295"/>
      <c r="U29" s="295"/>
      <c r="V29" s="295"/>
      <c r="W29" s="295"/>
      <c r="X29" s="295"/>
      <c r="Y29" s="295"/>
      <c r="Z29" s="295"/>
      <c r="AA29" s="295"/>
      <c r="AB29" s="295"/>
      <c r="AC29" s="295"/>
      <c r="AD29" s="295"/>
      <c r="AE29" s="295"/>
      <c r="AF29" s="295"/>
      <c r="AG29" s="295"/>
      <c r="AH29" s="295"/>
      <c r="AI29" s="295"/>
      <c r="AJ29" s="295"/>
      <c r="AK29" s="295"/>
    </row>
    <row r="30" spans="1:37" x14ac:dyDescent="0.25">
      <c r="A30" s="295"/>
      <c r="B30" s="295"/>
      <c r="C30" s="295"/>
      <c r="D30" s="295"/>
      <c r="E30" s="295"/>
      <c r="F30" s="295"/>
      <c r="G30" s="295"/>
      <c r="H30" s="295"/>
      <c r="I30" s="295"/>
      <c r="J30" s="295"/>
      <c r="K30" s="295"/>
      <c r="L30" s="295"/>
      <c r="M30" s="295"/>
      <c r="N30" s="295"/>
      <c r="O30" s="295"/>
      <c r="P30" s="295"/>
      <c r="Q30" s="295"/>
      <c r="R30" s="295"/>
      <c r="S30" s="295"/>
      <c r="T30" s="295"/>
      <c r="U30" s="295"/>
      <c r="V30" s="295"/>
      <c r="W30" s="295"/>
      <c r="X30" s="295"/>
      <c r="Y30" s="295"/>
      <c r="Z30" s="295"/>
      <c r="AA30" s="295"/>
      <c r="AB30" s="295"/>
      <c r="AC30" s="295"/>
      <c r="AD30" s="295"/>
      <c r="AE30" s="295"/>
      <c r="AF30" s="295"/>
      <c r="AG30" s="295"/>
      <c r="AH30" s="295"/>
      <c r="AI30" s="295"/>
      <c r="AJ30" s="295"/>
      <c r="AK30" s="295"/>
    </row>
    <row r="31" spans="1:37" x14ac:dyDescent="0.25">
      <c r="A31" s="295"/>
      <c r="B31" s="295"/>
      <c r="C31" s="295"/>
      <c r="D31" s="295"/>
      <c r="E31" s="295"/>
      <c r="F31" s="295"/>
      <c r="G31" s="295"/>
      <c r="H31" s="295"/>
      <c r="I31" s="295"/>
      <c r="J31" s="295"/>
      <c r="K31" s="295"/>
      <c r="L31" s="295"/>
      <c r="M31" s="295"/>
      <c r="N31" s="295"/>
      <c r="O31" s="295"/>
      <c r="P31" s="295"/>
      <c r="Q31" s="295"/>
      <c r="R31" s="295"/>
      <c r="S31" s="295"/>
      <c r="T31" s="295"/>
      <c r="U31" s="295"/>
      <c r="V31" s="295"/>
      <c r="W31" s="295"/>
      <c r="X31" s="295"/>
      <c r="Y31" s="295"/>
      <c r="Z31" s="295"/>
      <c r="AA31" s="295"/>
      <c r="AB31" s="295"/>
      <c r="AC31" s="295"/>
      <c r="AD31" s="295"/>
      <c r="AE31" s="295"/>
      <c r="AF31" s="295"/>
      <c r="AG31" s="295"/>
      <c r="AH31" s="295"/>
      <c r="AI31" s="295"/>
      <c r="AJ31" s="295"/>
      <c r="AK31" s="295"/>
    </row>
    <row r="32" spans="1:37" x14ac:dyDescent="0.25">
      <c r="A32" s="295"/>
      <c r="B32" s="295"/>
      <c r="C32" s="295"/>
      <c r="D32" s="295"/>
      <c r="E32" s="295"/>
      <c r="F32" s="295"/>
      <c r="G32" s="295"/>
      <c r="H32" s="295"/>
      <c r="I32" s="295"/>
      <c r="J32" s="295"/>
      <c r="K32" s="295"/>
      <c r="L32" s="295"/>
      <c r="M32" s="295"/>
      <c r="N32" s="295"/>
      <c r="O32" s="295"/>
      <c r="P32" s="295"/>
      <c r="Q32" s="295"/>
      <c r="R32" s="295"/>
      <c r="S32" s="295"/>
      <c r="T32" s="295"/>
      <c r="U32" s="295"/>
      <c r="V32" s="295"/>
      <c r="W32" s="295"/>
      <c r="X32" s="295"/>
      <c r="Y32" s="295"/>
      <c r="Z32" s="295"/>
      <c r="AA32" s="295"/>
      <c r="AB32" s="295"/>
      <c r="AC32" s="295"/>
      <c r="AD32" s="295"/>
      <c r="AE32" s="295"/>
      <c r="AF32" s="295"/>
      <c r="AG32" s="295"/>
      <c r="AH32" s="295"/>
      <c r="AI32" s="295"/>
      <c r="AJ32" s="295"/>
      <c r="AK32" s="295"/>
    </row>
    <row r="33" spans="1:37" x14ac:dyDescent="0.25">
      <c r="A33" s="295"/>
      <c r="B33" s="295"/>
      <c r="C33" s="295"/>
      <c r="D33" s="295"/>
      <c r="E33" s="295"/>
      <c r="F33" s="295"/>
      <c r="G33" s="295"/>
      <c r="H33" s="295"/>
      <c r="I33" s="295"/>
      <c r="J33" s="295"/>
      <c r="K33" s="295"/>
      <c r="L33" s="295"/>
      <c r="M33" s="295"/>
      <c r="N33" s="295"/>
      <c r="O33" s="295"/>
      <c r="P33" s="295"/>
      <c r="Q33" s="295"/>
      <c r="R33" s="295"/>
      <c r="S33" s="295"/>
      <c r="T33" s="295"/>
      <c r="U33" s="295"/>
      <c r="V33" s="295"/>
      <c r="W33" s="295"/>
      <c r="X33" s="295"/>
      <c r="Y33" s="295"/>
      <c r="Z33" s="295"/>
      <c r="AA33" s="295"/>
      <c r="AB33" s="295"/>
      <c r="AC33" s="295"/>
      <c r="AD33" s="295"/>
      <c r="AE33" s="295"/>
      <c r="AF33" s="295"/>
      <c r="AG33" s="295"/>
      <c r="AH33" s="295"/>
      <c r="AI33" s="295"/>
      <c r="AJ33" s="295"/>
      <c r="AK33" s="295"/>
    </row>
    <row r="34" spans="1:37" x14ac:dyDescent="0.25">
      <c r="A34" s="295"/>
      <c r="B34" s="295"/>
      <c r="C34" s="295"/>
      <c r="D34" s="295"/>
      <c r="E34" s="295"/>
      <c r="F34" s="295"/>
      <c r="G34" s="295"/>
      <c r="H34" s="295"/>
      <c r="I34" s="295"/>
      <c r="J34" s="295"/>
      <c r="K34" s="295"/>
      <c r="L34" s="295"/>
      <c r="M34" s="295"/>
      <c r="N34" s="295"/>
      <c r="O34" s="295"/>
      <c r="P34" s="295"/>
      <c r="Q34" s="295"/>
      <c r="R34" s="295"/>
      <c r="S34" s="295"/>
      <c r="T34" s="295"/>
      <c r="U34" s="295"/>
      <c r="V34" s="295"/>
      <c r="W34" s="295"/>
      <c r="X34" s="295"/>
      <c r="Y34" s="295"/>
      <c r="Z34" s="295"/>
      <c r="AA34" s="295"/>
      <c r="AB34" s="295"/>
      <c r="AC34" s="295"/>
      <c r="AD34" s="295"/>
      <c r="AE34" s="295"/>
      <c r="AF34" s="295"/>
      <c r="AG34" s="295"/>
      <c r="AH34" s="295"/>
      <c r="AI34" s="295"/>
      <c r="AJ34" s="295"/>
      <c r="AK34" s="295"/>
    </row>
    <row r="35" spans="1:37" x14ac:dyDescent="0.25">
      <c r="A35" s="295"/>
      <c r="B35" s="295"/>
      <c r="C35" s="295"/>
      <c r="D35" s="295"/>
      <c r="E35" s="295"/>
      <c r="F35" s="295"/>
      <c r="G35" s="295"/>
      <c r="H35" s="295"/>
      <c r="I35" s="295"/>
      <c r="J35" s="295"/>
      <c r="K35" s="295"/>
      <c r="L35" s="295"/>
      <c r="M35" s="295"/>
      <c r="N35" s="295"/>
      <c r="O35" s="295"/>
      <c r="P35" s="295"/>
      <c r="Q35" s="295"/>
      <c r="R35" s="295"/>
      <c r="S35" s="295"/>
      <c r="T35" s="295"/>
      <c r="U35" s="295"/>
      <c r="V35" s="295"/>
      <c r="W35" s="295"/>
      <c r="X35" s="295"/>
      <c r="Y35" s="295"/>
      <c r="Z35" s="295"/>
      <c r="AA35" s="295"/>
      <c r="AB35" s="295"/>
      <c r="AC35" s="295"/>
      <c r="AD35" s="295"/>
      <c r="AE35" s="295"/>
      <c r="AF35" s="295"/>
      <c r="AG35" s="295"/>
      <c r="AH35" s="295"/>
      <c r="AI35" s="295"/>
      <c r="AJ35" s="295"/>
      <c r="AK35" s="295"/>
    </row>
    <row r="36" spans="1:37" x14ac:dyDescent="0.25">
      <c r="A36" s="295"/>
      <c r="B36" s="295"/>
      <c r="C36" s="295"/>
      <c r="D36" s="295"/>
      <c r="E36" s="295"/>
      <c r="F36" s="295"/>
      <c r="G36" s="295"/>
      <c r="H36" s="295"/>
      <c r="I36" s="295"/>
      <c r="J36" s="295"/>
      <c r="K36" s="295"/>
      <c r="L36" s="295"/>
      <c r="M36" s="295"/>
      <c r="N36" s="295"/>
      <c r="O36" s="295"/>
      <c r="P36" s="295"/>
      <c r="Q36" s="295"/>
      <c r="R36" s="295"/>
      <c r="S36" s="295"/>
      <c r="T36" s="295"/>
      <c r="U36" s="295"/>
      <c r="V36" s="295"/>
      <c r="W36" s="295"/>
      <c r="X36" s="295"/>
      <c r="Y36" s="295"/>
      <c r="Z36" s="295"/>
      <c r="AA36" s="295"/>
      <c r="AB36" s="295"/>
      <c r="AC36" s="295"/>
      <c r="AD36" s="295"/>
      <c r="AE36" s="295"/>
      <c r="AF36" s="295"/>
      <c r="AG36" s="295"/>
      <c r="AH36" s="295"/>
      <c r="AI36" s="295"/>
      <c r="AJ36" s="295"/>
      <c r="AK36" s="295"/>
    </row>
    <row r="37" spans="1:37" x14ac:dyDescent="0.25">
      <c r="A37" s="295"/>
      <c r="B37" s="295"/>
      <c r="C37" s="295"/>
      <c r="D37" s="295"/>
      <c r="E37" s="295"/>
      <c r="F37" s="295"/>
      <c r="G37" s="295"/>
      <c r="H37" s="295"/>
      <c r="I37" s="295"/>
      <c r="J37" s="295"/>
      <c r="K37" s="295"/>
      <c r="L37" s="295"/>
      <c r="M37" s="295"/>
      <c r="N37" s="295"/>
      <c r="O37" s="295"/>
      <c r="P37" s="295"/>
      <c r="Q37" s="295"/>
      <c r="R37" s="295"/>
      <c r="S37" s="295"/>
      <c r="T37" s="295"/>
      <c r="U37" s="295"/>
      <c r="V37" s="295"/>
      <c r="W37" s="295"/>
      <c r="X37" s="295"/>
      <c r="Y37" s="295"/>
      <c r="Z37" s="295"/>
      <c r="AA37" s="295"/>
      <c r="AB37" s="295"/>
      <c r="AC37" s="295"/>
      <c r="AD37" s="295"/>
      <c r="AE37" s="295"/>
      <c r="AF37" s="295"/>
      <c r="AG37" s="295"/>
      <c r="AH37" s="295"/>
      <c r="AI37" s="295"/>
      <c r="AJ37" s="295"/>
      <c r="AK37" s="295"/>
    </row>
    <row r="38" spans="1:37" x14ac:dyDescent="0.25">
      <c r="A38" s="295"/>
      <c r="B38" s="295"/>
      <c r="C38" s="295"/>
      <c r="D38" s="295"/>
      <c r="E38" s="295"/>
      <c r="F38" s="295"/>
      <c r="G38" s="295"/>
      <c r="H38" s="295"/>
      <c r="I38" s="295"/>
      <c r="J38" s="295"/>
      <c r="K38" s="295"/>
      <c r="L38" s="295"/>
      <c r="M38" s="295"/>
      <c r="N38" s="295"/>
      <c r="O38" s="295"/>
      <c r="P38" s="295"/>
      <c r="Q38" s="295"/>
      <c r="R38" s="295"/>
      <c r="S38" s="295"/>
      <c r="T38" s="295"/>
      <c r="U38" s="295"/>
      <c r="V38" s="295"/>
      <c r="W38" s="295"/>
      <c r="X38" s="295"/>
      <c r="Y38" s="295"/>
      <c r="Z38" s="295"/>
      <c r="AA38" s="295"/>
      <c r="AB38" s="295"/>
      <c r="AC38" s="295"/>
      <c r="AD38" s="295"/>
      <c r="AE38" s="295"/>
      <c r="AF38" s="295"/>
      <c r="AG38" s="295"/>
      <c r="AH38" s="295"/>
      <c r="AI38" s="295"/>
      <c r="AJ38" s="295"/>
      <c r="AK38" s="295"/>
    </row>
    <row r="39" spans="1:37" x14ac:dyDescent="0.25">
      <c r="A39" s="295"/>
      <c r="B39" s="295"/>
      <c r="C39" s="295"/>
      <c r="D39" s="295"/>
      <c r="E39" s="295"/>
      <c r="F39" s="295"/>
      <c r="G39" s="295"/>
      <c r="H39" s="295"/>
      <c r="I39" s="295"/>
      <c r="J39" s="295"/>
      <c r="K39" s="295"/>
      <c r="L39" s="295"/>
      <c r="M39" s="295"/>
      <c r="N39" s="295"/>
      <c r="O39" s="295"/>
      <c r="P39" s="295"/>
      <c r="Q39" s="295"/>
      <c r="R39" s="295"/>
      <c r="S39" s="295"/>
      <c r="T39" s="295"/>
      <c r="U39" s="295"/>
      <c r="V39" s="295"/>
      <c r="W39" s="295"/>
      <c r="X39" s="295"/>
      <c r="Y39" s="295"/>
      <c r="Z39" s="295"/>
      <c r="AA39" s="295"/>
      <c r="AB39" s="295"/>
      <c r="AC39" s="295"/>
      <c r="AD39" s="295"/>
      <c r="AE39" s="295"/>
      <c r="AF39" s="295"/>
      <c r="AG39" s="295"/>
      <c r="AH39" s="295"/>
      <c r="AI39" s="295"/>
      <c r="AJ39" s="295"/>
      <c r="AK39" s="295"/>
    </row>
    <row r="40" spans="1:37" x14ac:dyDescent="0.25">
      <c r="A40" s="295"/>
      <c r="B40" s="295"/>
      <c r="C40" s="295"/>
      <c r="D40" s="295"/>
      <c r="E40" s="295"/>
      <c r="F40" s="295"/>
      <c r="G40" s="295"/>
      <c r="H40" s="295"/>
      <c r="I40" s="295"/>
      <c r="J40" s="295"/>
      <c r="K40" s="295"/>
      <c r="L40" s="295"/>
      <c r="M40" s="295"/>
      <c r="N40" s="295"/>
      <c r="O40" s="295"/>
      <c r="P40" s="295"/>
      <c r="Q40" s="295"/>
      <c r="R40" s="295"/>
      <c r="S40" s="295"/>
      <c r="T40" s="295"/>
      <c r="U40" s="295"/>
      <c r="V40" s="295"/>
      <c r="W40" s="295"/>
      <c r="X40" s="295"/>
      <c r="Y40" s="295"/>
      <c r="Z40" s="295"/>
      <c r="AA40" s="295"/>
      <c r="AB40" s="295"/>
      <c r="AC40" s="295"/>
      <c r="AD40" s="295"/>
      <c r="AE40" s="295"/>
      <c r="AF40" s="295"/>
      <c r="AG40" s="295"/>
      <c r="AH40" s="295"/>
      <c r="AI40" s="295"/>
      <c r="AJ40" s="295"/>
      <c r="AK40" s="295"/>
    </row>
    <row r="41" spans="1:37" x14ac:dyDescent="0.25">
      <c r="A41" s="295"/>
      <c r="B41" s="295"/>
      <c r="C41" s="295"/>
      <c r="D41" s="295"/>
      <c r="E41" s="295"/>
      <c r="F41" s="295"/>
      <c r="G41" s="295"/>
      <c r="H41" s="295"/>
      <c r="I41" s="295"/>
      <c r="J41" s="295"/>
      <c r="K41" s="295"/>
      <c r="L41" s="295"/>
      <c r="M41" s="295"/>
      <c r="N41" s="295"/>
      <c r="O41" s="295"/>
      <c r="P41" s="295"/>
      <c r="Q41" s="295"/>
      <c r="R41" s="295"/>
      <c r="S41" s="295"/>
      <c r="T41" s="295"/>
      <c r="U41" s="295"/>
      <c r="V41" s="295"/>
      <c r="W41" s="295"/>
      <c r="X41" s="295"/>
      <c r="Y41" s="295"/>
      <c r="Z41" s="295"/>
      <c r="AA41" s="295"/>
      <c r="AB41" s="295"/>
      <c r="AC41" s="295"/>
      <c r="AD41" s="295"/>
      <c r="AE41" s="295"/>
      <c r="AF41" s="295"/>
      <c r="AG41" s="295"/>
      <c r="AH41" s="295"/>
      <c r="AI41" s="295"/>
      <c r="AJ41" s="295"/>
      <c r="AK41" s="295"/>
    </row>
    <row r="42" spans="1:37" x14ac:dyDescent="0.25">
      <c r="A42" s="295"/>
      <c r="B42" s="295"/>
      <c r="C42" s="295"/>
      <c r="D42" s="295"/>
      <c r="E42" s="295"/>
      <c r="F42" s="295"/>
      <c r="G42" s="295"/>
      <c r="H42" s="295"/>
      <c r="I42" s="295"/>
      <c r="J42" s="295"/>
      <c r="K42" s="295"/>
      <c r="L42" s="295"/>
      <c r="M42" s="295"/>
      <c r="N42" s="295"/>
      <c r="O42" s="295"/>
      <c r="P42" s="295"/>
      <c r="Q42" s="295"/>
      <c r="R42" s="295"/>
      <c r="S42" s="295"/>
      <c r="T42" s="295"/>
      <c r="U42" s="295"/>
      <c r="V42" s="295"/>
      <c r="W42" s="295"/>
      <c r="X42" s="295"/>
      <c r="Y42" s="295"/>
      <c r="Z42" s="295"/>
      <c r="AA42" s="295"/>
      <c r="AB42" s="295"/>
      <c r="AC42" s="295"/>
      <c r="AD42" s="295"/>
      <c r="AE42" s="295"/>
      <c r="AF42" s="295"/>
      <c r="AG42" s="295"/>
      <c r="AH42" s="295"/>
      <c r="AI42" s="295"/>
      <c r="AJ42" s="295"/>
      <c r="AK42" s="295"/>
    </row>
    <row r="43" spans="1:37" x14ac:dyDescent="0.25">
      <c r="A43" s="295"/>
      <c r="B43" s="295"/>
      <c r="C43" s="295"/>
      <c r="D43" s="295"/>
      <c r="E43" s="295"/>
      <c r="F43" s="295"/>
      <c r="G43" s="295"/>
      <c r="H43" s="295"/>
      <c r="I43" s="295"/>
      <c r="J43" s="295"/>
      <c r="K43" s="295"/>
      <c r="L43" s="295"/>
      <c r="M43" s="295"/>
      <c r="N43" s="295"/>
      <c r="O43" s="295"/>
      <c r="P43" s="295"/>
      <c r="Q43" s="295"/>
      <c r="R43" s="295"/>
      <c r="S43" s="295"/>
      <c r="T43" s="295"/>
      <c r="U43" s="295"/>
      <c r="V43" s="295"/>
      <c r="W43" s="295"/>
      <c r="X43" s="295"/>
      <c r="Y43" s="295"/>
      <c r="Z43" s="295"/>
      <c r="AA43" s="295"/>
      <c r="AB43" s="295"/>
      <c r="AC43" s="295"/>
      <c r="AD43" s="295"/>
      <c r="AE43" s="295"/>
      <c r="AF43" s="295"/>
      <c r="AG43" s="295"/>
      <c r="AH43" s="295"/>
      <c r="AI43" s="295"/>
      <c r="AJ43" s="295"/>
      <c r="AK43" s="295"/>
    </row>
    <row r="44" spans="1:37" x14ac:dyDescent="0.25">
      <c r="A44" s="295"/>
      <c r="B44" s="295"/>
      <c r="C44" s="295"/>
      <c r="D44" s="295"/>
      <c r="E44" s="295"/>
      <c r="F44" s="295"/>
      <c r="G44" s="295"/>
      <c r="H44" s="295"/>
      <c r="I44" s="295"/>
      <c r="J44" s="295"/>
      <c r="K44" s="295"/>
      <c r="L44" s="295"/>
      <c r="M44" s="295"/>
      <c r="N44" s="295"/>
      <c r="O44" s="295"/>
      <c r="P44" s="295"/>
      <c r="Q44" s="295"/>
      <c r="R44" s="295"/>
      <c r="S44" s="295"/>
      <c r="T44" s="295"/>
      <c r="U44" s="295"/>
      <c r="V44" s="295"/>
      <c r="W44" s="295"/>
      <c r="X44" s="295"/>
      <c r="Y44" s="295"/>
      <c r="Z44" s="295"/>
      <c r="AA44" s="295"/>
      <c r="AB44" s="295"/>
      <c r="AC44" s="295"/>
      <c r="AD44" s="295"/>
      <c r="AE44" s="295"/>
      <c r="AF44" s="295"/>
      <c r="AG44" s="295"/>
      <c r="AH44" s="295"/>
      <c r="AI44" s="295"/>
      <c r="AJ44" s="295"/>
      <c r="AK44" s="295"/>
    </row>
    <row r="45" spans="1:37" x14ac:dyDescent="0.25">
      <c r="A45" s="295"/>
      <c r="B45" s="295"/>
      <c r="C45" s="295"/>
      <c r="D45" s="295"/>
      <c r="E45" s="295"/>
      <c r="F45" s="295"/>
      <c r="G45" s="295"/>
      <c r="H45" s="295"/>
      <c r="I45" s="295"/>
      <c r="J45" s="295"/>
      <c r="K45" s="295"/>
      <c r="L45" s="295"/>
      <c r="M45" s="295"/>
      <c r="N45" s="295"/>
      <c r="O45" s="295"/>
      <c r="P45" s="295"/>
      <c r="Q45" s="295"/>
      <c r="R45" s="295"/>
      <c r="S45" s="295"/>
      <c r="T45" s="295"/>
      <c r="U45" s="295"/>
      <c r="V45" s="295"/>
      <c r="W45" s="295"/>
      <c r="X45" s="295"/>
      <c r="Y45" s="295"/>
      <c r="Z45" s="295"/>
      <c r="AA45" s="295"/>
      <c r="AB45" s="295"/>
      <c r="AC45" s="295"/>
      <c r="AD45" s="295"/>
      <c r="AE45" s="295"/>
      <c r="AF45" s="295"/>
      <c r="AG45" s="295"/>
      <c r="AH45" s="295"/>
      <c r="AI45" s="295"/>
      <c r="AJ45" s="295"/>
      <c r="AK45" s="295"/>
    </row>
    <row r="46" spans="1:37" x14ac:dyDescent="0.25">
      <c r="A46" s="295"/>
      <c r="B46" s="295"/>
      <c r="C46" s="295"/>
      <c r="D46" s="295"/>
      <c r="E46" s="295"/>
      <c r="F46" s="295"/>
      <c r="G46" s="295"/>
      <c r="H46" s="295"/>
      <c r="I46" s="295"/>
      <c r="J46" s="295"/>
      <c r="K46" s="295"/>
      <c r="L46" s="295"/>
      <c r="M46" s="295"/>
      <c r="N46" s="295"/>
      <c r="O46" s="295"/>
      <c r="P46" s="295"/>
      <c r="Q46" s="295"/>
      <c r="R46" s="295"/>
      <c r="S46" s="295"/>
      <c r="T46" s="295"/>
      <c r="U46" s="295"/>
      <c r="V46" s="295"/>
      <c r="W46" s="295"/>
      <c r="X46" s="295"/>
      <c r="Y46" s="295"/>
      <c r="Z46" s="295"/>
      <c r="AA46" s="295"/>
      <c r="AB46" s="295"/>
      <c r="AC46" s="295"/>
      <c r="AD46" s="295"/>
      <c r="AE46" s="295"/>
      <c r="AF46" s="295"/>
      <c r="AG46" s="295"/>
      <c r="AH46" s="295"/>
      <c r="AI46" s="295"/>
      <c r="AJ46" s="295"/>
      <c r="AK46" s="295"/>
    </row>
    <row r="47" spans="1:37" x14ac:dyDescent="0.25">
      <c r="A47" s="295"/>
      <c r="B47" s="295"/>
      <c r="C47" s="295"/>
      <c r="D47" s="295"/>
      <c r="E47" s="295"/>
      <c r="F47" s="295"/>
      <c r="G47" s="295"/>
      <c r="H47" s="295"/>
      <c r="I47" s="295"/>
      <c r="J47" s="295"/>
      <c r="K47" s="295"/>
      <c r="L47" s="295"/>
      <c r="M47" s="295"/>
      <c r="N47" s="295"/>
      <c r="O47" s="295"/>
      <c r="P47" s="295"/>
      <c r="Q47" s="295"/>
      <c r="R47" s="295"/>
      <c r="S47" s="295"/>
      <c r="T47" s="295"/>
      <c r="U47" s="295"/>
      <c r="V47" s="295"/>
      <c r="W47" s="295"/>
      <c r="X47" s="295"/>
      <c r="Y47" s="295"/>
      <c r="Z47" s="295"/>
      <c r="AA47" s="295"/>
      <c r="AB47" s="295"/>
      <c r="AC47" s="295"/>
      <c r="AD47" s="295"/>
      <c r="AE47" s="295"/>
      <c r="AF47" s="295"/>
      <c r="AG47" s="295"/>
      <c r="AH47" s="295"/>
      <c r="AI47" s="295"/>
      <c r="AJ47" s="295"/>
      <c r="AK47" s="295"/>
    </row>
    <row r="48" spans="1:37" x14ac:dyDescent="0.25">
      <c r="A48" s="295"/>
      <c r="B48" s="295"/>
      <c r="C48" s="295"/>
      <c r="D48" s="295"/>
      <c r="E48" s="295"/>
      <c r="F48" s="295"/>
      <c r="G48" s="295"/>
      <c r="H48" s="295"/>
      <c r="I48" s="295"/>
      <c r="J48" s="295"/>
      <c r="K48" s="295"/>
      <c r="L48" s="295"/>
      <c r="M48" s="295"/>
      <c r="N48" s="295"/>
      <c r="O48" s="295"/>
      <c r="P48" s="295"/>
      <c r="Q48" s="295"/>
      <c r="R48" s="295"/>
      <c r="S48" s="295"/>
      <c r="T48" s="295"/>
      <c r="U48" s="295"/>
      <c r="V48" s="295"/>
      <c r="W48" s="295"/>
      <c r="X48" s="295"/>
      <c r="Y48" s="295"/>
      <c r="Z48" s="295"/>
      <c r="AA48" s="295"/>
      <c r="AB48" s="295"/>
      <c r="AC48" s="295"/>
      <c r="AD48" s="295"/>
      <c r="AE48" s="295"/>
      <c r="AF48" s="295"/>
      <c r="AG48" s="295"/>
      <c r="AH48" s="295"/>
      <c r="AI48" s="295"/>
      <c r="AJ48" s="295"/>
      <c r="AK48" s="295"/>
    </row>
    <row r="49" spans="1:37" x14ac:dyDescent="0.25">
      <c r="A49" s="295"/>
      <c r="B49" s="295"/>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row>
    <row r="50" spans="1:37" x14ac:dyDescent="0.25">
      <c r="A50" s="295"/>
      <c r="B50" s="295"/>
      <c r="C50" s="295"/>
      <c r="D50" s="295"/>
      <c r="E50" s="295"/>
      <c r="F50" s="295"/>
      <c r="G50" s="295"/>
      <c r="H50" s="295"/>
      <c r="I50" s="295"/>
      <c r="J50" s="295"/>
      <c r="K50" s="295"/>
      <c r="L50" s="295"/>
      <c r="M50" s="295"/>
      <c r="N50" s="295"/>
      <c r="O50" s="295"/>
      <c r="P50" s="295"/>
      <c r="Q50" s="295"/>
      <c r="R50" s="295"/>
      <c r="S50" s="295"/>
      <c r="T50" s="295"/>
      <c r="U50" s="295"/>
      <c r="V50" s="295"/>
      <c r="W50" s="295"/>
      <c r="X50" s="295"/>
      <c r="Y50" s="295"/>
      <c r="Z50" s="295"/>
      <c r="AA50" s="295"/>
      <c r="AB50" s="295"/>
      <c r="AC50" s="295"/>
      <c r="AD50" s="295"/>
      <c r="AE50" s="295"/>
      <c r="AF50" s="295"/>
      <c r="AG50" s="295"/>
      <c r="AH50" s="295"/>
      <c r="AI50" s="295"/>
      <c r="AJ50" s="295"/>
      <c r="AK50" s="295"/>
    </row>
    <row r="51" spans="1:37" x14ac:dyDescent="0.25">
      <c r="A51" s="295"/>
      <c r="B51" s="295"/>
      <c r="C51" s="295"/>
      <c r="D51" s="295"/>
      <c r="E51" s="295"/>
      <c r="F51" s="295"/>
      <c r="G51" s="295"/>
      <c r="H51" s="295"/>
      <c r="I51" s="295"/>
      <c r="J51" s="295"/>
      <c r="K51" s="295"/>
      <c r="L51" s="295"/>
      <c r="M51" s="295"/>
      <c r="N51" s="295"/>
      <c r="O51" s="295"/>
      <c r="P51" s="295"/>
      <c r="Q51" s="295"/>
      <c r="R51" s="295"/>
      <c r="S51" s="295"/>
      <c r="T51" s="295"/>
      <c r="U51" s="295"/>
      <c r="V51" s="295"/>
      <c r="W51" s="295"/>
      <c r="X51" s="295"/>
      <c r="Y51" s="295"/>
      <c r="Z51" s="295"/>
      <c r="AA51" s="295"/>
      <c r="AB51" s="295"/>
      <c r="AC51" s="295"/>
      <c r="AD51" s="295"/>
      <c r="AE51" s="295"/>
      <c r="AF51" s="295"/>
      <c r="AG51" s="295"/>
      <c r="AH51" s="295"/>
      <c r="AI51" s="295"/>
      <c r="AJ51" s="295"/>
      <c r="AK51" s="295"/>
    </row>
    <row r="52" spans="1:37" x14ac:dyDescent="0.25">
      <c r="A52" s="295"/>
      <c r="B52" s="295"/>
      <c r="C52" s="295"/>
      <c r="D52" s="295"/>
      <c r="E52" s="295"/>
      <c r="F52" s="295"/>
      <c r="G52" s="295"/>
      <c r="H52" s="295"/>
      <c r="I52" s="295"/>
      <c r="J52" s="295"/>
      <c r="K52" s="295"/>
      <c r="L52" s="295"/>
      <c r="M52" s="295"/>
      <c r="N52" s="295"/>
      <c r="O52" s="295"/>
      <c r="P52" s="295"/>
      <c r="Q52" s="295"/>
      <c r="R52" s="295"/>
      <c r="S52" s="295"/>
      <c r="T52" s="295"/>
      <c r="U52" s="295"/>
      <c r="V52" s="295"/>
      <c r="W52" s="295"/>
      <c r="X52" s="295"/>
      <c r="Y52" s="295"/>
      <c r="Z52" s="295"/>
      <c r="AA52" s="295"/>
      <c r="AB52" s="295"/>
      <c r="AC52" s="295"/>
      <c r="AD52" s="295"/>
      <c r="AE52" s="295"/>
      <c r="AF52" s="295"/>
      <c r="AG52" s="295"/>
      <c r="AH52" s="295"/>
      <c r="AI52" s="295"/>
      <c r="AJ52" s="295"/>
      <c r="AK52" s="295"/>
    </row>
    <row r="53" spans="1:37" x14ac:dyDescent="0.25">
      <c r="A53" s="295"/>
      <c r="B53" s="295"/>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c r="AA53" s="295"/>
      <c r="AB53" s="295"/>
      <c r="AC53" s="295"/>
      <c r="AD53" s="295"/>
      <c r="AE53" s="295"/>
      <c r="AF53" s="295"/>
      <c r="AG53" s="295"/>
      <c r="AH53" s="295"/>
      <c r="AI53" s="295"/>
      <c r="AJ53" s="295"/>
      <c r="AK53" s="295"/>
    </row>
    <row r="54" spans="1:37" x14ac:dyDescent="0.25">
      <c r="A54" s="295"/>
      <c r="B54" s="295"/>
      <c r="C54" s="295"/>
      <c r="D54" s="295"/>
      <c r="E54" s="295"/>
      <c r="F54" s="295"/>
      <c r="G54" s="295"/>
      <c r="H54" s="295"/>
      <c r="I54" s="295"/>
      <c r="J54" s="295"/>
      <c r="K54" s="295"/>
      <c r="L54" s="295"/>
      <c r="M54" s="295"/>
      <c r="N54" s="295"/>
      <c r="O54" s="295"/>
      <c r="P54" s="295"/>
      <c r="Q54" s="295"/>
      <c r="R54" s="295"/>
      <c r="S54" s="295"/>
      <c r="T54" s="295"/>
      <c r="U54" s="295"/>
      <c r="V54" s="295"/>
      <c r="W54" s="295"/>
      <c r="X54" s="295"/>
      <c r="Y54" s="295"/>
      <c r="Z54" s="295"/>
      <c r="AA54" s="295"/>
      <c r="AB54" s="295"/>
      <c r="AC54" s="295"/>
      <c r="AD54" s="295"/>
      <c r="AE54" s="295"/>
      <c r="AF54" s="295"/>
      <c r="AG54" s="295"/>
      <c r="AH54" s="295"/>
      <c r="AI54" s="295"/>
      <c r="AJ54" s="295"/>
      <c r="AK54" s="295"/>
    </row>
    <row r="55" spans="1:37" x14ac:dyDescent="0.25">
      <c r="A55" s="295"/>
      <c r="B55" s="295"/>
      <c r="C55" s="295"/>
      <c r="D55" s="295"/>
      <c r="E55" s="295"/>
      <c r="F55" s="295"/>
      <c r="G55" s="295"/>
      <c r="H55" s="295"/>
      <c r="I55" s="295"/>
      <c r="J55" s="295"/>
      <c r="K55" s="295"/>
      <c r="L55" s="295"/>
      <c r="M55" s="295"/>
      <c r="N55" s="295"/>
      <c r="O55" s="295"/>
      <c r="P55" s="295"/>
      <c r="Q55" s="295"/>
      <c r="R55" s="295"/>
      <c r="S55" s="295"/>
      <c r="T55" s="295"/>
      <c r="U55" s="295"/>
      <c r="V55" s="295"/>
      <c r="W55" s="295"/>
      <c r="X55" s="295"/>
      <c r="Y55" s="295"/>
      <c r="Z55" s="295"/>
      <c r="AA55" s="295"/>
      <c r="AB55" s="295"/>
      <c r="AC55" s="295"/>
      <c r="AD55" s="295"/>
      <c r="AE55" s="295"/>
      <c r="AF55" s="295"/>
      <c r="AG55" s="295"/>
      <c r="AH55" s="295"/>
      <c r="AI55" s="295"/>
      <c r="AJ55" s="295"/>
      <c r="AK55" s="295"/>
    </row>
    <row r="56" spans="1:37" x14ac:dyDescent="0.25">
      <c r="A56" s="295"/>
      <c r="B56" s="295"/>
      <c r="C56" s="295"/>
      <c r="D56" s="295"/>
      <c r="E56" s="295"/>
      <c r="F56" s="295"/>
      <c r="G56" s="295"/>
      <c r="H56" s="295"/>
      <c r="I56" s="295"/>
      <c r="J56" s="295"/>
      <c r="K56" s="295"/>
      <c r="L56" s="295"/>
      <c r="M56" s="295"/>
      <c r="N56" s="295"/>
      <c r="O56" s="295"/>
      <c r="P56" s="295"/>
      <c r="Q56" s="295"/>
      <c r="R56" s="295"/>
      <c r="S56" s="295"/>
      <c r="T56" s="295"/>
      <c r="U56" s="295"/>
      <c r="V56" s="295"/>
      <c r="W56" s="295"/>
      <c r="X56" s="295"/>
      <c r="Y56" s="295"/>
      <c r="Z56" s="295"/>
      <c r="AA56" s="295"/>
      <c r="AB56" s="295"/>
      <c r="AC56" s="295"/>
      <c r="AD56" s="295"/>
      <c r="AE56" s="295"/>
      <c r="AF56" s="295"/>
      <c r="AG56" s="295"/>
      <c r="AH56" s="295"/>
      <c r="AI56" s="295"/>
      <c r="AJ56" s="295"/>
      <c r="AK56" s="295"/>
    </row>
    <row r="57" spans="1:37" x14ac:dyDescent="0.25">
      <c r="A57" s="295"/>
      <c r="B57" s="295"/>
      <c r="C57" s="295"/>
      <c r="D57" s="295"/>
      <c r="E57" s="295"/>
      <c r="F57" s="295"/>
      <c r="G57" s="295"/>
      <c r="H57" s="295"/>
      <c r="I57" s="295"/>
      <c r="J57" s="295"/>
      <c r="K57" s="295"/>
      <c r="L57" s="295"/>
      <c r="M57" s="295"/>
      <c r="N57" s="295"/>
      <c r="O57" s="295"/>
      <c r="P57" s="295"/>
      <c r="Q57" s="295"/>
      <c r="R57" s="295"/>
      <c r="S57" s="295"/>
      <c r="T57" s="295"/>
      <c r="U57" s="295"/>
      <c r="V57" s="295"/>
      <c r="W57" s="295"/>
      <c r="X57" s="295"/>
      <c r="Y57" s="295"/>
      <c r="Z57" s="295"/>
      <c r="AA57" s="295"/>
      <c r="AB57" s="295"/>
      <c r="AC57" s="295"/>
      <c r="AD57" s="295"/>
      <c r="AE57" s="295"/>
      <c r="AF57" s="295"/>
      <c r="AG57" s="295"/>
      <c r="AH57" s="295"/>
      <c r="AI57" s="295"/>
      <c r="AJ57" s="295"/>
      <c r="AK57" s="295"/>
    </row>
    <row r="58" spans="1:37" x14ac:dyDescent="0.25">
      <c r="A58" s="295"/>
      <c r="B58" s="295"/>
      <c r="C58" s="295"/>
      <c r="D58" s="295"/>
      <c r="E58" s="295"/>
      <c r="F58" s="295"/>
      <c r="G58" s="295"/>
      <c r="H58" s="295"/>
      <c r="I58" s="295"/>
      <c r="J58" s="295"/>
      <c r="K58" s="295"/>
      <c r="L58" s="295"/>
      <c r="M58" s="295"/>
      <c r="N58" s="295"/>
      <c r="O58" s="295"/>
      <c r="P58" s="295"/>
      <c r="Q58" s="295"/>
      <c r="R58" s="295"/>
      <c r="S58" s="295"/>
      <c r="T58" s="295"/>
      <c r="U58" s="295"/>
      <c r="V58" s="295"/>
      <c r="W58" s="295"/>
      <c r="X58" s="295"/>
      <c r="Y58" s="295"/>
      <c r="Z58" s="295"/>
      <c r="AA58" s="295"/>
      <c r="AB58" s="295"/>
      <c r="AC58" s="295"/>
      <c r="AD58" s="295"/>
      <c r="AE58" s="295"/>
      <c r="AF58" s="295"/>
      <c r="AG58" s="295"/>
      <c r="AH58" s="295"/>
      <c r="AI58" s="295"/>
      <c r="AJ58" s="295"/>
      <c r="AK58" s="295"/>
    </row>
    <row r="59" spans="1:37" x14ac:dyDescent="0.25">
      <c r="A59" s="295"/>
      <c r="B59" s="295"/>
      <c r="C59" s="295"/>
      <c r="D59" s="295"/>
      <c r="E59" s="295"/>
      <c r="F59" s="295"/>
      <c r="G59" s="295"/>
      <c r="H59" s="295"/>
      <c r="I59" s="295"/>
      <c r="J59" s="295"/>
      <c r="K59" s="295"/>
      <c r="L59" s="295"/>
      <c r="M59" s="295"/>
      <c r="N59" s="295"/>
      <c r="O59" s="295"/>
      <c r="P59" s="295"/>
      <c r="Q59" s="295"/>
      <c r="R59" s="295"/>
      <c r="S59" s="295"/>
      <c r="T59" s="295"/>
      <c r="U59" s="295"/>
      <c r="V59" s="295"/>
      <c r="W59" s="295"/>
      <c r="X59" s="295"/>
      <c r="Y59" s="295"/>
      <c r="Z59" s="295"/>
      <c r="AA59" s="295"/>
      <c r="AB59" s="295"/>
      <c r="AC59" s="295"/>
      <c r="AD59" s="295"/>
      <c r="AE59" s="295"/>
      <c r="AF59" s="295"/>
      <c r="AG59" s="295"/>
      <c r="AH59" s="295"/>
      <c r="AI59" s="295"/>
      <c r="AJ59" s="295"/>
      <c r="AK59" s="295"/>
    </row>
    <row r="60" spans="1:37" x14ac:dyDescent="0.25">
      <c r="A60" s="295"/>
      <c r="B60" s="295"/>
      <c r="C60" s="295"/>
      <c r="D60" s="295"/>
      <c r="E60" s="295"/>
      <c r="F60" s="295"/>
      <c r="G60" s="295"/>
      <c r="H60" s="295"/>
      <c r="I60" s="295"/>
      <c r="J60" s="295"/>
      <c r="K60" s="295"/>
      <c r="L60" s="295"/>
      <c r="M60" s="295"/>
      <c r="N60" s="295"/>
      <c r="O60" s="295"/>
      <c r="P60" s="295"/>
      <c r="Q60" s="295"/>
      <c r="R60" s="295"/>
      <c r="S60" s="295"/>
      <c r="T60" s="295"/>
      <c r="U60" s="295"/>
      <c r="V60" s="295"/>
      <c r="W60" s="295"/>
      <c r="X60" s="295"/>
      <c r="Y60" s="295"/>
      <c r="Z60" s="295"/>
      <c r="AA60" s="295"/>
      <c r="AB60" s="295"/>
      <c r="AC60" s="295"/>
      <c r="AD60" s="295"/>
      <c r="AE60" s="295"/>
      <c r="AF60" s="295"/>
      <c r="AG60" s="295"/>
      <c r="AH60" s="295"/>
      <c r="AI60" s="295"/>
      <c r="AJ60" s="295"/>
      <c r="AK60" s="295"/>
    </row>
    <row r="61" spans="1:37" x14ac:dyDescent="0.25">
      <c r="A61" s="295"/>
      <c r="B61" s="295"/>
      <c r="C61" s="295"/>
      <c r="D61" s="295"/>
      <c r="E61" s="295"/>
      <c r="F61" s="295"/>
      <c r="G61" s="295"/>
      <c r="H61" s="295"/>
      <c r="I61" s="295"/>
      <c r="J61" s="295"/>
      <c r="K61" s="295"/>
      <c r="L61" s="295"/>
      <c r="M61" s="295"/>
      <c r="N61" s="295"/>
      <c r="O61" s="295"/>
      <c r="P61" s="295"/>
      <c r="Q61" s="295"/>
      <c r="R61" s="295"/>
      <c r="S61" s="295"/>
      <c r="T61" s="295"/>
      <c r="U61" s="295"/>
      <c r="V61" s="295"/>
      <c r="W61" s="295"/>
      <c r="X61" s="295"/>
      <c r="Y61" s="295"/>
      <c r="Z61" s="295"/>
      <c r="AA61" s="295"/>
      <c r="AB61" s="295"/>
      <c r="AC61" s="295"/>
      <c r="AD61" s="295"/>
      <c r="AE61" s="295"/>
      <c r="AF61" s="295"/>
      <c r="AG61" s="295"/>
      <c r="AH61" s="295"/>
      <c r="AI61" s="295"/>
      <c r="AJ61" s="295"/>
      <c r="AK61" s="295"/>
    </row>
    <row r="62" spans="1:37" x14ac:dyDescent="0.25">
      <c r="A62" s="295"/>
      <c r="B62" s="295"/>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c r="AA62" s="295"/>
      <c r="AB62" s="295"/>
      <c r="AC62" s="295"/>
      <c r="AD62" s="295"/>
      <c r="AE62" s="295"/>
      <c r="AF62" s="295"/>
      <c r="AG62" s="295"/>
      <c r="AH62" s="295"/>
      <c r="AI62" s="295"/>
      <c r="AJ62" s="295"/>
      <c r="AK62" s="295"/>
    </row>
    <row r="63" spans="1:37" x14ac:dyDescent="0.25">
      <c r="A63" s="295"/>
      <c r="B63" s="295"/>
      <c r="C63" s="295"/>
      <c r="D63" s="295"/>
      <c r="E63" s="295"/>
      <c r="F63" s="295"/>
      <c r="G63" s="295"/>
      <c r="H63" s="295"/>
      <c r="I63" s="295"/>
      <c r="J63" s="295"/>
      <c r="K63" s="295"/>
      <c r="L63" s="295"/>
      <c r="M63" s="295"/>
      <c r="N63" s="295"/>
      <c r="O63" s="295"/>
      <c r="P63" s="295"/>
      <c r="Q63" s="295"/>
      <c r="R63" s="295"/>
      <c r="S63" s="295"/>
      <c r="T63" s="295"/>
      <c r="U63" s="295"/>
      <c r="V63" s="295"/>
      <c r="W63" s="295"/>
      <c r="X63" s="295"/>
      <c r="Y63" s="295"/>
      <c r="Z63" s="295"/>
      <c r="AA63" s="295"/>
      <c r="AB63" s="295"/>
      <c r="AC63" s="295"/>
      <c r="AD63" s="295"/>
      <c r="AE63" s="295"/>
      <c r="AF63" s="295"/>
      <c r="AG63" s="295"/>
      <c r="AH63" s="295"/>
      <c r="AI63" s="295"/>
      <c r="AJ63" s="295"/>
      <c r="AK63" s="295"/>
    </row>
    <row r="64" spans="1:37" x14ac:dyDescent="0.25">
      <c r="A64" s="295"/>
      <c r="B64" s="295"/>
      <c r="C64" s="295"/>
      <c r="D64" s="295"/>
      <c r="E64" s="295"/>
      <c r="F64" s="295"/>
      <c r="G64" s="295"/>
      <c r="H64" s="295"/>
      <c r="I64" s="295"/>
      <c r="J64" s="295"/>
      <c r="K64" s="295"/>
      <c r="L64" s="295"/>
      <c r="M64" s="295"/>
      <c r="N64" s="295"/>
      <c r="O64" s="295"/>
      <c r="P64" s="295"/>
      <c r="Q64" s="295"/>
      <c r="R64" s="295"/>
      <c r="S64" s="295"/>
      <c r="T64" s="295"/>
      <c r="U64" s="295"/>
      <c r="V64" s="295"/>
      <c r="W64" s="295"/>
      <c r="X64" s="295"/>
      <c r="Y64" s="295"/>
      <c r="Z64" s="295"/>
      <c r="AA64" s="295"/>
      <c r="AB64" s="295"/>
      <c r="AC64" s="295"/>
      <c r="AD64" s="295"/>
      <c r="AE64" s="295"/>
      <c r="AF64" s="295"/>
      <c r="AG64" s="295"/>
      <c r="AH64" s="295"/>
      <c r="AI64" s="295"/>
      <c r="AJ64" s="295"/>
      <c r="AK64" s="295"/>
    </row>
    <row r="65" spans="1:37" x14ac:dyDescent="0.25">
      <c r="A65" s="295"/>
      <c r="B65" s="295"/>
      <c r="C65" s="295"/>
      <c r="D65" s="295"/>
      <c r="E65" s="295"/>
      <c r="F65" s="295"/>
      <c r="G65" s="295"/>
      <c r="H65" s="295"/>
      <c r="I65" s="295"/>
      <c r="J65" s="295"/>
      <c r="K65" s="295"/>
      <c r="L65" s="295"/>
      <c r="M65" s="295"/>
      <c r="N65" s="295"/>
      <c r="O65" s="295"/>
      <c r="P65" s="295"/>
      <c r="Q65" s="295"/>
      <c r="R65" s="295"/>
      <c r="S65" s="295"/>
      <c r="T65" s="295"/>
      <c r="U65" s="295"/>
      <c r="V65" s="295"/>
      <c r="W65" s="295"/>
      <c r="X65" s="295"/>
      <c r="Y65" s="295"/>
      <c r="Z65" s="295"/>
      <c r="AA65" s="295"/>
      <c r="AB65" s="295"/>
      <c r="AC65" s="295"/>
      <c r="AD65" s="295"/>
      <c r="AE65" s="295"/>
      <c r="AF65" s="295"/>
      <c r="AG65" s="295"/>
      <c r="AH65" s="295"/>
      <c r="AI65" s="295"/>
      <c r="AJ65" s="295"/>
      <c r="AK65" s="295"/>
    </row>
    <row r="66" spans="1:37" x14ac:dyDescent="0.25">
      <c r="A66" s="295"/>
      <c r="B66" s="295"/>
      <c r="C66" s="295"/>
      <c r="D66" s="295"/>
      <c r="E66" s="295"/>
      <c r="F66" s="295"/>
      <c r="G66" s="295"/>
      <c r="H66" s="295"/>
      <c r="I66" s="295"/>
      <c r="J66" s="295"/>
      <c r="K66" s="295"/>
      <c r="L66" s="295"/>
      <c r="M66" s="295"/>
      <c r="N66" s="295"/>
      <c r="O66" s="295"/>
      <c r="P66" s="295"/>
      <c r="Q66" s="295"/>
      <c r="R66" s="295"/>
      <c r="S66" s="295"/>
      <c r="T66" s="295"/>
      <c r="U66" s="295"/>
      <c r="V66" s="295"/>
      <c r="W66" s="295"/>
      <c r="X66" s="295"/>
      <c r="Y66" s="295"/>
      <c r="Z66" s="295"/>
      <c r="AA66" s="295"/>
      <c r="AB66" s="295"/>
      <c r="AC66" s="295"/>
      <c r="AD66" s="295"/>
      <c r="AE66" s="295"/>
      <c r="AF66" s="295"/>
      <c r="AG66" s="295"/>
      <c r="AH66" s="295"/>
      <c r="AI66" s="295"/>
      <c r="AJ66" s="295"/>
      <c r="AK66" s="295"/>
    </row>
    <row r="67" spans="1:37" x14ac:dyDescent="0.25">
      <c r="A67" s="295"/>
      <c r="B67" s="295"/>
      <c r="C67" s="295"/>
      <c r="D67" s="295"/>
      <c r="E67" s="295"/>
      <c r="F67" s="295"/>
      <c r="G67" s="295"/>
      <c r="H67" s="295"/>
      <c r="I67" s="295"/>
      <c r="J67" s="295"/>
      <c r="K67" s="295"/>
      <c r="L67" s="295"/>
      <c r="M67" s="295"/>
      <c r="N67" s="295"/>
      <c r="O67" s="295"/>
      <c r="P67" s="295"/>
      <c r="Q67" s="295"/>
      <c r="R67" s="295"/>
      <c r="S67" s="295"/>
      <c r="T67" s="295"/>
      <c r="U67" s="295"/>
      <c r="V67" s="295"/>
      <c r="W67" s="295"/>
      <c r="X67" s="295"/>
      <c r="Y67" s="295"/>
      <c r="Z67" s="295"/>
      <c r="AA67" s="295"/>
      <c r="AB67" s="295"/>
      <c r="AC67" s="295"/>
      <c r="AD67" s="295"/>
      <c r="AE67" s="295"/>
      <c r="AF67" s="295"/>
      <c r="AG67" s="295"/>
      <c r="AH67" s="295"/>
      <c r="AI67" s="295"/>
      <c r="AJ67" s="295"/>
      <c r="AK67" s="295"/>
    </row>
    <row r="68" spans="1:37" x14ac:dyDescent="0.25">
      <c r="A68" s="295"/>
      <c r="B68" s="295"/>
      <c r="C68" s="295"/>
      <c r="D68" s="295"/>
      <c r="E68" s="295"/>
      <c r="F68" s="295"/>
      <c r="G68" s="295"/>
      <c r="H68" s="295"/>
      <c r="I68" s="295"/>
      <c r="J68" s="295"/>
      <c r="K68" s="295"/>
      <c r="L68" s="295"/>
      <c r="M68" s="295"/>
      <c r="N68" s="295"/>
      <c r="O68" s="295"/>
      <c r="P68" s="295"/>
      <c r="Q68" s="295"/>
      <c r="R68" s="295"/>
      <c r="S68" s="295"/>
      <c r="T68" s="295"/>
      <c r="U68" s="295"/>
      <c r="V68" s="295"/>
      <c r="W68" s="295"/>
      <c r="X68" s="295"/>
      <c r="Y68" s="295"/>
      <c r="Z68" s="295"/>
      <c r="AA68" s="295"/>
      <c r="AB68" s="295"/>
      <c r="AC68" s="295"/>
      <c r="AD68" s="295"/>
      <c r="AE68" s="295"/>
      <c r="AF68" s="295"/>
      <c r="AG68" s="295"/>
      <c r="AH68" s="295"/>
      <c r="AI68" s="295"/>
      <c r="AJ68" s="295"/>
      <c r="AK68" s="295"/>
    </row>
    <row r="69" spans="1:37" x14ac:dyDescent="0.25">
      <c r="A69" s="295"/>
      <c r="B69" s="295"/>
      <c r="C69" s="295"/>
      <c r="D69" s="295"/>
      <c r="E69" s="295"/>
      <c r="F69" s="295"/>
      <c r="G69" s="295"/>
      <c r="H69" s="295"/>
      <c r="I69" s="295"/>
      <c r="J69" s="295"/>
      <c r="K69" s="295"/>
      <c r="L69" s="295"/>
      <c r="M69" s="295"/>
      <c r="N69" s="295"/>
      <c r="O69" s="295"/>
      <c r="P69" s="295"/>
      <c r="Q69" s="295"/>
      <c r="R69" s="295"/>
      <c r="S69" s="295"/>
      <c r="T69" s="295"/>
      <c r="U69" s="295"/>
      <c r="V69" s="295"/>
      <c r="W69" s="295"/>
      <c r="X69" s="295"/>
      <c r="Y69" s="295"/>
      <c r="Z69" s="295"/>
      <c r="AA69" s="295"/>
      <c r="AB69" s="295"/>
      <c r="AC69" s="295"/>
      <c r="AD69" s="295"/>
      <c r="AE69" s="295"/>
      <c r="AF69" s="295"/>
      <c r="AG69" s="295"/>
      <c r="AH69" s="295"/>
      <c r="AI69" s="295"/>
      <c r="AJ69" s="295"/>
      <c r="AK69" s="295"/>
    </row>
    <row r="70" spans="1:37" x14ac:dyDescent="0.25">
      <c r="A70" s="295"/>
      <c r="B70" s="295"/>
      <c r="C70" s="295"/>
      <c r="D70" s="295"/>
      <c r="E70" s="295"/>
      <c r="F70" s="295"/>
      <c r="G70" s="295"/>
      <c r="H70" s="295"/>
      <c r="I70" s="295"/>
      <c r="J70" s="295"/>
      <c r="K70" s="295"/>
      <c r="L70" s="295"/>
      <c r="M70" s="295"/>
      <c r="N70" s="295"/>
      <c r="O70" s="295"/>
      <c r="P70" s="295"/>
      <c r="Q70" s="295"/>
      <c r="R70" s="295"/>
      <c r="S70" s="295"/>
      <c r="T70" s="295"/>
      <c r="U70" s="295"/>
      <c r="V70" s="295"/>
      <c r="W70" s="295"/>
      <c r="X70" s="295"/>
      <c r="Y70" s="295"/>
      <c r="Z70" s="295"/>
      <c r="AA70" s="295"/>
      <c r="AB70" s="295"/>
      <c r="AC70" s="295"/>
      <c r="AD70" s="295"/>
      <c r="AE70" s="295"/>
      <c r="AF70" s="295"/>
      <c r="AG70" s="295"/>
      <c r="AH70" s="295"/>
      <c r="AI70" s="295"/>
      <c r="AJ70" s="295"/>
      <c r="AK70" s="295"/>
    </row>
    <row r="71" spans="1:37" x14ac:dyDescent="0.25">
      <c r="A71" s="295"/>
      <c r="B71" s="295"/>
      <c r="C71" s="295"/>
      <c r="D71" s="295"/>
      <c r="E71" s="295"/>
      <c r="F71" s="295"/>
      <c r="G71" s="295"/>
      <c r="H71" s="295"/>
      <c r="I71" s="295"/>
      <c r="J71" s="295"/>
      <c r="K71" s="295"/>
      <c r="L71" s="295"/>
      <c r="M71" s="295"/>
      <c r="N71" s="295"/>
      <c r="O71" s="295"/>
      <c r="P71" s="295"/>
      <c r="Q71" s="295"/>
      <c r="R71" s="295"/>
      <c r="S71" s="295"/>
      <c r="T71" s="295"/>
      <c r="U71" s="295"/>
      <c r="V71" s="295"/>
      <c r="W71" s="295"/>
      <c r="X71" s="295"/>
      <c r="Y71" s="295"/>
      <c r="Z71" s="295"/>
      <c r="AA71" s="295"/>
      <c r="AB71" s="295"/>
      <c r="AC71" s="295"/>
      <c r="AD71" s="295"/>
      <c r="AE71" s="295"/>
      <c r="AF71" s="295"/>
      <c r="AG71" s="295"/>
      <c r="AH71" s="295"/>
      <c r="AI71" s="295"/>
      <c r="AJ71" s="295"/>
      <c r="AK71" s="295"/>
    </row>
    <row r="72" spans="1:37" x14ac:dyDescent="0.25">
      <c r="A72" s="295"/>
      <c r="B72" s="295"/>
      <c r="C72" s="295"/>
      <c r="D72" s="295"/>
      <c r="E72" s="295"/>
      <c r="F72" s="295"/>
      <c r="G72" s="295"/>
      <c r="H72" s="295"/>
      <c r="I72" s="295"/>
      <c r="J72" s="295"/>
      <c r="K72" s="295"/>
      <c r="L72" s="295"/>
      <c r="M72" s="295"/>
      <c r="N72" s="295"/>
      <c r="O72" s="295"/>
      <c r="P72" s="295"/>
    </row>
    <row r="73" spans="1:37" x14ac:dyDescent="0.25">
      <c r="A73" s="295"/>
      <c r="B73" s="295"/>
      <c r="C73" s="295"/>
      <c r="D73" s="295"/>
      <c r="E73" s="295"/>
      <c r="F73" s="295"/>
      <c r="G73" s="295"/>
      <c r="H73" s="295"/>
      <c r="I73" s="295"/>
      <c r="J73" s="295"/>
      <c r="K73" s="295"/>
      <c r="L73" s="295"/>
      <c r="M73" s="295"/>
      <c r="N73" s="295"/>
      <c r="O73" s="295"/>
      <c r="P73" s="295"/>
    </row>
    <row r="74" spans="1:37" x14ac:dyDescent="0.25">
      <c r="A74" s="295"/>
      <c r="B74" s="295"/>
      <c r="C74" s="295"/>
      <c r="D74" s="295"/>
      <c r="E74" s="295"/>
      <c r="F74" s="295"/>
      <c r="G74" s="295"/>
      <c r="H74" s="295"/>
      <c r="I74" s="295"/>
      <c r="J74" s="295"/>
      <c r="K74" s="295"/>
      <c r="L74" s="295"/>
      <c r="M74" s="295"/>
      <c r="N74" s="295"/>
      <c r="O74" s="295"/>
      <c r="P74" s="295"/>
    </row>
    <row r="75" spans="1:37" x14ac:dyDescent="0.25">
      <c r="A75" s="295"/>
      <c r="B75" s="295"/>
      <c r="C75" s="295"/>
      <c r="D75" s="295"/>
      <c r="E75" s="295"/>
      <c r="F75" s="295"/>
      <c r="G75" s="295"/>
      <c r="H75" s="295"/>
      <c r="I75" s="295"/>
      <c r="J75" s="295"/>
      <c r="K75" s="295"/>
      <c r="L75" s="295"/>
      <c r="M75" s="295"/>
      <c r="N75" s="295"/>
      <c r="O75" s="295"/>
      <c r="P75" s="295"/>
    </row>
  </sheetData>
  <phoneticPr fontId="0" type="noConversion"/>
  <pageMargins left="0.75" right="0.75" top="1" bottom="1" header="0.5" footer="0.5"/>
  <pageSetup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484" r:id="rId4" name="Button 4">
              <controlPr defaultSize="0" print="0" autoFill="0" autoPict="0" macro="[0]!ToWelcome">
                <anchor moveWithCells="1" sizeWithCells="1">
                  <from>
                    <xdr:col>0</xdr:col>
                    <xdr:colOff>152400</xdr:colOff>
                    <xdr:row>8</xdr:row>
                    <xdr:rowOff>144780</xdr:rowOff>
                  </from>
                  <to>
                    <xdr:col>0</xdr:col>
                    <xdr:colOff>426720</xdr:colOff>
                    <xdr:row>23</xdr:row>
                    <xdr:rowOff>68580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autoPageBreaks="0"/>
  </sheetPr>
  <dimension ref="D4:J54"/>
  <sheetViews>
    <sheetView topLeftCell="A48" zoomScale="90" zoomScaleNormal="90" workbookViewId="0"/>
  </sheetViews>
  <sheetFormatPr defaultColWidth="9.109375" defaultRowHeight="15" x14ac:dyDescent="0.25"/>
  <cols>
    <col min="1" max="3" width="9.109375" style="119" customWidth="1"/>
    <col min="4" max="4" width="50" style="119" customWidth="1"/>
    <col min="5" max="5" width="17.88671875" style="119" customWidth="1"/>
    <col min="6" max="7" width="15.6640625" style="119" customWidth="1"/>
    <col min="8" max="8" width="12.6640625" style="119" customWidth="1"/>
    <col min="9" max="9" width="30" style="119" customWidth="1"/>
    <col min="10" max="10" width="12.5546875" style="119" customWidth="1"/>
    <col min="11" max="11" width="14.88671875" style="119" bestFit="1" customWidth="1"/>
    <col min="12" max="19" width="12" style="119" bestFit="1" customWidth="1"/>
    <col min="20" max="16384" width="9.109375" style="119"/>
  </cols>
  <sheetData>
    <row r="4" spans="4:9" ht="15.6" thickBot="1" x14ac:dyDescent="0.3"/>
    <row r="5" spans="4:9" ht="46.5" customHeight="1" thickBot="1" x14ac:dyDescent="0.35">
      <c r="D5" s="220" t="s">
        <v>251</v>
      </c>
      <c r="E5" s="250" t="str">
        <f>Calculations!B226</f>
        <v>Maryland</v>
      </c>
      <c r="F5" s="221" t="s">
        <v>300</v>
      </c>
      <c r="H5" s="206"/>
      <c r="I5" s="206"/>
    </row>
    <row r="6" spans="4:9" x14ac:dyDescent="0.25">
      <c r="D6" s="209"/>
      <c r="E6" s="199"/>
      <c r="F6" s="218"/>
    </row>
    <row r="7" spans="4:9" ht="15.6" x14ac:dyDescent="0.3">
      <c r="D7" s="489" t="str">
        <f>IF(Status!G11="stand-alone hub",Calculations!A161,IF(Status!G11="remote",Calculations!A182,Calculations!A203))</f>
        <v xml:space="preserve"> Costs for a Stand Alone Configuration</v>
      </c>
      <c r="E7" s="490"/>
      <c r="F7" s="491"/>
    </row>
    <row r="8" spans="4:9" ht="31.2" x14ac:dyDescent="0.3">
      <c r="D8" s="185"/>
      <c r="E8" s="131" t="s">
        <v>208</v>
      </c>
      <c r="F8" s="142" t="s">
        <v>222</v>
      </c>
    </row>
    <row r="9" spans="4:9" ht="15.6" x14ac:dyDescent="0.3">
      <c r="D9" s="141" t="s">
        <v>306</v>
      </c>
      <c r="E9" s="492"/>
      <c r="F9" s="432"/>
    </row>
    <row r="10" spans="4:9" ht="24" customHeight="1" x14ac:dyDescent="0.25">
      <c r="D10" s="133" t="s">
        <v>413</v>
      </c>
      <c r="E10" s="136">
        <f>IF(Status!G11="stand-alone hub",Calculations!B163,IF(Status!G11="remote",Calculations!B184,Calculations!B205))</f>
        <v>244800</v>
      </c>
      <c r="F10" s="139">
        <f>IF(Status!G11="stand-alone hub",SUMIF(Calculations!B7:P7,"include",Calculations!B163:P163),IF(Status!G11="remote",SUMIF(Calculations!B7:P7,"include",Calculations!B184:P184),SUMIF(Calculations!B7:P7,"include",Calculations!B205:P205)))</f>
        <v>1069100</v>
      </c>
    </row>
    <row r="11" spans="4:9" ht="24" customHeight="1" x14ac:dyDescent="0.25">
      <c r="D11" s="133" t="s">
        <v>10</v>
      </c>
      <c r="E11" s="136">
        <f>IF(Status!G11="stand-alone hub",Calculations!B164,IF(Status!G11="remote",Calculations!B185,Calculations!B206))</f>
        <v>5600</v>
      </c>
      <c r="F11" s="139">
        <f>IF(Status!G11="stand-alone hub",SUMIF(Calculations!B7:P7,"include",Calculations!B164:P164),IF(Status!G11="remote",SUMIF(Calculations!B7:P7,"include",Calculations!B185:P185),SUMIF(Calculations!B7:P7,"include",Calculations!B206:P206)))</f>
        <v>11400</v>
      </c>
    </row>
    <row r="12" spans="4:9" ht="24" customHeight="1" x14ac:dyDescent="0.25">
      <c r="D12" s="173" t="s">
        <v>254</v>
      </c>
      <c r="E12" s="136">
        <f>IF(Status!G11="stand-alone hub",Calculations!B169+Calculations!B170,IF(Status!G11="remote",Calculations!B190+Calculations!B191,Calculations!B211+Calculations!B212))</f>
        <v>142480</v>
      </c>
      <c r="F12" s="139">
        <f>(IF(Status!G11="stand-alone hub",SUMIF(Calculations!B7:P7,"include",Calculations!B169:P169),IF(Status!G11="remote",SUMIF(Calculations!B7:P7,"include",Calculations!B190:P190),SUMIF(Calculations!B7:P7,"include",Calculations!B211:P211))))+(IF(Status!G11="stand-alone hub",SUMIF(Calculations!B7:P7,"include",Calculations!B170:P170),IF(Status!G11="remote",SUMIF(Calculations!B7:P7,"include",Calculations!B191:P191),SUMIF(Calculations!B7:P7,"include",Calculations!B212:P212))))</f>
        <v>677280</v>
      </c>
    </row>
    <row r="13" spans="4:9" ht="24" customHeight="1" x14ac:dyDescent="0.25">
      <c r="D13" s="173" t="s">
        <v>408</v>
      </c>
      <c r="E13" s="136">
        <f>IF(Status!G11="stand-alone hub",Calculations!B171,IF(Status!G11="remote",Calculations!B192,Calculations!B213))</f>
        <v>0</v>
      </c>
      <c r="F13" s="139">
        <f>IF(Status!G11="stand-alone hub",SUMIF(Calculations!B7:P7,"include",Calculations!B171:P171),IF(Status!G11="remote",SUMIF(Calculations!B7:P7,"include",Calculations!B192:P192),SUMIF(Calculations!B7:P7,"include",Calculations!B213:P213)))</f>
        <v>0</v>
      </c>
    </row>
    <row r="14" spans="4:9" ht="24" customHeight="1" x14ac:dyDescent="0.25">
      <c r="D14" s="173" t="s">
        <v>424</v>
      </c>
      <c r="E14" s="136">
        <f>IF(Status!G11="stand-alone hub",Calculations!B175,IF(Status!G11="remote",Calculations!B196,Calculations!B217))</f>
        <v>0</v>
      </c>
      <c r="F14" s="139">
        <f>IF(Status!G11="stand-alone hub",SUMIF(Calculations!B7:P7,"include",Calculations!B180:P180),IF(Status!G11="remote",SUMIF(Calculations!B7:P7,"include",Calculations!B201:P201),SUMIF(Calculations!B7:P7,"include",Calculations!B222:P222)))</f>
        <v>0</v>
      </c>
    </row>
    <row r="15" spans="4:9" ht="24" customHeight="1" x14ac:dyDescent="0.3">
      <c r="D15" s="219" t="s">
        <v>253</v>
      </c>
      <c r="E15" s="502"/>
      <c r="F15" s="503"/>
    </row>
    <row r="16" spans="4:9" ht="24" customHeight="1" x14ac:dyDescent="0.25">
      <c r="D16" s="244" t="s">
        <v>209</v>
      </c>
      <c r="E16" s="235"/>
      <c r="F16" s="236"/>
    </row>
    <row r="17" spans="4:10" ht="21" customHeight="1" x14ac:dyDescent="0.25">
      <c r="D17" s="245" t="s">
        <v>207</v>
      </c>
      <c r="E17" s="136">
        <f>IF(Status!G11="stand-alone hub",Calculations!B165,IF(Status!G11="remote",Calculations!B186,Calculations!B207))</f>
        <v>1215000</v>
      </c>
      <c r="F17" s="139">
        <f>IF(Status!G11="stand-alone hub",SUMIF(Calculations!B7:P7,"include",Calculations!B165:P165),IF(Status!G11="remote",SUMIF(Calculations!B7:P7,"include",Calculations!B186:P186),SUMIF(Calculations!B7:P7,"include",Calculations!B207:P207)))</f>
        <v>1215000</v>
      </c>
    </row>
    <row r="18" spans="4:10" ht="20.25" customHeight="1" x14ac:dyDescent="0.25">
      <c r="D18" s="173" t="s">
        <v>374</v>
      </c>
      <c r="E18" s="136">
        <f>IF(Status!G11="stand-alone hub",Calculations!B166,IF(Status!G11="remote",Calculations!B187,Calculations!B208))</f>
        <v>60600</v>
      </c>
      <c r="F18" s="139">
        <f>IF(Status!G11="stand-alone hub",SUMIF(Calculations!B7:P7,"include",Calculations!B166:P166),IF(Status!G11="remote",SUMIF(Calculations!B7:P7,"include",Calculations!B187:P187),SUMIF(Calculations!B7:P7,"include",Calculations!B208:P208)))</f>
        <v>60600</v>
      </c>
      <c r="H18" s="208"/>
      <c r="I18" s="208"/>
    </row>
    <row r="19" spans="4:10" ht="21.75" customHeight="1" x14ac:dyDescent="0.25">
      <c r="D19" s="173" t="s">
        <v>312</v>
      </c>
      <c r="E19" s="136">
        <f>IF(Status!G11="stand-alone hub",Calculations!B167,IF(Status!G11="remote",Calculations!B188,Calculations!B209))</f>
        <v>75000</v>
      </c>
      <c r="F19" s="139">
        <f>IF(Status!G11="stand-alone hub",SUMIF(Calculations!B7:P7,"include",Calculations!B167:P167),IF(Status!G11="remote",SUMIF(Calculations!B7:P7,"include",Calculations!B188:P188),SUMIF(Calculations!B7:P7,"include",Calculations!B209:P209)))</f>
        <v>75000</v>
      </c>
      <c r="H19" s="208"/>
    </row>
    <row r="20" spans="4:10" ht="22.5" customHeight="1" x14ac:dyDescent="0.25">
      <c r="D20" s="173" t="s">
        <v>224</v>
      </c>
      <c r="E20" s="136">
        <f>IF(Status!G11="stand-alone hub",Calculations!B168,IF(Status!G11="remote",Calculations!B189,Calculations!B210))</f>
        <v>40000</v>
      </c>
      <c r="F20" s="139">
        <f>IF(Status!G11="stand-alone hub",SUMIF(Calculations!B7:P7,"include",Calculations!B168:P168),IF(Status!G11="remote",SUMIF(Calculations!B7:P7,"include",Calculations!B189:P189),SUMIF(Calculations!B7:P7,"include",Calculations!B210:P210)))</f>
        <v>40000</v>
      </c>
      <c r="H20" s="208"/>
    </row>
    <row r="21" spans="4:10" s="196" customFormat="1" ht="23.25" customHeight="1" x14ac:dyDescent="0.3">
      <c r="D21" s="219" t="s">
        <v>247</v>
      </c>
      <c r="E21" s="502"/>
      <c r="F21" s="503"/>
      <c r="G21" s="207"/>
      <c r="H21" s="207"/>
      <c r="I21" s="207"/>
      <c r="J21" s="207"/>
    </row>
    <row r="22" spans="4:10" s="196" customFormat="1" ht="15.6" x14ac:dyDescent="0.3">
      <c r="D22" s="354" t="s">
        <v>315</v>
      </c>
      <c r="E22" s="216">
        <f>IF(Status!G11="stand-alone hub",Calculations!B176,IF(Status!G11="remote",Calculations!B197,Calculations!B218))</f>
        <v>1783500</v>
      </c>
      <c r="F22" s="217">
        <f>IF(Status!G11="stand-alone hub",SUMIF(Calculations!B7:P7,"include",Calculations!B176:P176),IF(Status!G11="remote",SUMIF(Calculations!B7:P7,"include",Calculations!B197:P197),SUMIF(Calculations!B7:P7,"include",Calculations!B218:P218)))</f>
        <v>3148400</v>
      </c>
      <c r="G22" s="208"/>
      <c r="H22" s="269"/>
    </row>
    <row r="23" spans="4:10" s="196" customFormat="1" ht="23.25" customHeight="1" x14ac:dyDescent="0.3">
      <c r="D23" s="244" t="s">
        <v>45</v>
      </c>
      <c r="E23" s="342">
        <f>IF(Status!G11="stand-alone hub",Calculations!B177,IF(Status!G11="remote",Calculations!B198,Calculations!B219))</f>
        <v>0</v>
      </c>
      <c r="F23" s="343">
        <f>IF(Status!G11="stand-alone hub",SUMIF(Calculations!B7:P7,"include",Calculations!B177:P177),IF(Status!G11="remote",SUMIF(Calculations!B7:P7,"include",Calculations!B198:P198),SUMIF(Calculations!B7:P7,"include",Calculations!B219:P219)))</f>
        <v>0</v>
      </c>
      <c r="G23" s="207"/>
      <c r="H23" s="207"/>
      <c r="I23" s="207"/>
      <c r="J23" s="207"/>
    </row>
    <row r="24" spans="4:10" s="196" customFormat="1" ht="16.2" thickBot="1" x14ac:dyDescent="0.35">
      <c r="D24" s="173" t="s">
        <v>423</v>
      </c>
      <c r="E24" s="136">
        <f>IF(Status!G11="stand-alone hub",Calculations!B178,IF(Status!G11="remote",Calculations!B199,Calculations!B220))</f>
        <v>438000</v>
      </c>
      <c r="F24" s="139">
        <f>IF(Status!G11="stand-alone hub",SUMIF(Calculations!B7:P7,"include",Calculations!B178:P178),IF(Status!G11="remote",SUMIF(Calculations!B7:P7,"include",Calculations!B199:P199),SUMIF(Calculations!B7:P7,"include",Calculations!B220:P220)))</f>
        <v>1885200</v>
      </c>
      <c r="G24" s="208"/>
    </row>
    <row r="25" spans="4:10" s="196" customFormat="1" ht="16.2" thickBot="1" x14ac:dyDescent="0.35">
      <c r="D25" s="497" t="s">
        <v>410</v>
      </c>
      <c r="E25" s="498"/>
      <c r="F25" s="499"/>
      <c r="G25" s="208"/>
    </row>
    <row r="26" spans="4:10" s="196" customFormat="1" ht="15.6" x14ac:dyDescent="0.3">
      <c r="G26" s="208"/>
    </row>
    <row r="27" spans="4:10" ht="12" customHeight="1" thickBot="1" x14ac:dyDescent="0.3"/>
    <row r="28" spans="4:10" s="196" customFormat="1" ht="16.2" hidden="1" thickBot="1" x14ac:dyDescent="0.35">
      <c r="D28" s="200"/>
      <c r="E28" s="268"/>
      <c r="F28" s="268"/>
      <c r="G28" s="208"/>
    </row>
    <row r="29" spans="4:10" s="196" customFormat="1" ht="18.75" customHeight="1" x14ac:dyDescent="0.3">
      <c r="D29" s="428" t="s">
        <v>364</v>
      </c>
      <c r="E29" s="429"/>
      <c r="F29" s="430"/>
      <c r="G29" s="208"/>
    </row>
    <row r="30" spans="4:10" s="196" customFormat="1" ht="54" customHeight="1" x14ac:dyDescent="0.3">
      <c r="D30" s="504" t="s">
        <v>362</v>
      </c>
      <c r="E30" s="505"/>
      <c r="F30" s="274">
        <f>Calculations!B123</f>
        <v>7.2328767123287667</v>
      </c>
      <c r="G30" s="208"/>
    </row>
    <row r="31" spans="4:10" s="196" customFormat="1" ht="51" customHeight="1" x14ac:dyDescent="0.3">
      <c r="D31" s="506" t="str">
        <f>IF(E42&gt;1,IF(E42&gt;Calculations!B33,"Number of shifts exceeds number of FTE lab technicians needed to satisfy workload.  Go to Background State Information sheet and enter a smaller number of shifts.","  "),"  ")</f>
        <v xml:space="preserve">  </v>
      </c>
      <c r="E31" s="507"/>
      <c r="F31" s="508"/>
      <c r="G31" s="208"/>
    </row>
    <row r="32" spans="4:10" s="196" customFormat="1" ht="66.75" customHeight="1" x14ac:dyDescent="0.3">
      <c r="D32" s="509" t="str">
        <f>IF(Calculations!B87&gt;Calculations!B33,"Number of FTE lab technicians needed to staff all locations exceeds number of FTEs to satisfy workload.  Go to Background State Information to select a central imaging operation or go to Performance Assumptions to reduce the number of locations.","  ")</f>
        <v xml:space="preserve">  </v>
      </c>
      <c r="E32" s="510"/>
      <c r="F32" s="511"/>
      <c r="G32" s="208"/>
    </row>
    <row r="33" spans="4:9" s="196" customFormat="1" ht="68.25" customHeight="1" thickBot="1" x14ac:dyDescent="0.35">
      <c r="D33" s="512" t="str">
        <f>IF(Calculations!B89&gt;Calculations!B34,"Number of test fire personnel needed to staff all locations exceeds number to satisfy workload.  Go to Background State Information to select central or mobile test fire operation or go to Performance Assumptions to reduce the number of locations.","  ")</f>
        <v xml:space="preserve">  </v>
      </c>
      <c r="E33" s="513"/>
      <c r="F33" s="514"/>
      <c r="G33" s="208"/>
    </row>
    <row r="34" spans="4:9" s="196" customFormat="1" ht="31.5" customHeight="1" thickBot="1" x14ac:dyDescent="0.35">
      <c r="D34" s="345"/>
      <c r="E34" s="345"/>
      <c r="F34" s="345"/>
      <c r="G34" s="208"/>
    </row>
    <row r="35" spans="4:9" s="196" customFormat="1" ht="51.75" customHeight="1" thickBot="1" x14ac:dyDescent="0.35">
      <c r="D35" s="220" t="s">
        <v>251</v>
      </c>
      <c r="E35" s="344" t="str">
        <f>Calculations!B226</f>
        <v>Maryland</v>
      </c>
      <c r="F35" s="221" t="s">
        <v>411</v>
      </c>
      <c r="G35" s="208"/>
    </row>
    <row r="36" spans="4:9" s="196" customFormat="1" ht="16.2" thickBot="1" x14ac:dyDescent="0.35">
      <c r="D36" s="346"/>
      <c r="E36" s="347"/>
      <c r="F36" s="348"/>
      <c r="G36" s="208"/>
    </row>
    <row r="37" spans="4:9" ht="33" customHeight="1" x14ac:dyDescent="0.3">
      <c r="D37" s="493" t="s">
        <v>299</v>
      </c>
      <c r="E37" s="494"/>
      <c r="F37" s="495"/>
    </row>
    <row r="38" spans="4:9" ht="33" customHeight="1" x14ac:dyDescent="0.3">
      <c r="D38" s="431" t="s">
        <v>380</v>
      </c>
      <c r="E38" s="496"/>
      <c r="F38" s="432"/>
    </row>
    <row r="39" spans="4:9" s="196" customFormat="1" ht="38.25" customHeight="1" x14ac:dyDescent="0.3">
      <c r="D39" s="133" t="s">
        <v>187</v>
      </c>
      <c r="E39" s="500" t="str">
        <f>Status!G9</f>
        <v>shell casings only</v>
      </c>
      <c r="F39" s="501"/>
      <c r="G39" s="202"/>
      <c r="H39" s="202"/>
      <c r="I39" s="208"/>
    </row>
    <row r="40" spans="4:9" s="196" customFormat="1" ht="30.75" customHeight="1" x14ac:dyDescent="0.3">
      <c r="D40" s="133" t="s">
        <v>188</v>
      </c>
      <c r="E40" s="500" t="str">
        <f>Status!G10</f>
        <v>one central location</v>
      </c>
      <c r="F40" s="501"/>
      <c r="G40" s="202"/>
      <c r="H40" s="202"/>
      <c r="I40" s="208"/>
    </row>
    <row r="41" spans="4:9" s="196" customFormat="1" ht="27" customHeight="1" x14ac:dyDescent="0.3">
      <c r="D41" s="133" t="s">
        <v>68</v>
      </c>
      <c r="E41" s="515" t="str">
        <f>Status!G11</f>
        <v>stand-alone hub</v>
      </c>
      <c r="F41" s="516"/>
      <c r="G41" s="202"/>
      <c r="H41" s="202"/>
      <c r="I41" s="208"/>
    </row>
    <row r="42" spans="4:9" s="196" customFormat="1" ht="42.75" customHeight="1" x14ac:dyDescent="0.3">
      <c r="D42" s="151" t="s">
        <v>349</v>
      </c>
      <c r="E42" s="517">
        <f>Status!F12</f>
        <v>1</v>
      </c>
      <c r="F42" s="518"/>
      <c r="I42" s="208"/>
    </row>
    <row r="43" spans="4:9" s="196" customFormat="1" ht="52.5" customHeight="1" x14ac:dyDescent="0.3">
      <c r="D43" s="133" t="s">
        <v>217</v>
      </c>
      <c r="E43" s="500" t="str">
        <f>Status!G14</f>
        <v>one central location</v>
      </c>
      <c r="F43" s="501"/>
      <c r="G43" s="202"/>
      <c r="H43" s="202"/>
      <c r="I43" s="208"/>
    </row>
    <row r="44" spans="4:9" s="196" customFormat="1" ht="51.75" customHeight="1" x14ac:dyDescent="0.3">
      <c r="D44" s="133" t="s">
        <v>317</v>
      </c>
      <c r="E44" s="470" t="str">
        <f>Status!G16</f>
        <v>no</v>
      </c>
      <c r="F44" s="471"/>
      <c r="G44" s="208"/>
    </row>
    <row r="45" spans="4:9" s="196" customFormat="1" ht="45.75" customHeight="1" x14ac:dyDescent="0.3">
      <c r="D45" s="133" t="s">
        <v>197</v>
      </c>
      <c r="E45" s="500" t="str">
        <f>Status!G17</f>
        <v>no</v>
      </c>
      <c r="F45" s="501"/>
      <c r="G45" s="202"/>
      <c r="H45" s="202"/>
      <c r="I45" s="208"/>
    </row>
    <row r="46" spans="4:9" s="196" customFormat="1" ht="27" customHeight="1" x14ac:dyDescent="0.3">
      <c r="D46" s="431" t="s">
        <v>382</v>
      </c>
      <c r="E46" s="496"/>
      <c r="F46" s="432"/>
      <c r="G46" s="202"/>
      <c r="H46" s="202"/>
      <c r="I46" s="208"/>
    </row>
    <row r="47" spans="4:9" s="196" customFormat="1" ht="27" customHeight="1" x14ac:dyDescent="0.3">
      <c r="D47" s="361" t="s">
        <v>442</v>
      </c>
      <c r="E47" s="517">
        <f>'Performance Assumptions'!D69</f>
        <v>1</v>
      </c>
      <c r="F47" s="518"/>
      <c r="G47" s="202"/>
      <c r="H47" s="202"/>
      <c r="I47" s="208"/>
    </row>
    <row r="48" spans="4:9" s="196" customFormat="1" ht="28.5" customHeight="1" thickBot="1" x14ac:dyDescent="0.35">
      <c r="D48" s="140" t="s">
        <v>443</v>
      </c>
      <c r="E48" s="521">
        <f>'Performance Assumptions'!D70</f>
        <v>1</v>
      </c>
      <c r="F48" s="522"/>
      <c r="G48" s="202"/>
      <c r="H48" s="202"/>
      <c r="I48" s="208"/>
    </row>
    <row r="49" spans="4:9" s="196" customFormat="1" ht="30" customHeight="1" x14ac:dyDescent="0.3">
      <c r="D49" s="431" t="s">
        <v>381</v>
      </c>
      <c r="E49" s="496"/>
      <c r="F49" s="432"/>
      <c r="G49" s="202"/>
      <c r="H49" s="202"/>
      <c r="I49" s="208"/>
    </row>
    <row r="50" spans="4:9" s="196" customFormat="1" ht="27" customHeight="1" x14ac:dyDescent="0.3">
      <c r="D50" s="133" t="s">
        <v>223</v>
      </c>
      <c r="E50" s="523">
        <f>'Misc Parameters'!F8</f>
        <v>5</v>
      </c>
      <c r="F50" s="524"/>
      <c r="G50" s="202"/>
      <c r="H50" s="202"/>
      <c r="I50" s="208"/>
    </row>
    <row r="51" spans="4:9" s="196" customFormat="1" ht="27" customHeight="1" thickBot="1" x14ac:dyDescent="0.35">
      <c r="D51" s="140" t="s">
        <v>361</v>
      </c>
      <c r="E51" s="519">
        <f>'Misc Parameters'!F14</f>
        <v>20</v>
      </c>
      <c r="F51" s="520"/>
      <c r="G51" s="202"/>
      <c r="H51" s="202"/>
      <c r="I51" s="208"/>
    </row>
    <row r="54" spans="4:9" s="196" customFormat="1" ht="19.5" customHeight="1" x14ac:dyDescent="0.3">
      <c r="D54" s="119"/>
      <c r="E54" s="119"/>
      <c r="F54" s="119"/>
      <c r="G54" s="202"/>
      <c r="H54" s="202"/>
      <c r="I54" s="208"/>
    </row>
  </sheetData>
  <sheetProtection sheet="1"/>
  <mergeCells count="25">
    <mergeCell ref="E44:F44"/>
    <mergeCell ref="E45:F45"/>
    <mergeCell ref="E42:F42"/>
    <mergeCell ref="E51:F51"/>
    <mergeCell ref="D49:F49"/>
    <mergeCell ref="D46:F46"/>
    <mergeCell ref="E48:F48"/>
    <mergeCell ref="E50:F50"/>
    <mergeCell ref="E47:F47"/>
    <mergeCell ref="E43:F43"/>
    <mergeCell ref="E15:F15"/>
    <mergeCell ref="E21:F21"/>
    <mergeCell ref="D29:F29"/>
    <mergeCell ref="D30:E30"/>
    <mergeCell ref="D31:F31"/>
    <mergeCell ref="D32:F32"/>
    <mergeCell ref="D33:F33"/>
    <mergeCell ref="E40:F40"/>
    <mergeCell ref="E41:F41"/>
    <mergeCell ref="D7:F7"/>
    <mergeCell ref="E9:F9"/>
    <mergeCell ref="D37:F37"/>
    <mergeCell ref="D38:F38"/>
    <mergeCell ref="D25:F25"/>
    <mergeCell ref="E39:F39"/>
  </mergeCells>
  <phoneticPr fontId="0" type="noConversion"/>
  <pageMargins left="1.5" right="0.75" top="1" bottom="0.56000000000000005" header="0.5" footer="0.33"/>
  <pageSetup scale="80" orientation="portrait" r:id="rId1"/>
  <headerFooter alignWithMargins="0"/>
  <rowBreaks count="1" manualBreakCount="1">
    <brk id="34" min="3" max="5" man="1"/>
  </rowBreaks>
  <colBreaks count="1" manualBreakCount="1">
    <brk id="3"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1265" r:id="rId4" name="Button 1">
              <controlPr defaultSize="0" print="0" autoFill="0" autoPict="0" macro="[0]!SummaryToMap">
                <anchor moveWithCells="1" sizeWithCells="1">
                  <from>
                    <xdr:col>3</xdr:col>
                    <xdr:colOff>0</xdr:colOff>
                    <xdr:row>0</xdr:row>
                    <xdr:rowOff>106680</xdr:rowOff>
                  </from>
                  <to>
                    <xdr:col>3</xdr:col>
                    <xdr:colOff>1417320</xdr:colOff>
                    <xdr:row>3</xdr:row>
                    <xdr:rowOff>30480</xdr:rowOff>
                  </to>
                </anchor>
              </controlPr>
            </control>
          </mc:Choice>
        </mc:AlternateContent>
        <mc:AlternateContent xmlns:mc="http://schemas.openxmlformats.org/markup-compatibility/2006">
          <mc:Choice Requires="x14">
            <control shapeId="11267" r:id="rId5" name="Button 3">
              <controlPr defaultSize="0" print="0" autoFill="0" autoPict="0" macro="[0]!ExitCostModel">
                <anchor moveWithCells="1" sizeWithCells="1">
                  <from>
                    <xdr:col>4</xdr:col>
                    <xdr:colOff>883920</xdr:colOff>
                    <xdr:row>0</xdr:row>
                    <xdr:rowOff>83820</xdr:rowOff>
                  </from>
                  <to>
                    <xdr:col>5</xdr:col>
                    <xdr:colOff>944880</xdr:colOff>
                    <xdr:row>3</xdr:row>
                    <xdr:rowOff>15240</xdr:rowOff>
                  </to>
                </anchor>
              </controlPr>
            </control>
          </mc:Choice>
        </mc:AlternateContent>
        <mc:AlternateContent xmlns:mc="http://schemas.openxmlformats.org/markup-compatibility/2006">
          <mc:Choice Requires="x14">
            <control shapeId="11270" r:id="rId6" name="Button 6">
              <controlPr defaultSize="0" autoFill="0" autoPict="0" macro="[0]!PersonnelDetail">
                <anchor moveWithCells="1" sizeWithCells="1">
                  <from>
                    <xdr:col>3</xdr:col>
                    <xdr:colOff>2019300</xdr:colOff>
                    <xdr:row>9</xdr:row>
                    <xdr:rowOff>22860</xdr:rowOff>
                  </from>
                  <to>
                    <xdr:col>3</xdr:col>
                    <xdr:colOff>2651760</xdr:colOff>
                    <xdr:row>9</xdr:row>
                    <xdr:rowOff>274320</xdr:rowOff>
                  </to>
                </anchor>
              </controlPr>
            </control>
          </mc:Choice>
        </mc:AlternateContent>
        <mc:AlternateContent xmlns:mc="http://schemas.openxmlformats.org/markup-compatibility/2006">
          <mc:Choice Requires="x14">
            <control shapeId="11271" r:id="rId7" name="Button 7">
              <controlPr defaultSize="0" autoFill="0" autoPict="0" macro="[0]!FloorspaceDetails">
                <anchor moveWithCells="1" sizeWithCells="1">
                  <from>
                    <xdr:col>3</xdr:col>
                    <xdr:colOff>2026920</xdr:colOff>
                    <xdr:row>13</xdr:row>
                    <xdr:rowOff>22860</xdr:rowOff>
                  </from>
                  <to>
                    <xdr:col>3</xdr:col>
                    <xdr:colOff>2712720</xdr:colOff>
                    <xdr:row>13</xdr:row>
                    <xdr:rowOff>274320</xdr:rowOff>
                  </to>
                </anchor>
              </controlPr>
            </control>
          </mc:Choice>
        </mc:AlternateContent>
        <mc:AlternateContent xmlns:mc="http://schemas.openxmlformats.org/markup-compatibility/2006">
          <mc:Choice Requires="x14">
            <control shapeId="11272" r:id="rId8" name="Button 8">
              <controlPr defaultSize="0" autoFill="0" autoPict="0" macro="[0]!EquipmentDetails">
                <anchor moveWithCells="1" sizeWithCells="1">
                  <from>
                    <xdr:col>3</xdr:col>
                    <xdr:colOff>2019300</xdr:colOff>
                    <xdr:row>15</xdr:row>
                    <xdr:rowOff>38100</xdr:rowOff>
                  </from>
                  <to>
                    <xdr:col>3</xdr:col>
                    <xdr:colOff>2667000</xdr:colOff>
                    <xdr:row>15</xdr:row>
                    <xdr:rowOff>289560</xdr:rowOff>
                  </to>
                </anchor>
              </controlPr>
            </control>
          </mc:Choice>
        </mc:AlternateContent>
        <mc:AlternateContent xmlns:mc="http://schemas.openxmlformats.org/markup-compatibility/2006">
          <mc:Choice Requires="x14">
            <control shapeId="11280" r:id="rId9" name="Button 16">
              <controlPr defaultSize="0" autoFill="0" autoPict="0" macro="[0]!ReviewAssumptions">
                <anchor moveWithCells="1" sizeWithCells="1">
                  <from>
                    <xdr:col>3</xdr:col>
                    <xdr:colOff>114300</xdr:colOff>
                    <xdr:row>7</xdr:row>
                    <xdr:rowOff>121920</xdr:rowOff>
                  </from>
                  <to>
                    <xdr:col>3</xdr:col>
                    <xdr:colOff>3276600</xdr:colOff>
                    <xdr:row>7</xdr:row>
                    <xdr:rowOff>358140</xdr:rowOff>
                  </to>
                </anchor>
              </controlPr>
            </control>
          </mc:Choice>
        </mc:AlternateContent>
        <mc:AlternateContent xmlns:mc="http://schemas.openxmlformats.org/markup-compatibility/2006">
          <mc:Choice Requires="x14">
            <control shapeId="11281" r:id="rId10" name="Button 17">
              <controlPr defaultSize="0" autoFill="0" autoPict="0" macro="[0]!ReturnTop">
                <anchor moveWithCells="1" sizeWithCells="1">
                  <from>
                    <xdr:col>4</xdr:col>
                    <xdr:colOff>304800</xdr:colOff>
                    <xdr:row>36</xdr:row>
                    <xdr:rowOff>220980</xdr:rowOff>
                  </from>
                  <to>
                    <xdr:col>5</xdr:col>
                    <xdr:colOff>754380</xdr:colOff>
                    <xdr:row>36</xdr:row>
                    <xdr:rowOff>411480</xdr:rowOff>
                  </to>
                </anchor>
              </controlPr>
            </control>
          </mc:Choice>
        </mc:AlternateContent>
        <mc:AlternateContent xmlns:mc="http://schemas.openxmlformats.org/markup-compatibility/2006">
          <mc:Choice Requires="x14">
            <control shapeId="11291" r:id="rId11" name="Button 27">
              <controlPr defaultSize="0" print="0" autoFill="0" autoPict="0" macro="[0]!ToResultsDetails">
                <anchor moveWithCells="1" sizeWithCells="1">
                  <from>
                    <xdr:col>3</xdr:col>
                    <xdr:colOff>1653540</xdr:colOff>
                    <xdr:row>51</xdr:row>
                    <xdr:rowOff>167640</xdr:rowOff>
                  </from>
                  <to>
                    <xdr:col>5</xdr:col>
                    <xdr:colOff>182880</xdr:colOff>
                    <xdr:row>53</xdr:row>
                    <xdr:rowOff>91440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autoPageBreaks="0"/>
  </sheetPr>
  <dimension ref="D4:J45"/>
  <sheetViews>
    <sheetView topLeftCell="D39" zoomScale="90" zoomScaleNormal="90" workbookViewId="0"/>
  </sheetViews>
  <sheetFormatPr defaultColWidth="9.109375" defaultRowHeight="15" x14ac:dyDescent="0.25"/>
  <cols>
    <col min="1" max="3" width="9.109375" style="119" customWidth="1"/>
    <col min="4" max="4" width="50" style="119" customWidth="1"/>
    <col min="5" max="5" width="14.88671875" style="119" customWidth="1"/>
    <col min="6" max="6" width="15.6640625" style="119" customWidth="1"/>
    <col min="7" max="7" width="19.5546875" style="119" customWidth="1"/>
    <col min="8" max="8" width="19" style="119" customWidth="1"/>
    <col min="9" max="9" width="30" style="119" customWidth="1"/>
    <col min="10" max="10" width="12.5546875" style="119" customWidth="1"/>
    <col min="11" max="11" width="14.88671875" style="119" bestFit="1" customWidth="1"/>
    <col min="12" max="19" width="12" style="119" bestFit="1" customWidth="1"/>
    <col min="20" max="16384" width="9.109375" style="119"/>
  </cols>
  <sheetData>
    <row r="4" spans="4:10" ht="15.6" thickBot="1" x14ac:dyDescent="0.3"/>
    <row r="5" spans="4:10" ht="31.5" customHeight="1" thickBot="1" x14ac:dyDescent="0.35">
      <c r="D5" s="220" t="s">
        <v>316</v>
      </c>
      <c r="E5" s="532" t="str">
        <f>Calculations!B226</f>
        <v>Maryland</v>
      </c>
      <c r="F5" s="532"/>
      <c r="G5" s="533"/>
      <c r="H5" s="206"/>
      <c r="I5" s="206"/>
    </row>
    <row r="6" spans="4:10" s="196" customFormat="1" ht="15.6" x14ac:dyDescent="0.3">
      <c r="D6" s="209"/>
      <c r="E6" s="199"/>
      <c r="F6" s="200"/>
      <c r="G6" s="210"/>
      <c r="H6" s="202"/>
      <c r="I6" s="208"/>
    </row>
    <row r="7" spans="4:10" s="196" customFormat="1" ht="25.5" customHeight="1" thickBot="1" x14ac:dyDescent="0.35">
      <c r="D7" s="378" t="s">
        <v>414</v>
      </c>
      <c r="E7" s="377"/>
      <c r="F7" s="377"/>
      <c r="G7" s="379"/>
      <c r="H7" s="202"/>
      <c r="I7" s="208"/>
    </row>
    <row r="8" spans="4:10" s="196" customFormat="1" ht="50.25" customHeight="1" x14ac:dyDescent="0.3">
      <c r="D8" s="132" t="s">
        <v>237</v>
      </c>
      <c r="E8" s="211" t="s">
        <v>363</v>
      </c>
      <c r="F8" s="211" t="s">
        <v>189</v>
      </c>
      <c r="G8" s="212" t="s">
        <v>222</v>
      </c>
      <c r="H8" s="202"/>
      <c r="I8" s="202"/>
      <c r="J8" s="208"/>
    </row>
    <row r="9" spans="4:10" s="196" customFormat="1" ht="20.25" customHeight="1" x14ac:dyDescent="0.3">
      <c r="D9" s="214" t="str">
        <f>Calculations!A87</f>
        <v>Lab Technician</v>
      </c>
      <c r="E9" s="213">
        <f>IF(Status!G11="stand-alone hub",Calculations!B33,Calculations!B87)</f>
        <v>2.1</v>
      </c>
      <c r="F9" s="136">
        <f>Calculations!B99</f>
        <v>60900</v>
      </c>
      <c r="G9" s="139">
        <f>SUMIF(Calculations!B7:P7,"include",Calculations!B99:P99)</f>
        <v>331400</v>
      </c>
      <c r="H9" s="545"/>
      <c r="I9" s="546"/>
      <c r="J9" s="546"/>
    </row>
    <row r="10" spans="4:10" s="196" customFormat="1" ht="15.6" x14ac:dyDescent="0.3">
      <c r="D10" s="214" t="str">
        <f>Calculations!A88</f>
        <v>Technician Manager</v>
      </c>
      <c r="E10" s="213">
        <f>IF(Status!G11="stand-alone hub",Calculations!B35,Calculations!B88)</f>
        <v>0.2</v>
      </c>
      <c r="F10" s="136">
        <f>Calculations!B100</f>
        <v>10000</v>
      </c>
      <c r="G10" s="139">
        <f>SUMIF(Calculations!B7:P7,"include",Calculations!B100:P100)</f>
        <v>54400</v>
      </c>
      <c r="H10" s="204"/>
      <c r="I10" s="202"/>
      <c r="J10" s="208"/>
    </row>
    <row r="11" spans="4:10" s="196" customFormat="1" ht="30.6" x14ac:dyDescent="0.3">
      <c r="D11" s="214" t="str">
        <f>Calculations!A89</f>
        <v>State personnel to fire weapons and collect samples</v>
      </c>
      <c r="E11" s="213">
        <f>Calculations!B89</f>
        <v>4.4000000000000004</v>
      </c>
      <c r="F11" s="136">
        <f>Calculations!B101</f>
        <v>158400</v>
      </c>
      <c r="G11" s="139">
        <f>SUMIF(Calculations!B7:P7,"include",Calculations!B101:P101)</f>
        <v>599500</v>
      </c>
      <c r="H11" s="202"/>
      <c r="I11" s="202"/>
      <c r="J11" s="208"/>
    </row>
    <row r="12" spans="4:10" s="196" customFormat="1" ht="15.6" x14ac:dyDescent="0.3">
      <c r="D12" s="133" t="str">
        <f>Calculations!A90</f>
        <v>Firearms Toolmark Examiner</v>
      </c>
      <c r="E12" s="213">
        <f>Calculations!B90</f>
        <v>0.2</v>
      </c>
      <c r="F12" s="136">
        <f>Calculations!B102</f>
        <v>8600</v>
      </c>
      <c r="G12" s="139">
        <f>SUMIF(Calculations!B7:P7,"include",Calculations!B102:P102)</f>
        <v>46800</v>
      </c>
      <c r="H12" s="202"/>
      <c r="I12" s="202"/>
      <c r="J12" s="208"/>
    </row>
    <row r="13" spans="4:10" s="196" customFormat="1" ht="15.6" x14ac:dyDescent="0.3">
      <c r="D13" s="214" t="str">
        <f>Calculations!A91</f>
        <v xml:space="preserve">Inventory Control Specialist </v>
      </c>
      <c r="E13" s="213">
        <f>Calculations!B91</f>
        <v>0.1</v>
      </c>
      <c r="F13" s="136">
        <f>Calculations!B103</f>
        <v>3800</v>
      </c>
      <c r="G13" s="139">
        <f>SUMIF(Calculations!B7:P7,"include",Calculations!B103:P103)</f>
        <v>20800</v>
      </c>
      <c r="H13" s="204"/>
      <c r="I13" s="202"/>
      <c r="J13" s="208"/>
    </row>
    <row r="14" spans="4:10" s="196" customFormat="1" ht="15.6" x14ac:dyDescent="0.3">
      <c r="D14" s="214" t="str">
        <f>Calculations!A92</f>
        <v>Office Clerk or other</v>
      </c>
      <c r="E14" s="213">
        <f>Calculations!B92</f>
        <v>0.1</v>
      </c>
      <c r="F14" s="136">
        <f>Calculations!B104</f>
        <v>3100</v>
      </c>
      <c r="G14" s="139">
        <f>SUMIF(Calculations!B7:P7,"include",Calculations!B104:P104)</f>
        <v>17000</v>
      </c>
      <c r="H14" s="237"/>
      <c r="I14" s="202"/>
      <c r="J14" s="208"/>
    </row>
    <row r="15" spans="4:10" s="196" customFormat="1" ht="15.6" x14ac:dyDescent="0.3">
      <c r="D15" s="214" t="str">
        <f>Calculations!A93</f>
        <v xml:space="preserve">Dealer and Community Liaison </v>
      </c>
      <c r="E15" s="213">
        <f>Calculations!B93</f>
        <v>0</v>
      </c>
      <c r="F15" s="136">
        <f>Calculations!B105</f>
        <v>0</v>
      </c>
      <c r="G15" s="139">
        <f>SUMIF(Calculations!B7:P7,"include",Calculations!B105:P105)</f>
        <v>0</v>
      </c>
      <c r="H15" s="202"/>
      <c r="I15" s="202"/>
      <c r="J15" s="208"/>
    </row>
    <row r="16" spans="4:10" s="196" customFormat="1" ht="15.6" x14ac:dyDescent="0.3">
      <c r="D16" s="214" t="str">
        <f>Calculations!A94</f>
        <v xml:space="preserve">Legal Counsel to Enforce Imaging Laws </v>
      </c>
      <c r="E16" s="213">
        <f>Calculations!B94</f>
        <v>0</v>
      </c>
      <c r="F16" s="136">
        <f>Calculations!B106</f>
        <v>0</v>
      </c>
      <c r="G16" s="139">
        <f>SUMIF(Calculations!B7:P7,"include",Calculations!B106:P106)</f>
        <v>0</v>
      </c>
      <c r="H16" s="202"/>
      <c r="I16" s="202"/>
      <c r="J16" s="208"/>
    </row>
    <row r="17" spans="4:10" s="196" customFormat="1" ht="30.6" x14ac:dyDescent="0.3">
      <c r="D17" s="214" t="str">
        <f>Calculations!A95</f>
        <v xml:space="preserve">FTI/Vendor representative on site for training and support </v>
      </c>
      <c r="E17" s="213">
        <f>Calculations!B95</f>
        <v>1</v>
      </c>
      <c r="F17" s="136">
        <f>Calculations!B107</f>
        <v>0</v>
      </c>
      <c r="G17" s="139">
        <f>SUMIF(Calculations!B7:P7,"include",Calculations!B107:P107)</f>
        <v>0</v>
      </c>
      <c r="H17" s="202"/>
      <c r="I17" s="202"/>
      <c r="J17" s="208"/>
    </row>
    <row r="18" spans="4:10" s="196" customFormat="1" ht="15.6" x14ac:dyDescent="0.3">
      <c r="D18" s="547" t="s">
        <v>245</v>
      </c>
      <c r="E18" s="548"/>
      <c r="F18" s="216">
        <f>SUM(F9:F17)</f>
        <v>244800</v>
      </c>
      <c r="G18" s="217">
        <f>SUM(G9:G17)</f>
        <v>1069900</v>
      </c>
      <c r="H18" s="202"/>
      <c r="I18" s="202"/>
      <c r="J18" s="208"/>
    </row>
    <row r="19" spans="4:10" s="196" customFormat="1" ht="16.2" thickBot="1" x14ac:dyDescent="0.35">
      <c r="D19" s="540" t="s">
        <v>410</v>
      </c>
      <c r="E19" s="541"/>
      <c r="F19" s="541"/>
      <c r="G19" s="542"/>
      <c r="H19" s="202"/>
      <c r="I19" s="202"/>
      <c r="J19" s="208"/>
    </row>
    <row r="20" spans="4:10" s="196" customFormat="1" ht="21.75" customHeight="1" x14ac:dyDescent="0.3">
      <c r="D20" s="428" t="s">
        <v>209</v>
      </c>
      <c r="E20" s="429"/>
      <c r="F20" s="429"/>
      <c r="G20" s="430"/>
      <c r="H20" s="202"/>
      <c r="I20" s="202"/>
      <c r="J20" s="208"/>
    </row>
    <row r="21" spans="4:10" s="196" customFormat="1" ht="53.25" customHeight="1" x14ac:dyDescent="0.3">
      <c r="D21" s="132"/>
      <c r="E21" s="492" t="s">
        <v>332</v>
      </c>
      <c r="F21" s="549"/>
      <c r="G21" s="142" t="s">
        <v>415</v>
      </c>
      <c r="H21" s="202"/>
      <c r="I21" s="202"/>
      <c r="J21" s="208"/>
    </row>
    <row r="22" spans="4:10" s="196" customFormat="1" ht="16.2" thickBot="1" x14ac:dyDescent="0.35">
      <c r="D22" s="534" t="s">
        <v>190</v>
      </c>
      <c r="E22" s="535"/>
      <c r="F22" s="535"/>
      <c r="G22" s="536"/>
      <c r="H22" s="202"/>
      <c r="I22" s="202"/>
      <c r="J22" s="208"/>
    </row>
    <row r="23" spans="4:10" s="196" customFormat="1" ht="18.600000000000001" thickTop="1" x14ac:dyDescent="0.3">
      <c r="D23" s="305" t="s">
        <v>400</v>
      </c>
      <c r="E23" s="543">
        <f>IF(Status!G11="stand-alone hub",Calculations!B138,IF(Status!G11="remote",Calculations!C138,Calculations!D138))</f>
        <v>1</v>
      </c>
      <c r="F23" s="544"/>
      <c r="G23" s="352">
        <f>E23*'Cost Assumptions'!C10</f>
        <v>465000</v>
      </c>
      <c r="H23" s="202"/>
      <c r="I23" s="202"/>
      <c r="J23" s="208"/>
    </row>
    <row r="24" spans="4:10" s="196" customFormat="1" ht="18" x14ac:dyDescent="0.3">
      <c r="D24" s="305" t="s">
        <v>401</v>
      </c>
      <c r="E24" s="530">
        <f>IF(Status!G11="stand-alone hub",Calculations!B139,IF(Status!G11="remote",Calculations!C139,Calculations!D139))</f>
        <v>0</v>
      </c>
      <c r="F24" s="531"/>
      <c r="G24" s="352">
        <f>E24*'Cost Assumptions'!C11</f>
        <v>0</v>
      </c>
      <c r="H24" s="202"/>
      <c r="I24" s="202"/>
      <c r="J24" s="208"/>
    </row>
    <row r="25" spans="4:10" s="196" customFormat="1" ht="15.6" x14ac:dyDescent="0.3">
      <c r="D25" s="133" t="s">
        <v>5</v>
      </c>
      <c r="E25" s="530">
        <f>IF(Status!G11="stand-alone hub",Calculations!B140,IF(Status!G11="remote",Calculations!C140,Calculations!D140))</f>
        <v>0</v>
      </c>
      <c r="F25" s="531"/>
      <c r="G25" s="353">
        <f>E25*'Cost Assumptions'!C12</f>
        <v>0</v>
      </c>
      <c r="I25" s="202"/>
      <c r="J25" s="208"/>
    </row>
    <row r="26" spans="4:10" x14ac:dyDescent="0.25">
      <c r="D26" s="133" t="s">
        <v>404</v>
      </c>
      <c r="E26" s="530">
        <f>IF(Status!G11="stand-alone hub",Calculations!B141,IF(Status!G11="remote",Calculations!C141,Calculations!D141))</f>
        <v>3</v>
      </c>
      <c r="F26" s="531"/>
      <c r="G26" s="353">
        <f>E26*'Cost Assumptions'!C13</f>
        <v>750000</v>
      </c>
    </row>
    <row r="27" spans="4:10" x14ac:dyDescent="0.25">
      <c r="D27" s="215" t="s">
        <v>422</v>
      </c>
      <c r="E27" s="525">
        <f>IF(Status!G11="stand-alone hub",Calculations!B142,IF(Status!G11="remote",Calculations!C142,Calculations!D142))</f>
        <v>1</v>
      </c>
      <c r="F27" s="526"/>
      <c r="G27" s="353">
        <f>E27*'Cost Assumptions'!C14</f>
        <v>0</v>
      </c>
    </row>
    <row r="28" spans="4:10" ht="16.2" thickBot="1" x14ac:dyDescent="0.35">
      <c r="D28" s="534" t="s">
        <v>374</v>
      </c>
      <c r="E28" s="535"/>
      <c r="F28" s="535"/>
      <c r="G28" s="536"/>
    </row>
    <row r="29" spans="4:10" ht="15.6" thickTop="1" x14ac:dyDescent="0.25">
      <c r="D29" s="133" t="s">
        <v>11</v>
      </c>
      <c r="E29" s="528">
        <f>IF(Status!G11="stand-alone hub",Calculations!B144,IF(Status!G11="remote",Calculations!C144,Calculations!D144))</f>
        <v>1</v>
      </c>
      <c r="F29" s="529"/>
      <c r="G29" s="352">
        <f>E29*'Cost Assumptions'!C15</f>
        <v>200</v>
      </c>
    </row>
    <row r="30" spans="4:10" x14ac:dyDescent="0.25">
      <c r="D30" s="133" t="s">
        <v>26</v>
      </c>
      <c r="E30" s="525">
        <f>IF(Status!G11="stand-alone hub",Calculations!B145,IF(Status!G11="remote",Calculations!C145,Calculations!D145))</f>
        <v>1</v>
      </c>
      <c r="F30" s="526"/>
      <c r="G30" s="352">
        <f>E30*'Cost Assumptions'!C16</f>
        <v>0</v>
      </c>
    </row>
    <row r="31" spans="4:10" x14ac:dyDescent="0.25">
      <c r="D31" s="133" t="s">
        <v>27</v>
      </c>
      <c r="E31" s="525">
        <f>IF(Status!G11="stand-alone hub",Calculations!B146,IF(Status!G11="remote",Calculations!C146,Calculations!D146))</f>
        <v>1</v>
      </c>
      <c r="F31" s="526"/>
      <c r="G31" s="352">
        <f>E31*'Cost Assumptions'!C17</f>
        <v>0</v>
      </c>
    </row>
    <row r="32" spans="4:10" x14ac:dyDescent="0.25">
      <c r="D32" s="133" t="s">
        <v>41</v>
      </c>
      <c r="E32" s="525">
        <f>IF(Status!G11="stand-alone hub",Calculations!B147,IF(Status!G11="remote",Calculations!C147,Calculations!D147))</f>
        <v>0</v>
      </c>
      <c r="F32" s="526"/>
      <c r="G32" s="352">
        <f>E32*'Cost Assumptions'!C18</f>
        <v>0</v>
      </c>
    </row>
    <row r="33" spans="4:10" x14ac:dyDescent="0.25">
      <c r="D33" s="133" t="s">
        <v>12</v>
      </c>
      <c r="E33" s="525">
        <f>IF(Status!G11="stand-alone hub",Calculations!B148,IF(Status!G11="remote",Calculations!C148,Calculations!D148))</f>
        <v>2</v>
      </c>
      <c r="F33" s="526"/>
      <c r="G33" s="352">
        <f>E33*'Cost Assumptions'!C19</f>
        <v>400</v>
      </c>
    </row>
    <row r="34" spans="4:10" x14ac:dyDescent="0.25">
      <c r="D34" s="133" t="s">
        <v>331</v>
      </c>
      <c r="E34" s="525">
        <f>IF(Status!G11="stand-alone hub",Calculations!B149,IF(Status!G11="remote",Calculations!C149,Calculations!D149))</f>
        <v>75</v>
      </c>
      <c r="F34" s="526"/>
      <c r="G34" s="352">
        <f>E34*'Cost Assumptions'!C20</f>
        <v>60000</v>
      </c>
    </row>
    <row r="35" spans="4:10" ht="16.2" thickBot="1" x14ac:dyDescent="0.35">
      <c r="D35" s="534" t="s">
        <v>312</v>
      </c>
      <c r="E35" s="535"/>
      <c r="F35" s="535"/>
      <c r="G35" s="536"/>
      <c r="H35" s="199"/>
      <c r="I35" s="199"/>
      <c r="J35" s="199"/>
    </row>
    <row r="36" spans="4:10" ht="15.6" thickTop="1" x14ac:dyDescent="0.25">
      <c r="D36" s="215" t="s">
        <v>2</v>
      </c>
      <c r="E36" s="528">
        <f>IF(Status!G11="stand-alone hub",Calculations!B151,IF(Status!G11="remote",Calculations!C151,Calculations!D151))</f>
        <v>1</v>
      </c>
      <c r="F36" s="529"/>
      <c r="G36" s="352">
        <f>E36*'Cost Assumptions'!C21</f>
        <v>40000</v>
      </c>
      <c r="H36" s="199"/>
      <c r="I36" s="199"/>
      <c r="J36" s="199"/>
    </row>
    <row r="37" spans="4:10" x14ac:dyDescent="0.25">
      <c r="D37" s="133" t="s">
        <v>14</v>
      </c>
      <c r="E37" s="525">
        <f>IF(Status!G11="stand-alone hub",Calculations!B152,IF(Status!G11="remote",Calculations!C152,Calculations!D152))</f>
        <v>1</v>
      </c>
      <c r="F37" s="526"/>
      <c r="G37" s="352">
        <f>E37*'Cost Assumptions'!C22</f>
        <v>35000</v>
      </c>
      <c r="H37" s="199"/>
      <c r="I37" s="199"/>
      <c r="J37" s="199"/>
    </row>
    <row r="38" spans="4:10" ht="16.2" thickBot="1" x14ac:dyDescent="0.35">
      <c r="D38" s="537" t="s">
        <v>224</v>
      </c>
      <c r="E38" s="538"/>
      <c r="F38" s="538"/>
      <c r="G38" s="539"/>
    </row>
    <row r="39" spans="4:10" ht="15.6" thickTop="1" x14ac:dyDescent="0.25">
      <c r="D39" s="215" t="s">
        <v>28</v>
      </c>
      <c r="E39" s="528">
        <f>IF(Status!G11="stand-alone hub",Calculations!B156,IF(Status!G11="remote",Calculations!C156,Calculations!D156))</f>
        <v>2</v>
      </c>
      <c r="F39" s="529"/>
      <c r="G39" s="352">
        <f>E39*'Cost Assumptions'!C23</f>
        <v>40000</v>
      </c>
    </row>
    <row r="40" spans="4:10" x14ac:dyDescent="0.25">
      <c r="D40" s="133" t="s">
        <v>6</v>
      </c>
      <c r="E40" s="525">
        <f>IF(Status!G11="stand-alone hub",Calculations!B158,IF(Status!G11="remote",Calculations!C158,Calculations!D158))</f>
        <v>0</v>
      </c>
      <c r="F40" s="526"/>
      <c r="G40" s="352">
        <f>E40*'Cost Assumptions'!C24</f>
        <v>0</v>
      </c>
    </row>
    <row r="41" spans="4:10" ht="15.6" thickBot="1" x14ac:dyDescent="0.3">
      <c r="D41" s="140" t="s">
        <v>377</v>
      </c>
      <c r="E41" s="521">
        <f>IF(Status!G11="stand-alone hub",Calculations!B159,IF(Status!G11="remote",Calculations!C159,Calculations!D159))</f>
        <v>0</v>
      </c>
      <c r="F41" s="527"/>
      <c r="G41" s="352">
        <f>E41*'Cost Assumptions'!C25</f>
        <v>0</v>
      </c>
    </row>
    <row r="42" spans="4:10" ht="26.25" customHeight="1" x14ac:dyDescent="0.3">
      <c r="D42" s="428" t="s">
        <v>385</v>
      </c>
      <c r="E42" s="429"/>
      <c r="F42" s="429"/>
      <c r="G42" s="430"/>
    </row>
    <row r="43" spans="4:10" ht="43.5" customHeight="1" x14ac:dyDescent="0.25">
      <c r="D43" s="133" t="s">
        <v>386</v>
      </c>
      <c r="E43" s="260">
        <f>IF(Status!G11="stand-alone hub",Calculations!B172,IF(Status!G11="remote",Calculations!B193,Calculations!B214))</f>
        <v>637</v>
      </c>
      <c r="F43" s="251"/>
      <c r="G43" s="261">
        <f>E43*'Cost Assumptions'!C29</f>
        <v>0</v>
      </c>
    </row>
    <row r="44" spans="4:10" ht="34.5" customHeight="1" x14ac:dyDescent="0.25">
      <c r="D44" s="133" t="s">
        <v>387</v>
      </c>
      <c r="E44" s="260">
        <f>IF(Status!G11="stand-alone hub",Calculations!B173,IF(Status!G11="remote",Calculations!B194,Calculations!B215))</f>
        <v>71</v>
      </c>
      <c r="F44" s="251"/>
      <c r="G44" s="261">
        <f>E44*'Cost Assumptions'!C29</f>
        <v>0</v>
      </c>
    </row>
    <row r="45" spans="4:10" ht="15.6" thickBot="1" x14ac:dyDescent="0.3">
      <c r="D45" s="140" t="s">
        <v>388</v>
      </c>
      <c r="E45" s="258">
        <f>IF(Status!G11="stand-alone hub",Calculations!B174,IF(Status!G11="remote",Calculations!B195,Calculations!B216))</f>
        <v>810.00000000000011</v>
      </c>
      <c r="F45" s="259"/>
      <c r="G45" s="262">
        <f>E45*'Cost Assumptions'!C29</f>
        <v>0</v>
      </c>
    </row>
  </sheetData>
  <sheetProtection sheet="1"/>
  <mergeCells count="28">
    <mergeCell ref="H9:J9"/>
    <mergeCell ref="D18:E18"/>
    <mergeCell ref="D20:G20"/>
    <mergeCell ref="E21:F21"/>
    <mergeCell ref="E5:G5"/>
    <mergeCell ref="D7:G7"/>
    <mergeCell ref="D22:G22"/>
    <mergeCell ref="D42:G42"/>
    <mergeCell ref="D35:G35"/>
    <mergeCell ref="D38:G38"/>
    <mergeCell ref="D28:G28"/>
    <mergeCell ref="D19:G19"/>
    <mergeCell ref="E23:F23"/>
    <mergeCell ref="E24:F24"/>
    <mergeCell ref="E30:F30"/>
    <mergeCell ref="E31:F31"/>
    <mergeCell ref="E32:F32"/>
    <mergeCell ref="E33:F33"/>
    <mergeCell ref="E25:F25"/>
    <mergeCell ref="E26:F26"/>
    <mergeCell ref="E27:F27"/>
    <mergeCell ref="E29:F29"/>
    <mergeCell ref="E40:F40"/>
    <mergeCell ref="E41:F41"/>
    <mergeCell ref="E34:F34"/>
    <mergeCell ref="E36:F36"/>
    <mergeCell ref="E37:F37"/>
    <mergeCell ref="E39:F39"/>
  </mergeCells>
  <phoneticPr fontId="0" type="noConversion"/>
  <pageMargins left="1.25" right="0.75" top="1" bottom="0.56000000000000005" header="0.5" footer="0.33"/>
  <pageSetup scale="80" orientation="portrait" r:id="rId1"/>
  <headerFooter alignWithMargins="0"/>
  <colBreaks count="1" manualBreakCount="1">
    <brk id="3"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7419" r:id="rId4" name="Button 11">
              <controlPr defaultSize="0" autoFill="0" autoPict="0" macro="[0]!ResultsSummary">
                <anchor moveWithCells="1" sizeWithCells="1">
                  <from>
                    <xdr:col>5</xdr:col>
                    <xdr:colOff>22860</xdr:colOff>
                    <xdr:row>6</xdr:row>
                    <xdr:rowOff>15240</xdr:rowOff>
                  </from>
                  <to>
                    <xdr:col>6</xdr:col>
                    <xdr:colOff>967740</xdr:colOff>
                    <xdr:row>6</xdr:row>
                    <xdr:rowOff>289560</xdr:rowOff>
                  </to>
                </anchor>
              </controlPr>
            </control>
          </mc:Choice>
        </mc:AlternateContent>
        <mc:AlternateContent xmlns:mc="http://schemas.openxmlformats.org/markup-compatibility/2006">
          <mc:Choice Requires="x14">
            <control shapeId="17420" r:id="rId5" name="Button 12">
              <controlPr defaultSize="0" autoFill="0" autoPict="0" macro="[0]!ResultsSummary">
                <anchor moveWithCells="1" sizeWithCells="1">
                  <from>
                    <xdr:col>5</xdr:col>
                    <xdr:colOff>22860</xdr:colOff>
                    <xdr:row>19</xdr:row>
                    <xdr:rowOff>30480</xdr:rowOff>
                  </from>
                  <to>
                    <xdr:col>6</xdr:col>
                    <xdr:colOff>967740</xdr:colOff>
                    <xdr:row>19</xdr:row>
                    <xdr:rowOff>358140</xdr:rowOff>
                  </to>
                </anchor>
              </controlPr>
            </control>
          </mc:Choice>
        </mc:AlternateContent>
        <mc:AlternateContent xmlns:mc="http://schemas.openxmlformats.org/markup-compatibility/2006">
          <mc:Choice Requires="x14">
            <control shapeId="17421" r:id="rId6" name="Button 13">
              <controlPr defaultSize="0" autoFill="0" autoPict="0" macro="[0]!ResultsSummary">
                <anchor moveWithCells="1" sizeWithCells="1">
                  <from>
                    <xdr:col>4</xdr:col>
                    <xdr:colOff>990600</xdr:colOff>
                    <xdr:row>41</xdr:row>
                    <xdr:rowOff>30480</xdr:rowOff>
                  </from>
                  <to>
                    <xdr:col>6</xdr:col>
                    <xdr:colOff>922020</xdr:colOff>
                    <xdr:row>41</xdr:row>
                    <xdr:rowOff>365760</xdr:rowOff>
                  </to>
                </anchor>
              </controlPr>
            </control>
          </mc:Choice>
        </mc:AlternateContent>
        <mc:AlternateContent xmlns:mc="http://schemas.openxmlformats.org/markup-compatibility/2006">
          <mc:Choice Requires="x14">
            <control shapeId="17422" r:id="rId7" name="Button 14">
              <controlPr defaultSize="0" print="0" autoFill="0" autoPict="0" macro="[0]!SummaryToMap">
                <anchor moveWithCells="1" sizeWithCells="1">
                  <from>
                    <xdr:col>3</xdr:col>
                    <xdr:colOff>220980</xdr:colOff>
                    <xdr:row>0</xdr:row>
                    <xdr:rowOff>121920</xdr:rowOff>
                  </from>
                  <to>
                    <xdr:col>3</xdr:col>
                    <xdr:colOff>1790700</xdr:colOff>
                    <xdr:row>3</xdr:row>
                    <xdr:rowOff>45720</xdr:rowOff>
                  </to>
                </anchor>
              </controlPr>
            </control>
          </mc:Choice>
        </mc:AlternateContent>
        <mc:AlternateContent xmlns:mc="http://schemas.openxmlformats.org/markup-compatibility/2006">
          <mc:Choice Requires="x14">
            <control shapeId="17424" r:id="rId8" name="Button 16">
              <controlPr defaultSize="0" print="0" autoFill="0" autoPict="0" macro="[0]!ExitCostModel">
                <anchor moveWithCells="1" sizeWithCells="1">
                  <from>
                    <xdr:col>5</xdr:col>
                    <xdr:colOff>586740</xdr:colOff>
                    <xdr:row>0</xdr:row>
                    <xdr:rowOff>152400</xdr:rowOff>
                  </from>
                  <to>
                    <xdr:col>6</xdr:col>
                    <xdr:colOff>853440</xdr:colOff>
                    <xdr:row>3</xdr:row>
                    <xdr:rowOff>83820</xdr:rowOff>
                  </to>
                </anchor>
              </controlPr>
            </control>
          </mc:Choice>
        </mc:AlternateContent>
        <mc:AlternateContent xmlns:mc="http://schemas.openxmlformats.org/markup-compatibility/2006">
          <mc:Choice Requires="x14">
            <control shapeId="17432" r:id="rId9" name="Button 24">
              <controlPr defaultSize="0" print="0" autoFill="0" autoPict="0" macro="[0]!ToMap">
                <anchor moveWithCells="1" sizeWithCells="1">
                  <from>
                    <xdr:col>3</xdr:col>
                    <xdr:colOff>2019300</xdr:colOff>
                    <xdr:row>46</xdr:row>
                    <xdr:rowOff>160020</xdr:rowOff>
                  </from>
                  <to>
                    <xdr:col>5</xdr:col>
                    <xdr:colOff>289560</xdr:colOff>
                    <xdr:row>48</xdr:row>
                    <xdr:rowOff>129540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S236"/>
  <sheetViews>
    <sheetView topLeftCell="A207" zoomScaleNormal="100" workbookViewId="0"/>
  </sheetViews>
  <sheetFormatPr defaultColWidth="9.109375" defaultRowHeight="10.199999999999999" x14ac:dyDescent="0.2"/>
  <cols>
    <col min="1" max="1" width="38.109375" style="2" customWidth="1"/>
    <col min="2" max="2" width="14" style="2" customWidth="1"/>
    <col min="3" max="3" width="14.5546875" style="2" customWidth="1"/>
    <col min="4" max="4" width="14" style="2" customWidth="1"/>
    <col min="5" max="5" width="12.5546875" style="2" customWidth="1"/>
    <col min="6" max="6" width="15.5546875" style="2" customWidth="1"/>
    <col min="7" max="7" width="12.33203125" style="2" customWidth="1"/>
    <col min="8" max="8" width="15" style="2" customWidth="1"/>
    <col min="9" max="9" width="12.33203125" style="2" customWidth="1"/>
    <col min="10" max="15" width="9.109375" style="2" customWidth="1"/>
    <col min="16" max="16" width="11.44140625" style="2" customWidth="1"/>
    <col min="17" max="17" width="10.5546875" style="2" customWidth="1"/>
    <col min="18" max="16384" width="9.109375" style="2"/>
  </cols>
  <sheetData>
    <row r="1" spans="1:18" s="356" customFormat="1" x14ac:dyDescent="0.2"/>
    <row r="2" spans="1:18" s="356" customFormat="1" x14ac:dyDescent="0.2"/>
    <row r="3" spans="1:18" s="356" customFormat="1" x14ac:dyDescent="0.2">
      <c r="C3" s="357"/>
    </row>
    <row r="4" spans="1:18" s="28" customFormat="1" x14ac:dyDescent="0.2">
      <c r="A4" s="56"/>
      <c r="B4" s="57"/>
    </row>
    <row r="5" spans="1:18" x14ac:dyDescent="0.2">
      <c r="A5" s="3" t="s">
        <v>46</v>
      </c>
      <c r="B5" s="3" t="s">
        <v>3</v>
      </c>
      <c r="C5" s="3" t="s">
        <v>3</v>
      </c>
      <c r="D5" s="3" t="s">
        <v>3</v>
      </c>
      <c r="E5" s="3" t="s">
        <v>3</v>
      </c>
      <c r="F5" s="3" t="s">
        <v>3</v>
      </c>
      <c r="G5" s="3" t="s">
        <v>3</v>
      </c>
      <c r="H5" s="3" t="s">
        <v>3</v>
      </c>
      <c r="I5" s="3" t="s">
        <v>3</v>
      </c>
      <c r="J5" s="3" t="s">
        <v>3</v>
      </c>
      <c r="K5" s="3" t="s">
        <v>3</v>
      </c>
      <c r="L5" s="3" t="s">
        <v>3</v>
      </c>
      <c r="M5" s="3" t="s">
        <v>3</v>
      </c>
      <c r="N5" s="3" t="s">
        <v>3</v>
      </c>
      <c r="O5" s="3" t="s">
        <v>3</v>
      </c>
      <c r="P5" s="3" t="s">
        <v>3</v>
      </c>
    </row>
    <row r="6" spans="1:18" x14ac:dyDescent="0.2">
      <c r="B6" s="82">
        <v>1</v>
      </c>
      <c r="C6" s="82">
        <v>2</v>
      </c>
      <c r="D6" s="82">
        <v>3</v>
      </c>
      <c r="E6" s="82">
        <v>4</v>
      </c>
      <c r="F6" s="82">
        <v>5</v>
      </c>
      <c r="G6" s="82">
        <v>6</v>
      </c>
      <c r="H6" s="82">
        <v>7</v>
      </c>
      <c r="I6" s="82">
        <v>8</v>
      </c>
      <c r="J6" s="82">
        <v>9</v>
      </c>
      <c r="K6" s="82">
        <v>10</v>
      </c>
      <c r="L6" s="82">
        <v>11</v>
      </c>
      <c r="M6" s="83">
        <v>12</v>
      </c>
      <c r="N6" s="83">
        <v>13</v>
      </c>
      <c r="O6" s="83">
        <v>14</v>
      </c>
      <c r="P6" s="83">
        <v>15</v>
      </c>
      <c r="Q6" s="45"/>
      <c r="R6" s="45"/>
    </row>
    <row r="7" spans="1:18" x14ac:dyDescent="0.2">
      <c r="A7" s="35" t="s">
        <v>307</v>
      </c>
      <c r="B7" s="49" t="str">
        <f>IF(B6&lt;='Misc Parameters'!F8,"include")</f>
        <v>include</v>
      </c>
      <c r="C7" s="49" t="str">
        <f>IF(C6&lt;='Misc Parameters'!F8,"include")</f>
        <v>include</v>
      </c>
      <c r="D7" s="49" t="str">
        <f>IF(D6&lt;='Misc Parameters'!F8,"include")</f>
        <v>include</v>
      </c>
      <c r="E7" s="49" t="str">
        <f>IF(E6&lt;='Misc Parameters'!F8,"include")</f>
        <v>include</v>
      </c>
      <c r="F7" s="49" t="str">
        <f>IF(F6&lt;='Misc Parameters'!F8,"include")</f>
        <v>include</v>
      </c>
      <c r="G7" s="49" t="b">
        <f>IF(G6&lt;='Misc Parameters'!F8,"include")</f>
        <v>0</v>
      </c>
      <c r="H7" s="49" t="b">
        <f>IF(H6&lt;='Misc Parameters'!F8,"include")</f>
        <v>0</v>
      </c>
      <c r="I7" s="49" t="b">
        <f>IF(I6&lt;='Misc Parameters'!F8,"include")</f>
        <v>0</v>
      </c>
      <c r="J7" s="49" t="b">
        <f>IF(J6&lt;='Misc Parameters'!F8,"include")</f>
        <v>0</v>
      </c>
      <c r="K7" s="49" t="b">
        <f>IF(K6&lt;='Misc Parameters'!F8,"include")</f>
        <v>0</v>
      </c>
      <c r="L7" s="49" t="b">
        <f>IF(L6&lt;='Misc Parameters'!F8,"include")</f>
        <v>0</v>
      </c>
      <c r="M7" s="49" t="b">
        <f>IF(M6&lt;='Misc Parameters'!F8,"include")</f>
        <v>0</v>
      </c>
      <c r="N7" s="49" t="b">
        <f>IF(N6&lt;='Misc Parameters'!F8,"include")</f>
        <v>0</v>
      </c>
      <c r="O7" s="49" t="b">
        <f>IF(O6&lt;='Misc Parameters'!F8,"include")</f>
        <v>0</v>
      </c>
      <c r="P7" s="49" t="b">
        <f>IF(P6&lt;='Misc Parameters'!F8,"include")</f>
        <v>0</v>
      </c>
      <c r="Q7" s="45"/>
      <c r="R7" s="45"/>
    </row>
    <row r="8" spans="1:18" ht="20.399999999999999" x14ac:dyDescent="0.2">
      <c r="A8" s="66" t="s">
        <v>221</v>
      </c>
      <c r="B8" s="49">
        <f>'Background State Information'!F13</f>
        <v>30000</v>
      </c>
      <c r="C8" s="49">
        <f>(1+B9)*B8</f>
        <v>30000</v>
      </c>
      <c r="D8" s="49">
        <f t="shared" ref="D8:P8" si="0">(1+C9)*C8</f>
        <v>30000</v>
      </c>
      <c r="E8" s="49">
        <f t="shared" si="0"/>
        <v>30000</v>
      </c>
      <c r="F8" s="49">
        <f t="shared" si="0"/>
        <v>30000</v>
      </c>
      <c r="G8" s="49">
        <f t="shared" si="0"/>
        <v>30000</v>
      </c>
      <c r="H8" s="49">
        <f t="shared" si="0"/>
        <v>30000</v>
      </c>
      <c r="I8" s="49">
        <f t="shared" si="0"/>
        <v>30000</v>
      </c>
      <c r="J8" s="49">
        <f t="shared" si="0"/>
        <v>30000</v>
      </c>
      <c r="K8" s="49">
        <f t="shared" si="0"/>
        <v>30000</v>
      </c>
      <c r="L8" s="49">
        <f t="shared" si="0"/>
        <v>30000</v>
      </c>
      <c r="M8" s="49">
        <f t="shared" si="0"/>
        <v>30000</v>
      </c>
      <c r="N8" s="49">
        <f t="shared" si="0"/>
        <v>30000</v>
      </c>
      <c r="O8" s="49">
        <f t="shared" si="0"/>
        <v>30000</v>
      </c>
      <c r="P8" s="49">
        <f t="shared" si="0"/>
        <v>30000</v>
      </c>
      <c r="Q8" s="45"/>
      <c r="R8" s="45"/>
    </row>
    <row r="9" spans="1:18" ht="30.6" x14ac:dyDescent="0.2">
      <c r="A9" s="118" t="s">
        <v>220</v>
      </c>
      <c r="B9" s="68">
        <f>'Background State Information'!F14</f>
        <v>0</v>
      </c>
      <c r="C9" s="68">
        <f>B9</f>
        <v>0</v>
      </c>
      <c r="D9" s="68">
        <f>C9</f>
        <v>0</v>
      </c>
      <c r="E9" s="33">
        <f t="shared" ref="E9:P9" si="1">D9</f>
        <v>0</v>
      </c>
      <c r="F9" s="33">
        <f t="shared" si="1"/>
        <v>0</v>
      </c>
      <c r="G9" s="33">
        <f t="shared" si="1"/>
        <v>0</v>
      </c>
      <c r="H9" s="33">
        <f t="shared" si="1"/>
        <v>0</v>
      </c>
      <c r="I9" s="33">
        <f t="shared" si="1"/>
        <v>0</v>
      </c>
      <c r="J9" s="33">
        <f t="shared" si="1"/>
        <v>0</v>
      </c>
      <c r="K9" s="33">
        <f t="shared" si="1"/>
        <v>0</v>
      </c>
      <c r="L9" s="33">
        <f t="shared" si="1"/>
        <v>0</v>
      </c>
      <c r="M9" s="33">
        <f t="shared" si="1"/>
        <v>0</v>
      </c>
      <c r="N9" s="33">
        <f t="shared" si="1"/>
        <v>0</v>
      </c>
      <c r="O9" s="33">
        <f t="shared" si="1"/>
        <v>0</v>
      </c>
      <c r="P9" s="33">
        <f t="shared" si="1"/>
        <v>0</v>
      </c>
      <c r="Q9" s="45"/>
      <c r="R9" s="45"/>
    </row>
    <row r="10" spans="1:18" ht="20.399999999999999" x14ac:dyDescent="0.2">
      <c r="A10" s="35" t="s">
        <v>179</v>
      </c>
      <c r="B10" s="64">
        <f>'Misc Parameters'!F9</f>
        <v>0.27</v>
      </c>
      <c r="C10" s="64">
        <f>MIN((B10+B11),1)</f>
        <v>0.376</v>
      </c>
      <c r="D10" s="64">
        <f>MIN((C10+C11),1)</f>
        <v>0.48199999999999998</v>
      </c>
      <c r="E10" s="64">
        <f t="shared" ref="E10:P10" si="2">MIN((D10+D11),1)</f>
        <v>0.58799999999999997</v>
      </c>
      <c r="F10" s="64">
        <f t="shared" si="2"/>
        <v>0.69399999999999995</v>
      </c>
      <c r="G10" s="64">
        <f t="shared" si="2"/>
        <v>0.79999999999999993</v>
      </c>
      <c r="H10" s="64">
        <f t="shared" si="2"/>
        <v>0.79999999999999993</v>
      </c>
      <c r="I10" s="64">
        <f t="shared" si="2"/>
        <v>0.79999999999999993</v>
      </c>
      <c r="J10" s="64">
        <f t="shared" si="2"/>
        <v>0.79999999999999993</v>
      </c>
      <c r="K10" s="64">
        <f t="shared" si="2"/>
        <v>0.79999999999999993</v>
      </c>
      <c r="L10" s="64">
        <f t="shared" si="2"/>
        <v>0.79999999999999993</v>
      </c>
      <c r="M10" s="64">
        <f t="shared" si="2"/>
        <v>0.79999999999999993</v>
      </c>
      <c r="N10" s="64">
        <f t="shared" si="2"/>
        <v>0.79999999999999993</v>
      </c>
      <c r="O10" s="64">
        <f t="shared" si="2"/>
        <v>0.79999999999999993</v>
      </c>
      <c r="P10" s="64">
        <f t="shared" si="2"/>
        <v>0.79999999999999993</v>
      </c>
      <c r="Q10" s="45"/>
      <c r="R10" s="45"/>
    </row>
    <row r="11" spans="1:18" s="338" customFormat="1" ht="20.399999999999999" x14ac:dyDescent="0.2">
      <c r="A11" s="336" t="s">
        <v>37</v>
      </c>
      <c r="B11" s="33">
        <f>('Misc Parameters'!F10-'Misc Parameters'!F9)/'Misc Parameters'!F8</f>
        <v>0.10600000000000001</v>
      </c>
      <c r="C11" s="33">
        <f>IF(C6&lt;'Misc Parameters'!F8+1,Calculations!B11,0)</f>
        <v>0.10600000000000001</v>
      </c>
      <c r="D11" s="33">
        <f>IF(D6&lt;'Misc Parameters'!F8+1,Calculations!C11,0)</f>
        <v>0.10600000000000001</v>
      </c>
      <c r="E11" s="33">
        <f>IF(E6&lt;'Misc Parameters'!F8+1,Calculations!D11,0)</f>
        <v>0.10600000000000001</v>
      </c>
      <c r="F11" s="33">
        <f>IF(F6&lt;'Misc Parameters'!F8+1,Calculations!E11,0)</f>
        <v>0.10600000000000001</v>
      </c>
      <c r="G11" s="33">
        <f>IF(G6&lt;'Misc Parameters'!F8+1,Calculations!F11,0)</f>
        <v>0</v>
      </c>
      <c r="H11" s="33">
        <f>IF(H6&lt;'Misc Parameters'!F8+1,Calculations!G11,0)</f>
        <v>0</v>
      </c>
      <c r="I11" s="33">
        <f>IF(I6&lt;'Misc Parameters'!F8+1,Calculations!H11,0)</f>
        <v>0</v>
      </c>
      <c r="J11" s="33">
        <f>IF(J6&lt;'Misc Parameters'!F8+1,Calculations!I11,0)</f>
        <v>0</v>
      </c>
      <c r="K11" s="33">
        <f>IF(K6&lt;'Misc Parameters'!F8+1,Calculations!J11,0)</f>
        <v>0</v>
      </c>
      <c r="L11" s="33">
        <f>IF(L6&lt;'Misc Parameters'!F8+1,Calculations!K11,0)</f>
        <v>0</v>
      </c>
      <c r="M11" s="33">
        <f>IF(M6&lt;'Misc Parameters'!F8+1,Calculations!L11,0)</f>
        <v>0</v>
      </c>
      <c r="N11" s="33">
        <f>IF(N6&lt;'Misc Parameters'!F8+1,Calculations!M11,0)</f>
        <v>0</v>
      </c>
      <c r="O11" s="33">
        <f>IF(O6&lt;'Misc Parameters'!F8+1,Calculations!N11,0)</f>
        <v>0</v>
      </c>
      <c r="P11" s="33">
        <f>IF(P6&lt;'Misc Parameters'!F8+1,Calculations!O11,0)</f>
        <v>0</v>
      </c>
      <c r="Q11" s="337"/>
      <c r="R11" s="337"/>
    </row>
    <row r="12" spans="1:18" ht="40.5" customHeight="1" x14ac:dyDescent="0.2">
      <c r="A12" s="35" t="s">
        <v>336</v>
      </c>
      <c r="B12" s="64">
        <f>'Cost Assumptions'!D55</f>
        <v>0.8</v>
      </c>
      <c r="C12" s="64">
        <f>B12</f>
        <v>0.8</v>
      </c>
      <c r="D12" s="64">
        <f>C12</f>
        <v>0.8</v>
      </c>
      <c r="E12" s="64">
        <f t="shared" ref="E12:P12" si="3">D12</f>
        <v>0.8</v>
      </c>
      <c r="F12" s="64">
        <f t="shared" si="3"/>
        <v>0.8</v>
      </c>
      <c r="G12" s="64">
        <f t="shared" si="3"/>
        <v>0.8</v>
      </c>
      <c r="H12" s="64">
        <f t="shared" si="3"/>
        <v>0.8</v>
      </c>
      <c r="I12" s="64">
        <f t="shared" si="3"/>
        <v>0.8</v>
      </c>
      <c r="J12" s="64">
        <f t="shared" si="3"/>
        <v>0.8</v>
      </c>
      <c r="K12" s="64">
        <f t="shared" si="3"/>
        <v>0.8</v>
      </c>
      <c r="L12" s="64">
        <f t="shared" si="3"/>
        <v>0.8</v>
      </c>
      <c r="M12" s="64">
        <f t="shared" si="3"/>
        <v>0.8</v>
      </c>
      <c r="N12" s="64">
        <f t="shared" si="3"/>
        <v>0.8</v>
      </c>
      <c r="O12" s="64">
        <f t="shared" si="3"/>
        <v>0.8</v>
      </c>
      <c r="P12" s="64">
        <f t="shared" si="3"/>
        <v>0.8</v>
      </c>
      <c r="Q12" s="45"/>
      <c r="R12" s="45"/>
    </row>
    <row r="13" spans="1:18" ht="38.25" customHeight="1" x14ac:dyDescent="0.2">
      <c r="A13" s="35" t="s">
        <v>44</v>
      </c>
      <c r="B13" s="64">
        <v>1</v>
      </c>
      <c r="C13" s="64">
        <f t="shared" ref="C13:P16" si="4">B13</f>
        <v>1</v>
      </c>
      <c r="D13" s="64">
        <f>C13</f>
        <v>1</v>
      </c>
      <c r="E13" s="64">
        <f t="shared" si="4"/>
        <v>1</v>
      </c>
      <c r="F13" s="64">
        <f t="shared" si="4"/>
        <v>1</v>
      </c>
      <c r="G13" s="64">
        <f t="shared" si="4"/>
        <v>1</v>
      </c>
      <c r="H13" s="64">
        <f t="shared" si="4"/>
        <v>1</v>
      </c>
      <c r="I13" s="64">
        <f t="shared" si="4"/>
        <v>1</v>
      </c>
      <c r="J13" s="64">
        <f t="shared" si="4"/>
        <v>1</v>
      </c>
      <c r="K13" s="64">
        <f t="shared" si="4"/>
        <v>1</v>
      </c>
      <c r="L13" s="64">
        <f t="shared" si="4"/>
        <v>1</v>
      </c>
      <c r="M13" s="64">
        <f t="shared" si="4"/>
        <v>1</v>
      </c>
      <c r="N13" s="64">
        <f t="shared" si="4"/>
        <v>1</v>
      </c>
      <c r="O13" s="64">
        <f t="shared" si="4"/>
        <v>1</v>
      </c>
      <c r="P13" s="64">
        <f t="shared" si="4"/>
        <v>1</v>
      </c>
      <c r="Q13" s="45"/>
      <c r="R13" s="45"/>
    </row>
    <row r="14" spans="1:18" x14ac:dyDescent="0.2">
      <c r="A14" s="35" t="s">
        <v>181</v>
      </c>
      <c r="B14" s="64">
        <f>'Misc Parameters'!F11</f>
        <v>0.04</v>
      </c>
      <c r="C14" s="64">
        <f t="shared" si="4"/>
        <v>0.04</v>
      </c>
      <c r="D14" s="64">
        <f>C14</f>
        <v>0.04</v>
      </c>
      <c r="E14" s="64">
        <f t="shared" si="4"/>
        <v>0.04</v>
      </c>
      <c r="F14" s="64">
        <f t="shared" si="4"/>
        <v>0.04</v>
      </c>
      <c r="G14" s="64">
        <f t="shared" si="4"/>
        <v>0.04</v>
      </c>
      <c r="H14" s="64">
        <f t="shared" si="4"/>
        <v>0.04</v>
      </c>
      <c r="I14" s="64">
        <f t="shared" si="4"/>
        <v>0.04</v>
      </c>
      <c r="J14" s="64">
        <f t="shared" si="4"/>
        <v>0.04</v>
      </c>
      <c r="K14" s="64">
        <f t="shared" si="4"/>
        <v>0.04</v>
      </c>
      <c r="L14" s="64">
        <f t="shared" si="4"/>
        <v>0.04</v>
      </c>
      <c r="M14" s="64">
        <f t="shared" si="4"/>
        <v>0.04</v>
      </c>
      <c r="N14" s="64">
        <f t="shared" si="4"/>
        <v>0.04</v>
      </c>
      <c r="O14" s="64">
        <f t="shared" si="4"/>
        <v>0.04</v>
      </c>
      <c r="P14" s="64">
        <f t="shared" si="4"/>
        <v>0.04</v>
      </c>
      <c r="Q14" s="45"/>
      <c r="R14" s="45"/>
    </row>
    <row r="15" spans="1:18" ht="40.799999999999997" x14ac:dyDescent="0.2">
      <c r="A15" s="35" t="s">
        <v>182</v>
      </c>
      <c r="B15" s="64">
        <f>'Misc Parameters'!F12</f>
        <v>0.25</v>
      </c>
      <c r="C15" s="64">
        <f t="shared" si="4"/>
        <v>0.25</v>
      </c>
      <c r="D15" s="64">
        <f>C15</f>
        <v>0.25</v>
      </c>
      <c r="E15" s="64">
        <f t="shared" si="4"/>
        <v>0.25</v>
      </c>
      <c r="F15" s="64">
        <f t="shared" si="4"/>
        <v>0.25</v>
      </c>
      <c r="G15" s="64">
        <f t="shared" si="4"/>
        <v>0.25</v>
      </c>
      <c r="H15" s="64">
        <f t="shared" si="4"/>
        <v>0.25</v>
      </c>
      <c r="I15" s="64">
        <f t="shared" si="4"/>
        <v>0.25</v>
      </c>
      <c r="J15" s="64">
        <f t="shared" si="4"/>
        <v>0.25</v>
      </c>
      <c r="K15" s="64">
        <f t="shared" si="4"/>
        <v>0.25</v>
      </c>
      <c r="L15" s="64">
        <f t="shared" si="4"/>
        <v>0.25</v>
      </c>
      <c r="M15" s="64">
        <f t="shared" si="4"/>
        <v>0.25</v>
      </c>
      <c r="N15" s="64">
        <f t="shared" si="4"/>
        <v>0.25</v>
      </c>
      <c r="O15" s="64">
        <f t="shared" si="4"/>
        <v>0.25</v>
      </c>
      <c r="P15" s="64">
        <f t="shared" si="4"/>
        <v>0.25</v>
      </c>
      <c r="Q15" s="45"/>
      <c r="R15" s="45"/>
    </row>
    <row r="16" spans="1:18" x14ac:dyDescent="0.2">
      <c r="A16" s="35" t="s">
        <v>183</v>
      </c>
      <c r="B16" s="64">
        <f>'Misc Parameters'!F13</f>
        <v>0.01</v>
      </c>
      <c r="C16" s="64">
        <f t="shared" si="4"/>
        <v>0.01</v>
      </c>
      <c r="D16" s="64">
        <f>C16</f>
        <v>0.01</v>
      </c>
      <c r="E16" s="64">
        <f t="shared" si="4"/>
        <v>0.01</v>
      </c>
      <c r="F16" s="64">
        <f t="shared" si="4"/>
        <v>0.01</v>
      </c>
      <c r="G16" s="64">
        <f t="shared" si="4"/>
        <v>0.01</v>
      </c>
      <c r="H16" s="64">
        <f t="shared" si="4"/>
        <v>0.01</v>
      </c>
      <c r="I16" s="64">
        <f t="shared" si="4"/>
        <v>0.01</v>
      </c>
      <c r="J16" s="64">
        <f t="shared" si="4"/>
        <v>0.01</v>
      </c>
      <c r="K16" s="64">
        <f t="shared" si="4"/>
        <v>0.01</v>
      </c>
      <c r="L16" s="64">
        <f t="shared" si="4"/>
        <v>0.01</v>
      </c>
      <c r="M16" s="64">
        <f t="shared" si="4"/>
        <v>0.01</v>
      </c>
      <c r="N16" s="64">
        <f t="shared" si="4"/>
        <v>0.01</v>
      </c>
      <c r="O16" s="64">
        <f t="shared" si="4"/>
        <v>0.01</v>
      </c>
      <c r="P16" s="64">
        <f t="shared" si="4"/>
        <v>0.01</v>
      </c>
      <c r="Q16" s="45"/>
      <c r="R16" s="45"/>
    </row>
    <row r="17" spans="1:17" s="45" customFormat="1" x14ac:dyDescent="0.2">
      <c r="A17" s="35"/>
      <c r="B17" s="64"/>
      <c r="C17" s="64"/>
      <c r="D17" s="64"/>
      <c r="E17" s="64"/>
      <c r="F17" s="64"/>
      <c r="G17" s="64"/>
      <c r="H17" s="64"/>
      <c r="I17" s="64"/>
      <c r="J17" s="64"/>
      <c r="K17" s="64"/>
      <c r="L17" s="64"/>
      <c r="M17" s="64"/>
      <c r="N17" s="64"/>
      <c r="O17" s="64"/>
      <c r="P17" s="64"/>
    </row>
    <row r="18" spans="1:17" s="45" customFormat="1" x14ac:dyDescent="0.2">
      <c r="A18" s="61" t="s">
        <v>311</v>
      </c>
      <c r="B18" s="64"/>
      <c r="C18" s="64"/>
      <c r="D18" s="64"/>
      <c r="E18" s="64"/>
      <c r="F18" s="64"/>
      <c r="G18" s="64"/>
      <c r="H18" s="64"/>
      <c r="I18" s="64"/>
      <c r="J18" s="64"/>
      <c r="K18" s="64"/>
      <c r="L18" s="64"/>
      <c r="M18" s="64"/>
      <c r="N18" s="64"/>
      <c r="O18" s="64"/>
      <c r="P18" s="64"/>
    </row>
    <row r="19" spans="1:17" ht="30.6" x14ac:dyDescent="0.2">
      <c r="A19" s="5" t="s">
        <v>337</v>
      </c>
      <c r="B19" s="121">
        <f>'Performance Assumptions'!D25</f>
        <v>69</v>
      </c>
      <c r="C19" s="121">
        <f>B19</f>
        <v>69</v>
      </c>
      <c r="D19" s="121">
        <f>C19</f>
        <v>69</v>
      </c>
      <c r="E19" s="121">
        <f t="shared" ref="E19:P19" si="5">D19</f>
        <v>69</v>
      </c>
      <c r="F19" s="121">
        <f t="shared" si="5"/>
        <v>69</v>
      </c>
      <c r="G19" s="121">
        <f t="shared" si="5"/>
        <v>69</v>
      </c>
      <c r="H19" s="121">
        <f t="shared" si="5"/>
        <v>69</v>
      </c>
      <c r="I19" s="121">
        <f t="shared" si="5"/>
        <v>69</v>
      </c>
      <c r="J19" s="121">
        <f t="shared" si="5"/>
        <v>69</v>
      </c>
      <c r="K19" s="121">
        <f t="shared" si="5"/>
        <v>69</v>
      </c>
      <c r="L19" s="121">
        <f t="shared" si="5"/>
        <v>69</v>
      </c>
      <c r="M19" s="121">
        <f t="shared" si="5"/>
        <v>69</v>
      </c>
      <c r="N19" s="121">
        <f t="shared" si="5"/>
        <v>69</v>
      </c>
      <c r="O19" s="121">
        <f t="shared" si="5"/>
        <v>69</v>
      </c>
      <c r="P19" s="121">
        <f t="shared" si="5"/>
        <v>69</v>
      </c>
    </row>
    <row r="20" spans="1:17" ht="20.399999999999999" x14ac:dyDescent="0.2">
      <c r="A20" s="5" t="s">
        <v>338</v>
      </c>
      <c r="B20" s="121">
        <f>'Performance Assumptions'!D48</f>
        <v>24</v>
      </c>
      <c r="C20" s="121">
        <f>B20</f>
        <v>24</v>
      </c>
      <c r="D20" s="121">
        <f>C20</f>
        <v>24</v>
      </c>
      <c r="E20" s="121">
        <f t="shared" ref="E20:P20" si="6">D20</f>
        <v>24</v>
      </c>
      <c r="F20" s="121">
        <f t="shared" si="6"/>
        <v>24</v>
      </c>
      <c r="G20" s="121">
        <f t="shared" si="6"/>
        <v>24</v>
      </c>
      <c r="H20" s="121">
        <f t="shared" si="6"/>
        <v>24</v>
      </c>
      <c r="I20" s="121">
        <f t="shared" si="6"/>
        <v>24</v>
      </c>
      <c r="J20" s="121">
        <f t="shared" si="6"/>
        <v>24</v>
      </c>
      <c r="K20" s="121">
        <f t="shared" si="6"/>
        <v>24</v>
      </c>
      <c r="L20" s="121">
        <f t="shared" si="6"/>
        <v>24</v>
      </c>
      <c r="M20" s="121">
        <f t="shared" si="6"/>
        <v>24</v>
      </c>
      <c r="N20" s="121">
        <f t="shared" si="6"/>
        <v>24</v>
      </c>
      <c r="O20" s="121">
        <f t="shared" si="6"/>
        <v>24</v>
      </c>
      <c r="P20" s="121">
        <f t="shared" si="6"/>
        <v>24</v>
      </c>
    </row>
    <row r="21" spans="1:17" x14ac:dyDescent="0.2">
      <c r="A21" s="35" t="s">
        <v>343</v>
      </c>
      <c r="B21" s="34">
        <f>'Misc Parameters'!F14</f>
        <v>20</v>
      </c>
      <c r="C21" s="34">
        <f>B21*(1+B14+B16)</f>
        <v>21</v>
      </c>
      <c r="D21" s="34">
        <f>C21*(1+C14+C16)</f>
        <v>22.05</v>
      </c>
      <c r="E21" s="34">
        <f>D21*(1+D14+D16)</f>
        <v>23.152500000000003</v>
      </c>
      <c r="F21" s="34">
        <f>2*E21</f>
        <v>46.305000000000007</v>
      </c>
      <c r="G21" s="34">
        <f t="shared" ref="G21:P21" si="7">F21*(1+F14+F16)</f>
        <v>48.620250000000006</v>
      </c>
      <c r="H21" s="34">
        <f t="shared" si="7"/>
        <v>51.051262500000007</v>
      </c>
      <c r="I21" s="34">
        <f t="shared" si="7"/>
        <v>53.603825625000013</v>
      </c>
      <c r="J21" s="34">
        <f t="shared" si="7"/>
        <v>56.284016906250017</v>
      </c>
      <c r="K21" s="34">
        <f t="shared" si="7"/>
        <v>59.098217751562522</v>
      </c>
      <c r="L21" s="34">
        <f t="shared" si="7"/>
        <v>62.053128639140652</v>
      </c>
      <c r="M21" s="34">
        <f t="shared" si="7"/>
        <v>65.155785071097682</v>
      </c>
      <c r="N21" s="34">
        <f t="shared" si="7"/>
        <v>68.413574324652572</v>
      </c>
      <c r="O21" s="34">
        <f t="shared" si="7"/>
        <v>71.834253040885201</v>
      </c>
      <c r="P21" s="34">
        <f t="shared" si="7"/>
        <v>75.425965692929466</v>
      </c>
    </row>
    <row r="22" spans="1:17" s="28" customFormat="1" x14ac:dyDescent="0.2">
      <c r="A22" s="26"/>
      <c r="B22" s="26"/>
      <c r="C22" s="26"/>
      <c r="D22" s="26"/>
      <c r="E22" s="27"/>
      <c r="F22" s="27"/>
      <c r="G22" s="27"/>
      <c r="H22" s="27"/>
      <c r="I22" s="27"/>
      <c r="J22" s="27"/>
      <c r="K22" s="27"/>
      <c r="L22" s="27"/>
      <c r="M22" s="27"/>
      <c r="N22" s="27"/>
      <c r="O22" s="27"/>
      <c r="P22" s="27"/>
    </row>
    <row r="23" spans="1:17" x14ac:dyDescent="0.2">
      <c r="A23" s="35"/>
      <c r="B23" s="60"/>
      <c r="C23" s="60"/>
      <c r="D23" s="60"/>
      <c r="E23" s="60"/>
      <c r="F23" s="60"/>
      <c r="G23" s="60"/>
    </row>
    <row r="24" spans="1:17" x14ac:dyDescent="0.2">
      <c r="A24" s="5"/>
      <c r="B24" s="67" t="s">
        <v>3</v>
      </c>
      <c r="C24" s="67" t="s">
        <v>3</v>
      </c>
      <c r="D24" s="67" t="s">
        <v>3</v>
      </c>
      <c r="E24" s="67" t="s">
        <v>3</v>
      </c>
      <c r="F24" s="67" t="s">
        <v>3</v>
      </c>
      <c r="G24" s="67" t="s">
        <v>3</v>
      </c>
      <c r="H24" s="3" t="s">
        <v>3</v>
      </c>
      <c r="I24" s="3" t="s">
        <v>3</v>
      </c>
      <c r="J24" s="3" t="s">
        <v>3</v>
      </c>
      <c r="K24" s="3" t="s">
        <v>3</v>
      </c>
      <c r="L24" s="3" t="s">
        <v>3</v>
      </c>
      <c r="M24" s="3" t="s">
        <v>3</v>
      </c>
      <c r="N24" s="3" t="s">
        <v>3</v>
      </c>
      <c r="O24" s="3" t="s">
        <v>3</v>
      </c>
      <c r="P24" s="3" t="s">
        <v>3</v>
      </c>
    </row>
    <row r="25" spans="1:17" x14ac:dyDescent="0.2">
      <c r="A25" s="30" t="s">
        <v>36</v>
      </c>
      <c r="B25" s="115">
        <v>1</v>
      </c>
      <c r="C25" s="115">
        <v>2</v>
      </c>
      <c r="D25" s="115">
        <v>3</v>
      </c>
      <c r="E25" s="115">
        <v>4</v>
      </c>
      <c r="F25" s="115">
        <v>5</v>
      </c>
      <c r="G25" s="115">
        <v>6</v>
      </c>
      <c r="H25" s="62">
        <v>7</v>
      </c>
      <c r="I25" s="62">
        <v>8</v>
      </c>
      <c r="J25" s="62">
        <v>9</v>
      </c>
      <c r="K25" s="62">
        <v>10</v>
      </c>
      <c r="L25" s="62">
        <v>11</v>
      </c>
      <c r="M25" s="63">
        <v>12</v>
      </c>
      <c r="N25" s="63">
        <v>13</v>
      </c>
      <c r="O25" s="63">
        <v>14</v>
      </c>
      <c r="P25" s="63">
        <v>15</v>
      </c>
    </row>
    <row r="26" spans="1:17" ht="30.6" x14ac:dyDescent="0.2">
      <c r="A26" s="5" t="s">
        <v>333</v>
      </c>
      <c r="B26" s="22">
        <f t="shared" ref="B26:P26" si="8">B8*B10</f>
        <v>8100.0000000000009</v>
      </c>
      <c r="C26" s="22">
        <f t="shared" si="8"/>
        <v>11280</v>
      </c>
      <c r="D26" s="22">
        <f t="shared" si="8"/>
        <v>14460</v>
      </c>
      <c r="E26" s="22">
        <f t="shared" si="8"/>
        <v>17640</v>
      </c>
      <c r="F26" s="22">
        <f t="shared" si="8"/>
        <v>20820</v>
      </c>
      <c r="G26" s="22">
        <f t="shared" si="8"/>
        <v>23999.999999999996</v>
      </c>
      <c r="H26" s="22">
        <f t="shared" si="8"/>
        <v>23999.999999999996</v>
      </c>
      <c r="I26" s="22">
        <f t="shared" si="8"/>
        <v>23999.999999999996</v>
      </c>
      <c r="J26" s="22">
        <f t="shared" si="8"/>
        <v>23999.999999999996</v>
      </c>
      <c r="K26" s="22">
        <f t="shared" si="8"/>
        <v>23999.999999999996</v>
      </c>
      <c r="L26" s="22">
        <f t="shared" si="8"/>
        <v>23999.999999999996</v>
      </c>
      <c r="M26" s="22">
        <f t="shared" si="8"/>
        <v>23999.999999999996</v>
      </c>
      <c r="N26" s="22">
        <f t="shared" si="8"/>
        <v>23999.999999999996</v>
      </c>
      <c r="O26" s="22">
        <f t="shared" si="8"/>
        <v>23999.999999999996</v>
      </c>
      <c r="P26" s="22">
        <f t="shared" si="8"/>
        <v>23999.999999999996</v>
      </c>
      <c r="Q26" s="65"/>
    </row>
    <row r="27" spans="1:17" ht="30.6" x14ac:dyDescent="0.2">
      <c r="A27" s="5" t="s">
        <v>450</v>
      </c>
      <c r="B27" s="23">
        <f t="shared" ref="B27:P27" si="9">B8*(1-B10)</f>
        <v>21900</v>
      </c>
      <c r="C27" s="23">
        <f t="shared" si="9"/>
        <v>18720</v>
      </c>
      <c r="D27" s="23">
        <f t="shared" si="9"/>
        <v>15540</v>
      </c>
      <c r="E27" s="23">
        <f t="shared" si="9"/>
        <v>12360.000000000002</v>
      </c>
      <c r="F27" s="23">
        <f t="shared" si="9"/>
        <v>9180.0000000000018</v>
      </c>
      <c r="G27" s="23">
        <f t="shared" si="9"/>
        <v>6000.0000000000018</v>
      </c>
      <c r="H27" s="23">
        <f t="shared" si="9"/>
        <v>6000.0000000000018</v>
      </c>
      <c r="I27" s="23">
        <f t="shared" si="9"/>
        <v>6000.0000000000018</v>
      </c>
      <c r="J27" s="23">
        <f t="shared" si="9"/>
        <v>6000.0000000000018</v>
      </c>
      <c r="K27" s="23">
        <f t="shared" si="9"/>
        <v>6000.0000000000018</v>
      </c>
      <c r="L27" s="23">
        <f t="shared" si="9"/>
        <v>6000.0000000000018</v>
      </c>
      <c r="M27" s="23">
        <f t="shared" si="9"/>
        <v>6000.0000000000018</v>
      </c>
      <c r="N27" s="23">
        <f t="shared" si="9"/>
        <v>6000.0000000000018</v>
      </c>
      <c r="O27" s="23">
        <f t="shared" si="9"/>
        <v>6000.0000000000018</v>
      </c>
      <c r="P27" s="23">
        <f t="shared" si="9"/>
        <v>6000.0000000000018</v>
      </c>
      <c r="Q27" s="65"/>
    </row>
    <row r="28" spans="1:17" ht="30.6" x14ac:dyDescent="0.2">
      <c r="A28" s="5" t="s">
        <v>334</v>
      </c>
      <c r="B28" s="23">
        <f>B26/(52*5)</f>
        <v>31.153846153846157</v>
      </c>
      <c r="C28" s="23">
        <f t="shared" ref="C28:P28" si="10">C26/(52*5*C12)</f>
        <v>54.230769230769234</v>
      </c>
      <c r="D28" s="23">
        <f t="shared" si="10"/>
        <v>69.519230769230774</v>
      </c>
      <c r="E28" s="23">
        <f t="shared" si="10"/>
        <v>84.807692307692307</v>
      </c>
      <c r="F28" s="23">
        <f t="shared" si="10"/>
        <v>100.09615384615384</v>
      </c>
      <c r="G28" s="23">
        <f t="shared" si="10"/>
        <v>115.38461538461537</v>
      </c>
      <c r="H28" s="23">
        <f t="shared" si="10"/>
        <v>115.38461538461537</v>
      </c>
      <c r="I28" s="23">
        <f t="shared" si="10"/>
        <v>115.38461538461537</v>
      </c>
      <c r="J28" s="23">
        <f t="shared" si="10"/>
        <v>115.38461538461537</v>
      </c>
      <c r="K28" s="23">
        <f t="shared" si="10"/>
        <v>115.38461538461537</v>
      </c>
      <c r="L28" s="23">
        <f t="shared" si="10"/>
        <v>115.38461538461537</v>
      </c>
      <c r="M28" s="23">
        <f t="shared" si="10"/>
        <v>115.38461538461537</v>
      </c>
      <c r="N28" s="23">
        <f t="shared" si="10"/>
        <v>115.38461538461537</v>
      </c>
      <c r="O28" s="23">
        <f t="shared" si="10"/>
        <v>115.38461538461537</v>
      </c>
      <c r="P28" s="23">
        <f t="shared" si="10"/>
        <v>115.38461538461537</v>
      </c>
      <c r="Q28" s="65"/>
    </row>
    <row r="29" spans="1:17" ht="30.6" x14ac:dyDescent="0.2">
      <c r="A29" s="5" t="s">
        <v>451</v>
      </c>
      <c r="B29" s="23">
        <f>B27/(52*5)</f>
        <v>84.230769230769226</v>
      </c>
      <c r="C29" s="23">
        <f t="shared" ref="C29:P29" si="11">C27/(52*5*C12)</f>
        <v>90</v>
      </c>
      <c r="D29" s="23">
        <f t="shared" si="11"/>
        <v>74.711538461538467</v>
      </c>
      <c r="E29" s="23">
        <f t="shared" si="11"/>
        <v>59.423076923076934</v>
      </c>
      <c r="F29" s="23">
        <f t="shared" si="11"/>
        <v>44.134615384615394</v>
      </c>
      <c r="G29" s="23">
        <f t="shared" si="11"/>
        <v>28.846153846153854</v>
      </c>
      <c r="H29" s="23">
        <f t="shared" si="11"/>
        <v>28.846153846153854</v>
      </c>
      <c r="I29" s="23">
        <f t="shared" si="11"/>
        <v>28.846153846153854</v>
      </c>
      <c r="J29" s="23">
        <f t="shared" si="11"/>
        <v>28.846153846153854</v>
      </c>
      <c r="K29" s="23">
        <f t="shared" si="11"/>
        <v>28.846153846153854</v>
      </c>
      <c r="L29" s="23">
        <f t="shared" si="11"/>
        <v>28.846153846153854</v>
      </c>
      <c r="M29" s="23">
        <f t="shared" si="11"/>
        <v>28.846153846153854</v>
      </c>
      <c r="N29" s="23">
        <f t="shared" si="11"/>
        <v>28.846153846153854</v>
      </c>
      <c r="O29" s="23">
        <f t="shared" si="11"/>
        <v>28.846153846153854</v>
      </c>
      <c r="P29" s="23">
        <f t="shared" si="11"/>
        <v>28.846153846153854</v>
      </c>
      <c r="Q29" s="65"/>
    </row>
    <row r="30" spans="1:17" ht="20.399999999999999" x14ac:dyDescent="0.2">
      <c r="A30" s="5" t="s">
        <v>335</v>
      </c>
      <c r="B30" s="23">
        <f>B28+B29</f>
        <v>115.38461538461539</v>
      </c>
      <c r="C30" s="23">
        <f t="shared" ref="C30:M30" si="12">C28+C29</f>
        <v>144.23076923076923</v>
      </c>
      <c r="D30" s="23">
        <f t="shared" si="12"/>
        <v>144.23076923076923</v>
      </c>
      <c r="E30" s="23">
        <f t="shared" si="12"/>
        <v>144.23076923076923</v>
      </c>
      <c r="F30" s="23">
        <f t="shared" si="12"/>
        <v>144.23076923076923</v>
      </c>
      <c r="G30" s="23">
        <f t="shared" si="12"/>
        <v>144.23076923076923</v>
      </c>
      <c r="H30" s="23">
        <f t="shared" si="12"/>
        <v>144.23076923076923</v>
      </c>
      <c r="I30" s="23">
        <f t="shared" si="12"/>
        <v>144.23076923076923</v>
      </c>
      <c r="J30" s="23">
        <f t="shared" si="12"/>
        <v>144.23076923076923</v>
      </c>
      <c r="K30" s="23">
        <f t="shared" si="12"/>
        <v>144.23076923076923</v>
      </c>
      <c r="L30" s="23">
        <f t="shared" si="12"/>
        <v>144.23076923076923</v>
      </c>
      <c r="M30" s="23">
        <f t="shared" si="12"/>
        <v>144.23076923076923</v>
      </c>
      <c r="N30" s="23">
        <f>N28+N29</f>
        <v>144.23076923076923</v>
      </c>
      <c r="O30" s="23">
        <f>O28+O29</f>
        <v>144.23076923076923</v>
      </c>
      <c r="P30" s="23">
        <f>P28+P29</f>
        <v>144.23076923076923</v>
      </c>
      <c r="Q30" s="65"/>
    </row>
    <row r="31" spans="1:17" x14ac:dyDescent="0.2">
      <c r="A31" s="5"/>
      <c r="B31" s="23"/>
      <c r="C31" s="23"/>
      <c r="D31" s="23"/>
      <c r="E31" s="23"/>
      <c r="F31" s="23"/>
      <c r="G31" s="23"/>
      <c r="H31" s="23"/>
      <c r="I31" s="23"/>
      <c r="J31" s="23"/>
      <c r="K31" s="23"/>
      <c r="L31" s="23"/>
      <c r="M31" s="23"/>
      <c r="N31" s="23"/>
      <c r="O31" s="23"/>
      <c r="P31" s="23"/>
      <c r="Q31" s="65"/>
    </row>
    <row r="32" spans="1:17" ht="20.399999999999999" x14ac:dyDescent="0.2">
      <c r="A32" s="30" t="s">
        <v>342</v>
      </c>
      <c r="B32" s="23"/>
      <c r="C32" s="23"/>
      <c r="D32" s="23"/>
      <c r="E32" s="23"/>
      <c r="F32" s="23"/>
      <c r="G32" s="23"/>
      <c r="H32" s="23"/>
      <c r="I32" s="23"/>
      <c r="J32" s="23"/>
      <c r="K32" s="23"/>
      <c r="L32" s="23"/>
      <c r="M32" s="23"/>
      <c r="N32" s="23"/>
      <c r="O32" s="23"/>
      <c r="P32" s="23"/>
      <c r="Q32" s="65"/>
    </row>
    <row r="33" spans="1:17" s="32" customFormat="1" x14ac:dyDescent="0.2">
      <c r="A33" s="97" t="s">
        <v>290</v>
      </c>
      <c r="B33" s="43">
        <f>ROUND((B30/B19)/B12,1)</f>
        <v>2.1</v>
      </c>
      <c r="C33" s="43">
        <f t="shared" ref="C33:P33" si="13">ROUND(C30/C19,1)</f>
        <v>2.1</v>
      </c>
      <c r="D33" s="43">
        <f t="shared" si="13"/>
        <v>2.1</v>
      </c>
      <c r="E33" s="43">
        <f t="shared" si="13"/>
        <v>2.1</v>
      </c>
      <c r="F33" s="43">
        <f t="shared" si="13"/>
        <v>2.1</v>
      </c>
      <c r="G33" s="43">
        <f t="shared" si="13"/>
        <v>2.1</v>
      </c>
      <c r="H33" s="43">
        <f t="shared" si="13"/>
        <v>2.1</v>
      </c>
      <c r="I33" s="43">
        <f t="shared" si="13"/>
        <v>2.1</v>
      </c>
      <c r="J33" s="43">
        <f t="shared" si="13"/>
        <v>2.1</v>
      </c>
      <c r="K33" s="43">
        <f t="shared" si="13"/>
        <v>2.1</v>
      </c>
      <c r="L33" s="43">
        <f t="shared" si="13"/>
        <v>2.1</v>
      </c>
      <c r="M33" s="43">
        <f t="shared" si="13"/>
        <v>2.1</v>
      </c>
      <c r="N33" s="43">
        <f t="shared" si="13"/>
        <v>2.1</v>
      </c>
      <c r="O33" s="43">
        <f t="shared" si="13"/>
        <v>2.1</v>
      </c>
      <c r="P33" s="43">
        <f t="shared" si="13"/>
        <v>2.1</v>
      </c>
      <c r="Q33" s="65"/>
    </row>
    <row r="34" spans="1:17" s="32" customFormat="1" x14ac:dyDescent="0.2">
      <c r="A34" s="97" t="s">
        <v>291</v>
      </c>
      <c r="B34" s="43">
        <f>ROUND((B29/B20)/B12,1)</f>
        <v>4.4000000000000004</v>
      </c>
      <c r="C34" s="43">
        <f t="shared" ref="C34:P34" si="14">ROUND(C29/C20,1)</f>
        <v>3.8</v>
      </c>
      <c r="D34" s="43">
        <f t="shared" si="14"/>
        <v>3.1</v>
      </c>
      <c r="E34" s="43">
        <f t="shared" si="14"/>
        <v>2.5</v>
      </c>
      <c r="F34" s="43">
        <f t="shared" si="14"/>
        <v>1.8</v>
      </c>
      <c r="G34" s="43">
        <f t="shared" si="14"/>
        <v>1.2</v>
      </c>
      <c r="H34" s="43">
        <f t="shared" si="14"/>
        <v>1.2</v>
      </c>
      <c r="I34" s="43">
        <f t="shared" si="14"/>
        <v>1.2</v>
      </c>
      <c r="J34" s="43">
        <f t="shared" si="14"/>
        <v>1.2</v>
      </c>
      <c r="K34" s="43">
        <f t="shared" si="14"/>
        <v>1.2</v>
      </c>
      <c r="L34" s="43">
        <f t="shared" si="14"/>
        <v>1.2</v>
      </c>
      <c r="M34" s="43">
        <f t="shared" si="14"/>
        <v>1.2</v>
      </c>
      <c r="N34" s="43">
        <f t="shared" si="14"/>
        <v>1.2</v>
      </c>
      <c r="O34" s="43">
        <f t="shared" si="14"/>
        <v>1.2</v>
      </c>
      <c r="P34" s="43">
        <f t="shared" si="14"/>
        <v>1.2</v>
      </c>
      <c r="Q34" s="65"/>
    </row>
    <row r="35" spans="1:17" x14ac:dyDescent="0.2">
      <c r="A35" s="5" t="s">
        <v>359</v>
      </c>
      <c r="B35" s="43">
        <f>0.2*Status!F12</f>
        <v>0.2</v>
      </c>
      <c r="C35" s="65"/>
      <c r="D35" s="65"/>
      <c r="E35" s="65"/>
      <c r="F35" s="65"/>
      <c r="G35" s="65"/>
      <c r="H35" s="65"/>
      <c r="I35" s="65"/>
      <c r="J35" s="65"/>
      <c r="K35" s="65"/>
      <c r="L35" s="65"/>
      <c r="M35" s="65"/>
      <c r="N35" s="65"/>
      <c r="O35" s="65"/>
      <c r="P35" s="65"/>
      <c r="Q35" s="65"/>
    </row>
    <row r="36" spans="1:17" s="28" customFormat="1" x14ac:dyDescent="0.2"/>
    <row r="38" spans="1:17" x14ac:dyDescent="0.2">
      <c r="A38" s="3" t="s">
        <v>30</v>
      </c>
      <c r="B38" s="18"/>
      <c r="C38" s="18"/>
      <c r="D38" s="18"/>
      <c r="E38" s="18"/>
      <c r="F38" s="553" t="s">
        <v>128</v>
      </c>
      <c r="G38" s="554"/>
      <c r="H38" s="554"/>
      <c r="I38" s="555" t="s">
        <v>15</v>
      </c>
      <c r="J38" s="556"/>
    </row>
    <row r="39" spans="1:17" ht="41.4" thickBot="1" x14ac:dyDescent="0.25">
      <c r="A39" s="8"/>
      <c r="B39" s="19" t="s">
        <v>52</v>
      </c>
      <c r="C39" s="20" t="s">
        <v>22</v>
      </c>
      <c r="D39" s="19" t="s">
        <v>42</v>
      </c>
      <c r="E39" s="20" t="s">
        <v>42</v>
      </c>
      <c r="F39" s="19" t="s">
        <v>129</v>
      </c>
      <c r="G39" s="19" t="s">
        <v>130</v>
      </c>
      <c r="H39" s="19" t="s">
        <v>127</v>
      </c>
      <c r="I39" s="19" t="s">
        <v>20</v>
      </c>
      <c r="J39" s="19" t="s">
        <v>21</v>
      </c>
    </row>
    <row r="40" spans="1:17" ht="10.8" thickTop="1" x14ac:dyDescent="0.2">
      <c r="A40" s="77" t="s">
        <v>427</v>
      </c>
      <c r="B40" s="18"/>
      <c r="C40" s="87"/>
      <c r="D40" s="88"/>
      <c r="E40" s="87"/>
      <c r="F40" s="89"/>
      <c r="G40" s="90"/>
      <c r="H40" s="90"/>
      <c r="I40" s="89"/>
      <c r="J40" s="91"/>
    </row>
    <row r="41" spans="1:17" ht="102" x14ac:dyDescent="0.2">
      <c r="A41" s="339" t="s">
        <v>402</v>
      </c>
      <c r="B41" s="241">
        <v>30000</v>
      </c>
      <c r="C41" s="126">
        <f>'Cost Assumptions'!D10</f>
        <v>465000</v>
      </c>
      <c r="D41" s="36" t="s">
        <v>319</v>
      </c>
      <c r="E41" s="36"/>
      <c r="F41" s="10">
        <v>141</v>
      </c>
      <c r="G41" s="9">
        <v>64</v>
      </c>
      <c r="H41" s="71">
        <f>(F41*G41)/(12^2)</f>
        <v>62.666666666666664</v>
      </c>
      <c r="I41" s="16" t="s">
        <v>19</v>
      </c>
      <c r="J41" s="11"/>
    </row>
    <row r="42" spans="1:17" ht="11.4" x14ac:dyDescent="0.2">
      <c r="A42" s="339" t="s">
        <v>403</v>
      </c>
      <c r="B42" s="124"/>
      <c r="C42" s="59">
        <f>'Cost Assumptions'!D11</f>
        <v>1237800</v>
      </c>
      <c r="D42" s="37" t="s">
        <v>71</v>
      </c>
      <c r="E42" s="37"/>
      <c r="F42" s="10">
        <v>70</v>
      </c>
      <c r="G42" s="9">
        <v>64</v>
      </c>
      <c r="H42" s="71">
        <f>(F42*G42)/(12^2)</f>
        <v>31.111111111111111</v>
      </c>
      <c r="I42" s="16"/>
      <c r="J42" s="17"/>
    </row>
    <row r="43" spans="1:17" ht="40.799999999999997" x14ac:dyDescent="0.2">
      <c r="A43" s="45" t="s">
        <v>5</v>
      </c>
      <c r="B43" s="241">
        <v>30000</v>
      </c>
      <c r="C43" s="59">
        <f>'Cost Assumptions'!D12</f>
        <v>250000</v>
      </c>
      <c r="D43" s="37" t="s">
        <v>72</v>
      </c>
      <c r="E43" s="37"/>
      <c r="F43" s="10">
        <v>70</v>
      </c>
      <c r="G43" s="9">
        <v>64</v>
      </c>
      <c r="H43" s="71">
        <f>(F43*G43)/(12^2)</f>
        <v>31.111111111111111</v>
      </c>
      <c r="I43" s="16" t="s">
        <v>18</v>
      </c>
      <c r="J43" s="17" t="s">
        <v>16</v>
      </c>
    </row>
    <row r="44" spans="1:17" x14ac:dyDescent="0.2">
      <c r="A44" s="45" t="s">
        <v>4</v>
      </c>
      <c r="B44" s="241">
        <v>30000</v>
      </c>
      <c r="C44" s="59">
        <f>'Cost Assumptions'!D13</f>
        <v>250000</v>
      </c>
      <c r="D44" s="37" t="s">
        <v>71</v>
      </c>
      <c r="E44" s="37"/>
      <c r="F44" s="10">
        <v>70</v>
      </c>
      <c r="G44" s="9">
        <v>64</v>
      </c>
      <c r="H44" s="71">
        <f>(F44*G44)/(12^2)</f>
        <v>31.111111111111111</v>
      </c>
      <c r="I44" s="16"/>
      <c r="J44" s="17"/>
    </row>
    <row r="45" spans="1:17" ht="20.399999999999999" x14ac:dyDescent="0.2">
      <c r="A45" s="2" t="s">
        <v>353</v>
      </c>
      <c r="B45" s="124"/>
      <c r="C45" s="59">
        <f>'Cost Assumptions'!D14</f>
        <v>0</v>
      </c>
      <c r="D45" s="37" t="s">
        <v>126</v>
      </c>
      <c r="E45" s="37"/>
      <c r="F45" s="9">
        <v>8</v>
      </c>
      <c r="G45" s="2">
        <v>25.5</v>
      </c>
      <c r="H45" s="71">
        <f>(F45*G45)/(12^2)</f>
        <v>1.4166666666666667</v>
      </c>
      <c r="I45" s="10"/>
      <c r="J45" s="11"/>
    </row>
    <row r="46" spans="1:17" x14ac:dyDescent="0.2">
      <c r="A46" s="3" t="s">
        <v>374</v>
      </c>
      <c r="B46" s="267"/>
      <c r="C46" s="59"/>
      <c r="D46" s="37"/>
      <c r="E46" s="37"/>
      <c r="G46" s="9"/>
      <c r="H46" s="71"/>
      <c r="I46" s="15"/>
      <c r="J46" s="11"/>
    </row>
    <row r="47" spans="1:17" x14ac:dyDescent="0.2">
      <c r="A47" s="2" t="s">
        <v>11</v>
      </c>
      <c r="B47" s="124"/>
      <c r="C47" s="59">
        <f>'Cost Assumptions'!D15</f>
        <v>200</v>
      </c>
      <c r="D47" s="37"/>
      <c r="E47" s="37"/>
      <c r="F47" s="10">
        <v>24</v>
      </c>
      <c r="G47" s="9">
        <v>24</v>
      </c>
      <c r="H47" s="71">
        <f>(F47*G47)/(12^2)</f>
        <v>4</v>
      </c>
      <c r="I47" s="10"/>
      <c r="J47" s="11"/>
    </row>
    <row r="48" spans="1:17" x14ac:dyDescent="0.2">
      <c r="A48" s="2" t="s">
        <v>26</v>
      </c>
      <c r="B48" s="124"/>
      <c r="C48" s="59">
        <f>'Cost Assumptions'!D16</f>
        <v>0</v>
      </c>
      <c r="D48" s="37"/>
      <c r="E48" s="37"/>
      <c r="F48" s="10"/>
      <c r="G48" s="9"/>
      <c r="H48" s="9"/>
      <c r="I48" s="10"/>
      <c r="J48" s="11"/>
    </row>
    <row r="49" spans="1:10" x14ac:dyDescent="0.2">
      <c r="A49" s="2" t="s">
        <v>27</v>
      </c>
      <c r="B49" s="124"/>
      <c r="C49" s="59">
        <f>'Cost Assumptions'!D17</f>
        <v>0</v>
      </c>
      <c r="D49" s="37"/>
      <c r="E49" s="37"/>
      <c r="F49" s="10"/>
      <c r="G49" s="9"/>
      <c r="H49" s="9"/>
      <c r="I49" s="10"/>
      <c r="J49" s="11"/>
    </row>
    <row r="50" spans="1:10" x14ac:dyDescent="0.2">
      <c r="A50" s="2" t="s">
        <v>41</v>
      </c>
      <c r="B50" s="124"/>
      <c r="C50" s="59">
        <f>'Cost Assumptions'!D18</f>
        <v>36000</v>
      </c>
      <c r="D50" s="37" t="s">
        <v>184</v>
      </c>
      <c r="E50" s="37"/>
      <c r="F50" s="10"/>
      <c r="G50" s="9"/>
      <c r="H50" s="9"/>
      <c r="I50" s="10"/>
      <c r="J50" s="11"/>
    </row>
    <row r="51" spans="1:10" x14ac:dyDescent="0.2">
      <c r="A51" s="2" t="s">
        <v>12</v>
      </c>
      <c r="B51" s="123"/>
      <c r="C51" s="59">
        <f>'Cost Assumptions'!D19</f>
        <v>200</v>
      </c>
      <c r="D51" s="37"/>
      <c r="E51" s="37"/>
      <c r="F51" s="10">
        <v>24</v>
      </c>
      <c r="G51" s="9">
        <v>72</v>
      </c>
      <c r="H51" s="71">
        <f>(F51*G51)/(12^2)</f>
        <v>12</v>
      </c>
      <c r="I51" s="16" t="s">
        <v>17</v>
      </c>
      <c r="J51" s="11"/>
    </row>
    <row r="52" spans="1:10" ht="20.399999999999999" x14ac:dyDescent="0.2">
      <c r="A52" s="2" t="s">
        <v>331</v>
      </c>
      <c r="B52" s="123">
        <v>2000</v>
      </c>
      <c r="C52" s="59">
        <f>'Cost Assumptions'!D20</f>
        <v>800</v>
      </c>
      <c r="D52" s="37" t="s">
        <v>23</v>
      </c>
      <c r="E52" s="37"/>
      <c r="F52" s="10">
        <v>24</v>
      </c>
      <c r="G52" s="9">
        <v>36</v>
      </c>
      <c r="H52" s="71">
        <f>(F52*G52)/(12^2)</f>
        <v>6</v>
      </c>
      <c r="I52" s="10"/>
      <c r="J52" s="11"/>
    </row>
    <row r="53" spans="1:10" x14ac:dyDescent="0.2">
      <c r="A53" s="112" t="s">
        <v>224</v>
      </c>
      <c r="B53" s="123"/>
      <c r="C53" s="59"/>
      <c r="D53" s="37"/>
      <c r="E53" s="37"/>
      <c r="F53" s="10"/>
      <c r="G53" s="9"/>
      <c r="H53" s="71"/>
      <c r="I53" s="10"/>
      <c r="J53" s="11"/>
    </row>
    <row r="54" spans="1:10" x14ac:dyDescent="0.2">
      <c r="A54" s="2" t="s">
        <v>28</v>
      </c>
      <c r="B54" s="123"/>
      <c r="C54" s="59">
        <f>'Cost Assumptions'!D23</f>
        <v>20000</v>
      </c>
      <c r="D54" s="37" t="s">
        <v>198</v>
      </c>
      <c r="E54" s="37"/>
      <c r="F54" s="10">
        <v>36</v>
      </c>
      <c r="G54" s="9">
        <v>120</v>
      </c>
      <c r="H54" s="71">
        <f>(F54*G54)/(12^2)</f>
        <v>30</v>
      </c>
      <c r="I54" s="16" t="s">
        <v>17</v>
      </c>
      <c r="J54" s="11"/>
    </row>
    <row r="55" spans="1:10" ht="61.2" x14ac:dyDescent="0.2">
      <c r="A55" s="2" t="s">
        <v>6</v>
      </c>
      <c r="B55" s="123"/>
      <c r="C55" s="59">
        <f>'Cost Assumptions'!D24</f>
        <v>1900</v>
      </c>
      <c r="D55" s="37" t="s">
        <v>389</v>
      </c>
      <c r="E55" s="37"/>
      <c r="F55" s="10" t="s">
        <v>13</v>
      </c>
      <c r="G55" s="9"/>
      <c r="H55" s="9"/>
      <c r="I55" s="16" t="s">
        <v>17</v>
      </c>
      <c r="J55" s="11"/>
    </row>
    <row r="56" spans="1:10" x14ac:dyDescent="0.2">
      <c r="A56" s="85" t="s">
        <v>378</v>
      </c>
      <c r="B56" s="125">
        <v>1</v>
      </c>
      <c r="C56" s="59">
        <f>'Cost Assumptions'!D25</f>
        <v>17500</v>
      </c>
      <c r="D56" s="42" t="s">
        <v>198</v>
      </c>
      <c r="E56" s="41"/>
      <c r="F56" s="10"/>
      <c r="G56" s="9"/>
      <c r="H56" s="9"/>
      <c r="I56" s="9"/>
      <c r="J56" s="9"/>
    </row>
    <row r="57" spans="1:10" x14ac:dyDescent="0.2">
      <c r="A57" s="86" t="s">
        <v>312</v>
      </c>
      <c r="B57" s="125"/>
      <c r="C57" s="59"/>
      <c r="D57" s="42"/>
      <c r="E57" s="41"/>
      <c r="F57" s="10"/>
      <c r="G57" s="9"/>
      <c r="H57" s="9"/>
      <c r="I57" s="9"/>
      <c r="J57" s="9"/>
    </row>
    <row r="58" spans="1:10" ht="30.6" x14ac:dyDescent="0.2">
      <c r="A58" s="2" t="s">
        <v>2</v>
      </c>
      <c r="B58" s="42"/>
      <c r="C58" s="59">
        <f>'Cost Assumptions'!D21</f>
        <v>40000</v>
      </c>
      <c r="D58" s="37" t="s">
        <v>131</v>
      </c>
      <c r="E58" s="37"/>
      <c r="F58" s="10">
        <v>30</v>
      </c>
      <c r="G58" s="9">
        <v>51</v>
      </c>
      <c r="H58" s="71">
        <f>(F58*G58)/(12^2)</f>
        <v>10.625</v>
      </c>
      <c r="I58" s="16" t="s">
        <v>43</v>
      </c>
      <c r="J58" s="11"/>
    </row>
    <row r="59" spans="1:10" ht="30.6" x14ac:dyDescent="0.2">
      <c r="A59" s="2" t="s">
        <v>14</v>
      </c>
      <c r="B59" s="42"/>
      <c r="C59" s="59">
        <f>'Cost Assumptions'!D22</f>
        <v>35000</v>
      </c>
      <c r="D59" s="37" t="s">
        <v>40</v>
      </c>
      <c r="E59" s="37"/>
      <c r="F59" s="10"/>
      <c r="G59" s="9"/>
      <c r="H59" s="9"/>
      <c r="I59" s="16" t="s">
        <v>16</v>
      </c>
      <c r="J59" s="11"/>
    </row>
    <row r="60" spans="1:10" x14ac:dyDescent="0.2">
      <c r="A60" s="3" t="s">
        <v>194</v>
      </c>
      <c r="B60" s="42"/>
      <c r="C60" s="59"/>
      <c r="D60" s="37"/>
      <c r="E60" s="37"/>
      <c r="F60" s="10"/>
      <c r="G60" s="9"/>
      <c r="H60" s="9"/>
      <c r="I60" s="16"/>
      <c r="J60" s="11"/>
    </row>
    <row r="61" spans="1:10" ht="20.399999999999999" x14ac:dyDescent="0.2">
      <c r="A61" s="2" t="s">
        <v>186</v>
      </c>
      <c r="B61" s="42"/>
      <c r="C61" s="59">
        <f>'Cost Assumptions'!D29</f>
        <v>0</v>
      </c>
      <c r="D61" s="37" t="s">
        <v>185</v>
      </c>
      <c r="E61" s="37"/>
      <c r="F61" s="10"/>
      <c r="G61" s="9"/>
      <c r="H61" s="9"/>
      <c r="I61" s="16"/>
      <c r="J61" s="11"/>
    </row>
    <row r="62" spans="1:10" ht="20.399999999999999" x14ac:dyDescent="0.2">
      <c r="A62" s="2" t="s">
        <v>339</v>
      </c>
      <c r="B62" s="42"/>
      <c r="C62" s="99">
        <f>'Cost Assumptions'!D30</f>
        <v>100</v>
      </c>
      <c r="D62" s="37" t="s">
        <v>204</v>
      </c>
      <c r="E62" s="37"/>
      <c r="F62" s="10"/>
      <c r="G62" s="9"/>
      <c r="H62" s="9"/>
      <c r="I62" s="16"/>
      <c r="J62" s="11"/>
    </row>
    <row r="63" spans="1:10" ht="20.399999999999999" x14ac:dyDescent="0.2">
      <c r="A63" s="5" t="s">
        <v>430</v>
      </c>
      <c r="B63" s="122">
        <v>1</v>
      </c>
      <c r="C63" s="38">
        <f>'Cost Assumptions'!D26</f>
        <v>0.11</v>
      </c>
      <c r="D63" s="37" t="s">
        <v>39</v>
      </c>
      <c r="E63" s="38"/>
      <c r="F63" s="12"/>
      <c r="G63" s="13"/>
      <c r="H63" s="13"/>
      <c r="I63" s="12"/>
      <c r="J63" s="14"/>
    </row>
    <row r="64" spans="1:10" ht="20.399999999999999" x14ac:dyDescent="0.2">
      <c r="A64" s="5" t="s">
        <v>431</v>
      </c>
      <c r="B64" s="122"/>
      <c r="C64" s="38">
        <f>'Cost Assumptions'!D27</f>
        <v>0.05</v>
      </c>
      <c r="D64" s="37"/>
      <c r="E64" s="38"/>
      <c r="F64" s="9"/>
      <c r="G64" s="9"/>
      <c r="H64" s="9"/>
      <c r="I64" s="9"/>
      <c r="J64" s="9"/>
    </row>
    <row r="65" spans="1:16" x14ac:dyDescent="0.2">
      <c r="A65" s="30" t="s">
        <v>310</v>
      </c>
      <c r="B65" s="239"/>
      <c r="C65" s="41"/>
      <c r="D65" s="240"/>
      <c r="E65" s="41"/>
      <c r="F65" s="9"/>
      <c r="G65" s="9"/>
      <c r="H65" s="9"/>
      <c r="I65" s="9"/>
      <c r="J65" s="9"/>
    </row>
    <row r="66" spans="1:16" ht="20.399999999999999" x14ac:dyDescent="0.2">
      <c r="A66" s="5" t="s">
        <v>437</v>
      </c>
      <c r="B66" s="242">
        <v>43.5</v>
      </c>
      <c r="C66" s="242">
        <f>B66</f>
        <v>43.5</v>
      </c>
      <c r="D66" s="242">
        <f t="shared" ref="D66:P66" si="15">C66</f>
        <v>43.5</v>
      </c>
      <c r="E66" s="242">
        <f t="shared" si="15"/>
        <v>43.5</v>
      </c>
      <c r="F66" s="242">
        <f t="shared" si="15"/>
        <v>43.5</v>
      </c>
      <c r="G66" s="242">
        <f t="shared" si="15"/>
        <v>43.5</v>
      </c>
      <c r="H66" s="242">
        <f t="shared" si="15"/>
        <v>43.5</v>
      </c>
      <c r="I66" s="242">
        <f t="shared" si="15"/>
        <v>43.5</v>
      </c>
      <c r="J66" s="242">
        <f t="shared" si="15"/>
        <v>43.5</v>
      </c>
      <c r="K66" s="242">
        <f t="shared" si="15"/>
        <v>43.5</v>
      </c>
      <c r="L66" s="242">
        <f t="shared" si="15"/>
        <v>43.5</v>
      </c>
      <c r="M66" s="242">
        <f t="shared" si="15"/>
        <v>43.5</v>
      </c>
      <c r="N66" s="242">
        <f t="shared" si="15"/>
        <v>43.5</v>
      </c>
      <c r="O66" s="242">
        <f t="shared" si="15"/>
        <v>43.5</v>
      </c>
      <c r="P66" s="242">
        <f t="shared" si="15"/>
        <v>43.5</v>
      </c>
    </row>
    <row r="67" spans="1:16" x14ac:dyDescent="0.2">
      <c r="A67" s="5" t="s">
        <v>438</v>
      </c>
      <c r="B67" s="242">
        <v>43.5</v>
      </c>
      <c r="C67" s="242">
        <f>B67</f>
        <v>43.5</v>
      </c>
      <c r="D67" s="242">
        <f t="shared" ref="D67:P67" si="16">C67</f>
        <v>43.5</v>
      </c>
      <c r="E67" s="242">
        <f t="shared" si="16"/>
        <v>43.5</v>
      </c>
      <c r="F67" s="242">
        <f t="shared" si="16"/>
        <v>43.5</v>
      </c>
      <c r="G67" s="242">
        <f t="shared" si="16"/>
        <v>43.5</v>
      </c>
      <c r="H67" s="242">
        <f t="shared" si="16"/>
        <v>43.5</v>
      </c>
      <c r="I67" s="242">
        <f t="shared" si="16"/>
        <v>43.5</v>
      </c>
      <c r="J67" s="242">
        <f t="shared" si="16"/>
        <v>43.5</v>
      </c>
      <c r="K67" s="242">
        <f t="shared" si="16"/>
        <v>43.5</v>
      </c>
      <c r="L67" s="242">
        <f t="shared" si="16"/>
        <v>43.5</v>
      </c>
      <c r="M67" s="242">
        <f t="shared" si="16"/>
        <v>43.5</v>
      </c>
      <c r="N67" s="242">
        <f t="shared" si="16"/>
        <v>43.5</v>
      </c>
      <c r="O67" s="242">
        <f t="shared" si="16"/>
        <v>43.5</v>
      </c>
      <c r="P67" s="242">
        <f t="shared" si="16"/>
        <v>43.5</v>
      </c>
    </row>
    <row r="68" spans="1:16" ht="20.399999999999999" x14ac:dyDescent="0.2">
      <c r="A68" s="5" t="s">
        <v>439</v>
      </c>
      <c r="B68" s="242">
        <f>B66+B67</f>
        <v>87</v>
      </c>
      <c r="C68" s="242">
        <f t="shared" ref="C68:P68" si="17">C66+C67</f>
        <v>87</v>
      </c>
      <c r="D68" s="242">
        <f t="shared" si="17"/>
        <v>87</v>
      </c>
      <c r="E68" s="242">
        <f t="shared" si="17"/>
        <v>87</v>
      </c>
      <c r="F68" s="242">
        <f t="shared" si="17"/>
        <v>87</v>
      </c>
      <c r="G68" s="242">
        <f t="shared" si="17"/>
        <v>87</v>
      </c>
      <c r="H68" s="242">
        <f t="shared" si="17"/>
        <v>87</v>
      </c>
      <c r="I68" s="242">
        <f t="shared" si="17"/>
        <v>87</v>
      </c>
      <c r="J68" s="242">
        <f t="shared" si="17"/>
        <v>87</v>
      </c>
      <c r="K68" s="242">
        <f t="shared" si="17"/>
        <v>87</v>
      </c>
      <c r="L68" s="242">
        <f t="shared" si="17"/>
        <v>87</v>
      </c>
      <c r="M68" s="242">
        <f t="shared" si="17"/>
        <v>87</v>
      </c>
      <c r="N68" s="242">
        <f t="shared" si="17"/>
        <v>87</v>
      </c>
      <c r="O68" s="242">
        <f t="shared" si="17"/>
        <v>87</v>
      </c>
      <c r="P68" s="242">
        <f t="shared" si="17"/>
        <v>87</v>
      </c>
    </row>
    <row r="69" spans="1:16" x14ac:dyDescent="0.2">
      <c r="A69" s="6" t="s">
        <v>440</v>
      </c>
      <c r="B69" s="242">
        <f>IF(Status!G9="shell casings only",(B8*1*B66),IF(Status!G9="bullets only",(B8*1*B67),(B8*1*B66)+(B8*1*B67)))</f>
        <v>1305000</v>
      </c>
      <c r="C69" s="242">
        <f>IF(Status!G9="shell casings only",(C8*1*C66),IF(Status!G9="bullets only",(C8*1*C67),(C8*1*C66)+(C8*1*C67)))</f>
        <v>1305000</v>
      </c>
      <c r="D69" s="242">
        <f>IF(Status!G9="shell casings only",(D8*1*D66),IF(Status!G9="bullets only",(D8*1*D67),(D8*1*D66)+(D8*1*D67)))</f>
        <v>1305000</v>
      </c>
      <c r="E69" s="242">
        <f>IF(Status!G9="shell casings only",(E8*1*E66),IF(Status!G9="bullets only",(E8*1*E67),(E8*1*E66)+(E8*1*E67)))</f>
        <v>1305000</v>
      </c>
      <c r="F69" s="242">
        <f>IF(Status!G9="shell casings only",(F8*1*F66),IF(Status!G9="bullets only",(F8*1*F67),(F8*1*F66)+(F8*1*F67)))</f>
        <v>1305000</v>
      </c>
      <c r="G69" s="242">
        <f>IF(Status!G9="shell casings only",(G8*1*G66),IF(Status!G9="bullets only",(G8*1*G67),(G8*1*G66)+(G8*1*G67)))</f>
        <v>1305000</v>
      </c>
      <c r="H69" s="242">
        <f>IF(Status!G9="shell casings only",(H8*1*H66),IF(Status!G9="bullets only",(H8*1*H67),(H8*1*H66)+(H8*1*H67)))</f>
        <v>1305000</v>
      </c>
      <c r="I69" s="242">
        <f>IF(Status!G9="shell casings only",(I8*1*I66),IF(Status!G9="bullets only",(I8*1*I67),(I8*1*I66)+(I8*1*I67)))</f>
        <v>1305000</v>
      </c>
      <c r="J69" s="242">
        <f>IF(Status!G9="shell casings only",(J8*1*J66),IF(Status!G9="bullets only",(J8*1*J67),(J8*1*J66)+(J8*1*J67)))</f>
        <v>1305000</v>
      </c>
      <c r="K69" s="242">
        <f>IF(Status!G9="shell casings only",(K8*1*K66),IF(Status!G9="bullets only",(K8*1*K67),(K8*1*K66)+(K8*1*K67)))</f>
        <v>1305000</v>
      </c>
      <c r="L69" s="242">
        <f>IF(Status!G9="shell casings only",(L8*1*L66),IF(Status!G9="bullets only",(L8*1*L67),(L8*1*L66)+(L8*1*L67)))</f>
        <v>1305000</v>
      </c>
      <c r="M69" s="242">
        <f>IF(Status!G9="shell casings only",(M8*1*M66),IF(Status!G9="bullets only",(M8*1*M67),(M8*1*M66)+(M8*1*M67)))</f>
        <v>1305000</v>
      </c>
      <c r="N69" s="242">
        <f>IF(Status!G9="shell casings only",(N8*1*N66),IF(Status!G9="bullets only",(N8*1*N67),(N8*1*N66)+(N8*1*N67)))</f>
        <v>1305000</v>
      </c>
      <c r="O69" s="242">
        <f>IF(Status!G9="shell casings only",(O8*1*O66),IF(Status!G9="bullets only",(O8*1*O67),(O8*1*O66)+(O8*1*O67)))</f>
        <v>1305000</v>
      </c>
      <c r="P69" s="242">
        <f>IF(Status!G9="shell casings only",(P8*1*P66),IF(Status!G9="bullets only",(P8*1*P67),(P8*1*P66)+(P8*1*P67)))</f>
        <v>1305000</v>
      </c>
    </row>
    <row r="70" spans="1:16" x14ac:dyDescent="0.2">
      <c r="A70" s="6" t="s">
        <v>441</v>
      </c>
      <c r="B70" s="242">
        <f>B69</f>
        <v>1305000</v>
      </c>
      <c r="C70" s="242">
        <f>B70+C69</f>
        <v>2610000</v>
      </c>
      <c r="D70" s="242">
        <f t="shared" ref="D70:P70" si="18">C70+D69</f>
        <v>3915000</v>
      </c>
      <c r="E70" s="242">
        <f t="shared" si="18"/>
        <v>5220000</v>
      </c>
      <c r="F70" s="242">
        <f t="shared" si="18"/>
        <v>6525000</v>
      </c>
      <c r="G70" s="242">
        <f t="shared" si="18"/>
        <v>7830000</v>
      </c>
      <c r="H70" s="242">
        <f t="shared" si="18"/>
        <v>9135000</v>
      </c>
      <c r="I70" s="242">
        <f t="shared" si="18"/>
        <v>10440000</v>
      </c>
      <c r="J70" s="242">
        <f t="shared" si="18"/>
        <v>11745000</v>
      </c>
      <c r="K70" s="242">
        <f t="shared" si="18"/>
        <v>13050000</v>
      </c>
      <c r="L70" s="242">
        <f t="shared" si="18"/>
        <v>14355000</v>
      </c>
      <c r="M70" s="242">
        <f t="shared" si="18"/>
        <v>15660000</v>
      </c>
      <c r="N70" s="242">
        <f t="shared" si="18"/>
        <v>16965000</v>
      </c>
      <c r="O70" s="242">
        <f t="shared" si="18"/>
        <v>18270000</v>
      </c>
      <c r="P70" s="242">
        <f t="shared" si="18"/>
        <v>19575000</v>
      </c>
    </row>
    <row r="71" spans="1:16" ht="20.399999999999999" x14ac:dyDescent="0.2">
      <c r="A71" s="5" t="s">
        <v>416</v>
      </c>
      <c r="B71" s="243">
        <v>32</v>
      </c>
      <c r="C71" s="243">
        <v>32</v>
      </c>
      <c r="D71" s="243">
        <v>32</v>
      </c>
      <c r="E71" s="243">
        <v>32</v>
      </c>
      <c r="F71" s="243">
        <v>32</v>
      </c>
      <c r="G71" s="243">
        <v>32</v>
      </c>
      <c r="H71" s="243">
        <v>32</v>
      </c>
      <c r="I71" s="243">
        <v>32</v>
      </c>
      <c r="J71" s="243">
        <v>32</v>
      </c>
      <c r="K71" s="243">
        <v>32</v>
      </c>
      <c r="L71" s="243">
        <v>32</v>
      </c>
      <c r="M71" s="243">
        <v>32</v>
      </c>
      <c r="N71" s="243">
        <v>32</v>
      </c>
      <c r="O71" s="243">
        <v>32</v>
      </c>
      <c r="P71" s="243">
        <v>32</v>
      </c>
    </row>
    <row r="72" spans="1:16" s="28" customFormat="1" x14ac:dyDescent="0.2"/>
    <row r="73" spans="1:16" x14ac:dyDescent="0.2">
      <c r="B73" s="3" t="s">
        <v>3</v>
      </c>
      <c r="C73" s="3" t="s">
        <v>3</v>
      </c>
      <c r="D73" s="3" t="s">
        <v>3</v>
      </c>
      <c r="E73" s="3" t="s">
        <v>3</v>
      </c>
      <c r="F73" s="3" t="s">
        <v>3</v>
      </c>
      <c r="G73" s="3" t="s">
        <v>3</v>
      </c>
      <c r="H73" s="3" t="s">
        <v>3</v>
      </c>
      <c r="I73" s="3" t="s">
        <v>3</v>
      </c>
      <c r="J73" s="3" t="s">
        <v>3</v>
      </c>
      <c r="K73" s="3" t="s">
        <v>3</v>
      </c>
      <c r="L73" s="3" t="s">
        <v>3</v>
      </c>
      <c r="M73" s="3" t="s">
        <v>3</v>
      </c>
      <c r="N73" s="3" t="s">
        <v>3</v>
      </c>
      <c r="O73" s="3" t="s">
        <v>3</v>
      </c>
      <c r="P73" s="3" t="s">
        <v>3</v>
      </c>
    </row>
    <row r="74" spans="1:16" x14ac:dyDescent="0.2">
      <c r="A74" s="30" t="s">
        <v>419</v>
      </c>
      <c r="B74" s="82">
        <v>1</v>
      </c>
      <c r="C74" s="82">
        <v>2</v>
      </c>
      <c r="D74" s="82">
        <v>3</v>
      </c>
      <c r="E74" s="82">
        <v>4</v>
      </c>
      <c r="F74" s="82">
        <v>5</v>
      </c>
      <c r="G74" s="82">
        <v>6</v>
      </c>
      <c r="H74" s="62">
        <v>7</v>
      </c>
      <c r="I74" s="62">
        <v>8</v>
      </c>
      <c r="J74" s="62">
        <v>9</v>
      </c>
      <c r="K74" s="62">
        <v>10</v>
      </c>
      <c r="L74" s="62">
        <v>11</v>
      </c>
      <c r="M74" s="63">
        <v>12</v>
      </c>
      <c r="N74" s="63">
        <v>13</v>
      </c>
      <c r="O74" s="63">
        <v>14</v>
      </c>
      <c r="P74" s="63">
        <v>15</v>
      </c>
    </row>
    <row r="75" spans="1:16" x14ac:dyDescent="0.2">
      <c r="A75" s="45" t="str">
        <f>'Cost Assumptions'!B38</f>
        <v>Lab Technician</v>
      </c>
      <c r="B75" s="44">
        <f>'Cost Assumptions'!C38</f>
        <v>29000</v>
      </c>
      <c r="C75" s="44">
        <f t="shared" ref="C75:P75" si="19">CEILING(B75*(1+C14),100)</f>
        <v>30200</v>
      </c>
      <c r="D75" s="44">
        <f t="shared" si="19"/>
        <v>31500</v>
      </c>
      <c r="E75" s="44">
        <f t="shared" si="19"/>
        <v>32800</v>
      </c>
      <c r="F75" s="44">
        <f t="shared" si="19"/>
        <v>34200</v>
      </c>
      <c r="G75" s="44">
        <f t="shared" si="19"/>
        <v>35600</v>
      </c>
      <c r="H75" s="24">
        <f t="shared" si="19"/>
        <v>37100</v>
      </c>
      <c r="I75" s="24">
        <f t="shared" si="19"/>
        <v>38600</v>
      </c>
      <c r="J75" s="24">
        <f t="shared" si="19"/>
        <v>40200</v>
      </c>
      <c r="K75" s="24">
        <f t="shared" si="19"/>
        <v>41900</v>
      </c>
      <c r="L75" s="24">
        <f t="shared" si="19"/>
        <v>43600</v>
      </c>
      <c r="M75" s="24">
        <f t="shared" si="19"/>
        <v>45400</v>
      </c>
      <c r="N75" s="24">
        <f t="shared" si="19"/>
        <v>47300</v>
      </c>
      <c r="O75" s="24">
        <f t="shared" si="19"/>
        <v>49200</v>
      </c>
      <c r="P75" s="24">
        <f t="shared" si="19"/>
        <v>51200</v>
      </c>
    </row>
    <row r="76" spans="1:16" x14ac:dyDescent="0.2">
      <c r="A76" s="45" t="str">
        <f>'Cost Assumptions'!B39</f>
        <v>Technician Manager</v>
      </c>
      <c r="B76" s="44">
        <f>'Cost Assumptions'!C39</f>
        <v>50000</v>
      </c>
      <c r="C76" s="44">
        <f t="shared" ref="C76:P76" si="20">CEILING(B76*(1+C14),100)</f>
        <v>52000</v>
      </c>
      <c r="D76" s="44">
        <f t="shared" si="20"/>
        <v>54100</v>
      </c>
      <c r="E76" s="44">
        <f t="shared" si="20"/>
        <v>56300</v>
      </c>
      <c r="F76" s="44">
        <f t="shared" si="20"/>
        <v>58600</v>
      </c>
      <c r="G76" s="44">
        <f t="shared" si="20"/>
        <v>61000</v>
      </c>
      <c r="H76" s="24">
        <f t="shared" si="20"/>
        <v>63500</v>
      </c>
      <c r="I76" s="24">
        <f t="shared" si="20"/>
        <v>66100</v>
      </c>
      <c r="J76" s="24">
        <f t="shared" si="20"/>
        <v>68800</v>
      </c>
      <c r="K76" s="24">
        <f t="shared" si="20"/>
        <v>71600</v>
      </c>
      <c r="L76" s="24">
        <f t="shared" si="20"/>
        <v>74500</v>
      </c>
      <c r="M76" s="24">
        <f t="shared" si="20"/>
        <v>77500</v>
      </c>
      <c r="N76" s="24">
        <f t="shared" si="20"/>
        <v>80600</v>
      </c>
      <c r="O76" s="24">
        <f t="shared" si="20"/>
        <v>83900</v>
      </c>
      <c r="P76" s="24">
        <f t="shared" si="20"/>
        <v>87300</v>
      </c>
    </row>
    <row r="77" spans="1:16" x14ac:dyDescent="0.2">
      <c r="A77" s="45" t="str">
        <f>'Cost Assumptions'!B40</f>
        <v>State personnel to fire weapons and collect samples</v>
      </c>
      <c r="B77" s="44">
        <f>'Cost Assumptions'!C40</f>
        <v>36000</v>
      </c>
      <c r="C77" s="44">
        <f t="shared" ref="C77:P77" si="21">CEILING(B77*(1+C14),100)</f>
        <v>37500</v>
      </c>
      <c r="D77" s="44">
        <f t="shared" si="21"/>
        <v>39000</v>
      </c>
      <c r="E77" s="44">
        <f t="shared" si="21"/>
        <v>40600</v>
      </c>
      <c r="F77" s="44">
        <f t="shared" si="21"/>
        <v>42300</v>
      </c>
      <c r="G77" s="44">
        <f t="shared" si="21"/>
        <v>44000</v>
      </c>
      <c r="H77" s="24">
        <f t="shared" si="21"/>
        <v>45800</v>
      </c>
      <c r="I77" s="24">
        <f t="shared" si="21"/>
        <v>47700</v>
      </c>
      <c r="J77" s="24">
        <f t="shared" si="21"/>
        <v>49700</v>
      </c>
      <c r="K77" s="24">
        <f t="shared" si="21"/>
        <v>51700</v>
      </c>
      <c r="L77" s="24">
        <f t="shared" si="21"/>
        <v>53800</v>
      </c>
      <c r="M77" s="24">
        <f t="shared" si="21"/>
        <v>56000</v>
      </c>
      <c r="N77" s="24">
        <f t="shared" si="21"/>
        <v>58300</v>
      </c>
      <c r="O77" s="24">
        <f t="shared" si="21"/>
        <v>60700</v>
      </c>
      <c r="P77" s="24">
        <f t="shared" si="21"/>
        <v>63200</v>
      </c>
    </row>
    <row r="78" spans="1:16" x14ac:dyDescent="0.2">
      <c r="A78" s="45" t="str">
        <f>'Cost Assumptions'!B41</f>
        <v>Firearms Toolmark Examiner</v>
      </c>
      <c r="B78" s="44">
        <f>'Cost Assumptions'!C41</f>
        <v>43000</v>
      </c>
      <c r="C78" s="44">
        <f t="shared" ref="C78:P78" si="22">CEILING(B78*(1+C14),100)</f>
        <v>44800</v>
      </c>
      <c r="D78" s="44">
        <f t="shared" si="22"/>
        <v>46600</v>
      </c>
      <c r="E78" s="44">
        <f t="shared" si="22"/>
        <v>48500</v>
      </c>
      <c r="F78" s="44">
        <f t="shared" si="22"/>
        <v>50500</v>
      </c>
      <c r="G78" s="44">
        <f t="shared" si="22"/>
        <v>52600</v>
      </c>
      <c r="H78" s="24">
        <f t="shared" si="22"/>
        <v>54800</v>
      </c>
      <c r="I78" s="24">
        <f t="shared" si="22"/>
        <v>57000</v>
      </c>
      <c r="J78" s="24">
        <f t="shared" si="22"/>
        <v>59300</v>
      </c>
      <c r="K78" s="24">
        <f t="shared" si="22"/>
        <v>61700</v>
      </c>
      <c r="L78" s="24">
        <f t="shared" si="22"/>
        <v>64200</v>
      </c>
      <c r="M78" s="24">
        <f t="shared" si="22"/>
        <v>66800</v>
      </c>
      <c r="N78" s="24">
        <f t="shared" si="22"/>
        <v>69500</v>
      </c>
      <c r="O78" s="24">
        <f t="shared" si="22"/>
        <v>72300</v>
      </c>
      <c r="P78" s="24">
        <f t="shared" si="22"/>
        <v>75200</v>
      </c>
    </row>
    <row r="79" spans="1:16" x14ac:dyDescent="0.2">
      <c r="A79" s="45" t="str">
        <f>'Cost Assumptions'!B42</f>
        <v xml:space="preserve">Inventory Control Specialist </v>
      </c>
      <c r="B79" s="44">
        <f>'Cost Assumptions'!C42</f>
        <v>38000</v>
      </c>
      <c r="C79" s="44">
        <f t="shared" ref="C79:P79" si="23">CEILING(B79*(1+C14),100)</f>
        <v>39600</v>
      </c>
      <c r="D79" s="44">
        <f t="shared" si="23"/>
        <v>41200</v>
      </c>
      <c r="E79" s="44">
        <f t="shared" si="23"/>
        <v>42900</v>
      </c>
      <c r="F79" s="44">
        <f t="shared" si="23"/>
        <v>44700</v>
      </c>
      <c r="G79" s="44">
        <f t="shared" si="23"/>
        <v>46500</v>
      </c>
      <c r="H79" s="24">
        <f t="shared" si="23"/>
        <v>48400</v>
      </c>
      <c r="I79" s="24">
        <f t="shared" si="23"/>
        <v>50400</v>
      </c>
      <c r="J79" s="24">
        <f t="shared" si="23"/>
        <v>52500</v>
      </c>
      <c r="K79" s="24">
        <f t="shared" si="23"/>
        <v>54600</v>
      </c>
      <c r="L79" s="24">
        <f t="shared" si="23"/>
        <v>56800</v>
      </c>
      <c r="M79" s="24">
        <f t="shared" si="23"/>
        <v>59100</v>
      </c>
      <c r="N79" s="24">
        <f t="shared" si="23"/>
        <v>61500</v>
      </c>
      <c r="O79" s="24">
        <f t="shared" si="23"/>
        <v>64000</v>
      </c>
      <c r="P79" s="24">
        <f t="shared" si="23"/>
        <v>66600</v>
      </c>
    </row>
    <row r="80" spans="1:16" x14ac:dyDescent="0.2">
      <c r="A80" s="45" t="str">
        <f>'Cost Assumptions'!B43</f>
        <v>Office Clerk or other</v>
      </c>
      <c r="B80" s="44">
        <f>'Cost Assumptions'!C43</f>
        <v>31000</v>
      </c>
      <c r="C80" s="44">
        <f t="shared" ref="C80:P80" si="24">CEILING(B80*(1+C14),100)</f>
        <v>32300</v>
      </c>
      <c r="D80" s="44">
        <f t="shared" si="24"/>
        <v>33600</v>
      </c>
      <c r="E80" s="44">
        <f t="shared" si="24"/>
        <v>35000</v>
      </c>
      <c r="F80" s="44">
        <f t="shared" si="24"/>
        <v>36400</v>
      </c>
      <c r="G80" s="44">
        <f t="shared" si="24"/>
        <v>37900</v>
      </c>
      <c r="H80" s="24">
        <f t="shared" si="24"/>
        <v>39500</v>
      </c>
      <c r="I80" s="24">
        <f t="shared" si="24"/>
        <v>41100</v>
      </c>
      <c r="J80" s="24">
        <f t="shared" si="24"/>
        <v>42800</v>
      </c>
      <c r="K80" s="24">
        <f t="shared" si="24"/>
        <v>44600</v>
      </c>
      <c r="L80" s="24">
        <f t="shared" si="24"/>
        <v>46400</v>
      </c>
      <c r="M80" s="24">
        <f t="shared" si="24"/>
        <v>48300</v>
      </c>
      <c r="N80" s="24">
        <f t="shared" si="24"/>
        <v>50300</v>
      </c>
      <c r="O80" s="24">
        <f t="shared" si="24"/>
        <v>52400</v>
      </c>
      <c r="P80" s="24">
        <f t="shared" si="24"/>
        <v>54500</v>
      </c>
    </row>
    <row r="81" spans="1:16" x14ac:dyDescent="0.2">
      <c r="A81" s="45" t="str">
        <f>'Cost Assumptions'!B44</f>
        <v xml:space="preserve">Dealer and Community Liaison </v>
      </c>
      <c r="B81" s="44">
        <f>'Cost Assumptions'!C44</f>
        <v>45000</v>
      </c>
      <c r="C81" s="44">
        <f t="shared" ref="C81:P81" si="25">CEILING(B81*(1+C14),100)</f>
        <v>46800</v>
      </c>
      <c r="D81" s="44">
        <f t="shared" si="25"/>
        <v>48700</v>
      </c>
      <c r="E81" s="44">
        <f t="shared" si="25"/>
        <v>50700</v>
      </c>
      <c r="F81" s="44">
        <f t="shared" si="25"/>
        <v>52800</v>
      </c>
      <c r="G81" s="44">
        <f t="shared" si="25"/>
        <v>55000</v>
      </c>
      <c r="H81" s="24">
        <f t="shared" si="25"/>
        <v>57200</v>
      </c>
      <c r="I81" s="24">
        <f t="shared" si="25"/>
        <v>59500</v>
      </c>
      <c r="J81" s="24">
        <f t="shared" si="25"/>
        <v>61900</v>
      </c>
      <c r="K81" s="24">
        <f t="shared" si="25"/>
        <v>64400</v>
      </c>
      <c r="L81" s="24">
        <f t="shared" si="25"/>
        <v>67000</v>
      </c>
      <c r="M81" s="24">
        <f t="shared" si="25"/>
        <v>69700</v>
      </c>
      <c r="N81" s="24">
        <f t="shared" si="25"/>
        <v>72500</v>
      </c>
      <c r="O81" s="24">
        <f t="shared" si="25"/>
        <v>75400</v>
      </c>
      <c r="P81" s="24">
        <f t="shared" si="25"/>
        <v>78500</v>
      </c>
    </row>
    <row r="82" spans="1:16" x14ac:dyDescent="0.2">
      <c r="A82" s="45" t="str">
        <f>'Cost Assumptions'!B45</f>
        <v xml:space="preserve">Legal Counsel to Enforce Imaging Laws </v>
      </c>
      <c r="B82" s="44">
        <f>'Cost Assumptions'!C45</f>
        <v>88000</v>
      </c>
      <c r="C82" s="44">
        <f t="shared" ref="C82:P82" si="26">CEILING(B82*(1+C14),100)</f>
        <v>91600</v>
      </c>
      <c r="D82" s="44">
        <f t="shared" si="26"/>
        <v>95300</v>
      </c>
      <c r="E82" s="44">
        <f t="shared" si="26"/>
        <v>99200</v>
      </c>
      <c r="F82" s="44">
        <f t="shared" si="26"/>
        <v>103200</v>
      </c>
      <c r="G82" s="44">
        <f t="shared" si="26"/>
        <v>107400</v>
      </c>
      <c r="H82" s="24">
        <f t="shared" si="26"/>
        <v>111700</v>
      </c>
      <c r="I82" s="24">
        <f t="shared" si="26"/>
        <v>116200</v>
      </c>
      <c r="J82" s="24">
        <f t="shared" si="26"/>
        <v>120900</v>
      </c>
      <c r="K82" s="24">
        <f t="shared" si="26"/>
        <v>125800</v>
      </c>
      <c r="L82" s="24">
        <f t="shared" si="26"/>
        <v>130900</v>
      </c>
      <c r="M82" s="24">
        <f t="shared" si="26"/>
        <v>136200</v>
      </c>
      <c r="N82" s="24">
        <f t="shared" si="26"/>
        <v>141700</v>
      </c>
      <c r="O82" s="24">
        <f t="shared" si="26"/>
        <v>147400</v>
      </c>
      <c r="P82" s="24">
        <f t="shared" si="26"/>
        <v>153300</v>
      </c>
    </row>
    <row r="83" spans="1:16" x14ac:dyDescent="0.2">
      <c r="A83" s="35" t="str">
        <f>'Cost Assumptions'!B46</f>
        <v xml:space="preserve">FTI/Vendor representative on site for training and support </v>
      </c>
      <c r="B83" s="44">
        <f>'Cost Assumptions'!C46</f>
        <v>0</v>
      </c>
      <c r="C83" s="44">
        <f t="shared" ref="C83:P83" si="27">CEILING(B83*(1+C14),100)</f>
        <v>0</v>
      </c>
      <c r="D83" s="44">
        <f t="shared" si="27"/>
        <v>0</v>
      </c>
      <c r="E83" s="44">
        <f t="shared" si="27"/>
        <v>0</v>
      </c>
      <c r="F83" s="44">
        <f t="shared" si="27"/>
        <v>0</v>
      </c>
      <c r="G83" s="44">
        <f t="shared" si="27"/>
        <v>0</v>
      </c>
      <c r="H83" s="24">
        <f t="shared" si="27"/>
        <v>0</v>
      </c>
      <c r="I83" s="24">
        <f t="shared" si="27"/>
        <v>0</v>
      </c>
      <c r="J83" s="24">
        <f t="shared" si="27"/>
        <v>0</v>
      </c>
      <c r="K83" s="24">
        <f t="shared" si="27"/>
        <v>0</v>
      </c>
      <c r="L83" s="24">
        <f t="shared" si="27"/>
        <v>0</v>
      </c>
      <c r="M83" s="24">
        <f t="shared" si="27"/>
        <v>0</v>
      </c>
      <c r="N83" s="24">
        <f t="shared" si="27"/>
        <v>0</v>
      </c>
      <c r="O83" s="24">
        <f t="shared" si="27"/>
        <v>0</v>
      </c>
      <c r="P83" s="24">
        <f t="shared" si="27"/>
        <v>0</v>
      </c>
    </row>
    <row r="84" spans="1:16" x14ac:dyDescent="0.2">
      <c r="B84" s="45"/>
      <c r="C84" s="45"/>
      <c r="D84" s="45"/>
      <c r="E84" s="45"/>
      <c r="F84" s="45"/>
      <c r="G84" s="45"/>
    </row>
    <row r="85" spans="1:16" x14ac:dyDescent="0.2">
      <c r="A85" s="6"/>
      <c r="B85" s="112" t="s">
        <v>3</v>
      </c>
      <c r="C85" s="112" t="s">
        <v>3</v>
      </c>
      <c r="D85" s="112" t="s">
        <v>3</v>
      </c>
      <c r="E85" s="112" t="s">
        <v>3</v>
      </c>
      <c r="F85" s="112" t="s">
        <v>3</v>
      </c>
      <c r="G85" s="112" t="s">
        <v>3</v>
      </c>
      <c r="H85" s="3" t="s">
        <v>3</v>
      </c>
      <c r="I85" s="3" t="s">
        <v>3</v>
      </c>
      <c r="J85" s="3" t="s">
        <v>3</v>
      </c>
      <c r="K85" s="3" t="s">
        <v>3</v>
      </c>
      <c r="L85" s="3" t="s">
        <v>3</v>
      </c>
      <c r="M85" s="3" t="s">
        <v>3</v>
      </c>
      <c r="N85" s="3" t="s">
        <v>3</v>
      </c>
      <c r="O85" s="3" t="s">
        <v>3</v>
      </c>
      <c r="P85" s="3" t="s">
        <v>3</v>
      </c>
    </row>
    <row r="86" spans="1:16" x14ac:dyDescent="0.2">
      <c r="A86" s="30" t="s">
        <v>420</v>
      </c>
      <c r="B86" s="82">
        <v>1</v>
      </c>
      <c r="C86" s="82">
        <v>2</v>
      </c>
      <c r="D86" s="82">
        <v>3</v>
      </c>
      <c r="E86" s="82">
        <v>4</v>
      </c>
      <c r="F86" s="82">
        <v>5</v>
      </c>
      <c r="G86" s="82">
        <v>6</v>
      </c>
      <c r="H86" s="62">
        <v>7</v>
      </c>
      <c r="I86" s="62">
        <v>8</v>
      </c>
      <c r="J86" s="62">
        <v>9</v>
      </c>
      <c r="K86" s="62">
        <v>10</v>
      </c>
      <c r="L86" s="62">
        <v>11</v>
      </c>
      <c r="M86" s="63">
        <v>12</v>
      </c>
      <c r="N86" s="63">
        <v>13</v>
      </c>
      <c r="O86" s="63">
        <v>14</v>
      </c>
      <c r="P86" s="63">
        <v>15</v>
      </c>
    </row>
    <row r="87" spans="1:16" s="96" customFormat="1" x14ac:dyDescent="0.2">
      <c r="A87" s="98" t="str">
        <f>'Cost Assumptions'!B38</f>
        <v>Lab Technician</v>
      </c>
      <c r="B87" s="128">
        <f>IF(Status!G10="one central location",B33,MAX(B33,'Performance Assumptions'!D69))</f>
        <v>2.1</v>
      </c>
      <c r="C87" s="128">
        <f>IF(Status!G10="one central location",C33,MAX(C33,'Performance Assumptions'!D69))</f>
        <v>2.1</v>
      </c>
      <c r="D87" s="128">
        <f>IF(Status!G10="one central location",D33,MAX(D33,'Performance Assumptions'!D69))</f>
        <v>2.1</v>
      </c>
      <c r="E87" s="128">
        <f>IF(Status!G10="one central location",E33,MAX(E33,'Performance Assumptions'!D69))</f>
        <v>2.1</v>
      </c>
      <c r="F87" s="128">
        <f>IF(Status!G10="one central location",F33,MAX(F33,'Performance Assumptions'!D69))</f>
        <v>2.1</v>
      </c>
      <c r="G87" s="128">
        <f>IF(Status!G10="one central location",G33,MAX(G33,'Performance Assumptions'!D69))</f>
        <v>2.1</v>
      </c>
      <c r="H87" s="128">
        <f>IF(Status!G10="one central location",H33,MAX(H33,'Performance Assumptions'!D69))</f>
        <v>2.1</v>
      </c>
      <c r="I87" s="128">
        <f>IF(Status!G10="one central location",I33,MAX(I33,'Performance Assumptions'!D69))</f>
        <v>2.1</v>
      </c>
      <c r="J87" s="128">
        <f>IF(Status!G10="one central location",J33,MAX(J33,'Performance Assumptions'!D69))</f>
        <v>2.1</v>
      </c>
      <c r="K87" s="128">
        <f>IF(Status!G10="one central location",K33,MAX(K33,'Performance Assumptions'!D69))</f>
        <v>2.1</v>
      </c>
      <c r="L87" s="128">
        <f>IF(Status!G10="one central location",L33,MAX(L33,'Performance Assumptions'!D69))</f>
        <v>2.1</v>
      </c>
      <c r="M87" s="128">
        <f>IF(Status!G10="one central location",M33,MAX(M33,'Performance Assumptions'!D69))</f>
        <v>2.1</v>
      </c>
      <c r="N87" s="128">
        <f>IF(Status!G10="one central location",N33,MAX(N33,'Performance Assumptions'!D69))</f>
        <v>2.1</v>
      </c>
      <c r="O87" s="128">
        <f>IF(Status!G10="one central location",O33,MAX(O33,'Performance Assumptions'!D69))</f>
        <v>2.1</v>
      </c>
      <c r="P87" s="128">
        <f>IF(Status!G10="one central location",P33,MAX(P33,'Performance Assumptions'!D69))</f>
        <v>2.1</v>
      </c>
    </row>
    <row r="88" spans="1:16" s="32" customFormat="1" x14ac:dyDescent="0.2">
      <c r="A88" s="98" t="str">
        <f>'Cost Assumptions'!B39</f>
        <v>Technician Manager</v>
      </c>
      <c r="B88" s="127">
        <f>IF(Status!G10="distributed locations",0.2*Status!F12*'Performance Assumptions'!D69,0.2*Status!F12)</f>
        <v>0.2</v>
      </c>
      <c r="C88" s="127">
        <f t="shared" ref="C88:P88" si="28">B88</f>
        <v>0.2</v>
      </c>
      <c r="D88" s="127">
        <f t="shared" si="28"/>
        <v>0.2</v>
      </c>
      <c r="E88" s="127">
        <f t="shared" si="28"/>
        <v>0.2</v>
      </c>
      <c r="F88" s="127">
        <f t="shared" si="28"/>
        <v>0.2</v>
      </c>
      <c r="G88" s="127">
        <f t="shared" si="28"/>
        <v>0.2</v>
      </c>
      <c r="H88" s="127">
        <f t="shared" si="28"/>
        <v>0.2</v>
      </c>
      <c r="I88" s="127">
        <f t="shared" si="28"/>
        <v>0.2</v>
      </c>
      <c r="J88" s="127">
        <f t="shared" si="28"/>
        <v>0.2</v>
      </c>
      <c r="K88" s="127">
        <f t="shared" si="28"/>
        <v>0.2</v>
      </c>
      <c r="L88" s="127">
        <f t="shared" si="28"/>
        <v>0.2</v>
      </c>
      <c r="M88" s="127">
        <f t="shared" si="28"/>
        <v>0.2</v>
      </c>
      <c r="N88" s="127">
        <f t="shared" si="28"/>
        <v>0.2</v>
      </c>
      <c r="O88" s="127">
        <f t="shared" si="28"/>
        <v>0.2</v>
      </c>
      <c r="P88" s="127">
        <f t="shared" si="28"/>
        <v>0.2</v>
      </c>
    </row>
    <row r="89" spans="1:16" s="96" customFormat="1" x14ac:dyDescent="0.2">
      <c r="A89" s="116" t="str">
        <f>'Cost Assumptions'!B40</f>
        <v>State personnel to fire weapons and collect samples</v>
      </c>
      <c r="B89" s="128">
        <f>IF(Status!G14="distributed locations",MAX(B34,'Performance Assumptions'!D70),B34)</f>
        <v>4.4000000000000004</v>
      </c>
      <c r="C89" s="128">
        <f>IF(Status!G14="distributed locations",MAX(C34,'Performance Assumptions'!D70),C34)</f>
        <v>3.8</v>
      </c>
      <c r="D89" s="128">
        <f>IF(Status!G14="distributed locations",MAX(D34,'Performance Assumptions'!D70),D34)</f>
        <v>3.1</v>
      </c>
      <c r="E89" s="128">
        <f>IF(Status!G14="distributed locations",MAX(E34,'Performance Assumptions'!D70),E34)</f>
        <v>2.5</v>
      </c>
      <c r="F89" s="128">
        <f>IF(Status!G14="distributed locations",MAX(F34,'Performance Assumptions'!D70),F34)</f>
        <v>1.8</v>
      </c>
      <c r="G89" s="128">
        <f>IF(Status!G14="distributed locations",MAX(G34,'Performance Assumptions'!D70),G34)</f>
        <v>1.2</v>
      </c>
      <c r="H89" s="128">
        <f>IF(Status!G14="distributed locations",MAX(H34,'Performance Assumptions'!D70),H34)</f>
        <v>1.2</v>
      </c>
      <c r="I89" s="128">
        <f>IF(Status!G14="distributed locations",MAX(I34,'Performance Assumptions'!D70),I34)</f>
        <v>1.2</v>
      </c>
      <c r="J89" s="128">
        <f>IF(Status!G14="distributed locations",MAX(J34,'Performance Assumptions'!D70),J34)</f>
        <v>1.2</v>
      </c>
      <c r="K89" s="128">
        <f>IF(Status!G14="distributed locations",MAX(K34,'Performance Assumptions'!D70),K34)</f>
        <v>1.2</v>
      </c>
      <c r="L89" s="128">
        <f>IF(Status!G14="distributed locations",MAX(L34,'Performance Assumptions'!D70),L34)</f>
        <v>1.2</v>
      </c>
      <c r="M89" s="128">
        <f>IF(Status!G14="distributed locations",MAX(M34,'Performance Assumptions'!D70),M34)</f>
        <v>1.2</v>
      </c>
      <c r="N89" s="128">
        <f>IF(Status!G14="distributed locations",MAX(N34,'Performance Assumptions'!D70),N34)</f>
        <v>1.2</v>
      </c>
      <c r="O89" s="128">
        <f>IF(Status!G14="distributed locations",MAX(O34,'Performance Assumptions'!D70),O34)</f>
        <v>1.2</v>
      </c>
      <c r="P89" s="128">
        <f>IF(Status!G14="distributed locations",MAX(P34,'Performance Assumptions'!D70),P34)</f>
        <v>1.2</v>
      </c>
    </row>
    <row r="90" spans="1:16" s="32" customFormat="1" x14ac:dyDescent="0.2">
      <c r="A90" s="98" t="str">
        <f>'Cost Assumptions'!B41</f>
        <v>Firearms Toolmark Examiner</v>
      </c>
      <c r="B90" s="127">
        <f>'Cost Assumptions'!D41</f>
        <v>0.2</v>
      </c>
      <c r="C90" s="127">
        <f>B90</f>
        <v>0.2</v>
      </c>
      <c r="D90" s="127">
        <f t="shared" ref="D90:P90" si="29">C90</f>
        <v>0.2</v>
      </c>
      <c r="E90" s="127">
        <f t="shared" si="29"/>
        <v>0.2</v>
      </c>
      <c r="F90" s="127">
        <f t="shared" si="29"/>
        <v>0.2</v>
      </c>
      <c r="G90" s="127">
        <f t="shared" si="29"/>
        <v>0.2</v>
      </c>
      <c r="H90" s="127">
        <f t="shared" si="29"/>
        <v>0.2</v>
      </c>
      <c r="I90" s="127">
        <f t="shared" si="29"/>
        <v>0.2</v>
      </c>
      <c r="J90" s="127">
        <f t="shared" si="29"/>
        <v>0.2</v>
      </c>
      <c r="K90" s="127">
        <f t="shared" si="29"/>
        <v>0.2</v>
      </c>
      <c r="L90" s="127">
        <f t="shared" si="29"/>
        <v>0.2</v>
      </c>
      <c r="M90" s="127">
        <f t="shared" si="29"/>
        <v>0.2</v>
      </c>
      <c r="N90" s="127">
        <f t="shared" si="29"/>
        <v>0.2</v>
      </c>
      <c r="O90" s="127">
        <f t="shared" si="29"/>
        <v>0.2</v>
      </c>
      <c r="P90" s="127">
        <f t="shared" si="29"/>
        <v>0.2</v>
      </c>
    </row>
    <row r="91" spans="1:16" s="32" customFormat="1" x14ac:dyDescent="0.2">
      <c r="A91" s="98" t="str">
        <f>'Cost Assumptions'!B42</f>
        <v xml:space="preserve">Inventory Control Specialist </v>
      </c>
      <c r="B91" s="127">
        <f>'Cost Assumptions'!D42</f>
        <v>0.1</v>
      </c>
      <c r="C91" s="127">
        <f>B91</f>
        <v>0.1</v>
      </c>
      <c r="D91" s="127">
        <f t="shared" ref="D91:P91" si="30">C91</f>
        <v>0.1</v>
      </c>
      <c r="E91" s="127">
        <f t="shared" si="30"/>
        <v>0.1</v>
      </c>
      <c r="F91" s="127">
        <f t="shared" si="30"/>
        <v>0.1</v>
      </c>
      <c r="G91" s="127">
        <f t="shared" si="30"/>
        <v>0.1</v>
      </c>
      <c r="H91" s="127">
        <f t="shared" si="30"/>
        <v>0.1</v>
      </c>
      <c r="I91" s="127">
        <f t="shared" si="30"/>
        <v>0.1</v>
      </c>
      <c r="J91" s="127">
        <f t="shared" si="30"/>
        <v>0.1</v>
      </c>
      <c r="K91" s="127">
        <f t="shared" si="30"/>
        <v>0.1</v>
      </c>
      <c r="L91" s="127">
        <f t="shared" si="30"/>
        <v>0.1</v>
      </c>
      <c r="M91" s="127">
        <f t="shared" si="30"/>
        <v>0.1</v>
      </c>
      <c r="N91" s="127">
        <f t="shared" si="30"/>
        <v>0.1</v>
      </c>
      <c r="O91" s="127">
        <f t="shared" si="30"/>
        <v>0.1</v>
      </c>
      <c r="P91" s="127">
        <f t="shared" si="30"/>
        <v>0.1</v>
      </c>
    </row>
    <row r="92" spans="1:16" s="32" customFormat="1" x14ac:dyDescent="0.2">
      <c r="A92" s="98" t="str">
        <f>'Cost Assumptions'!B43</f>
        <v>Office Clerk or other</v>
      </c>
      <c r="B92" s="127">
        <f>'Cost Assumptions'!D43</f>
        <v>0.1</v>
      </c>
      <c r="C92" s="127">
        <f>B92</f>
        <v>0.1</v>
      </c>
      <c r="D92" s="127">
        <f t="shared" ref="D92:P92" si="31">C92</f>
        <v>0.1</v>
      </c>
      <c r="E92" s="127">
        <f t="shared" si="31"/>
        <v>0.1</v>
      </c>
      <c r="F92" s="127">
        <f t="shared" si="31"/>
        <v>0.1</v>
      </c>
      <c r="G92" s="127">
        <f t="shared" si="31"/>
        <v>0.1</v>
      </c>
      <c r="H92" s="127">
        <f t="shared" si="31"/>
        <v>0.1</v>
      </c>
      <c r="I92" s="127">
        <f t="shared" si="31"/>
        <v>0.1</v>
      </c>
      <c r="J92" s="127">
        <f t="shared" si="31"/>
        <v>0.1</v>
      </c>
      <c r="K92" s="127">
        <f t="shared" si="31"/>
        <v>0.1</v>
      </c>
      <c r="L92" s="127">
        <f t="shared" si="31"/>
        <v>0.1</v>
      </c>
      <c r="M92" s="127">
        <f t="shared" si="31"/>
        <v>0.1</v>
      </c>
      <c r="N92" s="127">
        <f t="shared" si="31"/>
        <v>0.1</v>
      </c>
      <c r="O92" s="127">
        <f t="shared" si="31"/>
        <v>0.1</v>
      </c>
      <c r="P92" s="127">
        <f t="shared" si="31"/>
        <v>0.1</v>
      </c>
    </row>
    <row r="93" spans="1:16" s="32" customFormat="1" x14ac:dyDescent="0.2">
      <c r="A93" s="98" t="str">
        <f>'Cost Assumptions'!B44</f>
        <v xml:space="preserve">Dealer and Community Liaison </v>
      </c>
      <c r="B93" s="127">
        <f>IF(Status!G16="yes",'Cost Assumptions'!D44,0)</f>
        <v>0</v>
      </c>
      <c r="C93" s="127">
        <f t="shared" ref="C93:P95" si="32">B93</f>
        <v>0</v>
      </c>
      <c r="D93" s="127">
        <f t="shared" si="32"/>
        <v>0</v>
      </c>
      <c r="E93" s="127">
        <f t="shared" si="32"/>
        <v>0</v>
      </c>
      <c r="F93" s="127">
        <f t="shared" si="32"/>
        <v>0</v>
      </c>
      <c r="G93" s="127">
        <f t="shared" si="32"/>
        <v>0</v>
      </c>
      <c r="H93" s="127">
        <f t="shared" si="32"/>
        <v>0</v>
      </c>
      <c r="I93" s="127">
        <f t="shared" si="32"/>
        <v>0</v>
      </c>
      <c r="J93" s="127">
        <f t="shared" si="32"/>
        <v>0</v>
      </c>
      <c r="K93" s="127">
        <f t="shared" si="32"/>
        <v>0</v>
      </c>
      <c r="L93" s="127">
        <f t="shared" si="32"/>
        <v>0</v>
      </c>
      <c r="M93" s="127">
        <f t="shared" si="32"/>
        <v>0</v>
      </c>
      <c r="N93" s="127">
        <f t="shared" si="32"/>
        <v>0</v>
      </c>
      <c r="O93" s="127">
        <f t="shared" si="32"/>
        <v>0</v>
      </c>
      <c r="P93" s="127">
        <f t="shared" si="32"/>
        <v>0</v>
      </c>
    </row>
    <row r="94" spans="1:16" s="32" customFormat="1" x14ac:dyDescent="0.2">
      <c r="A94" s="98" t="str">
        <f>'Cost Assumptions'!B45</f>
        <v xml:space="preserve">Legal Counsel to Enforce Imaging Laws </v>
      </c>
      <c r="B94" s="127">
        <f>IF(Status!G17="yes",'Cost Assumptions'!D45,0)</f>
        <v>0</v>
      </c>
      <c r="C94" s="127">
        <f t="shared" si="32"/>
        <v>0</v>
      </c>
      <c r="D94" s="127">
        <f t="shared" si="32"/>
        <v>0</v>
      </c>
      <c r="E94" s="127">
        <f t="shared" si="32"/>
        <v>0</v>
      </c>
      <c r="F94" s="127">
        <f t="shared" si="32"/>
        <v>0</v>
      </c>
      <c r="G94" s="127">
        <f t="shared" si="32"/>
        <v>0</v>
      </c>
      <c r="H94" s="127">
        <f t="shared" si="32"/>
        <v>0</v>
      </c>
      <c r="I94" s="127">
        <f t="shared" si="32"/>
        <v>0</v>
      </c>
      <c r="J94" s="127">
        <f t="shared" si="32"/>
        <v>0</v>
      </c>
      <c r="K94" s="127">
        <f t="shared" si="32"/>
        <v>0</v>
      </c>
      <c r="L94" s="127">
        <f t="shared" si="32"/>
        <v>0</v>
      </c>
      <c r="M94" s="127">
        <f t="shared" si="32"/>
        <v>0</v>
      </c>
      <c r="N94" s="127">
        <f t="shared" si="32"/>
        <v>0</v>
      </c>
      <c r="O94" s="127">
        <f t="shared" si="32"/>
        <v>0</v>
      </c>
      <c r="P94" s="127">
        <f t="shared" si="32"/>
        <v>0</v>
      </c>
    </row>
    <row r="95" spans="1:16" s="32" customFormat="1" x14ac:dyDescent="0.2">
      <c r="A95" s="116" t="str">
        <f>'Cost Assumptions'!B46</f>
        <v xml:space="preserve">FTI/Vendor representative on site for training and support </v>
      </c>
      <c r="B95" s="127">
        <f>'Cost Assumptions'!D46</f>
        <v>1</v>
      </c>
      <c r="C95" s="127">
        <f t="shared" si="32"/>
        <v>1</v>
      </c>
      <c r="D95" s="127">
        <f t="shared" si="32"/>
        <v>1</v>
      </c>
      <c r="E95" s="127">
        <f t="shared" si="32"/>
        <v>1</v>
      </c>
      <c r="F95" s="127">
        <f t="shared" si="32"/>
        <v>1</v>
      </c>
      <c r="G95" s="127">
        <f t="shared" si="32"/>
        <v>1</v>
      </c>
      <c r="H95" s="127">
        <f t="shared" si="32"/>
        <v>1</v>
      </c>
      <c r="I95" s="127">
        <f t="shared" si="32"/>
        <v>1</v>
      </c>
      <c r="J95" s="127">
        <f t="shared" si="32"/>
        <v>1</v>
      </c>
      <c r="K95" s="127">
        <f t="shared" si="32"/>
        <v>1</v>
      </c>
      <c r="L95" s="127">
        <f t="shared" si="32"/>
        <v>1</v>
      </c>
      <c r="M95" s="127">
        <f t="shared" si="32"/>
        <v>1</v>
      </c>
      <c r="N95" s="127">
        <f t="shared" si="32"/>
        <v>1</v>
      </c>
      <c r="O95" s="127">
        <f t="shared" si="32"/>
        <v>1</v>
      </c>
      <c r="P95" s="127">
        <f t="shared" si="32"/>
        <v>1</v>
      </c>
    </row>
    <row r="96" spans="1:16" x14ac:dyDescent="0.2">
      <c r="A96" s="35"/>
      <c r="B96" s="32"/>
      <c r="C96" s="32"/>
      <c r="D96" s="32"/>
      <c r="E96" s="32"/>
      <c r="F96" s="32"/>
      <c r="G96" s="32"/>
      <c r="H96" s="32"/>
      <c r="I96" s="32"/>
      <c r="J96" s="32"/>
      <c r="K96" s="32"/>
      <c r="L96" s="32"/>
      <c r="M96" s="32"/>
      <c r="N96" s="32"/>
      <c r="O96" s="32"/>
      <c r="P96" s="32"/>
    </row>
    <row r="97" spans="1:16" s="73" customFormat="1" x14ac:dyDescent="0.2">
      <c r="A97" s="93"/>
      <c r="B97" s="94"/>
      <c r="C97" s="94"/>
      <c r="D97" s="94"/>
      <c r="E97" s="94"/>
      <c r="F97" s="94"/>
      <c r="G97" s="94"/>
      <c r="H97" s="94"/>
      <c r="I97" s="94"/>
      <c r="J97" s="94"/>
      <c r="K97" s="94"/>
      <c r="L97" s="94"/>
      <c r="M97" s="94"/>
      <c r="N97" s="94"/>
      <c r="O97" s="94"/>
      <c r="P97" s="94"/>
    </row>
    <row r="98" spans="1:16" x14ac:dyDescent="0.2">
      <c r="A98" s="30" t="s">
        <v>452</v>
      </c>
      <c r="B98" s="82">
        <v>1</v>
      </c>
      <c r="C98" s="82">
        <v>2</v>
      </c>
      <c r="D98" s="82">
        <v>3</v>
      </c>
      <c r="E98" s="82">
        <v>4</v>
      </c>
      <c r="F98" s="82">
        <v>5</v>
      </c>
      <c r="G98" s="82">
        <v>6</v>
      </c>
      <c r="H98" s="62">
        <v>7</v>
      </c>
      <c r="I98" s="62">
        <v>8</v>
      </c>
      <c r="J98" s="62">
        <v>9</v>
      </c>
      <c r="K98" s="62">
        <v>10</v>
      </c>
      <c r="L98" s="62">
        <v>11</v>
      </c>
      <c r="M98" s="63">
        <v>12</v>
      </c>
      <c r="N98" s="63">
        <v>13</v>
      </c>
      <c r="O98" s="63">
        <v>14</v>
      </c>
      <c r="P98" s="63">
        <v>15</v>
      </c>
    </row>
    <row r="99" spans="1:16" x14ac:dyDescent="0.2">
      <c r="A99" s="45" t="str">
        <f>'Cost Assumptions'!B38</f>
        <v>Lab Technician</v>
      </c>
      <c r="B99" s="24">
        <f t="shared" ref="B99:P99" si="33">CEILING(B75*B87,100)</f>
        <v>60900</v>
      </c>
      <c r="C99" s="24">
        <f t="shared" si="33"/>
        <v>63500</v>
      </c>
      <c r="D99" s="24">
        <f t="shared" si="33"/>
        <v>66200</v>
      </c>
      <c r="E99" s="24">
        <f t="shared" si="33"/>
        <v>68900</v>
      </c>
      <c r="F99" s="24">
        <f t="shared" si="33"/>
        <v>71900</v>
      </c>
      <c r="G99" s="24">
        <f t="shared" si="33"/>
        <v>74800</v>
      </c>
      <c r="H99" s="24">
        <f t="shared" si="33"/>
        <v>78000</v>
      </c>
      <c r="I99" s="24">
        <f t="shared" si="33"/>
        <v>81100</v>
      </c>
      <c r="J99" s="24">
        <f t="shared" si="33"/>
        <v>84500</v>
      </c>
      <c r="K99" s="24">
        <f t="shared" si="33"/>
        <v>88000</v>
      </c>
      <c r="L99" s="24">
        <f t="shared" si="33"/>
        <v>91600</v>
      </c>
      <c r="M99" s="24">
        <f t="shared" si="33"/>
        <v>95400</v>
      </c>
      <c r="N99" s="24">
        <f t="shared" si="33"/>
        <v>99400</v>
      </c>
      <c r="O99" s="24">
        <f t="shared" si="33"/>
        <v>103400</v>
      </c>
      <c r="P99" s="24">
        <f t="shared" si="33"/>
        <v>107600</v>
      </c>
    </row>
    <row r="100" spans="1:16" x14ac:dyDescent="0.2">
      <c r="A100" s="45" t="str">
        <f>'Cost Assumptions'!B39</f>
        <v>Technician Manager</v>
      </c>
      <c r="B100" s="24">
        <f t="shared" ref="B100:P100" si="34">CEILING(B76*B88,100)</f>
        <v>10000</v>
      </c>
      <c r="C100" s="24">
        <f t="shared" si="34"/>
        <v>10400</v>
      </c>
      <c r="D100" s="24">
        <f t="shared" si="34"/>
        <v>10900</v>
      </c>
      <c r="E100" s="24">
        <f t="shared" si="34"/>
        <v>11300</v>
      </c>
      <c r="F100" s="24">
        <f t="shared" si="34"/>
        <v>11800</v>
      </c>
      <c r="G100" s="24">
        <f t="shared" si="34"/>
        <v>12200</v>
      </c>
      <c r="H100" s="24">
        <f t="shared" si="34"/>
        <v>12700</v>
      </c>
      <c r="I100" s="24">
        <f t="shared" si="34"/>
        <v>13300</v>
      </c>
      <c r="J100" s="24">
        <f t="shared" si="34"/>
        <v>13800</v>
      </c>
      <c r="K100" s="24">
        <f t="shared" si="34"/>
        <v>14400</v>
      </c>
      <c r="L100" s="24">
        <f t="shared" si="34"/>
        <v>14900</v>
      </c>
      <c r="M100" s="24">
        <f t="shared" si="34"/>
        <v>15500</v>
      </c>
      <c r="N100" s="24">
        <f t="shared" si="34"/>
        <v>16200</v>
      </c>
      <c r="O100" s="24">
        <f t="shared" si="34"/>
        <v>16800</v>
      </c>
      <c r="P100" s="24">
        <f t="shared" si="34"/>
        <v>17500</v>
      </c>
    </row>
    <row r="101" spans="1:16" x14ac:dyDescent="0.2">
      <c r="A101" s="35" t="str">
        <f>'Cost Assumptions'!B40</f>
        <v>State personnel to fire weapons and collect samples</v>
      </c>
      <c r="B101" s="24">
        <f t="shared" ref="B101:P101" si="35">CEILING(B77*B89,100)</f>
        <v>158400</v>
      </c>
      <c r="C101" s="24">
        <f t="shared" si="35"/>
        <v>142500</v>
      </c>
      <c r="D101" s="24">
        <f t="shared" si="35"/>
        <v>120900</v>
      </c>
      <c r="E101" s="24">
        <f t="shared" si="35"/>
        <v>101500</v>
      </c>
      <c r="F101" s="24">
        <f t="shared" si="35"/>
        <v>76200</v>
      </c>
      <c r="G101" s="24">
        <f t="shared" si="35"/>
        <v>52800</v>
      </c>
      <c r="H101" s="24">
        <f t="shared" si="35"/>
        <v>55000</v>
      </c>
      <c r="I101" s="24">
        <f t="shared" si="35"/>
        <v>57300</v>
      </c>
      <c r="J101" s="24">
        <f t="shared" si="35"/>
        <v>59700</v>
      </c>
      <c r="K101" s="24">
        <f t="shared" si="35"/>
        <v>62100</v>
      </c>
      <c r="L101" s="24">
        <f t="shared" si="35"/>
        <v>64600</v>
      </c>
      <c r="M101" s="24">
        <f t="shared" si="35"/>
        <v>67200</v>
      </c>
      <c r="N101" s="24">
        <f t="shared" si="35"/>
        <v>70000</v>
      </c>
      <c r="O101" s="24">
        <f t="shared" si="35"/>
        <v>72900</v>
      </c>
      <c r="P101" s="24">
        <f t="shared" si="35"/>
        <v>75900</v>
      </c>
    </row>
    <row r="102" spans="1:16" x14ac:dyDescent="0.2">
      <c r="A102" s="45" t="str">
        <f>'Cost Assumptions'!B41</f>
        <v>Firearms Toolmark Examiner</v>
      </c>
      <c r="B102" s="24">
        <f t="shared" ref="B102:P102" si="36">CEILING(B78*B90,100)</f>
        <v>8600</v>
      </c>
      <c r="C102" s="24">
        <f t="shared" si="36"/>
        <v>9000</v>
      </c>
      <c r="D102" s="24">
        <f t="shared" si="36"/>
        <v>9400</v>
      </c>
      <c r="E102" s="24">
        <f t="shared" si="36"/>
        <v>9700</v>
      </c>
      <c r="F102" s="24">
        <f t="shared" si="36"/>
        <v>10100</v>
      </c>
      <c r="G102" s="24">
        <f t="shared" si="36"/>
        <v>10600</v>
      </c>
      <c r="H102" s="24">
        <f t="shared" si="36"/>
        <v>11000</v>
      </c>
      <c r="I102" s="24">
        <f t="shared" si="36"/>
        <v>11400</v>
      </c>
      <c r="J102" s="24">
        <f t="shared" si="36"/>
        <v>11900</v>
      </c>
      <c r="K102" s="24">
        <f t="shared" si="36"/>
        <v>12400</v>
      </c>
      <c r="L102" s="24">
        <f t="shared" si="36"/>
        <v>12900</v>
      </c>
      <c r="M102" s="24">
        <f t="shared" si="36"/>
        <v>13400</v>
      </c>
      <c r="N102" s="24">
        <f t="shared" si="36"/>
        <v>13900</v>
      </c>
      <c r="O102" s="24">
        <f t="shared" si="36"/>
        <v>14500</v>
      </c>
      <c r="P102" s="24">
        <f t="shared" si="36"/>
        <v>15100</v>
      </c>
    </row>
    <row r="103" spans="1:16" x14ac:dyDescent="0.2">
      <c r="A103" s="45" t="str">
        <f>'Cost Assumptions'!B42</f>
        <v xml:space="preserve">Inventory Control Specialist </v>
      </c>
      <c r="B103" s="24">
        <f t="shared" ref="B103:P103" si="37">CEILING(B79*B91,100)</f>
        <v>3800</v>
      </c>
      <c r="C103" s="24">
        <f t="shared" si="37"/>
        <v>4000</v>
      </c>
      <c r="D103" s="24">
        <f t="shared" si="37"/>
        <v>4200</v>
      </c>
      <c r="E103" s="24">
        <f t="shared" si="37"/>
        <v>4300</v>
      </c>
      <c r="F103" s="24">
        <f t="shared" si="37"/>
        <v>4500</v>
      </c>
      <c r="G103" s="24">
        <f t="shared" si="37"/>
        <v>4700</v>
      </c>
      <c r="H103" s="24">
        <f t="shared" si="37"/>
        <v>4900</v>
      </c>
      <c r="I103" s="24">
        <f t="shared" si="37"/>
        <v>5100</v>
      </c>
      <c r="J103" s="24">
        <f t="shared" si="37"/>
        <v>5300</v>
      </c>
      <c r="K103" s="24">
        <f t="shared" si="37"/>
        <v>5500</v>
      </c>
      <c r="L103" s="24">
        <f t="shared" si="37"/>
        <v>5700</v>
      </c>
      <c r="M103" s="24">
        <f t="shared" si="37"/>
        <v>6000</v>
      </c>
      <c r="N103" s="24">
        <f t="shared" si="37"/>
        <v>6200</v>
      </c>
      <c r="O103" s="24">
        <f t="shared" si="37"/>
        <v>6400</v>
      </c>
      <c r="P103" s="24">
        <f t="shared" si="37"/>
        <v>6700</v>
      </c>
    </row>
    <row r="104" spans="1:16" x14ac:dyDescent="0.2">
      <c r="A104" s="45" t="str">
        <f>'Cost Assumptions'!B43</f>
        <v>Office Clerk or other</v>
      </c>
      <c r="B104" s="24">
        <f t="shared" ref="B104:P104" si="38">CEILING(B80*B92,100)</f>
        <v>3100</v>
      </c>
      <c r="C104" s="24">
        <f t="shared" si="38"/>
        <v>3300</v>
      </c>
      <c r="D104" s="24">
        <f t="shared" si="38"/>
        <v>3400</v>
      </c>
      <c r="E104" s="24">
        <f t="shared" si="38"/>
        <v>3500</v>
      </c>
      <c r="F104" s="24">
        <f t="shared" si="38"/>
        <v>3700</v>
      </c>
      <c r="G104" s="24">
        <f t="shared" si="38"/>
        <v>3800</v>
      </c>
      <c r="H104" s="24">
        <f t="shared" si="38"/>
        <v>4000</v>
      </c>
      <c r="I104" s="24">
        <f t="shared" si="38"/>
        <v>4200</v>
      </c>
      <c r="J104" s="24">
        <f t="shared" si="38"/>
        <v>4300</v>
      </c>
      <c r="K104" s="24">
        <f t="shared" si="38"/>
        <v>4500</v>
      </c>
      <c r="L104" s="24">
        <f t="shared" si="38"/>
        <v>4700</v>
      </c>
      <c r="M104" s="24">
        <f t="shared" si="38"/>
        <v>4900</v>
      </c>
      <c r="N104" s="24">
        <f t="shared" si="38"/>
        <v>5100</v>
      </c>
      <c r="O104" s="24">
        <f t="shared" si="38"/>
        <v>5300</v>
      </c>
      <c r="P104" s="24">
        <f t="shared" si="38"/>
        <v>5500</v>
      </c>
    </row>
    <row r="105" spans="1:16" x14ac:dyDescent="0.2">
      <c r="A105" s="35" t="str">
        <f>'Cost Assumptions'!B44</f>
        <v xml:space="preserve">Dealer and Community Liaison </v>
      </c>
      <c r="B105" s="24">
        <f t="shared" ref="B105:P105" si="39">CEILING(B81*B93,100)</f>
        <v>0</v>
      </c>
      <c r="C105" s="24">
        <f t="shared" si="39"/>
        <v>0</v>
      </c>
      <c r="D105" s="24">
        <f t="shared" si="39"/>
        <v>0</v>
      </c>
      <c r="E105" s="24">
        <f t="shared" si="39"/>
        <v>0</v>
      </c>
      <c r="F105" s="24">
        <f t="shared" si="39"/>
        <v>0</v>
      </c>
      <c r="G105" s="24">
        <f t="shared" si="39"/>
        <v>0</v>
      </c>
      <c r="H105" s="24">
        <f t="shared" si="39"/>
        <v>0</v>
      </c>
      <c r="I105" s="24">
        <f t="shared" si="39"/>
        <v>0</v>
      </c>
      <c r="J105" s="24">
        <f t="shared" si="39"/>
        <v>0</v>
      </c>
      <c r="K105" s="24">
        <f t="shared" si="39"/>
        <v>0</v>
      </c>
      <c r="L105" s="24">
        <f t="shared" si="39"/>
        <v>0</v>
      </c>
      <c r="M105" s="24">
        <f t="shared" si="39"/>
        <v>0</v>
      </c>
      <c r="N105" s="24">
        <f t="shared" si="39"/>
        <v>0</v>
      </c>
      <c r="O105" s="24">
        <f t="shared" si="39"/>
        <v>0</v>
      </c>
      <c r="P105" s="24">
        <f t="shared" si="39"/>
        <v>0</v>
      </c>
    </row>
    <row r="106" spans="1:16" x14ac:dyDescent="0.2">
      <c r="A106" s="35" t="str">
        <f>'Cost Assumptions'!B45</f>
        <v xml:space="preserve">Legal Counsel to Enforce Imaging Laws </v>
      </c>
      <c r="B106" s="24">
        <f t="shared" ref="B106:P106" si="40">CEILING(B82*B94,100)</f>
        <v>0</v>
      </c>
      <c r="C106" s="24">
        <f t="shared" si="40"/>
        <v>0</v>
      </c>
      <c r="D106" s="24">
        <f t="shared" si="40"/>
        <v>0</v>
      </c>
      <c r="E106" s="24">
        <f t="shared" si="40"/>
        <v>0</v>
      </c>
      <c r="F106" s="24">
        <f t="shared" si="40"/>
        <v>0</v>
      </c>
      <c r="G106" s="24">
        <f t="shared" si="40"/>
        <v>0</v>
      </c>
      <c r="H106" s="24">
        <f t="shared" si="40"/>
        <v>0</v>
      </c>
      <c r="I106" s="24">
        <f t="shared" si="40"/>
        <v>0</v>
      </c>
      <c r="J106" s="24">
        <f t="shared" si="40"/>
        <v>0</v>
      </c>
      <c r="K106" s="24">
        <f t="shared" si="40"/>
        <v>0</v>
      </c>
      <c r="L106" s="24">
        <f t="shared" si="40"/>
        <v>0</v>
      </c>
      <c r="M106" s="24">
        <f t="shared" si="40"/>
        <v>0</v>
      </c>
      <c r="N106" s="24">
        <f t="shared" si="40"/>
        <v>0</v>
      </c>
      <c r="O106" s="24">
        <f t="shared" si="40"/>
        <v>0</v>
      </c>
      <c r="P106" s="24">
        <f t="shared" si="40"/>
        <v>0</v>
      </c>
    </row>
    <row r="107" spans="1:16" x14ac:dyDescent="0.2">
      <c r="A107" s="35" t="str">
        <f>'Cost Assumptions'!B46</f>
        <v xml:space="preserve">FTI/Vendor representative on site for training and support </v>
      </c>
      <c r="B107" s="24">
        <f t="shared" ref="B107:P107" si="41">CEILING(B83*B95,100)</f>
        <v>0</v>
      </c>
      <c r="C107" s="24">
        <f t="shared" si="41"/>
        <v>0</v>
      </c>
      <c r="D107" s="24">
        <f t="shared" si="41"/>
        <v>0</v>
      </c>
      <c r="E107" s="24">
        <f t="shared" si="41"/>
        <v>0</v>
      </c>
      <c r="F107" s="24">
        <f t="shared" si="41"/>
        <v>0</v>
      </c>
      <c r="G107" s="24">
        <f t="shared" si="41"/>
        <v>0</v>
      </c>
      <c r="H107" s="24">
        <f t="shared" si="41"/>
        <v>0</v>
      </c>
      <c r="I107" s="24">
        <f t="shared" si="41"/>
        <v>0</v>
      </c>
      <c r="J107" s="24">
        <f t="shared" si="41"/>
        <v>0</v>
      </c>
      <c r="K107" s="24">
        <f t="shared" si="41"/>
        <v>0</v>
      </c>
      <c r="L107" s="24">
        <f t="shared" si="41"/>
        <v>0</v>
      </c>
      <c r="M107" s="24">
        <f t="shared" si="41"/>
        <v>0</v>
      </c>
      <c r="N107" s="24">
        <f t="shared" si="41"/>
        <v>0</v>
      </c>
      <c r="O107" s="24">
        <f t="shared" si="41"/>
        <v>0</v>
      </c>
      <c r="P107" s="24">
        <f t="shared" si="41"/>
        <v>0</v>
      </c>
    </row>
    <row r="108" spans="1:16" x14ac:dyDescent="0.2">
      <c r="A108" s="72" t="s">
        <v>453</v>
      </c>
      <c r="B108" s="44">
        <f t="shared" ref="B108:P108" si="42">SUM(B99:B107)</f>
        <v>244800</v>
      </c>
      <c r="C108" s="44">
        <f t="shared" si="42"/>
        <v>232700</v>
      </c>
      <c r="D108" s="44">
        <f t="shared" si="42"/>
        <v>215000</v>
      </c>
      <c r="E108" s="44">
        <f t="shared" si="42"/>
        <v>199200</v>
      </c>
      <c r="F108" s="44">
        <f t="shared" si="42"/>
        <v>178200</v>
      </c>
      <c r="G108" s="44">
        <f t="shared" si="42"/>
        <v>158900</v>
      </c>
      <c r="H108" s="44">
        <f t="shared" si="42"/>
        <v>165600</v>
      </c>
      <c r="I108" s="44">
        <f t="shared" si="42"/>
        <v>172400</v>
      </c>
      <c r="J108" s="44">
        <f t="shared" si="42"/>
        <v>179500</v>
      </c>
      <c r="K108" s="44">
        <f t="shared" si="42"/>
        <v>186900</v>
      </c>
      <c r="L108" s="44">
        <f t="shared" si="42"/>
        <v>194400</v>
      </c>
      <c r="M108" s="44">
        <f t="shared" si="42"/>
        <v>202400</v>
      </c>
      <c r="N108" s="44">
        <f t="shared" si="42"/>
        <v>210800</v>
      </c>
      <c r="O108" s="44">
        <f t="shared" si="42"/>
        <v>219300</v>
      </c>
      <c r="P108" s="44">
        <f t="shared" si="42"/>
        <v>228300</v>
      </c>
    </row>
    <row r="109" spans="1:16" x14ac:dyDescent="0.2">
      <c r="E109" s="24"/>
    </row>
    <row r="110" spans="1:16" x14ac:dyDescent="0.2">
      <c r="A110" s="3" t="s">
        <v>34</v>
      </c>
      <c r="E110" s="24"/>
    </row>
    <row r="111" spans="1:16" x14ac:dyDescent="0.2">
      <c r="A111" s="5" t="s">
        <v>180</v>
      </c>
      <c r="B111" s="7">
        <f>B15</f>
        <v>0.25</v>
      </c>
      <c r="C111" s="7">
        <f t="shared" ref="C111:P111" si="43">C15</f>
        <v>0.25</v>
      </c>
      <c r="D111" s="7">
        <f t="shared" si="43"/>
        <v>0.25</v>
      </c>
      <c r="E111" s="7">
        <f t="shared" si="43"/>
        <v>0.25</v>
      </c>
      <c r="F111" s="7">
        <f t="shared" si="43"/>
        <v>0.25</v>
      </c>
      <c r="G111" s="7">
        <f t="shared" si="43"/>
        <v>0.25</v>
      </c>
      <c r="H111" s="7">
        <f t="shared" si="43"/>
        <v>0.25</v>
      </c>
      <c r="I111" s="7">
        <f t="shared" si="43"/>
        <v>0.25</v>
      </c>
      <c r="J111" s="7">
        <f t="shared" si="43"/>
        <v>0.25</v>
      </c>
      <c r="K111" s="7">
        <f t="shared" si="43"/>
        <v>0.25</v>
      </c>
      <c r="L111" s="7">
        <f t="shared" si="43"/>
        <v>0.25</v>
      </c>
      <c r="M111" s="7">
        <f t="shared" si="43"/>
        <v>0.25</v>
      </c>
      <c r="N111" s="7">
        <f t="shared" si="43"/>
        <v>0.25</v>
      </c>
      <c r="O111" s="7">
        <f t="shared" si="43"/>
        <v>0.25</v>
      </c>
      <c r="P111" s="7">
        <f t="shared" si="43"/>
        <v>0.25</v>
      </c>
    </row>
    <row r="112" spans="1:16" x14ac:dyDescent="0.2">
      <c r="A112" s="5" t="s">
        <v>249</v>
      </c>
      <c r="B112" s="127">
        <f>B87</f>
        <v>2.1</v>
      </c>
      <c r="C112" s="127">
        <f t="shared" ref="C112:P112" si="44">(B87*C111)+(MAX(0,C87-B87))</f>
        <v>0.52500000000000002</v>
      </c>
      <c r="D112" s="127">
        <f t="shared" si="44"/>
        <v>0.52500000000000002</v>
      </c>
      <c r="E112" s="127">
        <f t="shared" si="44"/>
        <v>0.52500000000000002</v>
      </c>
      <c r="F112" s="127">
        <f t="shared" si="44"/>
        <v>0.52500000000000002</v>
      </c>
      <c r="G112" s="127">
        <f t="shared" si="44"/>
        <v>0.52500000000000002</v>
      </c>
      <c r="H112" s="127">
        <f t="shared" si="44"/>
        <v>0.52500000000000002</v>
      </c>
      <c r="I112" s="127">
        <f t="shared" si="44"/>
        <v>0.52500000000000002</v>
      </c>
      <c r="J112" s="127">
        <f t="shared" si="44"/>
        <v>0.52500000000000002</v>
      </c>
      <c r="K112" s="127">
        <f t="shared" si="44"/>
        <v>0.52500000000000002</v>
      </c>
      <c r="L112" s="127">
        <f t="shared" si="44"/>
        <v>0.52500000000000002</v>
      </c>
      <c r="M112" s="127">
        <f t="shared" si="44"/>
        <v>0.52500000000000002</v>
      </c>
      <c r="N112" s="127">
        <f t="shared" si="44"/>
        <v>0.52500000000000002</v>
      </c>
      <c r="O112" s="127">
        <f t="shared" si="44"/>
        <v>0.52500000000000002</v>
      </c>
      <c r="P112" s="127">
        <f t="shared" si="44"/>
        <v>0.52500000000000002</v>
      </c>
    </row>
    <row r="113" spans="1:16" x14ac:dyDescent="0.2">
      <c r="A113" s="5" t="s">
        <v>250</v>
      </c>
      <c r="B113" s="127">
        <f>B89</f>
        <v>4.4000000000000004</v>
      </c>
      <c r="C113" s="127">
        <f t="shared" ref="C113:P113" si="45">(B89*C111)+(MAX(0,C89-B89))</f>
        <v>1.1000000000000001</v>
      </c>
      <c r="D113" s="127">
        <f t="shared" si="45"/>
        <v>0.95</v>
      </c>
      <c r="E113" s="127">
        <f t="shared" si="45"/>
        <v>0.77500000000000002</v>
      </c>
      <c r="F113" s="127">
        <f t="shared" si="45"/>
        <v>0.625</v>
      </c>
      <c r="G113" s="127">
        <f t="shared" si="45"/>
        <v>0.45</v>
      </c>
      <c r="H113" s="127">
        <f t="shared" si="45"/>
        <v>0.3</v>
      </c>
      <c r="I113" s="127">
        <f t="shared" si="45"/>
        <v>0.3</v>
      </c>
      <c r="J113" s="127">
        <f t="shared" si="45"/>
        <v>0.3</v>
      </c>
      <c r="K113" s="127">
        <f t="shared" si="45"/>
        <v>0.3</v>
      </c>
      <c r="L113" s="127">
        <f t="shared" si="45"/>
        <v>0.3</v>
      </c>
      <c r="M113" s="127">
        <f t="shared" si="45"/>
        <v>0.3</v>
      </c>
      <c r="N113" s="127">
        <f t="shared" si="45"/>
        <v>0.3</v>
      </c>
      <c r="O113" s="127">
        <f t="shared" si="45"/>
        <v>0.3</v>
      </c>
      <c r="P113" s="127">
        <f t="shared" si="45"/>
        <v>0.3</v>
      </c>
    </row>
    <row r="114" spans="1:16" x14ac:dyDescent="0.2">
      <c r="A114" s="5" t="s">
        <v>320</v>
      </c>
      <c r="B114" s="24">
        <f>CEILING((B75/52)*2,100)</f>
        <v>1200</v>
      </c>
      <c r="C114" s="24">
        <f t="shared" ref="C114:P114" si="46">CEILING((C75/52)*2,100)</f>
        <v>1200</v>
      </c>
      <c r="D114" s="24">
        <f t="shared" si="46"/>
        <v>1300</v>
      </c>
      <c r="E114" s="24">
        <f t="shared" si="46"/>
        <v>1300</v>
      </c>
      <c r="F114" s="24">
        <f t="shared" si="46"/>
        <v>1400</v>
      </c>
      <c r="G114" s="24">
        <f t="shared" si="46"/>
        <v>1400</v>
      </c>
      <c r="H114" s="24">
        <f t="shared" si="46"/>
        <v>1500</v>
      </c>
      <c r="I114" s="24">
        <f t="shared" si="46"/>
        <v>1500</v>
      </c>
      <c r="J114" s="24">
        <f t="shared" si="46"/>
        <v>1600</v>
      </c>
      <c r="K114" s="24">
        <f t="shared" si="46"/>
        <v>1700</v>
      </c>
      <c r="L114" s="24">
        <f t="shared" si="46"/>
        <v>1700</v>
      </c>
      <c r="M114" s="24">
        <f t="shared" si="46"/>
        <v>1800</v>
      </c>
      <c r="N114" s="24">
        <f t="shared" si="46"/>
        <v>1900</v>
      </c>
      <c r="O114" s="24">
        <f t="shared" si="46"/>
        <v>1900</v>
      </c>
      <c r="P114" s="24">
        <f t="shared" si="46"/>
        <v>2000</v>
      </c>
    </row>
    <row r="115" spans="1:16" x14ac:dyDescent="0.2">
      <c r="A115" s="5" t="s">
        <v>35</v>
      </c>
      <c r="B115" s="24">
        <f t="shared" ref="B115:P115" si="47">CEILING((B77/52),100)</f>
        <v>700</v>
      </c>
      <c r="C115" s="24">
        <f t="shared" si="47"/>
        <v>800</v>
      </c>
      <c r="D115" s="24">
        <f t="shared" si="47"/>
        <v>800</v>
      </c>
      <c r="E115" s="24">
        <f t="shared" si="47"/>
        <v>800</v>
      </c>
      <c r="F115" s="24">
        <f t="shared" si="47"/>
        <v>900</v>
      </c>
      <c r="G115" s="24">
        <f t="shared" si="47"/>
        <v>900</v>
      </c>
      <c r="H115" s="24">
        <f t="shared" si="47"/>
        <v>900</v>
      </c>
      <c r="I115" s="24">
        <f t="shared" si="47"/>
        <v>1000</v>
      </c>
      <c r="J115" s="24">
        <f t="shared" si="47"/>
        <v>1000</v>
      </c>
      <c r="K115" s="24">
        <f t="shared" si="47"/>
        <v>1000</v>
      </c>
      <c r="L115" s="24">
        <f t="shared" si="47"/>
        <v>1100</v>
      </c>
      <c r="M115" s="24">
        <f t="shared" si="47"/>
        <v>1100</v>
      </c>
      <c r="N115" s="24">
        <f t="shared" si="47"/>
        <v>1200</v>
      </c>
      <c r="O115" s="24">
        <f t="shared" si="47"/>
        <v>1200</v>
      </c>
      <c r="P115" s="24">
        <f t="shared" si="47"/>
        <v>1300</v>
      </c>
    </row>
    <row r="116" spans="1:16" x14ac:dyDescent="0.2">
      <c r="A116" s="72" t="s">
        <v>454</v>
      </c>
      <c r="B116" s="24">
        <f t="shared" ref="B116:P116" si="48">CEILING((B112*B114)+(B113*B115),100)</f>
        <v>5600</v>
      </c>
      <c r="C116" s="24">
        <f t="shared" si="48"/>
        <v>1600</v>
      </c>
      <c r="D116" s="24">
        <f t="shared" si="48"/>
        <v>1500</v>
      </c>
      <c r="E116" s="24">
        <f t="shared" si="48"/>
        <v>1400</v>
      </c>
      <c r="F116" s="24">
        <f t="shared" si="48"/>
        <v>1300</v>
      </c>
      <c r="G116" s="24">
        <f t="shared" si="48"/>
        <v>1200</v>
      </c>
      <c r="H116" s="24">
        <f t="shared" si="48"/>
        <v>1100</v>
      </c>
      <c r="I116" s="24">
        <f t="shared" si="48"/>
        <v>1100</v>
      </c>
      <c r="J116" s="24">
        <f t="shared" si="48"/>
        <v>1200</v>
      </c>
      <c r="K116" s="24">
        <f t="shared" si="48"/>
        <v>1200</v>
      </c>
      <c r="L116" s="24">
        <f t="shared" si="48"/>
        <v>1300</v>
      </c>
      <c r="M116" s="24">
        <f t="shared" si="48"/>
        <v>1300</v>
      </c>
      <c r="N116" s="24">
        <f t="shared" si="48"/>
        <v>1400</v>
      </c>
      <c r="O116" s="24">
        <f t="shared" si="48"/>
        <v>1400</v>
      </c>
      <c r="P116" s="24">
        <f t="shared" si="48"/>
        <v>1500</v>
      </c>
    </row>
    <row r="117" spans="1:16" x14ac:dyDescent="0.2">
      <c r="A117" s="72"/>
      <c r="B117" s="24"/>
      <c r="C117" s="24"/>
      <c r="D117" s="24"/>
      <c r="E117" s="24"/>
      <c r="F117" s="24"/>
      <c r="G117" s="24"/>
      <c r="H117" s="24"/>
      <c r="I117" s="24"/>
      <c r="J117" s="24"/>
      <c r="K117" s="24"/>
      <c r="L117" s="24"/>
      <c r="M117" s="24"/>
      <c r="N117" s="24"/>
      <c r="O117" s="24"/>
      <c r="P117" s="24"/>
    </row>
    <row r="118" spans="1:16" x14ac:dyDescent="0.2">
      <c r="B118" s="24"/>
      <c r="C118" s="24"/>
      <c r="D118" s="24"/>
      <c r="E118" s="24"/>
      <c r="F118" s="24"/>
      <c r="G118" s="24"/>
      <c r="H118" s="24"/>
      <c r="I118" s="24"/>
      <c r="J118" s="24"/>
      <c r="K118" s="24"/>
      <c r="L118" s="24"/>
      <c r="M118" s="24"/>
      <c r="N118" s="24"/>
      <c r="O118" s="24"/>
      <c r="P118" s="24"/>
    </row>
    <row r="119" spans="1:16" x14ac:dyDescent="0.2">
      <c r="A119" s="3" t="s">
        <v>340</v>
      </c>
    </row>
    <row r="120" spans="1:16" x14ac:dyDescent="0.2">
      <c r="A120" s="35" t="s">
        <v>360</v>
      </c>
      <c r="B120" s="44">
        <f t="shared" ref="B120:P120" si="49">CEILING(B21*B27,100)</f>
        <v>438000</v>
      </c>
      <c r="C120" s="24">
        <f t="shared" si="49"/>
        <v>393200</v>
      </c>
      <c r="D120" s="24">
        <f t="shared" si="49"/>
        <v>342700</v>
      </c>
      <c r="E120" s="24">
        <f t="shared" si="49"/>
        <v>286200</v>
      </c>
      <c r="F120" s="24">
        <f t="shared" si="49"/>
        <v>425100</v>
      </c>
      <c r="G120" s="24">
        <f t="shared" si="49"/>
        <v>291800</v>
      </c>
      <c r="H120" s="24">
        <f t="shared" si="49"/>
        <v>306400</v>
      </c>
      <c r="I120" s="24">
        <f t="shared" si="49"/>
        <v>321700</v>
      </c>
      <c r="J120" s="24">
        <f t="shared" si="49"/>
        <v>337800</v>
      </c>
      <c r="K120" s="24">
        <f t="shared" si="49"/>
        <v>354600</v>
      </c>
      <c r="L120" s="24">
        <f t="shared" si="49"/>
        <v>372400</v>
      </c>
      <c r="M120" s="24">
        <f t="shared" si="49"/>
        <v>391000</v>
      </c>
      <c r="N120" s="24">
        <f t="shared" si="49"/>
        <v>410500</v>
      </c>
      <c r="O120" s="24">
        <f t="shared" si="49"/>
        <v>431100</v>
      </c>
      <c r="P120" s="24">
        <f t="shared" si="49"/>
        <v>452600</v>
      </c>
    </row>
    <row r="121" spans="1:16" x14ac:dyDescent="0.2">
      <c r="A121" s="264" t="str">
        <f t="shared" ref="A121:P121" si="50">A21</f>
        <v xml:space="preserve">Per gun fee charged to the dealer to test fire a gun </v>
      </c>
      <c r="B121" s="265">
        <f t="shared" si="50"/>
        <v>20</v>
      </c>
      <c r="C121" s="265">
        <f t="shared" si="50"/>
        <v>21</v>
      </c>
      <c r="D121" s="265">
        <f t="shared" si="50"/>
        <v>22.05</v>
      </c>
      <c r="E121" s="265">
        <f t="shared" si="50"/>
        <v>23.152500000000003</v>
      </c>
      <c r="F121" s="265">
        <f t="shared" si="50"/>
        <v>46.305000000000007</v>
      </c>
      <c r="G121" s="265">
        <f t="shared" si="50"/>
        <v>48.620250000000006</v>
      </c>
      <c r="H121" s="265">
        <f t="shared" si="50"/>
        <v>51.051262500000007</v>
      </c>
      <c r="I121" s="265">
        <f t="shared" si="50"/>
        <v>53.603825625000013</v>
      </c>
      <c r="J121" s="265">
        <f t="shared" si="50"/>
        <v>56.284016906250017</v>
      </c>
      <c r="K121" s="265">
        <f t="shared" si="50"/>
        <v>59.098217751562522</v>
      </c>
      <c r="L121" s="265">
        <f t="shared" si="50"/>
        <v>62.053128639140652</v>
      </c>
      <c r="M121" s="265">
        <f t="shared" si="50"/>
        <v>65.155785071097682</v>
      </c>
      <c r="N121" s="265">
        <f t="shared" si="50"/>
        <v>68.413574324652572</v>
      </c>
      <c r="O121" s="265">
        <f t="shared" si="50"/>
        <v>71.834253040885201</v>
      </c>
      <c r="P121" s="265">
        <f t="shared" si="50"/>
        <v>75.425965692929466</v>
      </c>
    </row>
    <row r="122" spans="1:16" x14ac:dyDescent="0.2">
      <c r="A122" s="35" t="s">
        <v>341</v>
      </c>
      <c r="B122" s="44">
        <f t="shared" ref="B122:P122" si="51">B101</f>
        <v>158400</v>
      </c>
      <c r="C122" s="24">
        <f t="shared" si="51"/>
        <v>142500</v>
      </c>
      <c r="D122" s="24">
        <f t="shared" si="51"/>
        <v>120900</v>
      </c>
      <c r="E122" s="24">
        <f t="shared" si="51"/>
        <v>101500</v>
      </c>
      <c r="F122" s="24">
        <f t="shared" si="51"/>
        <v>76200</v>
      </c>
      <c r="G122" s="24">
        <f t="shared" si="51"/>
        <v>52800</v>
      </c>
      <c r="H122" s="24">
        <f t="shared" si="51"/>
        <v>55000</v>
      </c>
      <c r="I122" s="24">
        <f t="shared" si="51"/>
        <v>57300</v>
      </c>
      <c r="J122" s="24">
        <f t="shared" si="51"/>
        <v>59700</v>
      </c>
      <c r="K122" s="24">
        <f t="shared" si="51"/>
        <v>62100</v>
      </c>
      <c r="L122" s="24">
        <f t="shared" si="51"/>
        <v>64600</v>
      </c>
      <c r="M122" s="24">
        <f t="shared" si="51"/>
        <v>67200</v>
      </c>
      <c r="N122" s="24">
        <f t="shared" si="51"/>
        <v>70000</v>
      </c>
      <c r="O122" s="24">
        <f t="shared" si="51"/>
        <v>72900</v>
      </c>
      <c r="P122" s="24">
        <f t="shared" si="51"/>
        <v>75900</v>
      </c>
    </row>
    <row r="123" spans="1:16" ht="20.399999999999999" x14ac:dyDescent="0.2">
      <c r="A123" s="35" t="s">
        <v>344</v>
      </c>
      <c r="B123" s="24">
        <f t="shared" ref="B123:P123" si="52">(B122/B27)</f>
        <v>7.2328767123287667</v>
      </c>
      <c r="C123" s="24">
        <f t="shared" si="52"/>
        <v>7.6121794871794872</v>
      </c>
      <c r="D123" s="24">
        <f t="shared" si="52"/>
        <v>7.7799227799227797</v>
      </c>
      <c r="E123" s="24">
        <f t="shared" si="52"/>
        <v>8.2119741100323616</v>
      </c>
      <c r="F123" s="24">
        <f t="shared" si="52"/>
        <v>8.3006535947712408</v>
      </c>
      <c r="G123" s="24">
        <f t="shared" si="52"/>
        <v>8.7999999999999972</v>
      </c>
      <c r="H123" s="24">
        <f t="shared" si="52"/>
        <v>9.1666666666666643</v>
      </c>
      <c r="I123" s="24">
        <f t="shared" si="52"/>
        <v>9.5499999999999972</v>
      </c>
      <c r="J123" s="24">
        <f t="shared" si="52"/>
        <v>9.9499999999999975</v>
      </c>
      <c r="K123" s="24">
        <f t="shared" si="52"/>
        <v>10.349999999999996</v>
      </c>
      <c r="L123" s="24">
        <f t="shared" si="52"/>
        <v>10.766666666666664</v>
      </c>
      <c r="M123" s="24">
        <f t="shared" si="52"/>
        <v>11.199999999999996</v>
      </c>
      <c r="N123" s="24">
        <f t="shared" si="52"/>
        <v>11.666666666666663</v>
      </c>
      <c r="O123" s="24">
        <f t="shared" si="52"/>
        <v>12.149999999999997</v>
      </c>
      <c r="P123" s="24">
        <f t="shared" si="52"/>
        <v>12.649999999999997</v>
      </c>
    </row>
    <row r="124" spans="1:16" ht="15.75" customHeight="1" x14ac:dyDescent="0.2">
      <c r="A124" s="35" t="s">
        <v>421</v>
      </c>
      <c r="B124" s="24">
        <f>B120</f>
        <v>438000</v>
      </c>
      <c r="C124" s="24">
        <f t="shared" ref="C124:P124" si="53">C120</f>
        <v>393200</v>
      </c>
      <c r="D124" s="24">
        <f t="shared" si="53"/>
        <v>342700</v>
      </c>
      <c r="E124" s="24">
        <f t="shared" si="53"/>
        <v>286200</v>
      </c>
      <c r="F124" s="24">
        <f t="shared" si="53"/>
        <v>425100</v>
      </c>
      <c r="G124" s="24">
        <f t="shared" si="53"/>
        <v>291800</v>
      </c>
      <c r="H124" s="24">
        <f t="shared" si="53"/>
        <v>306400</v>
      </c>
      <c r="I124" s="24">
        <f t="shared" si="53"/>
        <v>321700</v>
      </c>
      <c r="J124" s="24">
        <f t="shared" si="53"/>
        <v>337800</v>
      </c>
      <c r="K124" s="24">
        <f t="shared" si="53"/>
        <v>354600</v>
      </c>
      <c r="L124" s="24">
        <f t="shared" si="53"/>
        <v>372400</v>
      </c>
      <c r="M124" s="24">
        <f t="shared" si="53"/>
        <v>391000</v>
      </c>
      <c r="N124" s="24">
        <f t="shared" si="53"/>
        <v>410500</v>
      </c>
      <c r="O124" s="24">
        <f t="shared" si="53"/>
        <v>431100</v>
      </c>
      <c r="P124" s="24">
        <f t="shared" si="53"/>
        <v>452600</v>
      </c>
    </row>
    <row r="125" spans="1:16" x14ac:dyDescent="0.2">
      <c r="A125" s="45" t="s">
        <v>257</v>
      </c>
      <c r="B125" s="24">
        <f>'Background State Information'!F26</f>
        <v>0</v>
      </c>
      <c r="C125" s="24">
        <f>B125</f>
        <v>0</v>
      </c>
      <c r="D125" s="24">
        <f t="shared" ref="D125:P125" si="54">C125</f>
        <v>0</v>
      </c>
      <c r="E125" s="24">
        <f t="shared" si="54"/>
        <v>0</v>
      </c>
      <c r="F125" s="24">
        <f t="shared" si="54"/>
        <v>0</v>
      </c>
      <c r="G125" s="24">
        <f t="shared" si="54"/>
        <v>0</v>
      </c>
      <c r="H125" s="24">
        <f t="shared" si="54"/>
        <v>0</v>
      </c>
      <c r="I125" s="24">
        <f t="shared" si="54"/>
        <v>0</v>
      </c>
      <c r="J125" s="24">
        <f t="shared" si="54"/>
        <v>0</v>
      </c>
      <c r="K125" s="24">
        <f t="shared" si="54"/>
        <v>0</v>
      </c>
      <c r="L125" s="24">
        <f t="shared" si="54"/>
        <v>0</v>
      </c>
      <c r="M125" s="24">
        <f t="shared" si="54"/>
        <v>0</v>
      </c>
      <c r="N125" s="24">
        <f t="shared" si="54"/>
        <v>0</v>
      </c>
      <c r="O125" s="24">
        <f t="shared" si="54"/>
        <v>0</v>
      </c>
      <c r="P125" s="24">
        <f t="shared" si="54"/>
        <v>0</v>
      </c>
    </row>
    <row r="126" spans="1:16" x14ac:dyDescent="0.2">
      <c r="A126" s="4" t="s">
        <v>455</v>
      </c>
      <c r="B126" s="24">
        <f>SUM(B124:B125)</f>
        <v>438000</v>
      </c>
      <c r="C126" s="24">
        <f t="shared" ref="C126:P126" si="55">SUM(C124:C125)</f>
        <v>393200</v>
      </c>
      <c r="D126" s="24">
        <f t="shared" si="55"/>
        <v>342700</v>
      </c>
      <c r="E126" s="24">
        <f t="shared" si="55"/>
        <v>286200</v>
      </c>
      <c r="F126" s="24">
        <f t="shared" si="55"/>
        <v>425100</v>
      </c>
      <c r="G126" s="24">
        <f t="shared" si="55"/>
        <v>291800</v>
      </c>
      <c r="H126" s="24">
        <f t="shared" si="55"/>
        <v>306400</v>
      </c>
      <c r="I126" s="24">
        <f t="shared" si="55"/>
        <v>321700</v>
      </c>
      <c r="J126" s="24">
        <f t="shared" si="55"/>
        <v>337800</v>
      </c>
      <c r="K126" s="24">
        <f t="shared" si="55"/>
        <v>354600</v>
      </c>
      <c r="L126" s="24">
        <f t="shared" si="55"/>
        <v>372400</v>
      </c>
      <c r="M126" s="24">
        <f t="shared" si="55"/>
        <v>391000</v>
      </c>
      <c r="N126" s="24">
        <f t="shared" si="55"/>
        <v>410500</v>
      </c>
      <c r="O126" s="24">
        <f t="shared" si="55"/>
        <v>431100</v>
      </c>
      <c r="P126" s="24">
        <f t="shared" si="55"/>
        <v>452600</v>
      </c>
    </row>
    <row r="127" spans="1:16" x14ac:dyDescent="0.2">
      <c r="A127" s="35"/>
      <c r="B127" s="24"/>
      <c r="C127" s="24"/>
      <c r="D127" s="24"/>
      <c r="E127" s="24"/>
      <c r="F127" s="24"/>
      <c r="G127" s="24"/>
      <c r="H127" s="24"/>
      <c r="I127" s="24"/>
      <c r="J127" s="24"/>
      <c r="K127" s="24"/>
      <c r="L127" s="24"/>
      <c r="M127" s="24"/>
    </row>
    <row r="128" spans="1:16" x14ac:dyDescent="0.2">
      <c r="A128" s="61" t="s">
        <v>45</v>
      </c>
      <c r="B128" s="279"/>
      <c r="C128" s="24"/>
      <c r="D128" s="24"/>
      <c r="E128" s="24"/>
      <c r="F128" s="24"/>
      <c r="G128" s="24"/>
      <c r="H128" s="24"/>
      <c r="I128" s="24"/>
      <c r="J128" s="24"/>
      <c r="K128" s="24"/>
      <c r="L128" s="24"/>
      <c r="M128" s="24"/>
    </row>
    <row r="129" spans="1:19" x14ac:dyDescent="0.2">
      <c r="A129" s="275" t="s">
        <v>345</v>
      </c>
      <c r="B129" s="24">
        <f>'Misc Parameters'!F15</f>
        <v>0</v>
      </c>
      <c r="C129" s="24"/>
      <c r="D129" s="24"/>
      <c r="E129" s="24"/>
      <c r="F129" s="24"/>
      <c r="G129" s="24"/>
      <c r="H129" s="24"/>
      <c r="I129" s="24"/>
      <c r="J129" s="24"/>
      <c r="K129" s="24"/>
      <c r="L129" s="24"/>
      <c r="M129" s="24"/>
    </row>
    <row r="130" spans="1:19" x14ac:dyDescent="0.2">
      <c r="A130" s="275" t="s">
        <v>346</v>
      </c>
      <c r="B130" s="24">
        <f>'Misc Parameters'!F16</f>
        <v>0</v>
      </c>
      <c r="C130" s="24">
        <f>B130</f>
        <v>0</v>
      </c>
      <c r="D130" s="24">
        <f>C130</f>
        <v>0</v>
      </c>
      <c r="E130" s="24">
        <f t="shared" ref="E130:P130" si="56">D130</f>
        <v>0</v>
      </c>
      <c r="F130" s="24">
        <f t="shared" si="56"/>
        <v>0</v>
      </c>
      <c r="G130" s="24">
        <f t="shared" si="56"/>
        <v>0</v>
      </c>
      <c r="H130" s="24">
        <f t="shared" si="56"/>
        <v>0</v>
      </c>
      <c r="I130" s="24">
        <f t="shared" si="56"/>
        <v>0</v>
      </c>
      <c r="J130" s="24">
        <f t="shared" si="56"/>
        <v>0</v>
      </c>
      <c r="K130" s="24">
        <f t="shared" si="56"/>
        <v>0</v>
      </c>
      <c r="L130" s="24">
        <f t="shared" si="56"/>
        <v>0</v>
      </c>
      <c r="M130" s="24">
        <f t="shared" si="56"/>
        <v>0</v>
      </c>
      <c r="N130" s="24">
        <f t="shared" si="56"/>
        <v>0</v>
      </c>
      <c r="O130" s="24">
        <f t="shared" si="56"/>
        <v>0</v>
      </c>
      <c r="P130" s="24">
        <f t="shared" si="56"/>
        <v>0</v>
      </c>
    </row>
    <row r="131" spans="1:19" s="24" customFormat="1" x14ac:dyDescent="0.2">
      <c r="A131" s="276" t="s">
        <v>456</v>
      </c>
      <c r="B131" s="24">
        <f>SUM(B129:B130)</f>
        <v>0</v>
      </c>
      <c r="C131" s="24">
        <f t="shared" ref="C131:P131" si="57">SUM(C129:C130)</f>
        <v>0</v>
      </c>
      <c r="D131" s="24">
        <f t="shared" si="57"/>
        <v>0</v>
      </c>
      <c r="E131" s="24">
        <f t="shared" si="57"/>
        <v>0</v>
      </c>
      <c r="F131" s="24">
        <f t="shared" si="57"/>
        <v>0</v>
      </c>
      <c r="G131" s="24">
        <f t="shared" si="57"/>
        <v>0</v>
      </c>
      <c r="H131" s="24">
        <f t="shared" si="57"/>
        <v>0</v>
      </c>
      <c r="I131" s="24">
        <f t="shared" si="57"/>
        <v>0</v>
      </c>
      <c r="J131" s="24">
        <f t="shared" si="57"/>
        <v>0</v>
      </c>
      <c r="K131" s="24">
        <f t="shared" si="57"/>
        <v>0</v>
      </c>
      <c r="L131" s="24">
        <f t="shared" si="57"/>
        <v>0</v>
      </c>
      <c r="M131" s="24">
        <f t="shared" si="57"/>
        <v>0</v>
      </c>
      <c r="N131" s="24">
        <f t="shared" si="57"/>
        <v>0</v>
      </c>
      <c r="O131" s="24">
        <f t="shared" si="57"/>
        <v>0</v>
      </c>
      <c r="P131" s="24">
        <f t="shared" si="57"/>
        <v>0</v>
      </c>
    </row>
    <row r="132" spans="1:19" s="28" customFormat="1" x14ac:dyDescent="0.2"/>
    <row r="133" spans="1:19" x14ac:dyDescent="0.2">
      <c r="A133" s="25"/>
    </row>
    <row r="134" spans="1:19" ht="26.4" x14ac:dyDescent="0.25">
      <c r="A134" s="92" t="s">
        <v>195</v>
      </c>
      <c r="B134" s="550" t="s">
        <v>309</v>
      </c>
      <c r="C134" s="551"/>
      <c r="D134" s="552"/>
      <c r="E134" s="557" t="s">
        <v>308</v>
      </c>
      <c r="F134" s="558"/>
      <c r="G134" s="558"/>
      <c r="H134" s="558"/>
      <c r="I134" s="16"/>
      <c r="J134" s="8"/>
      <c r="K134" s="8"/>
      <c r="L134" s="8"/>
      <c r="M134" s="8"/>
      <c r="N134" s="8"/>
      <c r="O134" s="8"/>
      <c r="P134" s="8"/>
      <c r="Q134" s="8"/>
      <c r="R134" s="8"/>
      <c r="S134" s="8"/>
    </row>
    <row r="135" spans="1:19" ht="92.4" x14ac:dyDescent="0.25">
      <c r="A135" s="46"/>
      <c r="B135" s="47" t="s">
        <v>368</v>
      </c>
      <c r="C135" s="47" t="s">
        <v>298</v>
      </c>
      <c r="D135" s="47" t="s">
        <v>69</v>
      </c>
      <c r="E135" s="48" t="s">
        <v>193</v>
      </c>
      <c r="F135" s="84" t="s">
        <v>191</v>
      </c>
      <c r="G135" s="47" t="s">
        <v>192</v>
      </c>
      <c r="H135" s="21" t="s">
        <v>70</v>
      </c>
      <c r="J135" s="1"/>
    </row>
    <row r="136" spans="1:19" ht="13.2" x14ac:dyDescent="0.25">
      <c r="A136" s="77" t="s">
        <v>427</v>
      </c>
      <c r="B136" s="47"/>
      <c r="C136" s="47"/>
      <c r="D136" s="47"/>
      <c r="E136" s="48"/>
      <c r="F136" s="84"/>
      <c r="G136" s="47"/>
      <c r="H136" s="21"/>
      <c r="J136" s="1"/>
    </row>
    <row r="137" spans="1:19" ht="21" x14ac:dyDescent="0.25">
      <c r="A137" s="50" t="s">
        <v>351</v>
      </c>
      <c r="B137" s="108">
        <f>ROUNDUP(P33/Status!F12,0)</f>
        <v>3</v>
      </c>
      <c r="C137" s="108">
        <f>IF(Status!G10="distributed locations",MAX(ROUNDUP(P87/Status!F12,0),'Performance Assumptions'!D69),ROUNDUP(P87/Status!F12,0))</f>
        <v>3</v>
      </c>
      <c r="D137" s="108">
        <f>IF(Status!G10="distributed locations",MAX(ROUNDUP(P87/Status!F12,0),'Performance Assumptions'!D69),ROUNDUP(P87/Status!F12,0))</f>
        <v>3</v>
      </c>
      <c r="E137" s="108"/>
      <c r="F137" s="129"/>
      <c r="G137" s="110"/>
      <c r="H137" s="21"/>
    </row>
    <row r="138" spans="1:19" ht="21" x14ac:dyDescent="0.25">
      <c r="A138" s="341" t="s">
        <v>402</v>
      </c>
      <c r="B138" s="278">
        <f>IF(SUMIF(B7:P7,"include",B8:P8)&lt;=150000,MAX(1,ROUNDUP(B137/B71,0)),0)</f>
        <v>1</v>
      </c>
      <c r="C138" s="278">
        <v>0</v>
      </c>
      <c r="D138" s="278">
        <f>IF(SUMIF(B7:P7,"include",B8:P8)&lt;=150000,MAX(1,ROUNDUP(B137/B71,0)),0)</f>
        <v>1</v>
      </c>
      <c r="E138" s="110">
        <f>ROUNDUP(B138*H41,0)</f>
        <v>63</v>
      </c>
      <c r="F138" s="110">
        <f>ROUNDUP(C138*H41,0)</f>
        <v>0</v>
      </c>
      <c r="G138" s="110">
        <f>ROUNDUP(D138*H41,0)</f>
        <v>63</v>
      </c>
      <c r="H138" s="21" t="s">
        <v>55</v>
      </c>
    </row>
    <row r="139" spans="1:19" ht="30.6" x14ac:dyDescent="0.2">
      <c r="A139" s="339" t="s">
        <v>403</v>
      </c>
      <c r="B139" s="109">
        <f>IF(SUMIF(B7:P7,"include",B8:P8)&gt;150000,MAX(1,ROUNDUP(B137/B71,0)),0)</f>
        <v>0</v>
      </c>
      <c r="C139" s="109">
        <v>0</v>
      </c>
      <c r="D139" s="109">
        <f>IF(SUMIF(B7:P7,"include",B8:P8)&gt;150000,MAX(1,ROUNDUP(B137/B71,0)),0)</f>
        <v>0</v>
      </c>
      <c r="E139" s="110">
        <f>ROUNDUP(B139*H42,0)</f>
        <v>0</v>
      </c>
      <c r="F139" s="110">
        <f>ROUNDUP(C139*H42,0)</f>
        <v>0</v>
      </c>
      <c r="G139" s="110">
        <f>ROUNDUP(D139*H42,0)</f>
        <v>0</v>
      </c>
      <c r="H139" s="21" t="s">
        <v>57</v>
      </c>
    </row>
    <row r="140" spans="1:19" ht="20.399999999999999" x14ac:dyDescent="0.2">
      <c r="A140" s="80" t="s">
        <v>405</v>
      </c>
      <c r="B140" s="109">
        <v>0</v>
      </c>
      <c r="C140" s="109">
        <f>C137</f>
        <v>3</v>
      </c>
      <c r="D140" s="109">
        <f>IF('Performance Assumptions'!D69&lt;=1,0,IF(Status!G10="distributed locations",MIN((D137-1),'Performance Assumptions'!D69),0))</f>
        <v>0</v>
      </c>
      <c r="E140" s="110">
        <f>ROUNDUP(B140*H43,0)</f>
        <v>0</v>
      </c>
      <c r="F140" s="110">
        <f>ROUNDUP(C140*H43,0)</f>
        <v>94</v>
      </c>
      <c r="G140" s="110">
        <f>ROUNDUP(D140*H43,0)</f>
        <v>0</v>
      </c>
      <c r="H140" s="21" t="s">
        <v>56</v>
      </c>
    </row>
    <row r="141" spans="1:19" ht="20.399999999999999" x14ac:dyDescent="0.2">
      <c r="A141" s="80" t="s">
        <v>406</v>
      </c>
      <c r="B141" s="296">
        <f>B137</f>
        <v>3</v>
      </c>
      <c r="C141" s="109">
        <v>0</v>
      </c>
      <c r="D141" s="296">
        <f>D137-D140</f>
        <v>3</v>
      </c>
      <c r="E141" s="110">
        <f>ROUNDUP(B141*H44,0)</f>
        <v>94</v>
      </c>
      <c r="F141" s="110">
        <f>ROUNDUP(C141*H44,0)</f>
        <v>0</v>
      </c>
      <c r="G141" s="110">
        <f>ROUNDUP(D141*H44,0)</f>
        <v>94</v>
      </c>
      <c r="H141" s="21" t="s">
        <v>58</v>
      </c>
    </row>
    <row r="142" spans="1:19" x14ac:dyDescent="0.2">
      <c r="A142" s="80" t="s">
        <v>422</v>
      </c>
      <c r="B142" s="271">
        <f>B138+B139</f>
        <v>1</v>
      </c>
      <c r="C142" s="271">
        <f>C138+C139</f>
        <v>0</v>
      </c>
      <c r="D142" s="271">
        <f>D138+D139</f>
        <v>1</v>
      </c>
      <c r="E142" s="110">
        <f>ROUNDUP(B142*H45,0)</f>
        <v>2</v>
      </c>
      <c r="F142" s="110">
        <f>ROUNDUP(C142*H45,0)</f>
        <v>0</v>
      </c>
      <c r="G142" s="110">
        <f>ROUNDUP(D142*H45,0)</f>
        <v>2</v>
      </c>
      <c r="H142" s="21"/>
    </row>
    <row r="143" spans="1:19" x14ac:dyDescent="0.2">
      <c r="A143" s="86" t="s">
        <v>374</v>
      </c>
      <c r="B143" s="271"/>
      <c r="C143" s="271"/>
      <c r="D143" s="271"/>
      <c r="E143" s="110"/>
      <c r="F143" s="110"/>
      <c r="G143" s="110"/>
      <c r="H143" s="21"/>
    </row>
    <row r="144" spans="1:19" x14ac:dyDescent="0.2">
      <c r="A144" s="80" t="s">
        <v>11</v>
      </c>
      <c r="B144" s="270">
        <f>B138+B139</f>
        <v>1</v>
      </c>
      <c r="C144" s="109">
        <f>MAX('Performance Assumptions'!D69,C138)</f>
        <v>1</v>
      </c>
      <c r="D144" s="109">
        <f>MAX('Performance Assumptions'!D69,D138)</f>
        <v>1</v>
      </c>
      <c r="E144" s="110">
        <f t="shared" ref="E144:E149" si="58">ROUNDUP(B144*H47,0)</f>
        <v>4</v>
      </c>
      <c r="F144" s="110">
        <f t="shared" ref="F144:F149" si="59">ROUNDUP(C144*H47,0)</f>
        <v>4</v>
      </c>
      <c r="G144" s="110">
        <f t="shared" ref="G144:G149" si="60">ROUNDUP(D144*H47,0)</f>
        <v>4</v>
      </c>
      <c r="H144" s="21"/>
    </row>
    <row r="145" spans="1:16" x14ac:dyDescent="0.2">
      <c r="A145" s="80" t="s">
        <v>357</v>
      </c>
      <c r="B145" s="270">
        <f>B138+B139</f>
        <v>1</v>
      </c>
      <c r="C145" s="109">
        <v>0</v>
      </c>
      <c r="D145" s="109">
        <f>D138+D139</f>
        <v>1</v>
      </c>
      <c r="E145" s="110">
        <f t="shared" si="58"/>
        <v>0</v>
      </c>
      <c r="F145" s="110">
        <f t="shared" si="59"/>
        <v>0</v>
      </c>
      <c r="G145" s="110">
        <f t="shared" si="60"/>
        <v>0</v>
      </c>
      <c r="H145" s="21"/>
    </row>
    <row r="146" spans="1:16" s="45" customFormat="1" x14ac:dyDescent="0.2">
      <c r="A146" s="80" t="s">
        <v>355</v>
      </c>
      <c r="B146" s="270">
        <f>IF(B152&gt;=1,1,0)</f>
        <v>1</v>
      </c>
      <c r="C146" s="270">
        <f>IF(C152&gt;=1,1,0)</f>
        <v>1</v>
      </c>
      <c r="D146" s="270">
        <f>IF(D152&gt;=1,1,0)</f>
        <v>1</v>
      </c>
      <c r="E146" s="109">
        <f t="shared" si="58"/>
        <v>0</v>
      </c>
      <c r="F146" s="109">
        <f t="shared" si="59"/>
        <v>0</v>
      </c>
      <c r="G146" s="109">
        <f t="shared" si="60"/>
        <v>0</v>
      </c>
      <c r="H146" s="80"/>
    </row>
    <row r="147" spans="1:16" s="45" customFormat="1" ht="21" x14ac:dyDescent="0.25">
      <c r="A147" s="80" t="s">
        <v>356</v>
      </c>
      <c r="B147" s="272">
        <v>0</v>
      </c>
      <c r="C147" s="111">
        <f>'Performance Assumptions'!D69</f>
        <v>1</v>
      </c>
      <c r="D147" s="111">
        <f>IF(Status!G10="distributed locations",'Performance Assumptions'!D69-1,0)</f>
        <v>0</v>
      </c>
      <c r="E147" s="109">
        <f t="shared" si="58"/>
        <v>0</v>
      </c>
      <c r="F147" s="109">
        <f t="shared" si="59"/>
        <v>0</v>
      </c>
      <c r="G147" s="109">
        <f t="shared" si="60"/>
        <v>0</v>
      </c>
      <c r="H147" s="80"/>
    </row>
    <row r="148" spans="1:16" x14ac:dyDescent="0.2">
      <c r="A148" s="80" t="s">
        <v>12</v>
      </c>
      <c r="B148" s="273">
        <f>ROUNDUP(B137/2,0)</f>
        <v>2</v>
      </c>
      <c r="C148" s="273">
        <f>ROUNDUP(C137/2,0)</f>
        <v>2</v>
      </c>
      <c r="D148" s="273">
        <f>ROUNDUP(D137/2,0)</f>
        <v>2</v>
      </c>
      <c r="E148" s="110">
        <f t="shared" si="58"/>
        <v>24</v>
      </c>
      <c r="F148" s="110">
        <f t="shared" si="59"/>
        <v>24</v>
      </c>
      <c r="G148" s="110">
        <f t="shared" si="60"/>
        <v>24</v>
      </c>
      <c r="H148" s="21"/>
      <c r="J148" s="8"/>
      <c r="K148" s="8"/>
      <c r="L148" s="8"/>
    </row>
    <row r="149" spans="1:16" x14ac:dyDescent="0.2">
      <c r="A149" s="80" t="s">
        <v>331</v>
      </c>
      <c r="B149" s="273">
        <f>ROUNDUP(((SUMIF(B7:P7,"include",B8:P8))/B52),0)</f>
        <v>75</v>
      </c>
      <c r="C149" s="273">
        <f>ROUNDUP(((SUMIF(B7:P7,"include",B8:P8))/B52),0)</f>
        <v>75</v>
      </c>
      <c r="D149" s="273">
        <f>ROUNDUP(((SUMIF(B7:P7,"include",B8:P8))/B52),0)</f>
        <v>75</v>
      </c>
      <c r="E149" s="110">
        <f t="shared" si="58"/>
        <v>450</v>
      </c>
      <c r="F149" s="110">
        <f t="shared" si="59"/>
        <v>450</v>
      </c>
      <c r="G149" s="110">
        <f t="shared" si="60"/>
        <v>450</v>
      </c>
      <c r="H149" s="21"/>
    </row>
    <row r="150" spans="1:16" s="5" customFormat="1" x14ac:dyDescent="0.2">
      <c r="A150" s="86" t="s">
        <v>312</v>
      </c>
      <c r="B150" s="271"/>
      <c r="C150" s="81"/>
      <c r="D150" s="81"/>
      <c r="E150" s="110"/>
      <c r="F150" s="110"/>
      <c r="G150" s="110"/>
      <c r="H150" s="76"/>
    </row>
    <row r="151" spans="1:16" ht="30.6" x14ac:dyDescent="0.2">
      <c r="A151" s="80" t="s">
        <v>2</v>
      </c>
      <c r="B151" s="109">
        <f>MAX(MAX(B90:P90),1)</f>
        <v>1</v>
      </c>
      <c r="C151" s="109">
        <f>MAX(MAX(B90:P90),1)</f>
        <v>1</v>
      </c>
      <c r="D151" s="109">
        <f>MAX(MAX(B90:P90),1)</f>
        <v>1</v>
      </c>
      <c r="E151" s="110">
        <f>ROUNDUP(B151*H58,0)</f>
        <v>11</v>
      </c>
      <c r="F151" s="110">
        <f>ROUNDUP(C151*H58,0)</f>
        <v>11</v>
      </c>
      <c r="G151" s="110">
        <f>ROUNDUP(D151*H58,0)</f>
        <v>11</v>
      </c>
      <c r="H151" s="21" t="s">
        <v>57</v>
      </c>
    </row>
    <row r="152" spans="1:16" ht="13.2" x14ac:dyDescent="0.25">
      <c r="A152" s="80" t="s">
        <v>14</v>
      </c>
      <c r="B152" s="111">
        <f>MAX(1,B138+B139)</f>
        <v>1</v>
      </c>
      <c r="C152" s="111">
        <f>MAX(1,C138+C139)</f>
        <v>1</v>
      </c>
      <c r="D152" s="111">
        <f>MAX(1,D138+D139)</f>
        <v>1</v>
      </c>
      <c r="E152" s="110">
        <f>ROUNDUP(B152*H59,0)</f>
        <v>0</v>
      </c>
      <c r="F152" s="110">
        <f>ROUNDUP(C152*H59,0)</f>
        <v>0</v>
      </c>
      <c r="G152" s="110">
        <f>ROUNDUP(D152*H59,0)</f>
        <v>0</v>
      </c>
      <c r="H152" s="21"/>
    </row>
    <row r="153" spans="1:16" ht="13.2" x14ac:dyDescent="0.25">
      <c r="A153" s="285"/>
      <c r="B153" s="286"/>
      <c r="C153" s="286"/>
      <c r="D153" s="286"/>
      <c r="E153" s="74"/>
      <c r="F153" s="75"/>
      <c r="G153" s="287"/>
      <c r="H153" s="285"/>
      <c r="I153" s="9"/>
      <c r="J153" s="9"/>
      <c r="K153" s="9"/>
      <c r="L153" s="9"/>
      <c r="M153" s="9"/>
      <c r="N153" s="9"/>
      <c r="O153" s="9"/>
      <c r="P153" s="9"/>
    </row>
    <row r="154" spans="1:16" ht="30.6" x14ac:dyDescent="0.2">
      <c r="A154" s="86" t="s">
        <v>314</v>
      </c>
      <c r="B154" s="263" t="s">
        <v>3</v>
      </c>
      <c r="C154" s="263" t="s">
        <v>3</v>
      </c>
      <c r="D154" s="263" t="s">
        <v>3</v>
      </c>
      <c r="E154" s="263" t="s">
        <v>3</v>
      </c>
      <c r="F154" s="263" t="s">
        <v>3</v>
      </c>
      <c r="G154" s="263" t="s">
        <v>3</v>
      </c>
      <c r="H154" s="263" t="s">
        <v>3</v>
      </c>
      <c r="I154" s="284" t="s">
        <v>3</v>
      </c>
      <c r="J154" s="284" t="s">
        <v>3</v>
      </c>
      <c r="K154" s="284" t="s">
        <v>3</v>
      </c>
      <c r="L154" s="284" t="s">
        <v>3</v>
      </c>
      <c r="M154" s="284" t="s">
        <v>3</v>
      </c>
      <c r="N154" s="284" t="s">
        <v>3</v>
      </c>
      <c r="O154" s="284" t="s">
        <v>3</v>
      </c>
      <c r="P154" s="284" t="s">
        <v>3</v>
      </c>
    </row>
    <row r="155" spans="1:16" x14ac:dyDescent="0.2">
      <c r="B155" s="82">
        <v>1</v>
      </c>
      <c r="C155" s="82">
        <v>2</v>
      </c>
      <c r="D155" s="82">
        <v>3</v>
      </c>
      <c r="E155" s="82">
        <v>4</v>
      </c>
      <c r="F155" s="82">
        <v>5</v>
      </c>
      <c r="G155" s="82">
        <v>6</v>
      </c>
      <c r="H155" s="62">
        <v>7</v>
      </c>
      <c r="I155" s="62">
        <v>8</v>
      </c>
      <c r="J155" s="62">
        <v>9</v>
      </c>
      <c r="K155" s="62">
        <v>10</v>
      </c>
      <c r="L155" s="62">
        <v>11</v>
      </c>
      <c r="M155" s="63">
        <v>12</v>
      </c>
      <c r="N155" s="63">
        <v>13</v>
      </c>
      <c r="O155" s="63">
        <v>14</v>
      </c>
      <c r="P155" s="238">
        <v>15</v>
      </c>
    </row>
    <row r="156" spans="1:16" s="45" customFormat="1" x14ac:dyDescent="0.2">
      <c r="A156" s="80" t="s">
        <v>28</v>
      </c>
      <c r="B156" s="79">
        <f>ROUND(IF(Status!G14="mobile operation",0,IF(Status!G14="distributed locations",'Performance Assumptions'!D70,B89/2)),0)</f>
        <v>2</v>
      </c>
      <c r="C156" s="79">
        <f>ROUND(IF(Status!G14="mobile operation",0,IF(Status!G14="distributed locations",'Performance Assumptions'!D70,C89/2)),0)</f>
        <v>2</v>
      </c>
      <c r="D156" s="79">
        <f>ROUND(IF(Status!G14="mobile operation",0,IF(Status!G14="distributed locations",'Performance Assumptions'!D70,D89/2)),0)</f>
        <v>2</v>
      </c>
      <c r="E156" s="79">
        <f>ROUND(IF(Status!G14="mobile operation",0,IF(Status!G14="distributed locations",'Performance Assumptions'!D70,E89/2)),0)</f>
        <v>1</v>
      </c>
      <c r="F156" s="79">
        <f>ROUND(IF(Status!G14="mobile operation",0,IF(Status!G14="distributed locations",'Performance Assumptions'!D70,F89/2)),0)</f>
        <v>1</v>
      </c>
      <c r="G156" s="79">
        <f>ROUND(IF(Status!G14="mobile operation",0,IF(Status!G14="distributed locations",'Performance Assumptions'!D70,G89/2)),0)</f>
        <v>1</v>
      </c>
      <c r="H156" s="79">
        <f>ROUND(IF(Status!G14="mobile operation",0,IF(Status!G14="distributed locations",'Performance Assumptions'!D70,H89/2)),0)</f>
        <v>1</v>
      </c>
      <c r="I156" s="79">
        <f>ROUND(IF(Status!G14="mobile operation",0,IF(Status!G14="distributed locations",'Performance Assumptions'!D70,I89/2)),0)</f>
        <v>1</v>
      </c>
      <c r="J156" s="79">
        <f>ROUND(IF(Status!G14="mobile operation",0,IF(Status!G14="distributed locations",'Performance Assumptions'!D70,J89/2)),0)</f>
        <v>1</v>
      </c>
      <c r="K156" s="79">
        <f>ROUND(IF(Status!G14="mobile operation",0,IF(Status!G14="distributed locations",'Performance Assumptions'!D70,K89/2)),0)</f>
        <v>1</v>
      </c>
      <c r="L156" s="79">
        <f>ROUND(IF(Status!G14="mobile operation",0,IF(Status!G14="distributed locations",'Performance Assumptions'!D70,L89/2)),0)</f>
        <v>1</v>
      </c>
      <c r="M156" s="79">
        <f>ROUND(IF(Status!G14="mobile operation",0,IF(Status!G14="distributed locations",'Performance Assumptions'!D70,M89/2)),0)</f>
        <v>1</v>
      </c>
      <c r="N156" s="79">
        <f>ROUND(IF(Status!G14="mobile operation",0,IF(Status!G14="distributed locations",'Performance Assumptions'!D70,N89/2)),0)</f>
        <v>1</v>
      </c>
      <c r="O156" s="79">
        <f>ROUND(IF(Status!G14="mobile operation",0,IF(Status!G14="distributed locations",'Performance Assumptions'!D70,O89/2)),0)</f>
        <v>1</v>
      </c>
      <c r="P156" s="79">
        <f>ROUND(IF(Status!G14="mobile operation",0,IF(Status!G14="distributed locations",'Performance Assumptions'!D70,P89/2)),0)</f>
        <v>1</v>
      </c>
    </row>
    <row r="157" spans="1:16" x14ac:dyDescent="0.2">
      <c r="A157" s="80" t="s">
        <v>196</v>
      </c>
      <c r="B157" s="79">
        <f>H54*B156</f>
        <v>60</v>
      </c>
      <c r="C157" s="79">
        <f>H54*C156</f>
        <v>60</v>
      </c>
      <c r="D157" s="79">
        <f>H54*D156</f>
        <v>60</v>
      </c>
      <c r="E157" s="79">
        <f>H54*E156</f>
        <v>30</v>
      </c>
      <c r="F157" s="79">
        <f>H54*F156</f>
        <v>30</v>
      </c>
      <c r="G157" s="79">
        <f>H54*G156</f>
        <v>30</v>
      </c>
      <c r="H157" s="79">
        <f>H54*H156</f>
        <v>30</v>
      </c>
      <c r="I157" s="79">
        <f>H54*I156</f>
        <v>30</v>
      </c>
      <c r="J157" s="79">
        <f>H54*J156</f>
        <v>30</v>
      </c>
      <c r="K157" s="79">
        <f>H54*K156</f>
        <v>30</v>
      </c>
      <c r="L157" s="79">
        <f>H54*L156</f>
        <v>30</v>
      </c>
      <c r="M157" s="79">
        <f>H54*M156</f>
        <v>30</v>
      </c>
      <c r="N157" s="79">
        <f>H54*N156</f>
        <v>30</v>
      </c>
      <c r="O157" s="79">
        <f>H54*O156</f>
        <v>30</v>
      </c>
      <c r="P157" s="79">
        <f>H54*P156</f>
        <v>30</v>
      </c>
    </row>
    <row r="158" spans="1:16" s="45" customFormat="1" x14ac:dyDescent="0.2">
      <c r="A158" s="80" t="s">
        <v>6</v>
      </c>
      <c r="B158" s="117">
        <f>IF(Status!G14="mobile operation",1,0)*B89</f>
        <v>0</v>
      </c>
      <c r="C158" s="117">
        <f>IF(Status!G14="mobile operation",1,0)*C89</f>
        <v>0</v>
      </c>
      <c r="D158" s="117">
        <f>IF(Status!G14="mobile operation",1,0)*D89</f>
        <v>0</v>
      </c>
      <c r="E158" s="117">
        <f>IF(Status!G14="mobile operation",1,0)*E89</f>
        <v>0</v>
      </c>
      <c r="F158" s="117">
        <f>IF(Status!G14="mobile operation",1,0)*F89</f>
        <v>0</v>
      </c>
      <c r="G158" s="117">
        <f>IF(Status!G14="mobile operation",1,0)*G89</f>
        <v>0</v>
      </c>
      <c r="H158" s="117">
        <f>IF(Status!G14="mobile operation",1,0)*H89</f>
        <v>0</v>
      </c>
      <c r="I158" s="117">
        <f>IF(Status!G14="mobile operation",1,0)*I89</f>
        <v>0</v>
      </c>
      <c r="J158" s="117">
        <f>IF(Status!G14="mobile operation",1,0)*J89</f>
        <v>0</v>
      </c>
      <c r="K158" s="117">
        <f>IF(Status!G14="mobile operation",1,0)*K89</f>
        <v>0</v>
      </c>
      <c r="L158" s="117">
        <f>IF(Status!G14="mobile operation",1,0)*L89</f>
        <v>0</v>
      </c>
      <c r="M158" s="117">
        <f>IF(Status!G14="mobile operation",1,0)*M89</f>
        <v>0</v>
      </c>
      <c r="N158" s="117">
        <f>IF(Status!G14="mobile operation",1,0)*N89</f>
        <v>0</v>
      </c>
      <c r="O158" s="117">
        <f>IF(Status!G14="mobile operation",1,0)*O89</f>
        <v>0</v>
      </c>
      <c r="P158" s="117">
        <f>IF(Status!G14="mobile operation",1,0)*P89</f>
        <v>0</v>
      </c>
    </row>
    <row r="159" spans="1:16" s="5" customFormat="1" x14ac:dyDescent="0.2">
      <c r="A159" s="80" t="s">
        <v>379</v>
      </c>
      <c r="B159" s="78">
        <f>ROUNDUP((B158+IF(Status!G16="yes",'Cost Assumptions'!D44,0)+IF(Status!G17="yes",'Cost Assumptions'!D45,0)),0)</f>
        <v>0</v>
      </c>
      <c r="C159" s="78">
        <f>ROUNDUP((C158+IF(Status!G16="yes",'Cost Assumptions'!D44,0)+IF(Status!G17="yes",'Cost Assumptions'!D45,0)),0)</f>
        <v>0</v>
      </c>
      <c r="D159" s="78">
        <f>ROUNDUP((D158+IF(Status!G16="yes",'Cost Assumptions'!D44,0)+IF(Status!G17="yes",'Cost Assumptions'!D45,0)),0)</f>
        <v>0</v>
      </c>
      <c r="E159" s="78">
        <f>ROUNDUP((E158+IF(Status!G16="yes",'Cost Assumptions'!D44,0)+IF(Status!G17="yes",'Cost Assumptions'!D45,0)),0)</f>
        <v>0</v>
      </c>
      <c r="F159" s="78">
        <f>ROUNDUP((F158+IF(Status!G16="yes",'Cost Assumptions'!D44,0)+IF(Status!G17="yes",'Cost Assumptions'!D45,0)),0)</f>
        <v>0</v>
      </c>
      <c r="G159" s="78">
        <f>ROUNDUP((G158+IF(Status!G16="yes",'Cost Assumptions'!D44,0)+IF(Status!G17="yes",'Cost Assumptions'!D45,0)),0)</f>
        <v>0</v>
      </c>
      <c r="H159" s="78">
        <f>ROUNDUP((H158+IF(Status!G16="yes",'Cost Assumptions'!D44,0)+IF(Status!G17="yes",'Cost Assumptions'!D45,0)),0)</f>
        <v>0</v>
      </c>
      <c r="I159" s="78">
        <f>ROUNDUP((I158+IF(Status!G16="yes",'Cost Assumptions'!D44,0)+IF(Status!G17="yes",'Cost Assumptions'!D45,0)),0)</f>
        <v>0</v>
      </c>
      <c r="J159" s="78">
        <f>ROUNDUP((J158+IF(Status!G16="yes",'Cost Assumptions'!D44,0)+IF(Status!G17="yes",'Cost Assumptions'!D45,0)),0)</f>
        <v>0</v>
      </c>
      <c r="K159" s="78">
        <f>ROUNDUP((K158+IF(Status!G16="yes",'Cost Assumptions'!D44,0)+IF(Status!G17="yes",'Cost Assumptions'!D45,0)),0)</f>
        <v>0</v>
      </c>
      <c r="L159" s="78">
        <f>ROUNDUP((L158+IF(Status!G16="yes",'Cost Assumptions'!D44,0)+IF(Status!G17="yes",'Cost Assumptions'!D45,0)),0)</f>
        <v>0</v>
      </c>
      <c r="M159" s="78">
        <f>ROUNDUP((M158+IF(Status!G16="yes",'Cost Assumptions'!D44,0)+IF(Status!G17="yes",'Cost Assumptions'!D45,0)),0)</f>
        <v>0</v>
      </c>
      <c r="N159" s="78">
        <f>ROUNDUP((N158+IF(Status!G16="yes",'Cost Assumptions'!D44,0)+IF(Status!G17="yes",'Cost Assumptions'!D45,0)),0)</f>
        <v>0</v>
      </c>
      <c r="O159" s="78">
        <f>ROUNDUP((O158+IF(Status!G16="yes",'Cost Assumptions'!D44,0)+IF(Status!G17="yes",'Cost Assumptions'!D45,0)),0)</f>
        <v>0</v>
      </c>
      <c r="P159" s="78">
        <f>ROUNDUP((P158+IF(Status!G16="yes",'Cost Assumptions'!D44,0)+IF(Status!G17="yes",'Cost Assumptions'!D45,0)),0)</f>
        <v>0</v>
      </c>
    </row>
    <row r="160" spans="1:16" s="28" customFormat="1" ht="13.2" x14ac:dyDescent="0.25">
      <c r="A160" s="29"/>
    </row>
    <row r="161" spans="1:16" x14ac:dyDescent="0.2">
      <c r="A161" s="3" t="s">
        <v>213</v>
      </c>
      <c r="B161" s="263" t="s">
        <v>3</v>
      </c>
      <c r="C161" s="263" t="s">
        <v>3</v>
      </c>
      <c r="D161" s="263" t="s">
        <v>3</v>
      </c>
      <c r="E161" s="263" t="s">
        <v>3</v>
      </c>
      <c r="F161" s="263" t="s">
        <v>3</v>
      </c>
      <c r="G161" s="263" t="s">
        <v>3</v>
      </c>
      <c r="H161" s="263" t="s">
        <v>3</v>
      </c>
      <c r="I161" s="263" t="s">
        <v>3</v>
      </c>
      <c r="J161" s="263" t="s">
        <v>3</v>
      </c>
      <c r="K161" s="263" t="s">
        <v>3</v>
      </c>
      <c r="L161" s="263" t="s">
        <v>3</v>
      </c>
      <c r="M161" s="263" t="s">
        <v>3</v>
      </c>
      <c r="N161" s="263" t="s">
        <v>3</v>
      </c>
      <c r="O161" s="263" t="s">
        <v>3</v>
      </c>
      <c r="P161" s="263" t="s">
        <v>3</v>
      </c>
    </row>
    <row r="162" spans="1:16" x14ac:dyDescent="0.2">
      <c r="B162" s="82">
        <v>1</v>
      </c>
      <c r="C162" s="82">
        <v>2</v>
      </c>
      <c r="D162" s="82">
        <v>3</v>
      </c>
      <c r="E162" s="82">
        <v>4</v>
      </c>
      <c r="F162" s="82">
        <v>5</v>
      </c>
      <c r="G162" s="82">
        <v>6</v>
      </c>
      <c r="H162" s="62">
        <v>7</v>
      </c>
      <c r="I162" s="62">
        <v>8</v>
      </c>
      <c r="J162" s="62">
        <v>9</v>
      </c>
      <c r="K162" s="62">
        <v>10</v>
      </c>
      <c r="L162" s="62">
        <v>11</v>
      </c>
      <c r="M162" s="63">
        <v>12</v>
      </c>
      <c r="N162" s="63">
        <v>13</v>
      </c>
      <c r="O162" s="63">
        <v>14</v>
      </c>
      <c r="P162" s="63">
        <v>15</v>
      </c>
    </row>
    <row r="163" spans="1:16" x14ac:dyDescent="0.2">
      <c r="A163" s="35" t="s">
        <v>413</v>
      </c>
      <c r="B163" s="24">
        <f>CEILING(((B78*B90)+(B75*B33)+(B76*B88)+(B79*B91)+(B80*B92)+(B77*B89)+(B81*B93)+(B82*B94)+(B83*B95)),100)</f>
        <v>244800</v>
      </c>
      <c r="C163" s="24">
        <f t="shared" ref="C163:P163" si="61">CEILING(((C78*C90)+(C75*C33)+(C76*C88)+(C79*C91)+(C80*C92)+(C77*C89)+(C81*C93)+(C82*C94)+(C83*C95)),100)</f>
        <v>232500</v>
      </c>
      <c r="D163" s="24">
        <f t="shared" si="61"/>
        <v>214700</v>
      </c>
      <c r="E163" s="24">
        <f t="shared" si="61"/>
        <v>199200</v>
      </c>
      <c r="F163" s="24">
        <f t="shared" si="61"/>
        <v>177900</v>
      </c>
      <c r="G163" s="24">
        <f t="shared" si="61"/>
        <v>158800</v>
      </c>
      <c r="H163" s="24">
        <f t="shared" si="61"/>
        <v>165400</v>
      </c>
      <c r="I163" s="24">
        <f t="shared" si="61"/>
        <v>172100</v>
      </c>
      <c r="J163" s="24">
        <f t="shared" si="61"/>
        <v>179300</v>
      </c>
      <c r="K163" s="24">
        <f t="shared" si="61"/>
        <v>186700</v>
      </c>
      <c r="L163" s="24">
        <f t="shared" si="61"/>
        <v>194200</v>
      </c>
      <c r="M163" s="24">
        <f t="shared" si="61"/>
        <v>202200</v>
      </c>
      <c r="N163" s="24">
        <f t="shared" si="61"/>
        <v>210500</v>
      </c>
      <c r="O163" s="24">
        <f t="shared" si="61"/>
        <v>219100</v>
      </c>
      <c r="P163" s="24">
        <f t="shared" si="61"/>
        <v>228000</v>
      </c>
    </row>
    <row r="164" spans="1:16" x14ac:dyDescent="0.2">
      <c r="A164" s="35" t="s">
        <v>10</v>
      </c>
      <c r="B164" s="24">
        <f>CEILING((B33*B114)+(B113*B115),100)</f>
        <v>5600</v>
      </c>
      <c r="C164" s="24">
        <f t="shared" ref="C164:P164" si="62">CEILING((((B33*B111)+(MAX(0,C33-B33)))*C114)+(C113*C115),100)</f>
        <v>1600</v>
      </c>
      <c r="D164" s="24">
        <f t="shared" si="62"/>
        <v>1500</v>
      </c>
      <c r="E164" s="24">
        <f t="shared" si="62"/>
        <v>1400</v>
      </c>
      <c r="F164" s="24">
        <f t="shared" si="62"/>
        <v>1300</v>
      </c>
      <c r="G164" s="24">
        <f t="shared" si="62"/>
        <v>1200</v>
      </c>
      <c r="H164" s="24">
        <f t="shared" si="62"/>
        <v>1100</v>
      </c>
      <c r="I164" s="24">
        <f t="shared" si="62"/>
        <v>1100</v>
      </c>
      <c r="J164" s="24">
        <f t="shared" si="62"/>
        <v>1200</v>
      </c>
      <c r="K164" s="24">
        <f t="shared" si="62"/>
        <v>1200</v>
      </c>
      <c r="L164" s="24">
        <f t="shared" si="62"/>
        <v>1300</v>
      </c>
      <c r="M164" s="24">
        <f t="shared" si="62"/>
        <v>1300</v>
      </c>
      <c r="N164" s="24">
        <f t="shared" si="62"/>
        <v>1400</v>
      </c>
      <c r="O164" s="24">
        <f t="shared" si="62"/>
        <v>1400</v>
      </c>
      <c r="P164" s="24">
        <f t="shared" si="62"/>
        <v>1500</v>
      </c>
    </row>
    <row r="165" spans="1:16" x14ac:dyDescent="0.2">
      <c r="A165" s="45" t="s">
        <v>428</v>
      </c>
      <c r="B165" s="44">
        <f>CEILING(SUMPRODUCT(B138:B142*C41:C45),100)</f>
        <v>1215000</v>
      </c>
    </row>
    <row r="166" spans="1:16" x14ac:dyDescent="0.2">
      <c r="A166" s="45" t="s">
        <v>374</v>
      </c>
      <c r="B166" s="44">
        <f>CEILING(SUMPRODUCT(B144:B149*C47:C52),100)</f>
        <v>60600</v>
      </c>
    </row>
    <row r="167" spans="1:16" x14ac:dyDescent="0.2">
      <c r="A167" s="45" t="s">
        <v>312</v>
      </c>
      <c r="B167" s="44">
        <f>CEILING((B151*C58)+(B152*C59),100)</f>
        <v>75000</v>
      </c>
    </row>
    <row r="168" spans="1:16" x14ac:dyDescent="0.2">
      <c r="A168" s="45" t="s">
        <v>224</v>
      </c>
      <c r="B168" s="44">
        <f>CEILING((B156*C54)+(B158*C55)+(B159*C56),100)</f>
        <v>40000</v>
      </c>
    </row>
    <row r="169" spans="1:16" x14ac:dyDescent="0.2">
      <c r="A169" s="45" t="s">
        <v>432</v>
      </c>
      <c r="B169" s="44">
        <f>CEILING((B165*C63),100)</f>
        <v>133700</v>
      </c>
      <c r="C169" s="24">
        <f>B169</f>
        <v>133700</v>
      </c>
      <c r="D169" s="24">
        <f t="shared" ref="D169:P169" si="63">C169</f>
        <v>133700</v>
      </c>
      <c r="E169" s="24">
        <f t="shared" si="63"/>
        <v>133700</v>
      </c>
      <c r="F169" s="24">
        <f t="shared" si="63"/>
        <v>133700</v>
      </c>
      <c r="G169" s="24">
        <f t="shared" si="63"/>
        <v>133700</v>
      </c>
      <c r="H169" s="24">
        <f t="shared" si="63"/>
        <v>133700</v>
      </c>
      <c r="I169" s="24">
        <f t="shared" si="63"/>
        <v>133700</v>
      </c>
      <c r="J169" s="24">
        <f t="shared" si="63"/>
        <v>133700</v>
      </c>
      <c r="K169" s="24">
        <f t="shared" si="63"/>
        <v>133700</v>
      </c>
      <c r="L169" s="24">
        <f t="shared" si="63"/>
        <v>133700</v>
      </c>
      <c r="M169" s="24">
        <f t="shared" si="63"/>
        <v>133700</v>
      </c>
      <c r="N169" s="24">
        <f t="shared" si="63"/>
        <v>133700</v>
      </c>
      <c r="O169" s="24">
        <f t="shared" si="63"/>
        <v>133700</v>
      </c>
      <c r="P169" s="24">
        <f t="shared" si="63"/>
        <v>133700</v>
      </c>
    </row>
    <row r="170" spans="1:16" x14ac:dyDescent="0.2">
      <c r="A170" s="45" t="s">
        <v>433</v>
      </c>
      <c r="B170" s="44">
        <f>SUM(B166:B168)*C64</f>
        <v>8780</v>
      </c>
      <c r="C170" s="24"/>
      <c r="D170" s="24"/>
      <c r="E170" s="24"/>
      <c r="F170" s="24"/>
      <c r="G170" s="24"/>
      <c r="H170" s="24"/>
      <c r="I170" s="24"/>
      <c r="J170" s="24"/>
      <c r="K170" s="24"/>
      <c r="L170" s="24"/>
      <c r="M170" s="24"/>
      <c r="N170" s="24"/>
      <c r="O170" s="24"/>
      <c r="P170" s="24"/>
    </row>
    <row r="171" spans="1:16" x14ac:dyDescent="0.2">
      <c r="A171" s="45" t="s">
        <v>407</v>
      </c>
      <c r="B171" s="44">
        <f>CEILING((B159*C56)+(0.35*15000*C159),100)</f>
        <v>0</v>
      </c>
      <c r="C171" s="24">
        <f>CEILING((MAX(C159-B159,0)*C56)+((0.35*(1+C16))*15000*C159),100)</f>
        <v>0</v>
      </c>
      <c r="D171" s="24">
        <f>CEILING((MAX(D159-C159,0)*C56)+((0.35*(1+D16))*15000*D159),100)</f>
        <v>0</v>
      </c>
      <c r="E171" s="24">
        <f>CEILING((MAX(E159-D159,0)*C56)+((0.35*(1+E16))*15000*E159),100)</f>
        <v>0</v>
      </c>
      <c r="F171" s="24">
        <f>CEILING((MAX(F159-E159,0)*C56)+((0.35*(1+F16))*15000*F159),100)</f>
        <v>0</v>
      </c>
      <c r="G171" s="24">
        <f>CEILING((MAX(G159-F159,0)*C56)+((0.35*(1+G16))*15000*G159),100)</f>
        <v>0</v>
      </c>
      <c r="H171" s="24">
        <f>CEILING((MAX(H159-G159,0)*C56)+((0.35*(1+H16))*15000*H159),100)</f>
        <v>0</v>
      </c>
      <c r="I171" s="24">
        <f>CEILING((MAX(I159-H159,0)*C56)+((0.35*(1+I16))*15000*I159),100)</f>
        <v>0</v>
      </c>
      <c r="J171" s="24">
        <f>CEILING((MAX(J159-I159,0)*C56)+((0.35*(1+J16))*15000*J159),100)</f>
        <v>0</v>
      </c>
      <c r="K171" s="24">
        <f>CEILING((MAX(K159-J159,0)*C56)+((0.35*(1+K16))*15000*K159),100)</f>
        <v>0</v>
      </c>
      <c r="L171" s="24">
        <f>CEILING((MAX(L159-K159,0)*C56)+((0.35*(1+L16))*15000*L159),100)</f>
        <v>0</v>
      </c>
      <c r="M171" s="24">
        <f>CEILING((MAX(M159-L159,0)*C56)+((0.35*(1+M16))*15000*M159),100)</f>
        <v>0</v>
      </c>
      <c r="N171" s="24">
        <f>CEILING((MAX(N159-M159,0)*C56)+((0.35*(1+N16))*15000*N159),100)</f>
        <v>0</v>
      </c>
      <c r="O171" s="24">
        <f>CEILING((MAX(O159-N159,0)*C56)+((0.35*(1+O16))*15000*O159),100)</f>
        <v>0</v>
      </c>
      <c r="P171" s="24">
        <f>CEILING((MAX(P159-O159,0)*C56)+((0.35*(1+P16))*15000*P159),100)</f>
        <v>0</v>
      </c>
    </row>
    <row r="172" spans="1:16" s="45" customFormat="1" x14ac:dyDescent="0.2">
      <c r="A172" s="2" t="s">
        <v>429</v>
      </c>
      <c r="B172" s="114">
        <f>SUM(E138:E149)</f>
        <v>637</v>
      </c>
      <c r="C172" s="156"/>
      <c r="D172" s="156"/>
      <c r="E172" s="156"/>
      <c r="F172" s="156"/>
      <c r="G172" s="156"/>
      <c r="H172" s="156"/>
      <c r="I172" s="156"/>
      <c r="J172" s="156"/>
      <c r="K172" s="156"/>
      <c r="L172" s="156"/>
      <c r="M172" s="156"/>
      <c r="N172" s="157"/>
      <c r="O172" s="157"/>
      <c r="P172" s="157"/>
    </row>
    <row r="173" spans="1:16" s="45" customFormat="1" x14ac:dyDescent="0.2">
      <c r="A173" s="2" t="s">
        <v>205</v>
      </c>
      <c r="B173" s="114">
        <f>SUM(E151:E152)+B157</f>
        <v>71</v>
      </c>
      <c r="C173" s="156"/>
      <c r="D173" s="156"/>
      <c r="E173" s="156"/>
      <c r="F173" s="156"/>
      <c r="G173" s="156"/>
      <c r="H173" s="156"/>
      <c r="I173" s="156"/>
      <c r="J173" s="156"/>
      <c r="K173" s="156"/>
      <c r="L173" s="156"/>
      <c r="M173" s="156"/>
      <c r="N173" s="157"/>
      <c r="O173" s="157"/>
      <c r="P173" s="157"/>
    </row>
    <row r="174" spans="1:16" s="45" customFormat="1" x14ac:dyDescent="0.2">
      <c r="A174" s="5" t="s">
        <v>203</v>
      </c>
      <c r="B174" s="114">
        <f>SUM(B87:B95)*C62</f>
        <v>810.00000000000011</v>
      </c>
      <c r="C174" s="114">
        <f>SUM(C87:C95)*C62</f>
        <v>749.99999999999989</v>
      </c>
      <c r="D174" s="114">
        <f>SUM(D87:D95)*C62</f>
        <v>680</v>
      </c>
      <c r="E174" s="114">
        <f>SUM(E87:E95)*C62</f>
        <v>620</v>
      </c>
      <c r="F174" s="114">
        <f>SUM(F87:F95)*C62</f>
        <v>550</v>
      </c>
      <c r="G174" s="114">
        <f>SUM(G87:G95)*C62</f>
        <v>490.00000000000006</v>
      </c>
      <c r="H174" s="114">
        <f>SUM(H87:H95)*C62</f>
        <v>490.00000000000006</v>
      </c>
      <c r="I174" s="114">
        <f>SUM(I87:I95)*C62</f>
        <v>490.00000000000006</v>
      </c>
      <c r="J174" s="114">
        <f>SUM(J87:J95)*C62</f>
        <v>490.00000000000006</v>
      </c>
      <c r="K174" s="114">
        <f>SUM(K87:K95)*C62</f>
        <v>490.00000000000006</v>
      </c>
      <c r="L174" s="114">
        <f>SUM(L87:L95)*C62</f>
        <v>490.00000000000006</v>
      </c>
      <c r="M174" s="114">
        <f>SUM(M87:M95)*C62</f>
        <v>490.00000000000006</v>
      </c>
      <c r="N174" s="114">
        <f>SUM(N87:N95)*C62</f>
        <v>490.00000000000006</v>
      </c>
      <c r="O174" s="114">
        <f>SUM(O87:O95)*C62</f>
        <v>490.00000000000006</v>
      </c>
      <c r="P174" s="114">
        <f>SUM(P87:P95)*C62</f>
        <v>490.00000000000006</v>
      </c>
    </row>
    <row r="175" spans="1:16" s="45" customFormat="1" x14ac:dyDescent="0.2">
      <c r="A175" s="2" t="s">
        <v>199</v>
      </c>
      <c r="B175" s="95">
        <f>CEILING(SUM(B172:B174)*C61,100)</f>
        <v>0</v>
      </c>
      <c r="C175" s="95">
        <f>CEILING(SUM(C172:C174)*C61,100)</f>
        <v>0</v>
      </c>
      <c r="D175" s="95">
        <f>SUM(D172:D174)*C61</f>
        <v>0</v>
      </c>
      <c r="E175" s="95">
        <f>SUM(E172:E174)*C61</f>
        <v>0</v>
      </c>
      <c r="F175" s="95">
        <f>SUM(F172:F174)*C61</f>
        <v>0</v>
      </c>
      <c r="G175" s="95">
        <f>SUM(G172:G174)*C61</f>
        <v>0</v>
      </c>
      <c r="H175" s="95">
        <f>SUM(H172:H174)*IB61</f>
        <v>0</v>
      </c>
      <c r="I175" s="95">
        <f>SUM(I172:I174)*C61</f>
        <v>0</v>
      </c>
      <c r="J175" s="95">
        <f>SUM(J172:J174)*C61</f>
        <v>0</v>
      </c>
      <c r="K175" s="95">
        <f>SUM(K172:K174)*C61</f>
        <v>0</v>
      </c>
      <c r="L175" s="95">
        <f>SUM(L172:L174)*C61</f>
        <v>0</v>
      </c>
      <c r="M175" s="95">
        <f>SUM(M172:M174)*C61</f>
        <v>0</v>
      </c>
      <c r="N175" s="95">
        <f>SUM(N172:N174)*C61</f>
        <v>0</v>
      </c>
      <c r="O175" s="95">
        <f>SUM(O172:O174)*C61</f>
        <v>0</v>
      </c>
      <c r="P175" s="95">
        <f>SUM(P172:P174)*C61</f>
        <v>0</v>
      </c>
    </row>
    <row r="176" spans="1:16" s="45" customFormat="1" x14ac:dyDescent="0.2">
      <c r="A176" s="4" t="s">
        <v>38</v>
      </c>
      <c r="B176" s="101">
        <f t="shared" ref="B176:P176" si="64">CEILING(SUM(B163:B171)+B175,100)</f>
        <v>1783500</v>
      </c>
      <c r="C176" s="101">
        <f t="shared" si="64"/>
        <v>367800</v>
      </c>
      <c r="D176" s="101">
        <f t="shared" si="64"/>
        <v>349900</v>
      </c>
      <c r="E176" s="101">
        <f t="shared" si="64"/>
        <v>334300</v>
      </c>
      <c r="F176" s="101">
        <f t="shared" si="64"/>
        <v>312900</v>
      </c>
      <c r="G176" s="101">
        <f t="shared" si="64"/>
        <v>293700</v>
      </c>
      <c r="H176" s="101">
        <f t="shared" si="64"/>
        <v>300200</v>
      </c>
      <c r="I176" s="101">
        <f t="shared" si="64"/>
        <v>306900</v>
      </c>
      <c r="J176" s="101">
        <f t="shared" si="64"/>
        <v>314200</v>
      </c>
      <c r="K176" s="101">
        <f t="shared" si="64"/>
        <v>321600</v>
      </c>
      <c r="L176" s="101">
        <f t="shared" si="64"/>
        <v>329200</v>
      </c>
      <c r="M176" s="101">
        <f t="shared" si="64"/>
        <v>337200</v>
      </c>
      <c r="N176" s="101">
        <f t="shared" si="64"/>
        <v>345600</v>
      </c>
      <c r="O176" s="101">
        <f t="shared" si="64"/>
        <v>354200</v>
      </c>
      <c r="P176" s="101">
        <f t="shared" si="64"/>
        <v>363200</v>
      </c>
    </row>
    <row r="177" spans="1:16" s="45" customFormat="1" x14ac:dyDescent="0.2">
      <c r="A177" s="45" t="s">
        <v>246</v>
      </c>
      <c r="B177" s="44">
        <f t="shared" ref="B177:P177" si="65">B131</f>
        <v>0</v>
      </c>
      <c r="C177" s="44">
        <f t="shared" si="65"/>
        <v>0</v>
      </c>
      <c r="D177" s="44">
        <f t="shared" si="65"/>
        <v>0</v>
      </c>
      <c r="E177" s="44">
        <f t="shared" si="65"/>
        <v>0</v>
      </c>
      <c r="F177" s="44">
        <f t="shared" si="65"/>
        <v>0</v>
      </c>
      <c r="G177" s="44">
        <f t="shared" si="65"/>
        <v>0</v>
      </c>
      <c r="H177" s="44">
        <f t="shared" si="65"/>
        <v>0</v>
      </c>
      <c r="I177" s="44">
        <f t="shared" si="65"/>
        <v>0</v>
      </c>
      <c r="J177" s="44">
        <f t="shared" si="65"/>
        <v>0</v>
      </c>
      <c r="K177" s="44">
        <f t="shared" si="65"/>
        <v>0</v>
      </c>
      <c r="L177" s="44">
        <f t="shared" si="65"/>
        <v>0</v>
      </c>
      <c r="M177" s="44">
        <f t="shared" si="65"/>
        <v>0</v>
      </c>
      <c r="N177" s="44">
        <f t="shared" si="65"/>
        <v>0</v>
      </c>
      <c r="O177" s="44">
        <f t="shared" si="65"/>
        <v>0</v>
      </c>
      <c r="P177" s="44">
        <f t="shared" si="65"/>
        <v>0</v>
      </c>
    </row>
    <row r="178" spans="1:16" s="45" customFormat="1" x14ac:dyDescent="0.2">
      <c r="A178" s="4" t="s">
        <v>455</v>
      </c>
      <c r="B178" s="100">
        <f>B126</f>
        <v>438000</v>
      </c>
      <c r="C178" s="100">
        <f t="shared" ref="C178:P178" si="66">C126</f>
        <v>393200</v>
      </c>
      <c r="D178" s="100">
        <f t="shared" si="66"/>
        <v>342700</v>
      </c>
      <c r="E178" s="100">
        <f t="shared" si="66"/>
        <v>286200</v>
      </c>
      <c r="F178" s="100">
        <f t="shared" si="66"/>
        <v>425100</v>
      </c>
      <c r="G178" s="100">
        <f t="shared" si="66"/>
        <v>291800</v>
      </c>
      <c r="H178" s="100">
        <f t="shared" si="66"/>
        <v>306400</v>
      </c>
      <c r="I178" s="100">
        <f t="shared" si="66"/>
        <v>321700</v>
      </c>
      <c r="J178" s="100">
        <f t="shared" si="66"/>
        <v>337800</v>
      </c>
      <c r="K178" s="100">
        <f t="shared" si="66"/>
        <v>354600</v>
      </c>
      <c r="L178" s="100">
        <f t="shared" si="66"/>
        <v>372400</v>
      </c>
      <c r="M178" s="100">
        <f t="shared" si="66"/>
        <v>391000</v>
      </c>
      <c r="N178" s="100">
        <f t="shared" si="66"/>
        <v>410500</v>
      </c>
      <c r="O178" s="100">
        <f t="shared" si="66"/>
        <v>431100</v>
      </c>
      <c r="P178" s="100">
        <f t="shared" si="66"/>
        <v>452600</v>
      </c>
    </row>
    <row r="179" spans="1:16" s="58" customFormat="1" x14ac:dyDescent="0.2">
      <c r="A179" s="58" t="s">
        <v>206</v>
      </c>
      <c r="B179" s="100">
        <f>(B176+B177)-B178</f>
        <v>1345500</v>
      </c>
      <c r="C179" s="100">
        <f t="shared" ref="C179:P179" si="67">(C176+C177)-C178</f>
        <v>-25400</v>
      </c>
      <c r="D179" s="100">
        <f t="shared" si="67"/>
        <v>7200</v>
      </c>
      <c r="E179" s="100">
        <f t="shared" si="67"/>
        <v>48100</v>
      </c>
      <c r="F179" s="100">
        <f t="shared" si="67"/>
        <v>-112200</v>
      </c>
      <c r="G179" s="100">
        <f t="shared" si="67"/>
        <v>1900</v>
      </c>
      <c r="H179" s="100">
        <f t="shared" si="67"/>
        <v>-6200</v>
      </c>
      <c r="I179" s="100">
        <f t="shared" si="67"/>
        <v>-14800</v>
      </c>
      <c r="J179" s="100">
        <f t="shared" si="67"/>
        <v>-23600</v>
      </c>
      <c r="K179" s="100">
        <f t="shared" si="67"/>
        <v>-33000</v>
      </c>
      <c r="L179" s="100">
        <f t="shared" si="67"/>
        <v>-43200</v>
      </c>
      <c r="M179" s="100">
        <f t="shared" si="67"/>
        <v>-53800</v>
      </c>
      <c r="N179" s="100">
        <f t="shared" si="67"/>
        <v>-64900</v>
      </c>
      <c r="O179" s="100">
        <f t="shared" si="67"/>
        <v>-76900</v>
      </c>
      <c r="P179" s="100">
        <f t="shared" si="67"/>
        <v>-89400</v>
      </c>
    </row>
    <row r="180" spans="1:16" x14ac:dyDescent="0.2">
      <c r="B180" s="24"/>
      <c r="C180" s="24"/>
      <c r="D180" s="24"/>
      <c r="E180" s="24"/>
      <c r="F180" s="24"/>
      <c r="G180" s="24"/>
      <c r="H180" s="24"/>
      <c r="I180" s="24"/>
      <c r="J180" s="24"/>
      <c r="K180" s="24"/>
      <c r="L180" s="24"/>
      <c r="M180" s="24"/>
      <c r="N180" s="24"/>
      <c r="O180" s="24"/>
      <c r="P180" s="24"/>
    </row>
    <row r="181" spans="1:16" s="28" customFormat="1" x14ac:dyDescent="0.2">
      <c r="A181" s="26"/>
    </row>
    <row r="182" spans="1:16" x14ac:dyDescent="0.2">
      <c r="A182" s="3" t="s">
        <v>214</v>
      </c>
      <c r="B182" s="263" t="s">
        <v>3</v>
      </c>
      <c r="C182" s="263" t="s">
        <v>3</v>
      </c>
      <c r="D182" s="263" t="s">
        <v>3</v>
      </c>
      <c r="E182" s="263" t="s">
        <v>3</v>
      </c>
      <c r="F182" s="263" t="s">
        <v>3</v>
      </c>
      <c r="G182" s="263" t="s">
        <v>3</v>
      </c>
      <c r="H182" s="263" t="s">
        <v>3</v>
      </c>
      <c r="I182" s="263" t="s">
        <v>3</v>
      </c>
      <c r="J182" s="263" t="s">
        <v>3</v>
      </c>
      <c r="K182" s="263" t="s">
        <v>3</v>
      </c>
      <c r="L182" s="263" t="s">
        <v>3</v>
      </c>
      <c r="M182" s="263" t="s">
        <v>3</v>
      </c>
      <c r="N182" s="263" t="s">
        <v>3</v>
      </c>
      <c r="O182" s="263" t="s">
        <v>3</v>
      </c>
      <c r="P182" s="263" t="s">
        <v>3</v>
      </c>
    </row>
    <row r="183" spans="1:16" x14ac:dyDescent="0.2">
      <c r="B183" s="82">
        <v>1</v>
      </c>
      <c r="C183" s="82">
        <v>2</v>
      </c>
      <c r="D183" s="82">
        <v>3</v>
      </c>
      <c r="E183" s="82">
        <v>4</v>
      </c>
      <c r="F183" s="82">
        <v>5</v>
      </c>
      <c r="G183" s="82">
        <v>6</v>
      </c>
      <c r="H183" s="62">
        <v>7</v>
      </c>
      <c r="I183" s="62">
        <v>8</v>
      </c>
      <c r="J183" s="62">
        <v>9</v>
      </c>
      <c r="K183" s="62">
        <v>10</v>
      </c>
      <c r="L183" s="62">
        <v>11</v>
      </c>
      <c r="M183" s="63">
        <v>12</v>
      </c>
      <c r="N183" s="63">
        <v>13</v>
      </c>
      <c r="O183" s="63">
        <v>14</v>
      </c>
      <c r="P183" s="63">
        <v>15</v>
      </c>
    </row>
    <row r="184" spans="1:16" x14ac:dyDescent="0.2">
      <c r="A184" s="35" t="s">
        <v>413</v>
      </c>
      <c r="B184" s="24">
        <f>B108</f>
        <v>244800</v>
      </c>
      <c r="C184" s="24">
        <f t="shared" ref="C184:P184" si="68">C108</f>
        <v>232700</v>
      </c>
      <c r="D184" s="24">
        <f t="shared" si="68"/>
        <v>215000</v>
      </c>
      <c r="E184" s="24">
        <f t="shared" si="68"/>
        <v>199200</v>
      </c>
      <c r="F184" s="24">
        <f t="shared" si="68"/>
        <v>178200</v>
      </c>
      <c r="G184" s="24">
        <f t="shared" si="68"/>
        <v>158900</v>
      </c>
      <c r="H184" s="24">
        <f t="shared" si="68"/>
        <v>165600</v>
      </c>
      <c r="I184" s="24">
        <f t="shared" si="68"/>
        <v>172400</v>
      </c>
      <c r="J184" s="24">
        <f t="shared" si="68"/>
        <v>179500</v>
      </c>
      <c r="K184" s="24">
        <f t="shared" si="68"/>
        <v>186900</v>
      </c>
      <c r="L184" s="24">
        <f t="shared" si="68"/>
        <v>194400</v>
      </c>
      <c r="M184" s="24">
        <f t="shared" si="68"/>
        <v>202400</v>
      </c>
      <c r="N184" s="24">
        <f t="shared" si="68"/>
        <v>210800</v>
      </c>
      <c r="O184" s="24">
        <f t="shared" si="68"/>
        <v>219300</v>
      </c>
      <c r="P184" s="24">
        <f t="shared" si="68"/>
        <v>228300</v>
      </c>
    </row>
    <row r="185" spans="1:16" x14ac:dyDescent="0.2">
      <c r="A185" s="35" t="s">
        <v>10</v>
      </c>
      <c r="B185" s="24">
        <f>B116</f>
        <v>5600</v>
      </c>
      <c r="C185" s="24">
        <f t="shared" ref="C185:P185" si="69">C116</f>
        <v>1600</v>
      </c>
      <c r="D185" s="24">
        <f t="shared" si="69"/>
        <v>1500</v>
      </c>
      <c r="E185" s="24">
        <f t="shared" si="69"/>
        <v>1400</v>
      </c>
      <c r="F185" s="24">
        <f t="shared" si="69"/>
        <v>1300</v>
      </c>
      <c r="G185" s="24">
        <f t="shared" si="69"/>
        <v>1200</v>
      </c>
      <c r="H185" s="24">
        <f t="shared" si="69"/>
        <v>1100</v>
      </c>
      <c r="I185" s="24">
        <f t="shared" si="69"/>
        <v>1100</v>
      </c>
      <c r="J185" s="24">
        <f t="shared" si="69"/>
        <v>1200</v>
      </c>
      <c r="K185" s="24">
        <f t="shared" si="69"/>
        <v>1200</v>
      </c>
      <c r="L185" s="24">
        <f t="shared" si="69"/>
        <v>1300</v>
      </c>
      <c r="M185" s="24">
        <f t="shared" si="69"/>
        <v>1300</v>
      </c>
      <c r="N185" s="24">
        <f t="shared" si="69"/>
        <v>1400</v>
      </c>
      <c r="O185" s="24">
        <f t="shared" si="69"/>
        <v>1400</v>
      </c>
      <c r="P185" s="24">
        <f t="shared" si="69"/>
        <v>1500</v>
      </c>
    </row>
    <row r="186" spans="1:16" x14ac:dyDescent="0.2">
      <c r="A186" s="45" t="s">
        <v>428</v>
      </c>
      <c r="B186" s="44">
        <f>CEILING(SUMPRODUCT(C138:C142*C41:C45),100)</f>
        <v>750000</v>
      </c>
    </row>
    <row r="187" spans="1:16" x14ac:dyDescent="0.2">
      <c r="A187" s="45" t="s">
        <v>374</v>
      </c>
      <c r="B187" s="44">
        <f>CEILING(SUMPRODUCT(C144:C149,C47:C52),100)</f>
        <v>96600</v>
      </c>
    </row>
    <row r="188" spans="1:16" x14ac:dyDescent="0.2">
      <c r="A188" s="45" t="s">
        <v>313</v>
      </c>
      <c r="B188" s="24">
        <f>(C151*C58)+(C152*C59)</f>
        <v>75000</v>
      </c>
    </row>
    <row r="189" spans="1:16" x14ac:dyDescent="0.2">
      <c r="A189" s="45" t="s">
        <v>224</v>
      </c>
      <c r="B189" s="24">
        <f>CEILING((B156*C54)+(B158*C55)+(B159*C56),100)</f>
        <v>40000</v>
      </c>
    </row>
    <row r="190" spans="1:16" x14ac:dyDescent="0.2">
      <c r="A190" s="45" t="s">
        <v>432</v>
      </c>
      <c r="B190" s="24">
        <f>CEILING((B186*C63),100)</f>
        <v>82500</v>
      </c>
      <c r="C190" s="24">
        <f>B190</f>
        <v>82500</v>
      </c>
      <c r="D190" s="24">
        <f t="shared" ref="D190:P190" si="70">C190</f>
        <v>82500</v>
      </c>
      <c r="E190" s="24">
        <f t="shared" si="70"/>
        <v>82500</v>
      </c>
      <c r="F190" s="24">
        <f t="shared" si="70"/>
        <v>82500</v>
      </c>
      <c r="G190" s="24">
        <f t="shared" si="70"/>
        <v>82500</v>
      </c>
      <c r="H190" s="24">
        <f t="shared" si="70"/>
        <v>82500</v>
      </c>
      <c r="I190" s="24">
        <f t="shared" si="70"/>
        <v>82500</v>
      </c>
      <c r="J190" s="24">
        <f t="shared" si="70"/>
        <v>82500</v>
      </c>
      <c r="K190" s="24">
        <f t="shared" si="70"/>
        <v>82500</v>
      </c>
      <c r="L190" s="24">
        <f t="shared" si="70"/>
        <v>82500</v>
      </c>
      <c r="M190" s="24">
        <f t="shared" si="70"/>
        <v>82500</v>
      </c>
      <c r="N190" s="24">
        <f t="shared" si="70"/>
        <v>82500</v>
      </c>
      <c r="O190" s="24">
        <f t="shared" si="70"/>
        <v>82500</v>
      </c>
      <c r="P190" s="24">
        <f t="shared" si="70"/>
        <v>82500</v>
      </c>
    </row>
    <row r="191" spans="1:16" x14ac:dyDescent="0.2">
      <c r="A191" s="45" t="s">
        <v>433</v>
      </c>
      <c r="B191" s="24">
        <f>SUM(B187:B189)*C64</f>
        <v>10580</v>
      </c>
      <c r="C191" s="24"/>
      <c r="D191" s="24"/>
      <c r="E191" s="24"/>
      <c r="F191" s="24"/>
      <c r="G191" s="24"/>
      <c r="H191" s="24"/>
      <c r="I191" s="24"/>
      <c r="J191" s="24"/>
      <c r="K191" s="24"/>
      <c r="L191" s="24"/>
      <c r="M191" s="24"/>
      <c r="N191" s="24"/>
      <c r="O191" s="24"/>
      <c r="P191" s="24"/>
    </row>
    <row r="192" spans="1:16" x14ac:dyDescent="0.2">
      <c r="A192" s="45" t="s">
        <v>407</v>
      </c>
      <c r="B192" s="24">
        <f>CEILING((B159*C56)+(0.35*15000*C159),100)</f>
        <v>0</v>
      </c>
      <c r="C192" s="24">
        <f>CEILING((MAX(C159-B159,0)*C56)+((0.35*(1+C16))*15000*C159),100)</f>
        <v>0</v>
      </c>
      <c r="D192" s="24">
        <f>CEILING((MAX(D159-C159,0)*C56)+((0.35*(1+D16))*15000*D159),100)</f>
        <v>0</v>
      </c>
      <c r="E192" s="24">
        <f>CEILING((MAX(E159-D159,0)*C56)+((0.35*(1+E16))*15000*E159),100)</f>
        <v>0</v>
      </c>
      <c r="F192" s="24">
        <f>CEILING((MAX(F159-E159,0)*C56)+((0.35*(1+F16))*15000*F159),100)</f>
        <v>0</v>
      </c>
      <c r="G192" s="24">
        <f>CEILING((MAX(G159-F159,0)*C56)+((0.35*(1+G16))*15000*G159),100)</f>
        <v>0</v>
      </c>
      <c r="H192" s="24">
        <f>CEILING((MAX(H159-G159,0)*C56)+((0.35*(1+H16))*15000*H159),100)</f>
        <v>0</v>
      </c>
      <c r="I192" s="24">
        <f>CEILING((MAX(I159-H159,0)*C56)+((0.35*(1+I16))*15000*I159),100)</f>
        <v>0</v>
      </c>
      <c r="J192" s="24">
        <f>CEILING((MAX(J159-I159,0)*C56)+((0.35*(1+J16))*15000*J159),100)</f>
        <v>0</v>
      </c>
      <c r="K192" s="24">
        <f>CEILING((MAX(K159-J159,0)*C56)+((0.35*(1+K16))*15000*K159),100)</f>
        <v>0</v>
      </c>
      <c r="L192" s="24">
        <f>CEILING((MAX(L159-K159,0)*C56)+((0.35*(1+L16))*15000*L159),100)</f>
        <v>0</v>
      </c>
      <c r="M192" s="24">
        <f>CEILING((MAX(M159-L159,0)*C56)+((0.35*(1+M16))*15000*M159),100)</f>
        <v>0</v>
      </c>
      <c r="N192" s="24">
        <f>CEILING((MAX(N159-M159,0)*C56)+((0.35*(1+N16))*15000*N159),100)</f>
        <v>0</v>
      </c>
      <c r="O192" s="24">
        <f>CEILING((MAX(O159-N159,0)*C56)+((0.35*(1+O16))*15000*O159),100)</f>
        <v>0</v>
      </c>
      <c r="P192" s="24">
        <f>CEILING((MAX(P159-O159,0)*C56)+((0.35*(1+P16))*15000*P159),100)</f>
        <v>0</v>
      </c>
    </row>
    <row r="193" spans="1:16" x14ac:dyDescent="0.2">
      <c r="A193" s="2" t="s">
        <v>429</v>
      </c>
      <c r="B193" s="65">
        <f>SUM(F138:F149)</f>
        <v>572</v>
      </c>
    </row>
    <row r="194" spans="1:16" x14ac:dyDescent="0.2">
      <c r="A194" s="2" t="s">
        <v>205</v>
      </c>
      <c r="B194" s="65">
        <f>SUM(F151:F152)+B157</f>
        <v>71</v>
      </c>
    </row>
    <row r="195" spans="1:16" s="60" customFormat="1" x14ac:dyDescent="0.2">
      <c r="A195" s="5" t="s">
        <v>203</v>
      </c>
      <c r="B195" s="65">
        <f>SUM(B87:B95)*C62</f>
        <v>810.00000000000011</v>
      </c>
      <c r="C195" s="65">
        <f>SUM(C87:C95)*C62</f>
        <v>749.99999999999989</v>
      </c>
      <c r="D195" s="65">
        <f>SUM(D87:D95)*C62</f>
        <v>680</v>
      </c>
      <c r="E195" s="65">
        <f>SUM(E87:E95)*C62</f>
        <v>620</v>
      </c>
      <c r="F195" s="65">
        <f>SUM(F87:F95)*C62</f>
        <v>550</v>
      </c>
      <c r="G195" s="65">
        <f>SUM(G87:G95)*C62</f>
        <v>490.00000000000006</v>
      </c>
      <c r="H195" s="65">
        <f>SUM(H87:H95)*C62</f>
        <v>490.00000000000006</v>
      </c>
      <c r="I195" s="65">
        <f>SUM(I87:I95)*C62</f>
        <v>490.00000000000006</v>
      </c>
      <c r="J195" s="65">
        <f>SUM(J87:J95)*C62</f>
        <v>490.00000000000006</v>
      </c>
      <c r="K195" s="65">
        <f>SUM(K87:K95)*C62</f>
        <v>490.00000000000006</v>
      </c>
      <c r="L195" s="65">
        <f>SUM(L87:L95)*C62</f>
        <v>490.00000000000006</v>
      </c>
      <c r="M195" s="65">
        <f>SUM(M87:M95)*C62</f>
        <v>490.00000000000006</v>
      </c>
      <c r="N195" s="65">
        <f>SUM(N87:N95)*C62</f>
        <v>490.00000000000006</v>
      </c>
      <c r="O195" s="65">
        <f>SUM(O87:O95)*C62</f>
        <v>490.00000000000006</v>
      </c>
      <c r="P195" s="65">
        <f>SUM(P87:P95)*C62</f>
        <v>490.00000000000006</v>
      </c>
    </row>
    <row r="196" spans="1:16" s="60" customFormat="1" x14ac:dyDescent="0.2">
      <c r="A196" s="2" t="s">
        <v>199</v>
      </c>
      <c r="B196" s="95">
        <f>CEILING(SUM(B193:B195)*C61,100)</f>
        <v>0</v>
      </c>
      <c r="C196" s="95">
        <f>CEILING(SUM(C193:C195)*C61,100)</f>
        <v>0</v>
      </c>
      <c r="D196" s="95">
        <f>CEILING(SUM(D193:D195)*C61,100)</f>
        <v>0</v>
      </c>
      <c r="E196" s="95">
        <f>CEILING(SUM(E193:E195)*C61,100)</f>
        <v>0</v>
      </c>
      <c r="F196" s="95">
        <f>CEILING(SUM(F193:F195)*C61,100)</f>
        <v>0</v>
      </c>
      <c r="G196" s="95">
        <f>CEILING(SUM(G193:G195)*C61,100)</f>
        <v>0</v>
      </c>
      <c r="H196" s="95">
        <f>CEILING(SUM(H193:H195)*C61,100)</f>
        <v>0</v>
      </c>
      <c r="I196" s="95">
        <f>CEILING(SUM(I193:I195)*C61,100)</f>
        <v>0</v>
      </c>
      <c r="J196" s="95">
        <f>CEILING(SUM(J193:J195)*C61,100)</f>
        <v>0</v>
      </c>
      <c r="K196" s="95">
        <f>CEILING(SUM(K193:K195)*C61,100)</f>
        <v>0</v>
      </c>
      <c r="L196" s="95">
        <f>CEILING(SUM(L193:L195)*C61,100)</f>
        <v>0</v>
      </c>
      <c r="M196" s="95">
        <f>CEILING(SUM(M193:M195)*C61,100)</f>
        <v>0</v>
      </c>
      <c r="N196" s="95">
        <f>CEILING(SUM(N193:N195)*C61,100)</f>
        <v>0</v>
      </c>
      <c r="O196" s="95">
        <f>CEILING(SUM(O193:O195)*C61,100)</f>
        <v>0</v>
      </c>
      <c r="P196" s="95">
        <f>CEILING(SUM(P193:P195)*C61,100)</f>
        <v>0</v>
      </c>
    </row>
    <row r="197" spans="1:16" s="60" customFormat="1" x14ac:dyDescent="0.2">
      <c r="A197" s="4" t="s">
        <v>38</v>
      </c>
      <c r="B197" s="101">
        <f t="shared" ref="B197:P197" si="71">CEILING(SUM(B184:B192)+B196,100)</f>
        <v>1305100</v>
      </c>
      <c r="C197" s="101">
        <f t="shared" si="71"/>
        <v>316800</v>
      </c>
      <c r="D197" s="101">
        <f t="shared" si="71"/>
        <v>299000</v>
      </c>
      <c r="E197" s="101">
        <f t="shared" si="71"/>
        <v>283100</v>
      </c>
      <c r="F197" s="101">
        <f t="shared" si="71"/>
        <v>262000</v>
      </c>
      <c r="G197" s="101">
        <f t="shared" si="71"/>
        <v>242600</v>
      </c>
      <c r="H197" s="101">
        <f t="shared" si="71"/>
        <v>249200</v>
      </c>
      <c r="I197" s="101">
        <f t="shared" si="71"/>
        <v>256000</v>
      </c>
      <c r="J197" s="101">
        <f t="shared" si="71"/>
        <v>263200</v>
      </c>
      <c r="K197" s="101">
        <f t="shared" si="71"/>
        <v>270600</v>
      </c>
      <c r="L197" s="101">
        <f t="shared" si="71"/>
        <v>278200</v>
      </c>
      <c r="M197" s="101">
        <f t="shared" si="71"/>
        <v>286200</v>
      </c>
      <c r="N197" s="101">
        <f t="shared" si="71"/>
        <v>294700</v>
      </c>
      <c r="O197" s="101">
        <f t="shared" si="71"/>
        <v>303200</v>
      </c>
      <c r="P197" s="101">
        <f t="shared" si="71"/>
        <v>312300</v>
      </c>
    </row>
    <row r="198" spans="1:16" x14ac:dyDescent="0.2">
      <c r="A198" s="45" t="s">
        <v>246</v>
      </c>
      <c r="B198" s="24">
        <f t="shared" ref="B198:P198" si="72">B131</f>
        <v>0</v>
      </c>
      <c r="C198" s="24">
        <f t="shared" si="72"/>
        <v>0</v>
      </c>
      <c r="D198" s="24">
        <f t="shared" si="72"/>
        <v>0</v>
      </c>
      <c r="E198" s="24">
        <f t="shared" si="72"/>
        <v>0</v>
      </c>
      <c r="F198" s="24">
        <f t="shared" si="72"/>
        <v>0</v>
      </c>
      <c r="G198" s="24">
        <f t="shared" si="72"/>
        <v>0</v>
      </c>
      <c r="H198" s="24">
        <f t="shared" si="72"/>
        <v>0</v>
      </c>
      <c r="I198" s="24">
        <f t="shared" si="72"/>
        <v>0</v>
      </c>
      <c r="J198" s="24">
        <f t="shared" si="72"/>
        <v>0</v>
      </c>
      <c r="K198" s="24">
        <f t="shared" si="72"/>
        <v>0</v>
      </c>
      <c r="L198" s="24">
        <f t="shared" si="72"/>
        <v>0</v>
      </c>
      <c r="M198" s="24">
        <f t="shared" si="72"/>
        <v>0</v>
      </c>
      <c r="N198" s="24">
        <f t="shared" si="72"/>
        <v>0</v>
      </c>
      <c r="O198" s="24">
        <f t="shared" si="72"/>
        <v>0</v>
      </c>
      <c r="P198" s="24">
        <f t="shared" si="72"/>
        <v>0</v>
      </c>
    </row>
    <row r="199" spans="1:16" s="60" customFormat="1" x14ac:dyDescent="0.2">
      <c r="A199" s="4" t="s">
        <v>455</v>
      </c>
      <c r="B199" s="103">
        <f>B126</f>
        <v>438000</v>
      </c>
      <c r="C199" s="103">
        <f t="shared" ref="C199:P199" si="73">C126</f>
        <v>393200</v>
      </c>
      <c r="D199" s="103">
        <f t="shared" si="73"/>
        <v>342700</v>
      </c>
      <c r="E199" s="103">
        <f t="shared" si="73"/>
        <v>286200</v>
      </c>
      <c r="F199" s="103">
        <f t="shared" si="73"/>
        <v>425100</v>
      </c>
      <c r="G199" s="103">
        <f t="shared" si="73"/>
        <v>291800</v>
      </c>
      <c r="H199" s="103">
        <f t="shared" si="73"/>
        <v>306400</v>
      </c>
      <c r="I199" s="103">
        <f t="shared" si="73"/>
        <v>321700</v>
      </c>
      <c r="J199" s="103">
        <f t="shared" si="73"/>
        <v>337800</v>
      </c>
      <c r="K199" s="103">
        <f t="shared" si="73"/>
        <v>354600</v>
      </c>
      <c r="L199" s="103">
        <f t="shared" si="73"/>
        <v>372400</v>
      </c>
      <c r="M199" s="103">
        <f t="shared" si="73"/>
        <v>391000</v>
      </c>
      <c r="N199" s="103">
        <f t="shared" si="73"/>
        <v>410500</v>
      </c>
      <c r="O199" s="103">
        <f t="shared" si="73"/>
        <v>431100</v>
      </c>
      <c r="P199" s="103">
        <f t="shared" si="73"/>
        <v>452600</v>
      </c>
    </row>
    <row r="200" spans="1:16" s="60" customFormat="1" x14ac:dyDescent="0.2">
      <c r="A200" s="58" t="s">
        <v>206</v>
      </c>
      <c r="B200" s="100">
        <f>(B197+B198)-B199</f>
        <v>867100</v>
      </c>
      <c r="C200" s="100">
        <f t="shared" ref="C200:P200" si="74">(C197+C198)-C199</f>
        <v>-76400</v>
      </c>
      <c r="D200" s="100">
        <f t="shared" si="74"/>
        <v>-43700</v>
      </c>
      <c r="E200" s="100">
        <f t="shared" si="74"/>
        <v>-3100</v>
      </c>
      <c r="F200" s="100">
        <f t="shared" si="74"/>
        <v>-163100</v>
      </c>
      <c r="G200" s="100">
        <f t="shared" si="74"/>
        <v>-49200</v>
      </c>
      <c r="H200" s="100">
        <f t="shared" si="74"/>
        <v>-57200</v>
      </c>
      <c r="I200" s="100">
        <f t="shared" si="74"/>
        <v>-65700</v>
      </c>
      <c r="J200" s="100">
        <f t="shared" si="74"/>
        <v>-74600</v>
      </c>
      <c r="K200" s="100">
        <f t="shared" si="74"/>
        <v>-84000</v>
      </c>
      <c r="L200" s="100">
        <f t="shared" si="74"/>
        <v>-94200</v>
      </c>
      <c r="M200" s="100">
        <f t="shared" si="74"/>
        <v>-104800</v>
      </c>
      <c r="N200" s="100">
        <f t="shared" si="74"/>
        <v>-115800</v>
      </c>
      <c r="O200" s="100">
        <f t="shared" si="74"/>
        <v>-127900</v>
      </c>
      <c r="P200" s="100">
        <f t="shared" si="74"/>
        <v>-140300</v>
      </c>
    </row>
    <row r="201" spans="1:16" s="60" customFormat="1" x14ac:dyDescent="0.2">
      <c r="A201" s="2"/>
      <c r="B201" s="24"/>
      <c r="C201" s="24"/>
      <c r="D201" s="24"/>
      <c r="E201" s="24"/>
      <c r="F201" s="24"/>
      <c r="G201" s="24"/>
      <c r="H201" s="24"/>
      <c r="I201" s="24"/>
      <c r="J201" s="24"/>
      <c r="K201" s="24"/>
      <c r="L201" s="24"/>
      <c r="M201" s="24"/>
      <c r="N201" s="24"/>
      <c r="O201" s="24"/>
      <c r="P201" s="24"/>
    </row>
    <row r="202" spans="1:16" s="28" customFormat="1" x14ac:dyDescent="0.2">
      <c r="A202" s="26"/>
    </row>
    <row r="203" spans="1:16" x14ac:dyDescent="0.2">
      <c r="A203" s="3" t="s">
        <v>215</v>
      </c>
      <c r="B203" s="263" t="s">
        <v>3</v>
      </c>
      <c r="C203" s="263" t="s">
        <v>3</v>
      </c>
      <c r="D203" s="263" t="s">
        <v>3</v>
      </c>
      <c r="E203" s="263" t="s">
        <v>3</v>
      </c>
      <c r="F203" s="263" t="s">
        <v>3</v>
      </c>
      <c r="G203" s="263" t="s">
        <v>3</v>
      </c>
      <c r="H203" s="263" t="s">
        <v>3</v>
      </c>
      <c r="I203" s="263" t="s">
        <v>3</v>
      </c>
      <c r="J203" s="263" t="s">
        <v>3</v>
      </c>
      <c r="K203" s="263" t="s">
        <v>3</v>
      </c>
      <c r="L203" s="263" t="s">
        <v>3</v>
      </c>
      <c r="M203" s="263" t="s">
        <v>3</v>
      </c>
      <c r="N203" s="263" t="s">
        <v>3</v>
      </c>
      <c r="O203" s="263" t="s">
        <v>3</v>
      </c>
      <c r="P203" s="263" t="s">
        <v>3</v>
      </c>
    </row>
    <row r="204" spans="1:16" x14ac:dyDescent="0.2">
      <c r="B204" s="82">
        <v>1</v>
      </c>
      <c r="C204" s="82">
        <v>2</v>
      </c>
      <c r="D204" s="82">
        <v>3</v>
      </c>
      <c r="E204" s="82">
        <v>4</v>
      </c>
      <c r="F204" s="82">
        <v>5</v>
      </c>
      <c r="G204" s="82">
        <v>6</v>
      </c>
      <c r="H204" s="62">
        <v>7</v>
      </c>
      <c r="I204" s="62">
        <v>8</v>
      </c>
      <c r="J204" s="62">
        <v>9</v>
      </c>
      <c r="K204" s="62">
        <v>10</v>
      </c>
      <c r="L204" s="62">
        <v>11</v>
      </c>
      <c r="M204" s="63">
        <v>12</v>
      </c>
      <c r="N204" s="63">
        <v>13</v>
      </c>
      <c r="O204" s="63">
        <v>14</v>
      </c>
      <c r="P204" s="63">
        <v>15</v>
      </c>
    </row>
    <row r="205" spans="1:16" x14ac:dyDescent="0.2">
      <c r="A205" s="35" t="s">
        <v>413</v>
      </c>
      <c r="B205" s="24">
        <f>B108</f>
        <v>244800</v>
      </c>
      <c r="C205" s="24">
        <f t="shared" ref="C205:P205" si="75">C108</f>
        <v>232700</v>
      </c>
      <c r="D205" s="24">
        <f t="shared" si="75"/>
        <v>215000</v>
      </c>
      <c r="E205" s="24">
        <f t="shared" si="75"/>
        <v>199200</v>
      </c>
      <c r="F205" s="24">
        <f t="shared" si="75"/>
        <v>178200</v>
      </c>
      <c r="G205" s="24">
        <f t="shared" si="75"/>
        <v>158900</v>
      </c>
      <c r="H205" s="24">
        <f t="shared" si="75"/>
        <v>165600</v>
      </c>
      <c r="I205" s="24">
        <f t="shared" si="75"/>
        <v>172400</v>
      </c>
      <c r="J205" s="24">
        <f t="shared" si="75"/>
        <v>179500</v>
      </c>
      <c r="K205" s="24">
        <f t="shared" si="75"/>
        <v>186900</v>
      </c>
      <c r="L205" s="24">
        <f t="shared" si="75"/>
        <v>194400</v>
      </c>
      <c r="M205" s="24">
        <f t="shared" si="75"/>
        <v>202400</v>
      </c>
      <c r="N205" s="24">
        <f t="shared" si="75"/>
        <v>210800</v>
      </c>
      <c r="O205" s="24">
        <f t="shared" si="75"/>
        <v>219300</v>
      </c>
      <c r="P205" s="24">
        <f t="shared" si="75"/>
        <v>228300</v>
      </c>
    </row>
    <row r="206" spans="1:16" x14ac:dyDescent="0.2">
      <c r="A206" s="35" t="s">
        <v>10</v>
      </c>
      <c r="B206" s="24">
        <f>B116</f>
        <v>5600</v>
      </c>
      <c r="C206" s="24">
        <f t="shared" ref="C206:P206" si="76">C116</f>
        <v>1600</v>
      </c>
      <c r="D206" s="24">
        <f t="shared" si="76"/>
        <v>1500</v>
      </c>
      <c r="E206" s="24">
        <f t="shared" si="76"/>
        <v>1400</v>
      </c>
      <c r="F206" s="24">
        <f t="shared" si="76"/>
        <v>1300</v>
      </c>
      <c r="G206" s="24">
        <f t="shared" si="76"/>
        <v>1200</v>
      </c>
      <c r="H206" s="24">
        <f t="shared" si="76"/>
        <v>1100</v>
      </c>
      <c r="I206" s="24">
        <f t="shared" si="76"/>
        <v>1100</v>
      </c>
      <c r="J206" s="24">
        <f t="shared" si="76"/>
        <v>1200</v>
      </c>
      <c r="K206" s="24">
        <f t="shared" si="76"/>
        <v>1200</v>
      </c>
      <c r="L206" s="24">
        <f t="shared" si="76"/>
        <v>1300</v>
      </c>
      <c r="M206" s="24">
        <f t="shared" si="76"/>
        <v>1300</v>
      </c>
      <c r="N206" s="24">
        <f t="shared" si="76"/>
        <v>1400</v>
      </c>
      <c r="O206" s="24">
        <f t="shared" si="76"/>
        <v>1400</v>
      </c>
      <c r="P206" s="24">
        <f t="shared" si="76"/>
        <v>1500</v>
      </c>
    </row>
    <row r="207" spans="1:16" x14ac:dyDescent="0.2">
      <c r="A207" s="45" t="s">
        <v>428</v>
      </c>
      <c r="B207" s="44">
        <f>CEILING(SUMPRODUCT(D138:D142*C41:C45),100)</f>
        <v>1215000</v>
      </c>
    </row>
    <row r="208" spans="1:16" x14ac:dyDescent="0.2">
      <c r="A208" s="45" t="s">
        <v>374</v>
      </c>
      <c r="B208" s="44">
        <f>CEILING(SUMPRODUCT(D144:D149,C47:C52),100)</f>
        <v>60600</v>
      </c>
    </row>
    <row r="209" spans="1:16" x14ac:dyDescent="0.2">
      <c r="A209" s="45" t="s">
        <v>312</v>
      </c>
      <c r="B209" s="24">
        <f>CEILING((D151*C58)+(D152*C59),100)</f>
        <v>75000</v>
      </c>
    </row>
    <row r="210" spans="1:16" x14ac:dyDescent="0.2">
      <c r="A210" s="45" t="s">
        <v>224</v>
      </c>
      <c r="B210" s="24">
        <f>CEILING((B156*C54)+(B158*C55)+(B159*C56),100)</f>
        <v>40000</v>
      </c>
    </row>
    <row r="211" spans="1:16" x14ac:dyDescent="0.2">
      <c r="A211" s="45" t="s">
        <v>432</v>
      </c>
      <c r="B211" s="24">
        <f>CEILING((B207*C63),100)</f>
        <v>133700</v>
      </c>
      <c r="C211" s="24">
        <f>B211</f>
        <v>133700</v>
      </c>
      <c r="D211" s="24">
        <f t="shared" ref="D211:P211" si="77">C211</f>
        <v>133700</v>
      </c>
      <c r="E211" s="24">
        <f t="shared" si="77"/>
        <v>133700</v>
      </c>
      <c r="F211" s="24">
        <f t="shared" si="77"/>
        <v>133700</v>
      </c>
      <c r="G211" s="24">
        <f t="shared" si="77"/>
        <v>133700</v>
      </c>
      <c r="H211" s="24">
        <f t="shared" si="77"/>
        <v>133700</v>
      </c>
      <c r="I211" s="24">
        <f t="shared" si="77"/>
        <v>133700</v>
      </c>
      <c r="J211" s="24">
        <f t="shared" si="77"/>
        <v>133700</v>
      </c>
      <c r="K211" s="24">
        <f t="shared" si="77"/>
        <v>133700</v>
      </c>
      <c r="L211" s="24">
        <f t="shared" si="77"/>
        <v>133700</v>
      </c>
      <c r="M211" s="24">
        <f t="shared" si="77"/>
        <v>133700</v>
      </c>
      <c r="N211" s="24">
        <f t="shared" si="77"/>
        <v>133700</v>
      </c>
      <c r="O211" s="24">
        <f t="shared" si="77"/>
        <v>133700</v>
      </c>
      <c r="P211" s="24">
        <f t="shared" si="77"/>
        <v>133700</v>
      </c>
    </row>
    <row r="212" spans="1:16" x14ac:dyDescent="0.2">
      <c r="A212" s="45" t="s">
        <v>433</v>
      </c>
      <c r="B212" s="24">
        <f>SUM(B208:B210)*C64</f>
        <v>8780</v>
      </c>
      <c r="C212" s="24"/>
      <c r="D212" s="24"/>
      <c r="E212" s="24"/>
      <c r="F212" s="24"/>
      <c r="G212" s="24"/>
      <c r="H212" s="24"/>
      <c r="I212" s="24"/>
      <c r="J212" s="24"/>
      <c r="K212" s="24"/>
      <c r="L212" s="24"/>
      <c r="M212" s="24"/>
      <c r="N212" s="24"/>
      <c r="O212" s="24"/>
      <c r="P212" s="24"/>
    </row>
    <row r="213" spans="1:16" x14ac:dyDescent="0.2">
      <c r="A213" s="45" t="s">
        <v>407</v>
      </c>
      <c r="B213" s="24">
        <f>CEILING((B159*C56)+(0.35*15000*C159),100)</f>
        <v>0</v>
      </c>
      <c r="C213" s="24">
        <f>CEILING((MAX(C159-B159,0)*C56)+((0.35*(1+C16))*15000*C159),100)</f>
        <v>0</v>
      </c>
      <c r="D213" s="24">
        <f>CEILING((MAX(D159-C159,0)*C56)+((0.35*(1+D16))*15000*D159),100)</f>
        <v>0</v>
      </c>
      <c r="E213" s="24">
        <f>CEILING((MAX(E159-D159,0)*C56)+((0.35*(1+E16))*15000*E159),100)</f>
        <v>0</v>
      </c>
      <c r="F213" s="24">
        <f>CEILING((MAX(F159-E159,0)*C56)+((0.35*(1+F16))*15000*F159),100)</f>
        <v>0</v>
      </c>
      <c r="G213" s="24">
        <f>CEILING((MAX(G159-F159,0)*C56)+((0.35*(1+G16))*15000*G159),100)</f>
        <v>0</v>
      </c>
      <c r="H213" s="24">
        <f>CEILING((MAX(H159-G159,0)*C56)+((0.35*(1+H16))*15000*H159),100)</f>
        <v>0</v>
      </c>
      <c r="I213" s="24">
        <f>CEILING((MAX(I159-H159,0)*C56)+((0.35*(1+I16))*15000*I159),100)</f>
        <v>0</v>
      </c>
      <c r="J213" s="24">
        <f>CEILING((MAX(J159-I159,0)*C56)+((0.35*(1+J16))*15000*J159),100)</f>
        <v>0</v>
      </c>
      <c r="K213" s="24">
        <f>CEILING((MAX(K159-J159,0)*C56)+((0.35*(1+K16))*15000*K159),100)</f>
        <v>0</v>
      </c>
      <c r="L213" s="24">
        <f>CEILING((MAX(L159-K159,0)*C56)+((0.35*(1+L16))*15000*L159),100)</f>
        <v>0</v>
      </c>
      <c r="M213" s="24">
        <f>CEILING((MAX(M159-L159,0)*C56)+((0.35*(1+M16))*15000*M159),100)</f>
        <v>0</v>
      </c>
      <c r="N213" s="24">
        <f>CEILING((MAX(N159-M159,0)*C56)+((0.35*(1+N16))*15000*N159),100)</f>
        <v>0</v>
      </c>
      <c r="O213" s="24">
        <f>CEILING((MAX(O159-N159,0)*C56)+((0.35*(1+O16))*15000*O159),100)</f>
        <v>0</v>
      </c>
      <c r="P213" s="24">
        <f>CEILING((MAX(P159-O159,0)*C56)+((0.35*(1+P16))*15000*P159),100)</f>
        <v>0</v>
      </c>
    </row>
    <row r="214" spans="1:16" x14ac:dyDescent="0.2">
      <c r="A214" s="2" t="s">
        <v>429</v>
      </c>
      <c r="B214" s="65">
        <f>SUM(G138:G149)</f>
        <v>637</v>
      </c>
    </row>
    <row r="215" spans="1:16" x14ac:dyDescent="0.2">
      <c r="A215" s="2" t="s">
        <v>205</v>
      </c>
      <c r="B215" s="65">
        <f>SUM(G151:G152)+B157</f>
        <v>71</v>
      </c>
    </row>
    <row r="216" spans="1:16" s="60" customFormat="1" x14ac:dyDescent="0.2">
      <c r="A216" s="5" t="s">
        <v>203</v>
      </c>
      <c r="B216" s="65">
        <f>SUM(B87:B95)*C62</f>
        <v>810.00000000000011</v>
      </c>
      <c r="C216" s="65">
        <f>SUM(C87:C95)*C62</f>
        <v>749.99999999999989</v>
      </c>
      <c r="D216" s="65">
        <f>SUM(D87:D95)*C62</f>
        <v>680</v>
      </c>
      <c r="E216" s="65">
        <f>SUM(E87:E95)*C62</f>
        <v>620</v>
      </c>
      <c r="F216" s="65">
        <f>SUM(F87:F95)*C62</f>
        <v>550</v>
      </c>
      <c r="G216" s="65">
        <f>SUM(G87:G95)*C62</f>
        <v>490.00000000000006</v>
      </c>
      <c r="H216" s="65">
        <f>SUM(H87:H95)*C62</f>
        <v>490.00000000000006</v>
      </c>
      <c r="I216" s="65">
        <f>SUM(I87:I95)*C62</f>
        <v>490.00000000000006</v>
      </c>
      <c r="J216" s="65">
        <f>SUM(J87:J95)*C62</f>
        <v>490.00000000000006</v>
      </c>
      <c r="K216" s="65">
        <f>SUM(K87:K95)*C62</f>
        <v>490.00000000000006</v>
      </c>
      <c r="L216" s="65">
        <f>SUM(L87:L95)*C62</f>
        <v>490.00000000000006</v>
      </c>
      <c r="M216" s="65">
        <f>SUM(M87:M95)*C62</f>
        <v>490.00000000000006</v>
      </c>
      <c r="N216" s="65">
        <f>SUM(N87:N95)*C62</f>
        <v>490.00000000000006</v>
      </c>
      <c r="O216" s="65">
        <f>SUM(O87:O95)*C62</f>
        <v>490.00000000000006</v>
      </c>
      <c r="P216" s="65">
        <f>SUM(P87:P95)*C62</f>
        <v>490.00000000000006</v>
      </c>
    </row>
    <row r="217" spans="1:16" s="60" customFormat="1" x14ac:dyDescent="0.2">
      <c r="A217" s="2" t="s">
        <v>199</v>
      </c>
      <c r="B217" s="95">
        <f>CEILING(SUM(B214:B216)*C61,100)</f>
        <v>0</v>
      </c>
      <c r="C217" s="95">
        <f>CEILING(SUM(C214:C216)*C61,100)</f>
        <v>0</v>
      </c>
      <c r="D217" s="95">
        <f>CEILING(SUM(D214:D216)*C61,100)</f>
        <v>0</v>
      </c>
      <c r="E217" s="95">
        <f>CEILING(SUM(E214:E216)*C61,100)</f>
        <v>0</v>
      </c>
      <c r="F217" s="95">
        <f>CEILING(SUM(F214:F216)*C61,100)</f>
        <v>0</v>
      </c>
      <c r="G217" s="95">
        <f>CEILING(SUM(G214:G216)*C61,100)</f>
        <v>0</v>
      </c>
      <c r="H217" s="95">
        <f>CEILING(SUM(H214:H216)*C61,100)</f>
        <v>0</v>
      </c>
      <c r="I217" s="95">
        <f>CEILING(SUM(I214:I216)*C61,100)</f>
        <v>0</v>
      </c>
      <c r="J217" s="95">
        <f>CEILING(SUM(J214:J216)*C61,100)</f>
        <v>0</v>
      </c>
      <c r="K217" s="95">
        <f>CEILING(SUM(K214:K216)*C61,100)</f>
        <v>0</v>
      </c>
      <c r="L217" s="95">
        <f>CEILING(SUM(L214:L216)*C61,100)</f>
        <v>0</v>
      </c>
      <c r="M217" s="95">
        <f>CEILING(SUM(M214:M216)*C61,100)</f>
        <v>0</v>
      </c>
      <c r="N217" s="95">
        <f>CEILING(SUM(N214:N216)*C61,100)</f>
        <v>0</v>
      </c>
      <c r="O217" s="95">
        <f>CEILING(SUM(O214:O216)*C61,100)</f>
        <v>0</v>
      </c>
      <c r="P217" s="95">
        <f>CEILING(SUM(P214:P216)*C61,100)</f>
        <v>0</v>
      </c>
    </row>
    <row r="218" spans="1:16" s="60" customFormat="1" x14ac:dyDescent="0.2">
      <c r="A218" s="4" t="s">
        <v>38</v>
      </c>
      <c r="B218" s="101">
        <f t="shared" ref="B218:P218" si="78">SUM(B205:B213)+B217</f>
        <v>1783480</v>
      </c>
      <c r="C218" s="101">
        <f t="shared" si="78"/>
        <v>368000</v>
      </c>
      <c r="D218" s="101">
        <f t="shared" si="78"/>
        <v>350200</v>
      </c>
      <c r="E218" s="101">
        <f t="shared" si="78"/>
        <v>334300</v>
      </c>
      <c r="F218" s="101">
        <f t="shared" si="78"/>
        <v>313200</v>
      </c>
      <c r="G218" s="101">
        <f t="shared" si="78"/>
        <v>293800</v>
      </c>
      <c r="H218" s="101">
        <f t="shared" si="78"/>
        <v>300400</v>
      </c>
      <c r="I218" s="101">
        <f t="shared" si="78"/>
        <v>307200</v>
      </c>
      <c r="J218" s="101">
        <f t="shared" si="78"/>
        <v>314400</v>
      </c>
      <c r="K218" s="101">
        <f t="shared" si="78"/>
        <v>321800</v>
      </c>
      <c r="L218" s="101">
        <f t="shared" si="78"/>
        <v>329400</v>
      </c>
      <c r="M218" s="101">
        <f t="shared" si="78"/>
        <v>337400</v>
      </c>
      <c r="N218" s="101">
        <f t="shared" si="78"/>
        <v>345900</v>
      </c>
      <c r="O218" s="101">
        <f t="shared" si="78"/>
        <v>354400</v>
      </c>
      <c r="P218" s="101">
        <f t="shared" si="78"/>
        <v>363500</v>
      </c>
    </row>
    <row r="219" spans="1:16" x14ac:dyDescent="0.2">
      <c r="A219" s="45" t="s">
        <v>246</v>
      </c>
      <c r="B219" s="24">
        <f t="shared" ref="B219:P219" si="79">B131</f>
        <v>0</v>
      </c>
      <c r="C219" s="24">
        <f t="shared" si="79"/>
        <v>0</v>
      </c>
      <c r="D219" s="24">
        <f t="shared" si="79"/>
        <v>0</v>
      </c>
      <c r="E219" s="24">
        <f t="shared" si="79"/>
        <v>0</v>
      </c>
      <c r="F219" s="24">
        <f t="shared" si="79"/>
        <v>0</v>
      </c>
      <c r="G219" s="24">
        <f t="shared" si="79"/>
        <v>0</v>
      </c>
      <c r="H219" s="24">
        <f t="shared" si="79"/>
        <v>0</v>
      </c>
      <c r="I219" s="24">
        <f t="shared" si="79"/>
        <v>0</v>
      </c>
      <c r="J219" s="24">
        <f t="shared" si="79"/>
        <v>0</v>
      </c>
      <c r="K219" s="24">
        <f t="shared" si="79"/>
        <v>0</v>
      </c>
      <c r="L219" s="24">
        <f t="shared" si="79"/>
        <v>0</v>
      </c>
      <c r="M219" s="24">
        <f t="shared" si="79"/>
        <v>0</v>
      </c>
      <c r="N219" s="24">
        <f t="shared" si="79"/>
        <v>0</v>
      </c>
      <c r="O219" s="24">
        <f t="shared" si="79"/>
        <v>0</v>
      </c>
      <c r="P219" s="24">
        <f t="shared" si="79"/>
        <v>0</v>
      </c>
    </row>
    <row r="220" spans="1:16" s="60" customFormat="1" x14ac:dyDescent="0.2">
      <c r="A220" s="4" t="s">
        <v>455</v>
      </c>
      <c r="B220" s="103">
        <f>B126</f>
        <v>438000</v>
      </c>
      <c r="C220" s="103">
        <f t="shared" ref="C220:P220" si="80">C126</f>
        <v>393200</v>
      </c>
      <c r="D220" s="103">
        <f t="shared" si="80"/>
        <v>342700</v>
      </c>
      <c r="E220" s="103">
        <f t="shared" si="80"/>
        <v>286200</v>
      </c>
      <c r="F220" s="103">
        <f t="shared" si="80"/>
        <v>425100</v>
      </c>
      <c r="G220" s="103">
        <f t="shared" si="80"/>
        <v>291800</v>
      </c>
      <c r="H220" s="103">
        <f t="shared" si="80"/>
        <v>306400</v>
      </c>
      <c r="I220" s="103">
        <f t="shared" si="80"/>
        <v>321700</v>
      </c>
      <c r="J220" s="103">
        <f t="shared" si="80"/>
        <v>337800</v>
      </c>
      <c r="K220" s="103">
        <f t="shared" si="80"/>
        <v>354600</v>
      </c>
      <c r="L220" s="103">
        <f t="shared" si="80"/>
        <v>372400</v>
      </c>
      <c r="M220" s="103">
        <f t="shared" si="80"/>
        <v>391000</v>
      </c>
      <c r="N220" s="103">
        <f t="shared" si="80"/>
        <v>410500</v>
      </c>
      <c r="O220" s="103">
        <f t="shared" si="80"/>
        <v>431100</v>
      </c>
      <c r="P220" s="103">
        <f t="shared" si="80"/>
        <v>452600</v>
      </c>
    </row>
    <row r="221" spans="1:16" s="60" customFormat="1" x14ac:dyDescent="0.2">
      <c r="A221" s="58" t="s">
        <v>206</v>
      </c>
      <c r="B221" s="100">
        <f>(B218+B219)-B220</f>
        <v>1345480</v>
      </c>
      <c r="C221" s="100">
        <f t="shared" ref="C221:P221" si="81">(C218+C219)-C220</f>
        <v>-25200</v>
      </c>
      <c r="D221" s="100">
        <f t="shared" si="81"/>
        <v>7500</v>
      </c>
      <c r="E221" s="100">
        <f t="shared" si="81"/>
        <v>48100</v>
      </c>
      <c r="F221" s="100">
        <f t="shared" si="81"/>
        <v>-111900</v>
      </c>
      <c r="G221" s="100">
        <f t="shared" si="81"/>
        <v>2000</v>
      </c>
      <c r="H221" s="100">
        <f t="shared" si="81"/>
        <v>-6000</v>
      </c>
      <c r="I221" s="100">
        <f t="shared" si="81"/>
        <v>-14500</v>
      </c>
      <c r="J221" s="100">
        <f t="shared" si="81"/>
        <v>-23400</v>
      </c>
      <c r="K221" s="100">
        <f t="shared" si="81"/>
        <v>-32800</v>
      </c>
      <c r="L221" s="100">
        <f t="shared" si="81"/>
        <v>-43000</v>
      </c>
      <c r="M221" s="100">
        <f t="shared" si="81"/>
        <v>-53600</v>
      </c>
      <c r="N221" s="100">
        <f t="shared" si="81"/>
        <v>-64600</v>
      </c>
      <c r="O221" s="100">
        <f t="shared" si="81"/>
        <v>-76700</v>
      </c>
      <c r="P221" s="100">
        <f t="shared" si="81"/>
        <v>-89100</v>
      </c>
    </row>
    <row r="222" spans="1:16" s="60" customFormat="1" x14ac:dyDescent="0.2">
      <c r="A222" s="2"/>
      <c r="B222" s="24"/>
      <c r="C222" s="24"/>
      <c r="D222" s="24"/>
      <c r="E222" s="24"/>
      <c r="F222" s="24"/>
      <c r="G222" s="24"/>
      <c r="H222" s="24"/>
      <c r="I222" s="24"/>
      <c r="J222" s="24"/>
      <c r="K222" s="24"/>
      <c r="L222" s="24"/>
      <c r="M222" s="24"/>
      <c r="N222" s="24"/>
      <c r="O222" s="24"/>
      <c r="P222" s="24"/>
    </row>
    <row r="223" spans="1:16" s="28" customFormat="1" x14ac:dyDescent="0.2">
      <c r="B223" s="107"/>
      <c r="C223" s="107"/>
      <c r="D223" s="107"/>
      <c r="E223" s="107"/>
      <c r="F223" s="107"/>
      <c r="G223" s="107"/>
      <c r="H223" s="107"/>
      <c r="I223" s="107"/>
      <c r="J223" s="107"/>
      <c r="K223" s="107"/>
      <c r="L223" s="107"/>
      <c r="M223" s="107"/>
    </row>
    <row r="224" spans="1:16" x14ac:dyDescent="0.2">
      <c r="A224" s="3" t="s">
        <v>54</v>
      </c>
      <c r="B224" s="43"/>
      <c r="C224" s="43"/>
      <c r="D224" s="43"/>
      <c r="E224" s="43"/>
      <c r="F224" s="43"/>
      <c r="G224" s="43"/>
      <c r="H224" s="43"/>
      <c r="I224" s="43"/>
      <c r="J224" s="43"/>
      <c r="K224" s="43"/>
      <c r="L224" s="43"/>
      <c r="M224" s="43"/>
    </row>
    <row r="225" spans="1:13" x14ac:dyDescent="0.2">
      <c r="A225" s="2" t="s">
        <v>53</v>
      </c>
      <c r="B225" s="43">
        <f>ROUND(VLOOKUP('Background State Information'!F7,'State Square Miles'!C5:E55,3),1)</f>
        <v>1</v>
      </c>
      <c r="D225" s="43"/>
      <c r="E225" s="43"/>
      <c r="F225" s="43"/>
      <c r="G225" s="43"/>
      <c r="H225" s="43"/>
      <c r="I225" s="43"/>
      <c r="J225" s="43"/>
      <c r="K225" s="43"/>
      <c r="L225" s="43"/>
      <c r="M225" s="43"/>
    </row>
    <row r="226" spans="1:13" x14ac:dyDescent="0.2">
      <c r="A226" s="2" t="s">
        <v>48</v>
      </c>
      <c r="B226" s="102" t="str">
        <f>VLOOKUP((VLOOKUP('Background State Information'!F7,'State Square Miles'!C5:D55,2)),'State Square Miles'!A5:B55,2)</f>
        <v>Maryland</v>
      </c>
    </row>
    <row r="228" spans="1:13" x14ac:dyDescent="0.2">
      <c r="A228" s="3"/>
    </row>
    <row r="231" spans="1:13" s="45" customFormat="1" x14ac:dyDescent="0.2"/>
    <row r="232" spans="1:13" s="60" customFormat="1" ht="13.2" x14ac:dyDescent="0.25">
      <c r="A232" s="2"/>
      <c r="B232" s="2"/>
      <c r="C232" s="69"/>
      <c r="D232" s="69"/>
      <c r="E232" s="66"/>
      <c r="F232" s="69"/>
      <c r="G232" s="69"/>
      <c r="H232" s="69"/>
    </row>
    <row r="233" spans="1:13" s="60" customFormat="1" ht="13.2" x14ac:dyDescent="0.25">
      <c r="A233" s="5"/>
      <c r="B233" s="2"/>
      <c r="C233" s="69"/>
      <c r="D233" s="69"/>
      <c r="E233" s="66"/>
      <c r="F233" s="69"/>
      <c r="G233" s="69"/>
      <c r="H233" s="69"/>
    </row>
    <row r="234" spans="1:13" s="60" customFormat="1" ht="13.2" x14ac:dyDescent="0.25">
      <c r="A234" s="2"/>
      <c r="B234" s="2"/>
      <c r="C234" s="69"/>
      <c r="D234" s="69"/>
      <c r="E234" s="66"/>
      <c r="F234" s="70"/>
    </row>
    <row r="235" spans="1:13" s="60" customFormat="1" x14ac:dyDescent="0.2">
      <c r="A235" s="2"/>
    </row>
    <row r="236" spans="1:13" x14ac:dyDescent="0.2">
      <c r="C236" s="30"/>
    </row>
  </sheetData>
  <mergeCells count="4">
    <mergeCell ref="B134:D134"/>
    <mergeCell ref="F38:H38"/>
    <mergeCell ref="I38:J38"/>
    <mergeCell ref="E134:H134"/>
  </mergeCells>
  <phoneticPr fontId="0" type="noConversion"/>
  <printOptions headings="1" gridLines="1"/>
  <pageMargins left="0.41" right="0.19" top="0.51" bottom="0.91" header="0.5" footer="0.5"/>
  <pageSetup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1" r:id="rId4" name="Button 17">
              <controlPr defaultSize="0" print="0" autoFill="0" autoPict="0" macro="[0]!CalculationsToMap">
                <anchor moveWithCells="1" sizeWithCells="1">
                  <from>
                    <xdr:col>0</xdr:col>
                    <xdr:colOff>845820</xdr:colOff>
                    <xdr:row>0</xdr:row>
                    <xdr:rowOff>53340</xdr:rowOff>
                  </from>
                  <to>
                    <xdr:col>1</xdr:col>
                    <xdr:colOff>320040</xdr:colOff>
                    <xdr:row>2</xdr:row>
                    <xdr:rowOff>60960</xdr:rowOff>
                  </to>
                </anchor>
              </controlPr>
            </control>
          </mc:Choice>
        </mc:AlternateContent>
        <mc:AlternateContent xmlns:mc="http://schemas.openxmlformats.org/markup-compatibility/2006">
          <mc:Choice Requires="x14">
            <control shapeId="1042" r:id="rId5" name="Button 18">
              <controlPr defaultSize="0" print="0" autoFill="0" autoPict="0" macro="[0]!ExitCostModel">
                <anchor moveWithCells="1" sizeWithCells="1">
                  <from>
                    <xdr:col>3</xdr:col>
                    <xdr:colOff>91440</xdr:colOff>
                    <xdr:row>0</xdr:row>
                    <xdr:rowOff>76200</xdr:rowOff>
                  </from>
                  <to>
                    <xdr:col>4</xdr:col>
                    <xdr:colOff>312420</xdr:colOff>
                    <xdr:row>2</xdr:row>
                    <xdr:rowOff>83820</xdr:rowOff>
                  </to>
                </anchor>
              </controlPr>
            </control>
          </mc:Choice>
        </mc:AlternateContent>
        <mc:AlternateContent xmlns:mc="http://schemas.openxmlformats.org/markup-compatibility/2006">
          <mc:Choice Requires="x14">
            <control shapeId="1048" r:id="rId6" name="Button 24">
              <controlPr defaultSize="0" print="0" autoFill="0" autoPict="0" macro="[0]!ToMap">
                <anchor moveWithCells="1" sizeWithCells="1">
                  <from>
                    <xdr:col>3</xdr:col>
                    <xdr:colOff>91440</xdr:colOff>
                    <xdr:row>223</xdr:row>
                    <xdr:rowOff>106680</xdr:rowOff>
                  </from>
                  <to>
                    <xdr:col>5</xdr:col>
                    <xdr:colOff>281940</xdr:colOff>
                    <xdr:row>226</xdr:row>
                    <xdr:rowOff>53340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64"/>
  <sheetViews>
    <sheetView workbookViewId="0">
      <selection activeCell="C1" sqref="C1"/>
    </sheetView>
  </sheetViews>
  <sheetFormatPr defaultRowHeight="13.2" x14ac:dyDescent="0.25"/>
  <cols>
    <col min="1" max="4" width="14" customWidth="1"/>
    <col min="5" max="5" width="11.6640625" customWidth="1"/>
    <col min="6" max="6" width="10.44140625" bestFit="1" customWidth="1"/>
    <col min="7" max="7" width="9.33203125" customWidth="1"/>
    <col min="8" max="9" width="11.109375" bestFit="1" customWidth="1"/>
    <col min="10" max="10" width="13.109375" customWidth="1"/>
    <col min="11" max="11" width="12.6640625" style="40" customWidth="1"/>
    <col min="13" max="13" width="9.109375" style="40" customWidth="1"/>
    <col min="15" max="15" width="9.109375" style="52" customWidth="1"/>
    <col min="16" max="16" width="12" style="52" customWidth="1"/>
  </cols>
  <sheetData>
    <row r="1" spans="1:16" s="295" customFormat="1" x14ac:dyDescent="0.25">
      <c r="K1" s="358"/>
      <c r="M1" s="358"/>
      <c r="O1" s="359"/>
      <c r="P1" s="359"/>
    </row>
    <row r="2" spans="1:16" s="295" customFormat="1" x14ac:dyDescent="0.25">
      <c r="K2" s="358"/>
      <c r="M2" s="358"/>
      <c r="O2" s="359"/>
      <c r="P2" s="359"/>
    </row>
    <row r="3" spans="1:16" s="295" customFormat="1" x14ac:dyDescent="0.25">
      <c r="A3" s="360"/>
      <c r="B3" s="360"/>
      <c r="C3" s="357"/>
      <c r="D3" s="360"/>
      <c r="E3" s="359"/>
      <c r="F3" s="358"/>
      <c r="H3" s="358"/>
    </row>
    <row r="4" spans="1:16" ht="52.8" x14ac:dyDescent="0.25">
      <c r="A4" s="39" t="s">
        <v>49</v>
      </c>
      <c r="B4" s="1" t="s">
        <v>48</v>
      </c>
      <c r="C4" s="1" t="s">
        <v>73</v>
      </c>
      <c r="D4" s="39" t="s">
        <v>49</v>
      </c>
      <c r="E4" s="53" t="s">
        <v>457</v>
      </c>
      <c r="F4" s="31" t="s">
        <v>50</v>
      </c>
      <c r="G4" s="1" t="s">
        <v>65</v>
      </c>
      <c r="H4" s="31" t="s">
        <v>60</v>
      </c>
      <c r="I4" s="1" t="s">
        <v>61</v>
      </c>
      <c r="J4" s="1" t="s">
        <v>51</v>
      </c>
      <c r="K4" s="1" t="s">
        <v>66</v>
      </c>
      <c r="M4"/>
      <c r="O4"/>
      <c r="P4"/>
    </row>
    <row r="5" spans="1:16" x14ac:dyDescent="0.25">
      <c r="A5">
        <v>1</v>
      </c>
      <c r="B5" t="s">
        <v>132</v>
      </c>
      <c r="C5" t="s">
        <v>87</v>
      </c>
      <c r="D5">
        <v>1</v>
      </c>
      <c r="E5" s="52">
        <f t="shared" ref="E5:E11" si="0">IF(G5&lt;1,1,MAX(((F5/G5)*(75/47214)*6),1))</f>
        <v>54.513057567670607</v>
      </c>
      <c r="F5" s="40">
        <v>571951</v>
      </c>
      <c r="G5" s="40">
        <f>'Performance Assumptions'!$D$57</f>
        <v>100</v>
      </c>
      <c r="H5" s="40">
        <v>626932</v>
      </c>
      <c r="I5">
        <v>14</v>
      </c>
      <c r="J5" s="54">
        <f t="shared" ref="J5:J36" si="1">H5/F5</f>
        <v>1.0961288641859179</v>
      </c>
      <c r="K5" s="55">
        <f t="shared" ref="K5:K55" si="2">1/J5</f>
        <v>0.91230149362291291</v>
      </c>
      <c r="M5"/>
      <c r="O5"/>
      <c r="P5"/>
    </row>
    <row r="6" spans="1:16" x14ac:dyDescent="0.25">
      <c r="A6">
        <v>2</v>
      </c>
      <c r="B6" t="s">
        <v>133</v>
      </c>
      <c r="C6" t="s">
        <v>89</v>
      </c>
      <c r="D6">
        <v>2</v>
      </c>
      <c r="E6" s="52">
        <f t="shared" si="0"/>
        <v>4.836446816622189</v>
      </c>
      <c r="F6" s="40">
        <v>50744</v>
      </c>
      <c r="G6" s="40">
        <f>'Performance Assumptions'!$D$57</f>
        <v>100</v>
      </c>
      <c r="H6" s="40">
        <v>4447100</v>
      </c>
      <c r="I6">
        <v>10.1</v>
      </c>
      <c r="J6" s="54">
        <f t="shared" si="1"/>
        <v>87.637947343528296</v>
      </c>
      <c r="K6" s="55">
        <f t="shared" si="2"/>
        <v>1.1410582177149154E-2</v>
      </c>
      <c r="M6"/>
      <c r="O6"/>
      <c r="P6"/>
    </row>
    <row r="7" spans="1:16" x14ac:dyDescent="0.25">
      <c r="A7">
        <v>3</v>
      </c>
      <c r="B7" t="s">
        <v>134</v>
      </c>
      <c r="C7" t="s">
        <v>123</v>
      </c>
      <c r="D7">
        <v>3</v>
      </c>
      <c r="E7" s="52">
        <f t="shared" si="0"/>
        <v>4.9626382005337399</v>
      </c>
      <c r="F7" s="40">
        <v>52068</v>
      </c>
      <c r="G7" s="40">
        <f>'Performance Assumptions'!$D$57</f>
        <v>100</v>
      </c>
      <c r="H7" s="40">
        <v>2673400</v>
      </c>
      <c r="I7">
        <v>13.7</v>
      </c>
      <c r="J7" s="54">
        <f t="shared" si="1"/>
        <v>51.344395790120615</v>
      </c>
      <c r="K7" s="55">
        <f t="shared" si="2"/>
        <v>1.9476322286227275E-2</v>
      </c>
      <c r="M7"/>
      <c r="O7"/>
      <c r="P7"/>
    </row>
    <row r="8" spans="1:16" x14ac:dyDescent="0.25">
      <c r="A8">
        <v>4</v>
      </c>
      <c r="B8" t="s">
        <v>32</v>
      </c>
      <c r="C8" t="s">
        <v>99</v>
      </c>
      <c r="D8">
        <v>4</v>
      </c>
      <c r="E8" s="52">
        <f t="shared" si="0"/>
        <v>10.830632863133815</v>
      </c>
      <c r="F8" s="40">
        <v>113635</v>
      </c>
      <c r="G8" s="40">
        <f>'Performance Assumptions'!$D$57</f>
        <v>100</v>
      </c>
      <c r="H8" s="40">
        <v>5130632</v>
      </c>
      <c r="I8">
        <v>40</v>
      </c>
      <c r="J8" s="54">
        <f t="shared" si="1"/>
        <v>45.150103401240813</v>
      </c>
      <c r="K8" s="55">
        <f t="shared" si="2"/>
        <v>2.2148343517913584E-2</v>
      </c>
      <c r="M8"/>
      <c r="O8"/>
      <c r="P8"/>
    </row>
    <row r="9" spans="1:16" x14ac:dyDescent="0.25">
      <c r="A9">
        <v>5</v>
      </c>
      <c r="B9" t="s">
        <v>33</v>
      </c>
      <c r="C9" t="s">
        <v>118</v>
      </c>
      <c r="D9">
        <v>5</v>
      </c>
      <c r="E9" s="52">
        <f t="shared" si="0"/>
        <v>14.864563476934807</v>
      </c>
      <c r="F9" s="40">
        <v>155959</v>
      </c>
      <c r="G9" s="40">
        <f>'Performance Assumptions'!$D$57</f>
        <v>100</v>
      </c>
      <c r="H9" s="40">
        <v>33871648</v>
      </c>
      <c r="I9">
        <v>13.6</v>
      </c>
      <c r="J9" s="54">
        <f t="shared" si="1"/>
        <v>217.18302887297301</v>
      </c>
      <c r="K9" s="55">
        <f t="shared" si="2"/>
        <v>4.60441133540358E-3</v>
      </c>
      <c r="M9"/>
      <c r="O9"/>
      <c r="P9"/>
    </row>
    <row r="10" spans="1:16" x14ac:dyDescent="0.25">
      <c r="A10">
        <v>6</v>
      </c>
      <c r="B10" t="s">
        <v>135</v>
      </c>
      <c r="C10" t="s">
        <v>114</v>
      </c>
      <c r="D10">
        <v>6</v>
      </c>
      <c r="E10" s="52">
        <f t="shared" si="0"/>
        <v>9.8854365230651933</v>
      </c>
      <c r="F10" s="40">
        <v>103718</v>
      </c>
      <c r="G10" s="40">
        <f>'Performance Assumptions'!$D$57</f>
        <v>100</v>
      </c>
      <c r="H10" s="40">
        <v>4301261</v>
      </c>
      <c r="I10">
        <v>30.6</v>
      </c>
      <c r="J10" s="54">
        <f t="shared" si="1"/>
        <v>41.470728321024318</v>
      </c>
      <c r="K10" s="55">
        <f t="shared" si="2"/>
        <v>2.411339372337554E-2</v>
      </c>
      <c r="M10"/>
      <c r="O10"/>
      <c r="P10"/>
    </row>
    <row r="11" spans="1:16" x14ac:dyDescent="0.25">
      <c r="A11">
        <v>7</v>
      </c>
      <c r="B11" t="s">
        <v>136</v>
      </c>
      <c r="C11" t="s">
        <v>79</v>
      </c>
      <c r="D11">
        <v>7</v>
      </c>
      <c r="E11" s="52">
        <f t="shared" si="0"/>
        <v>1</v>
      </c>
      <c r="F11" s="40">
        <v>4845</v>
      </c>
      <c r="G11" s="40">
        <f>'Performance Assumptions'!$D$57</f>
        <v>100</v>
      </c>
      <c r="H11" s="40">
        <v>3405565</v>
      </c>
      <c r="I11">
        <v>3.6</v>
      </c>
      <c r="J11" s="54">
        <f t="shared" si="1"/>
        <v>702.90299277605777</v>
      </c>
      <c r="K11" s="55">
        <f t="shared" si="2"/>
        <v>1.4226714216290103E-3</v>
      </c>
      <c r="M11"/>
      <c r="O11"/>
      <c r="P11"/>
    </row>
    <row r="12" spans="1:16" x14ac:dyDescent="0.25">
      <c r="A12">
        <v>8</v>
      </c>
      <c r="B12" t="s">
        <v>137</v>
      </c>
      <c r="C12" t="s">
        <v>84</v>
      </c>
      <c r="D12">
        <v>8</v>
      </c>
      <c r="E12" s="52">
        <f>IF(G12&lt;1,1,MAX(((F12/G12)*(75/47214)*6),1))</f>
        <v>1</v>
      </c>
      <c r="F12" s="40">
        <v>61</v>
      </c>
      <c r="G12" s="40">
        <f>'Performance Assumptions'!$D$57</f>
        <v>100</v>
      </c>
      <c r="H12" s="40">
        <v>572059</v>
      </c>
      <c r="I12">
        <v>-5.7</v>
      </c>
      <c r="J12" s="54">
        <f t="shared" si="1"/>
        <v>9378.0163934426237</v>
      </c>
      <c r="K12" s="55">
        <f t="shared" si="2"/>
        <v>1.0663235785120065E-4</v>
      </c>
      <c r="M12"/>
      <c r="O12"/>
      <c r="P12"/>
    </row>
    <row r="13" spans="1:16" x14ac:dyDescent="0.25">
      <c r="A13">
        <v>9</v>
      </c>
      <c r="B13" t="s">
        <v>138</v>
      </c>
      <c r="C13" t="s">
        <v>83</v>
      </c>
      <c r="D13">
        <v>9</v>
      </c>
      <c r="E13" s="52">
        <f t="shared" ref="E13:E55" si="3">IF(G13&lt;1,1,MAX(((F13/G13)*(75/47214)*6),1))</f>
        <v>1</v>
      </c>
      <c r="F13" s="40">
        <v>1954</v>
      </c>
      <c r="G13" s="40">
        <f>'Performance Assumptions'!$D$57</f>
        <v>100</v>
      </c>
      <c r="H13" s="40">
        <v>783600</v>
      </c>
      <c r="I13">
        <v>17.600000000000001</v>
      </c>
      <c r="J13" s="54">
        <f t="shared" si="1"/>
        <v>401.02354145342889</v>
      </c>
      <c r="K13" s="55">
        <f t="shared" si="2"/>
        <v>2.4936191934660538E-3</v>
      </c>
      <c r="M13"/>
      <c r="O13"/>
      <c r="P13"/>
    </row>
    <row r="14" spans="1:16" x14ac:dyDescent="0.25">
      <c r="A14">
        <v>10</v>
      </c>
      <c r="B14" t="s">
        <v>139</v>
      </c>
      <c r="C14" t="s">
        <v>85</v>
      </c>
      <c r="D14">
        <v>10</v>
      </c>
      <c r="E14" s="52">
        <f t="shared" si="3"/>
        <v>5.1398208158597027</v>
      </c>
      <c r="F14" s="40">
        <v>53927</v>
      </c>
      <c r="G14" s="40">
        <f>'Performance Assumptions'!$D$57</f>
        <v>100</v>
      </c>
      <c r="H14" s="40">
        <v>15982378</v>
      </c>
      <c r="I14">
        <v>23.5</v>
      </c>
      <c r="J14" s="54">
        <f t="shared" si="1"/>
        <v>296.370612123797</v>
      </c>
      <c r="K14" s="55">
        <f t="shared" si="2"/>
        <v>3.3741537085407438E-3</v>
      </c>
      <c r="M14"/>
      <c r="O14"/>
      <c r="P14"/>
    </row>
    <row r="15" spans="1:16" x14ac:dyDescent="0.25">
      <c r="A15">
        <v>11</v>
      </c>
      <c r="B15" t="s">
        <v>140</v>
      </c>
      <c r="C15" t="s">
        <v>86</v>
      </c>
      <c r="D15">
        <v>11</v>
      </c>
      <c r="E15" s="52">
        <f t="shared" si="3"/>
        <v>5.5190621425848265</v>
      </c>
      <c r="F15" s="40">
        <v>57906</v>
      </c>
      <c r="G15" s="40">
        <f>'Performance Assumptions'!$D$57</f>
        <v>100</v>
      </c>
      <c r="H15" s="40">
        <v>8186453</v>
      </c>
      <c r="I15">
        <v>26.4</v>
      </c>
      <c r="J15" s="54">
        <f t="shared" si="1"/>
        <v>141.37486616240113</v>
      </c>
      <c r="K15" s="55">
        <f t="shared" si="2"/>
        <v>7.0733930800066895E-3</v>
      </c>
      <c r="M15"/>
      <c r="O15"/>
      <c r="P15"/>
    </row>
    <row r="16" spans="1:16" x14ac:dyDescent="0.25">
      <c r="A16">
        <v>12</v>
      </c>
      <c r="B16" t="s">
        <v>141</v>
      </c>
      <c r="C16" t="s">
        <v>121</v>
      </c>
      <c r="D16">
        <v>12</v>
      </c>
      <c r="E16" s="52">
        <f t="shared" si="3"/>
        <v>1</v>
      </c>
      <c r="F16" s="40">
        <v>6423</v>
      </c>
      <c r="G16" s="40">
        <f>'Performance Assumptions'!$D$57</f>
        <v>100</v>
      </c>
      <c r="H16" s="40">
        <v>1211537</v>
      </c>
      <c r="I16">
        <v>9.3000000000000007</v>
      </c>
      <c r="J16" s="54">
        <f t="shared" si="1"/>
        <v>188.62478592557994</v>
      </c>
      <c r="K16" s="55">
        <f t="shared" si="2"/>
        <v>5.3015302050205652E-3</v>
      </c>
      <c r="M16"/>
      <c r="O16"/>
      <c r="P16"/>
    </row>
    <row r="17" spans="1:16" x14ac:dyDescent="0.25">
      <c r="A17">
        <v>13</v>
      </c>
      <c r="B17" t="s">
        <v>142</v>
      </c>
      <c r="C17" t="s">
        <v>117</v>
      </c>
      <c r="D17">
        <v>13</v>
      </c>
      <c r="E17" s="52">
        <f t="shared" si="3"/>
        <v>7.8866755623332061</v>
      </c>
      <c r="F17" s="40">
        <v>82747</v>
      </c>
      <c r="G17" s="40">
        <f>'Performance Assumptions'!$D$57</f>
        <v>100</v>
      </c>
      <c r="H17" s="40">
        <v>1293953</v>
      </c>
      <c r="I17">
        <v>28.5</v>
      </c>
      <c r="J17" s="54">
        <f t="shared" si="1"/>
        <v>15.637461176840247</v>
      </c>
      <c r="K17" s="55">
        <f t="shared" si="2"/>
        <v>6.3948999693188235E-2</v>
      </c>
      <c r="M17"/>
      <c r="O17"/>
      <c r="P17"/>
    </row>
    <row r="18" spans="1:16" x14ac:dyDescent="0.25">
      <c r="A18">
        <v>14</v>
      </c>
      <c r="B18" t="s">
        <v>143</v>
      </c>
      <c r="C18" t="s">
        <v>109</v>
      </c>
      <c r="D18">
        <v>14</v>
      </c>
      <c r="E18" s="52">
        <f t="shared" si="3"/>
        <v>5.2977506671749914</v>
      </c>
      <c r="F18" s="40">
        <v>55584</v>
      </c>
      <c r="G18" s="40">
        <f>'Performance Assumptions'!$D$57</f>
        <v>100</v>
      </c>
      <c r="H18" s="40">
        <v>12419293</v>
      </c>
      <c r="I18">
        <v>8.6</v>
      </c>
      <c r="J18" s="54">
        <f t="shared" si="1"/>
        <v>223.43287636729994</v>
      </c>
      <c r="K18" s="55">
        <f t="shared" si="2"/>
        <v>4.4756170902804206E-3</v>
      </c>
      <c r="M18">
        <f>(F18/G18)*(75/47214)*6</f>
        <v>5.2977506671749914</v>
      </c>
      <c r="O18"/>
      <c r="P18"/>
    </row>
    <row r="19" spans="1:16" x14ac:dyDescent="0.25">
      <c r="A19">
        <v>15</v>
      </c>
      <c r="B19" t="s">
        <v>144</v>
      </c>
      <c r="C19" t="s">
        <v>111</v>
      </c>
      <c r="D19">
        <v>15</v>
      </c>
      <c r="E19" s="52">
        <f t="shared" si="3"/>
        <v>3.4185093404498668</v>
      </c>
      <c r="F19" s="40">
        <v>35867</v>
      </c>
      <c r="G19" s="40">
        <f>'Performance Assumptions'!$D$57</f>
        <v>100</v>
      </c>
      <c r="H19" s="40">
        <v>6080485</v>
      </c>
      <c r="I19">
        <v>9.6999999999999993</v>
      </c>
      <c r="J19" s="54">
        <f t="shared" si="1"/>
        <v>169.52867538405778</v>
      </c>
      <c r="K19" s="55">
        <f t="shared" si="2"/>
        <v>5.8987070932664089E-3</v>
      </c>
      <c r="M19"/>
      <c r="O19"/>
      <c r="P19"/>
    </row>
    <row r="20" spans="1:16" x14ac:dyDescent="0.25">
      <c r="A20">
        <v>16</v>
      </c>
      <c r="B20" t="s">
        <v>145</v>
      </c>
      <c r="C20" t="s">
        <v>102</v>
      </c>
      <c r="D20">
        <v>16</v>
      </c>
      <c r="E20" s="52">
        <f t="shared" si="3"/>
        <v>7.7978459778879152</v>
      </c>
      <c r="F20" s="40">
        <v>81815</v>
      </c>
      <c r="G20" s="40">
        <f>'Performance Assumptions'!$D$57</f>
        <v>100</v>
      </c>
      <c r="H20" s="40">
        <v>2688418</v>
      </c>
      <c r="I20">
        <v>8.5</v>
      </c>
      <c r="J20" s="54">
        <f t="shared" si="1"/>
        <v>32.85972010022612</v>
      </c>
      <c r="K20" s="55">
        <f t="shared" si="2"/>
        <v>3.0432395557536067E-2</v>
      </c>
      <c r="M20"/>
      <c r="O20"/>
      <c r="P20"/>
    </row>
    <row r="21" spans="1:16" x14ac:dyDescent="0.25">
      <c r="A21">
        <v>17</v>
      </c>
      <c r="B21" t="s">
        <v>146</v>
      </c>
      <c r="C21" t="s">
        <v>124</v>
      </c>
      <c r="D21">
        <v>17</v>
      </c>
      <c r="E21" s="52">
        <f t="shared" si="3"/>
        <v>3.7865040030499428</v>
      </c>
      <c r="F21" s="40">
        <v>39728</v>
      </c>
      <c r="G21" s="40">
        <f>'Performance Assumptions'!$D$57</f>
        <v>100</v>
      </c>
      <c r="H21" s="40">
        <v>4041769</v>
      </c>
      <c r="I21">
        <v>9.6</v>
      </c>
      <c r="J21" s="54">
        <f t="shared" si="1"/>
        <v>101.73603000402738</v>
      </c>
      <c r="K21" s="55">
        <f t="shared" si="2"/>
        <v>9.8293593720967225E-3</v>
      </c>
      <c r="M21"/>
      <c r="O21"/>
      <c r="P21"/>
    </row>
    <row r="22" spans="1:16" x14ac:dyDescent="0.25">
      <c r="A22">
        <v>18</v>
      </c>
      <c r="B22" t="s">
        <v>147</v>
      </c>
      <c r="C22" t="s">
        <v>90</v>
      </c>
      <c r="D22">
        <v>18</v>
      </c>
      <c r="E22" s="52">
        <f t="shared" si="3"/>
        <v>4.1519252764010677</v>
      </c>
      <c r="F22" s="40">
        <v>43562</v>
      </c>
      <c r="G22" s="40">
        <f>'Performance Assumptions'!$D$57</f>
        <v>100</v>
      </c>
      <c r="H22" s="40">
        <v>4468976</v>
      </c>
      <c r="I22">
        <v>5.9</v>
      </c>
      <c r="J22" s="54">
        <f t="shared" si="1"/>
        <v>102.58886185207291</v>
      </c>
      <c r="K22" s="55">
        <f t="shared" si="2"/>
        <v>9.7476468882356938E-3</v>
      </c>
      <c r="M22"/>
      <c r="O22"/>
      <c r="P22"/>
    </row>
    <row r="23" spans="1:16" x14ac:dyDescent="0.25">
      <c r="A23">
        <v>19</v>
      </c>
      <c r="B23" t="s">
        <v>31</v>
      </c>
      <c r="C23" t="s">
        <v>78</v>
      </c>
      <c r="D23">
        <v>19</v>
      </c>
      <c r="E23" s="52">
        <f t="shared" si="3"/>
        <v>1</v>
      </c>
      <c r="F23" s="40">
        <v>7840</v>
      </c>
      <c r="G23" s="40">
        <f>'Performance Assumptions'!$D$57</f>
        <v>100</v>
      </c>
      <c r="H23" s="40">
        <v>6349097</v>
      </c>
      <c r="I23">
        <v>5.5</v>
      </c>
      <c r="J23" s="54">
        <f t="shared" si="1"/>
        <v>809.83380102040815</v>
      </c>
      <c r="K23" s="55">
        <f t="shared" si="2"/>
        <v>1.2348212667092659E-3</v>
      </c>
      <c r="M23"/>
      <c r="O23"/>
      <c r="P23"/>
    </row>
    <row r="24" spans="1:16" x14ac:dyDescent="0.25">
      <c r="A24">
        <v>20</v>
      </c>
      <c r="B24" t="s">
        <v>9</v>
      </c>
      <c r="C24" t="s">
        <v>74</v>
      </c>
      <c r="D24">
        <v>20</v>
      </c>
      <c r="E24" s="52">
        <f t="shared" si="3"/>
        <v>1</v>
      </c>
      <c r="F24" s="40">
        <v>9774</v>
      </c>
      <c r="G24" s="40">
        <f>'Performance Assumptions'!$D$57</f>
        <v>100</v>
      </c>
      <c r="H24" s="40">
        <v>5296486</v>
      </c>
      <c r="I24">
        <v>10.8</v>
      </c>
      <c r="J24" s="54">
        <f t="shared" si="1"/>
        <v>541.89543687333742</v>
      </c>
      <c r="K24" s="55">
        <f t="shared" si="2"/>
        <v>1.8453744614825756E-3</v>
      </c>
      <c r="M24"/>
      <c r="O24"/>
      <c r="P24"/>
    </row>
    <row r="25" spans="1:16" x14ac:dyDescent="0.25">
      <c r="A25">
        <v>21</v>
      </c>
      <c r="B25" t="s">
        <v>148</v>
      </c>
      <c r="C25" t="s">
        <v>75</v>
      </c>
      <c r="D25">
        <v>21</v>
      </c>
      <c r="E25" s="52">
        <f t="shared" si="3"/>
        <v>2.9414792222645825</v>
      </c>
      <c r="F25" s="40">
        <v>30862</v>
      </c>
      <c r="G25" s="40">
        <f>'Performance Assumptions'!$D$57</f>
        <v>100</v>
      </c>
      <c r="H25" s="40">
        <v>1274923</v>
      </c>
      <c r="I25">
        <v>3.8</v>
      </c>
      <c r="J25" s="54">
        <f t="shared" si="1"/>
        <v>41.31044650379107</v>
      </c>
      <c r="K25" s="55">
        <f t="shared" si="2"/>
        <v>2.4206952106127194E-2</v>
      </c>
      <c r="M25"/>
      <c r="O25"/>
      <c r="P25"/>
    </row>
    <row r="26" spans="1:16" x14ac:dyDescent="0.25">
      <c r="A26">
        <v>22</v>
      </c>
      <c r="B26" t="s">
        <v>149</v>
      </c>
      <c r="C26" t="s">
        <v>91</v>
      </c>
      <c r="D26">
        <v>22</v>
      </c>
      <c r="E26" s="52">
        <f t="shared" si="3"/>
        <v>5.4140297369424326</v>
      </c>
      <c r="F26" s="40">
        <v>56804</v>
      </c>
      <c r="G26" s="40">
        <f>'Performance Assumptions'!$D$57</f>
        <v>100</v>
      </c>
      <c r="H26" s="40">
        <v>9938444</v>
      </c>
      <c r="I26">
        <v>6.9</v>
      </c>
      <c r="J26" s="54">
        <f t="shared" si="1"/>
        <v>174.96028448700795</v>
      </c>
      <c r="K26" s="55">
        <f t="shared" si="2"/>
        <v>5.7155828417406185E-3</v>
      </c>
      <c r="M26"/>
      <c r="O26"/>
      <c r="P26"/>
    </row>
    <row r="27" spans="1:16" x14ac:dyDescent="0.25">
      <c r="A27">
        <v>23</v>
      </c>
      <c r="B27" t="s">
        <v>150</v>
      </c>
      <c r="C27" t="s">
        <v>101</v>
      </c>
      <c r="D27">
        <v>23</v>
      </c>
      <c r="E27" s="52">
        <f t="shared" si="3"/>
        <v>7.5876858558902018</v>
      </c>
      <c r="F27" s="40">
        <v>79610</v>
      </c>
      <c r="G27" s="40">
        <f>'Performance Assumptions'!$D$57</f>
        <v>100</v>
      </c>
      <c r="H27" s="40">
        <v>4919479</v>
      </c>
      <c r="I27">
        <v>12.4</v>
      </c>
      <c r="J27" s="54">
        <f t="shared" si="1"/>
        <v>61.794736842105266</v>
      </c>
      <c r="K27" s="55">
        <f t="shared" si="2"/>
        <v>1.6182607955029384E-2</v>
      </c>
      <c r="M27"/>
      <c r="O27"/>
      <c r="P27"/>
    </row>
    <row r="28" spans="1:16" x14ac:dyDescent="0.25">
      <c r="A28">
        <v>24</v>
      </c>
      <c r="B28" t="s">
        <v>151</v>
      </c>
      <c r="C28" t="s">
        <v>106</v>
      </c>
      <c r="D28">
        <v>24</v>
      </c>
      <c r="E28" s="52">
        <f t="shared" si="3"/>
        <v>6.5655737704918042</v>
      </c>
      <c r="F28" s="40">
        <v>68886</v>
      </c>
      <c r="G28" s="40">
        <f>'Performance Assumptions'!$D$57</f>
        <v>100</v>
      </c>
      <c r="H28" s="40">
        <v>5595211</v>
      </c>
      <c r="I28">
        <v>9.3000000000000007</v>
      </c>
      <c r="J28" s="54">
        <f t="shared" si="1"/>
        <v>81.224211015300639</v>
      </c>
      <c r="K28" s="55">
        <f t="shared" si="2"/>
        <v>1.2311600045110007E-2</v>
      </c>
      <c r="M28"/>
      <c r="O28"/>
      <c r="P28"/>
    </row>
    <row r="29" spans="1:16" x14ac:dyDescent="0.25">
      <c r="A29">
        <v>25</v>
      </c>
      <c r="B29" t="s">
        <v>152</v>
      </c>
      <c r="C29" t="s">
        <v>92</v>
      </c>
      <c r="D29">
        <v>25</v>
      </c>
      <c r="E29" s="52">
        <f t="shared" si="3"/>
        <v>4.4707396111322915</v>
      </c>
      <c r="F29" s="40">
        <v>46907</v>
      </c>
      <c r="G29" s="40">
        <f>'Performance Assumptions'!$D$57</f>
        <v>100</v>
      </c>
      <c r="H29" s="40">
        <v>2844658</v>
      </c>
      <c r="I29">
        <v>10.5</v>
      </c>
      <c r="J29" s="54">
        <f t="shared" si="1"/>
        <v>60.644637260963179</v>
      </c>
      <c r="K29" s="55">
        <f t="shared" si="2"/>
        <v>1.6489504186443502E-2</v>
      </c>
      <c r="M29"/>
      <c r="O29"/>
      <c r="P29"/>
    </row>
    <row r="30" spans="1:16" x14ac:dyDescent="0.25">
      <c r="A30">
        <v>26</v>
      </c>
      <c r="B30" t="s">
        <v>153</v>
      </c>
      <c r="C30" t="s">
        <v>112</v>
      </c>
      <c r="D30">
        <v>26</v>
      </c>
      <c r="E30" s="52">
        <f t="shared" si="3"/>
        <v>13.872664887533361</v>
      </c>
      <c r="F30" s="40">
        <v>145552</v>
      </c>
      <c r="G30" s="40">
        <f>'Performance Assumptions'!$D$57</f>
        <v>100</v>
      </c>
      <c r="H30" s="40">
        <v>902195</v>
      </c>
      <c r="I30">
        <v>12.9</v>
      </c>
      <c r="J30" s="54">
        <f t="shared" si="1"/>
        <v>6.1984376717599208</v>
      </c>
      <c r="K30" s="55">
        <f t="shared" si="2"/>
        <v>0.16133097611935335</v>
      </c>
      <c r="M30"/>
      <c r="O30"/>
      <c r="P30"/>
    </row>
    <row r="31" spans="1:16" x14ac:dyDescent="0.25">
      <c r="A31">
        <v>27</v>
      </c>
      <c r="B31" t="s">
        <v>154</v>
      </c>
      <c r="C31" t="s">
        <v>88</v>
      </c>
      <c r="D31">
        <v>27</v>
      </c>
      <c r="E31" s="52">
        <f t="shared" si="3"/>
        <v>4.6426801372474271</v>
      </c>
      <c r="F31" s="40">
        <v>48711</v>
      </c>
      <c r="G31" s="40">
        <f>'Performance Assumptions'!$D$57</f>
        <v>100</v>
      </c>
      <c r="H31" s="40">
        <v>8049313</v>
      </c>
      <c r="I31">
        <v>21.4</v>
      </c>
      <c r="J31" s="54">
        <f t="shared" si="1"/>
        <v>165.24630986840754</v>
      </c>
      <c r="K31" s="55">
        <f t="shared" si="2"/>
        <v>6.0515723515783279E-3</v>
      </c>
      <c r="M31"/>
      <c r="O31"/>
      <c r="P31"/>
    </row>
    <row r="32" spans="1:16" x14ac:dyDescent="0.25">
      <c r="A32">
        <v>28</v>
      </c>
      <c r="B32" t="s">
        <v>155</v>
      </c>
      <c r="C32" t="s">
        <v>105</v>
      </c>
      <c r="D32">
        <v>28</v>
      </c>
      <c r="E32" s="52">
        <f t="shared" si="3"/>
        <v>6.5741517346549747</v>
      </c>
      <c r="F32" s="40">
        <v>68976</v>
      </c>
      <c r="G32" s="40">
        <f>'Performance Assumptions'!$D$57</f>
        <v>100</v>
      </c>
      <c r="H32" s="40">
        <v>642200</v>
      </c>
      <c r="I32">
        <v>0.5</v>
      </c>
      <c r="J32" s="54">
        <f t="shared" si="1"/>
        <v>9.3104848063094412</v>
      </c>
      <c r="K32" s="55">
        <f t="shared" si="2"/>
        <v>0.10740579258797882</v>
      </c>
      <c r="M32"/>
      <c r="O32"/>
      <c r="P32"/>
    </row>
    <row r="33" spans="1:16" x14ac:dyDescent="0.25">
      <c r="A33">
        <v>29</v>
      </c>
      <c r="B33" t="s">
        <v>156</v>
      </c>
      <c r="C33" t="s">
        <v>103</v>
      </c>
      <c r="D33">
        <v>29</v>
      </c>
      <c r="E33" s="52">
        <f t="shared" si="3"/>
        <v>7.3267251239039277</v>
      </c>
      <c r="F33" s="40">
        <v>76872</v>
      </c>
      <c r="G33" s="40">
        <f>'Performance Assumptions'!$D$57</f>
        <v>100</v>
      </c>
      <c r="H33" s="40">
        <v>1711263</v>
      </c>
      <c r="I33">
        <v>8.4</v>
      </c>
      <c r="J33" s="54">
        <f t="shared" si="1"/>
        <v>22.261200437090228</v>
      </c>
      <c r="K33" s="55">
        <f t="shared" si="2"/>
        <v>4.4921207318804883E-2</v>
      </c>
      <c r="M33"/>
      <c r="O33"/>
      <c r="P33"/>
    </row>
    <row r="34" spans="1:16" x14ac:dyDescent="0.25">
      <c r="A34">
        <v>30</v>
      </c>
      <c r="B34" t="s">
        <v>157</v>
      </c>
      <c r="C34" t="s">
        <v>77</v>
      </c>
      <c r="D34">
        <v>30</v>
      </c>
      <c r="E34" s="52">
        <f t="shared" si="3"/>
        <v>1</v>
      </c>
      <c r="F34" s="40">
        <v>8968</v>
      </c>
      <c r="G34" s="40">
        <f>'Performance Assumptions'!$D$57</f>
        <v>100</v>
      </c>
      <c r="H34" s="40">
        <v>1235786</v>
      </c>
      <c r="I34">
        <v>11.4</v>
      </c>
      <c r="J34" s="54">
        <f t="shared" si="1"/>
        <v>137.79950936663693</v>
      </c>
      <c r="K34" s="55">
        <f t="shared" si="2"/>
        <v>7.2569198874238745E-3</v>
      </c>
      <c r="M34"/>
      <c r="O34"/>
      <c r="P34"/>
    </row>
    <row r="35" spans="1:16" x14ac:dyDescent="0.25">
      <c r="A35">
        <v>31</v>
      </c>
      <c r="B35" t="s">
        <v>158</v>
      </c>
      <c r="C35" t="s">
        <v>82</v>
      </c>
      <c r="D35">
        <v>31</v>
      </c>
      <c r="E35" s="52">
        <f t="shared" si="3"/>
        <v>1</v>
      </c>
      <c r="F35" s="40">
        <v>7417</v>
      </c>
      <c r="G35" s="40">
        <f>'Performance Assumptions'!$D$57</f>
        <v>100</v>
      </c>
      <c r="H35" s="40">
        <v>8414350</v>
      </c>
      <c r="I35">
        <v>8.6</v>
      </c>
      <c r="J35" s="54">
        <f t="shared" si="1"/>
        <v>1134.4681137926386</v>
      </c>
      <c r="K35" s="55">
        <f t="shared" si="2"/>
        <v>8.8147034530296447E-4</v>
      </c>
      <c r="M35"/>
      <c r="O35"/>
      <c r="P35"/>
    </row>
    <row r="36" spans="1:16" x14ac:dyDescent="0.25">
      <c r="A36">
        <v>32</v>
      </c>
      <c r="B36" t="s">
        <v>159</v>
      </c>
      <c r="C36" t="s">
        <v>98</v>
      </c>
      <c r="D36">
        <v>32</v>
      </c>
      <c r="E36" s="52">
        <f t="shared" si="3"/>
        <v>11.566526877621044</v>
      </c>
      <c r="F36" s="40">
        <v>121356</v>
      </c>
      <c r="G36" s="40">
        <f>'Performance Assumptions'!$D$57</f>
        <v>100</v>
      </c>
      <c r="H36" s="40">
        <v>1819046</v>
      </c>
      <c r="I36">
        <v>20.100000000000001</v>
      </c>
      <c r="J36" s="54">
        <f t="shared" si="1"/>
        <v>14.989337156794884</v>
      </c>
      <c r="K36" s="55">
        <f t="shared" si="2"/>
        <v>6.6714090792646258E-2</v>
      </c>
      <c r="M36"/>
      <c r="O36"/>
      <c r="P36"/>
    </row>
    <row r="37" spans="1:16" x14ac:dyDescent="0.25">
      <c r="A37">
        <v>33</v>
      </c>
      <c r="B37" t="s">
        <v>160</v>
      </c>
      <c r="C37" t="s">
        <v>113</v>
      </c>
      <c r="D37">
        <v>33</v>
      </c>
      <c r="E37" s="52">
        <f t="shared" si="3"/>
        <v>10.467594357605796</v>
      </c>
      <c r="F37" s="40">
        <v>109826</v>
      </c>
      <c r="G37" s="40">
        <f>'Performance Assumptions'!$D$57</f>
        <v>100</v>
      </c>
      <c r="H37" s="40">
        <v>1998257</v>
      </c>
      <c r="I37">
        <v>66.3</v>
      </c>
      <c r="J37" s="54">
        <f t="shared" ref="J37:J55" si="4">H37/F37</f>
        <v>18.194753519203104</v>
      </c>
      <c r="K37" s="55">
        <f t="shared" si="2"/>
        <v>5.4960898422975621E-2</v>
      </c>
      <c r="M37"/>
      <c r="O37"/>
      <c r="P37"/>
    </row>
    <row r="38" spans="1:16" x14ac:dyDescent="0.25">
      <c r="A38">
        <v>34</v>
      </c>
      <c r="B38" t="s">
        <v>24</v>
      </c>
      <c r="C38" t="s">
        <v>122</v>
      </c>
      <c r="D38">
        <v>34</v>
      </c>
      <c r="E38" s="52">
        <f t="shared" si="3"/>
        <v>4.5</v>
      </c>
      <c r="F38" s="40">
        <v>47214</v>
      </c>
      <c r="G38" s="40">
        <f>'Performance Assumptions'!$D$57</f>
        <v>100</v>
      </c>
      <c r="H38" s="40">
        <v>18976457</v>
      </c>
      <c r="I38">
        <v>5.5</v>
      </c>
      <c r="J38" s="52">
        <f t="shared" si="4"/>
        <v>401.9243656542551</v>
      </c>
      <c r="K38" s="55">
        <f t="shared" si="2"/>
        <v>2.4880302998605062E-3</v>
      </c>
      <c r="M38"/>
      <c r="O38"/>
      <c r="P38"/>
    </row>
    <row r="39" spans="1:16" x14ac:dyDescent="0.25">
      <c r="A39">
        <v>35</v>
      </c>
      <c r="B39" t="s">
        <v>161</v>
      </c>
      <c r="C39" t="s">
        <v>107</v>
      </c>
      <c r="D39">
        <v>35</v>
      </c>
      <c r="E39" s="52">
        <f t="shared" si="3"/>
        <v>5.3249142203583695</v>
      </c>
      <c r="F39" s="40">
        <v>55869</v>
      </c>
      <c r="G39" s="40">
        <f>'Performance Assumptions'!$D$57</f>
        <v>100</v>
      </c>
      <c r="H39" s="40">
        <v>2926324</v>
      </c>
      <c r="I39">
        <v>5.4</v>
      </c>
      <c r="J39" s="54">
        <f t="shared" si="4"/>
        <v>52.378313554923125</v>
      </c>
      <c r="K39" s="55">
        <f t="shared" si="2"/>
        <v>1.9091870893311883E-2</v>
      </c>
      <c r="M39"/>
      <c r="O39"/>
      <c r="P39"/>
    </row>
    <row r="40" spans="1:16" x14ac:dyDescent="0.25">
      <c r="A40">
        <v>36</v>
      </c>
      <c r="B40" t="s">
        <v>162</v>
      </c>
      <c r="C40" t="s">
        <v>110</v>
      </c>
      <c r="D40">
        <v>36</v>
      </c>
      <c r="E40" s="52">
        <f t="shared" si="3"/>
        <v>3.9027830728173849</v>
      </c>
      <c r="F40" s="40">
        <v>40948</v>
      </c>
      <c r="G40" s="40">
        <f>'Performance Assumptions'!$D$57</f>
        <v>100</v>
      </c>
      <c r="H40" s="40">
        <v>11353140</v>
      </c>
      <c r="I40">
        <v>4.7</v>
      </c>
      <c r="J40" s="54">
        <f t="shared" si="4"/>
        <v>277.25749731366614</v>
      </c>
      <c r="K40" s="55">
        <f t="shared" si="2"/>
        <v>3.6067554879090718E-3</v>
      </c>
      <c r="M40"/>
      <c r="O40"/>
      <c r="P40"/>
    </row>
    <row r="41" spans="1:16" x14ac:dyDescent="0.25">
      <c r="A41">
        <v>37</v>
      </c>
      <c r="B41" t="s">
        <v>163</v>
      </c>
      <c r="C41" t="s">
        <v>100</v>
      </c>
      <c r="D41">
        <v>37</v>
      </c>
      <c r="E41" s="52">
        <f t="shared" si="3"/>
        <v>6.5447007243614177</v>
      </c>
      <c r="F41" s="40">
        <v>68667</v>
      </c>
      <c r="G41" s="40">
        <f>'Performance Assumptions'!$D$57</f>
        <v>100</v>
      </c>
      <c r="H41" s="40">
        <v>3450654</v>
      </c>
      <c r="I41">
        <v>9.6999999999999993</v>
      </c>
      <c r="J41" s="54">
        <f t="shared" si="4"/>
        <v>50.251998776704966</v>
      </c>
      <c r="K41" s="55">
        <f t="shared" si="2"/>
        <v>1.9899705968781572E-2</v>
      </c>
      <c r="M41"/>
      <c r="O41"/>
      <c r="P41"/>
    </row>
    <row r="42" spans="1:16" x14ac:dyDescent="0.25">
      <c r="A42">
        <v>38</v>
      </c>
      <c r="B42" t="s">
        <v>164</v>
      </c>
      <c r="C42" t="s">
        <v>119</v>
      </c>
      <c r="D42">
        <v>38</v>
      </c>
      <c r="E42" s="52">
        <f t="shared" si="3"/>
        <v>9.149542508577964</v>
      </c>
      <c r="F42" s="40">
        <v>95997</v>
      </c>
      <c r="G42" s="40">
        <f>'Performance Assumptions'!$D$57</f>
        <v>100</v>
      </c>
      <c r="H42" s="40">
        <v>3421399</v>
      </c>
      <c r="I42">
        <v>20.399999999999999</v>
      </c>
      <c r="J42" s="54">
        <f t="shared" si="4"/>
        <v>35.640686688125669</v>
      </c>
      <c r="K42" s="55">
        <f t="shared" si="2"/>
        <v>2.8057820792021043E-2</v>
      </c>
      <c r="M42"/>
      <c r="O42"/>
      <c r="P42"/>
    </row>
    <row r="43" spans="1:16" x14ac:dyDescent="0.25">
      <c r="A43">
        <v>39</v>
      </c>
      <c r="B43" t="s">
        <v>165</v>
      </c>
      <c r="C43" t="s">
        <v>81</v>
      </c>
      <c r="D43">
        <v>39</v>
      </c>
      <c r="E43" s="52">
        <f t="shared" si="3"/>
        <v>4.2715402211208549</v>
      </c>
      <c r="F43" s="40">
        <v>44817</v>
      </c>
      <c r="G43" s="40">
        <f>'Performance Assumptions'!$D$57</f>
        <v>100</v>
      </c>
      <c r="H43" s="40">
        <v>12281054</v>
      </c>
      <c r="I43">
        <v>3.4</v>
      </c>
      <c r="J43" s="54">
        <f t="shared" si="4"/>
        <v>274.02668630207285</v>
      </c>
      <c r="K43" s="55">
        <f t="shared" si="2"/>
        <v>3.6492796139484447E-3</v>
      </c>
      <c r="M43"/>
      <c r="O43"/>
      <c r="P43"/>
    </row>
    <row r="44" spans="1:16" x14ac:dyDescent="0.25">
      <c r="A44">
        <v>40</v>
      </c>
      <c r="B44" t="s">
        <v>8</v>
      </c>
      <c r="C44" t="s">
        <v>80</v>
      </c>
      <c r="D44">
        <v>40</v>
      </c>
      <c r="E44" s="52">
        <f t="shared" si="3"/>
        <v>1</v>
      </c>
      <c r="F44" s="40">
        <v>1045</v>
      </c>
      <c r="G44" s="40">
        <f>'Performance Assumptions'!$D$57</f>
        <v>100</v>
      </c>
      <c r="H44" s="40">
        <v>1048319</v>
      </c>
      <c r="I44">
        <v>4.5</v>
      </c>
      <c r="J44" s="54">
        <f t="shared" si="4"/>
        <v>1003.1760765550239</v>
      </c>
      <c r="K44" s="55">
        <f t="shared" si="2"/>
        <v>9.9683397897014185E-4</v>
      </c>
      <c r="M44"/>
      <c r="O44"/>
      <c r="P44"/>
    </row>
    <row r="45" spans="1:16" x14ac:dyDescent="0.25">
      <c r="A45">
        <v>41</v>
      </c>
      <c r="B45" t="s">
        <v>166</v>
      </c>
      <c r="C45" t="s">
        <v>95</v>
      </c>
      <c r="D45">
        <v>41</v>
      </c>
      <c r="E45" s="52">
        <f t="shared" si="3"/>
        <v>2.8698055661456352</v>
      </c>
      <c r="F45" s="40">
        <v>30110</v>
      </c>
      <c r="G45" s="40">
        <f>'Performance Assumptions'!$D$57</f>
        <v>100</v>
      </c>
      <c r="H45" s="40">
        <v>4012012</v>
      </c>
      <c r="I45">
        <v>15.1</v>
      </c>
      <c r="J45" s="54">
        <f t="shared" si="4"/>
        <v>133.24516771836599</v>
      </c>
      <c r="K45" s="55">
        <f t="shared" si="2"/>
        <v>7.5049625973202475E-3</v>
      </c>
      <c r="M45"/>
      <c r="O45"/>
      <c r="P45"/>
    </row>
    <row r="46" spans="1:16" x14ac:dyDescent="0.25">
      <c r="A46">
        <v>42</v>
      </c>
      <c r="B46" t="s">
        <v>167</v>
      </c>
      <c r="C46" t="s">
        <v>104</v>
      </c>
      <c r="D46">
        <v>42</v>
      </c>
      <c r="E46" s="52">
        <f t="shared" si="3"/>
        <v>7.2326534502478079</v>
      </c>
      <c r="F46" s="40">
        <v>75885</v>
      </c>
      <c r="G46" s="40">
        <f>'Performance Assumptions'!$D$57</f>
        <v>100</v>
      </c>
      <c r="H46" s="40">
        <v>754844</v>
      </c>
      <c r="I46">
        <v>8.5</v>
      </c>
      <c r="J46" s="54">
        <f t="shared" si="4"/>
        <v>9.9472095934637945</v>
      </c>
      <c r="K46" s="55">
        <f t="shared" si="2"/>
        <v>0.10053070568223367</v>
      </c>
      <c r="M46"/>
      <c r="O46"/>
      <c r="P46"/>
    </row>
    <row r="47" spans="1:16" x14ac:dyDescent="0.25">
      <c r="A47">
        <v>43</v>
      </c>
      <c r="B47" t="s">
        <v>168</v>
      </c>
      <c r="C47" t="s">
        <v>94</v>
      </c>
      <c r="D47">
        <v>43</v>
      </c>
      <c r="E47" s="52">
        <f t="shared" si="3"/>
        <v>3.928421654593977</v>
      </c>
      <c r="F47" s="40">
        <v>41217</v>
      </c>
      <c r="G47" s="40">
        <f>'Performance Assumptions'!$D$57</f>
        <v>100</v>
      </c>
      <c r="H47" s="40">
        <v>5689283</v>
      </c>
      <c r="I47">
        <v>16.7</v>
      </c>
      <c r="J47" s="54">
        <f t="shared" si="4"/>
        <v>138.03243807166945</v>
      </c>
      <c r="K47" s="55">
        <f t="shared" si="2"/>
        <v>7.2446738894866016E-3</v>
      </c>
      <c r="M47"/>
      <c r="O47"/>
      <c r="P47"/>
    </row>
    <row r="48" spans="1:16" x14ac:dyDescent="0.25">
      <c r="A48">
        <v>44</v>
      </c>
      <c r="B48" t="s">
        <v>169</v>
      </c>
      <c r="C48" t="s">
        <v>97</v>
      </c>
      <c r="D48">
        <v>44</v>
      </c>
      <c r="E48" s="52">
        <f t="shared" si="3"/>
        <v>24.952058711399161</v>
      </c>
      <c r="F48" s="40">
        <v>261797</v>
      </c>
      <c r="G48" s="40">
        <f>'Performance Assumptions'!$D$57</f>
        <v>100</v>
      </c>
      <c r="H48" s="40">
        <v>20851820</v>
      </c>
      <c r="I48">
        <v>22.8</v>
      </c>
      <c r="J48" s="54">
        <f t="shared" si="4"/>
        <v>79.648811865682191</v>
      </c>
      <c r="K48" s="55">
        <f t="shared" si="2"/>
        <v>1.2555115093071011E-2</v>
      </c>
      <c r="M48"/>
      <c r="O48"/>
      <c r="P48"/>
    </row>
    <row r="49" spans="1:16" x14ac:dyDescent="0.25">
      <c r="A49">
        <v>45</v>
      </c>
      <c r="B49" t="s">
        <v>170</v>
      </c>
      <c r="C49" t="s">
        <v>116</v>
      </c>
      <c r="D49">
        <v>45</v>
      </c>
      <c r="E49" s="52">
        <f t="shared" si="3"/>
        <v>7.829203202439956</v>
      </c>
      <c r="F49" s="40">
        <v>82144</v>
      </c>
      <c r="G49" s="40">
        <f>'Performance Assumptions'!$D$57</f>
        <v>100</v>
      </c>
      <c r="H49" s="40">
        <v>2233169</v>
      </c>
      <c r="I49">
        <v>29.6</v>
      </c>
      <c r="J49" s="54">
        <f t="shared" si="4"/>
        <v>27.18602697701597</v>
      </c>
      <c r="K49" s="55">
        <f t="shared" si="2"/>
        <v>3.6783602136694536E-2</v>
      </c>
      <c r="M49"/>
      <c r="O49"/>
      <c r="P49"/>
    </row>
    <row r="50" spans="1:16" x14ac:dyDescent="0.25">
      <c r="A50">
        <v>46</v>
      </c>
      <c r="B50" t="s">
        <v>171</v>
      </c>
      <c r="C50" t="s">
        <v>93</v>
      </c>
      <c r="D50">
        <v>46</v>
      </c>
      <c r="E50" s="52">
        <f t="shared" si="3"/>
        <v>3.7737323675181091</v>
      </c>
      <c r="F50" s="40">
        <v>39594</v>
      </c>
      <c r="G50" s="40">
        <f>'Performance Assumptions'!$D$57</f>
        <v>100</v>
      </c>
      <c r="H50" s="40">
        <v>7078515</v>
      </c>
      <c r="I50">
        <v>14.4</v>
      </c>
      <c r="J50" s="54">
        <f t="shared" si="4"/>
        <v>178.77746628277012</v>
      </c>
      <c r="K50" s="55">
        <f t="shared" si="2"/>
        <v>5.5935461039497694E-3</v>
      </c>
      <c r="M50"/>
      <c r="O50"/>
      <c r="P50"/>
    </row>
    <row r="51" spans="1:16" x14ac:dyDescent="0.25">
      <c r="A51">
        <v>47</v>
      </c>
      <c r="B51" t="s">
        <v>172</v>
      </c>
      <c r="C51" t="s">
        <v>76</v>
      </c>
      <c r="D51">
        <v>47</v>
      </c>
      <c r="E51" s="52">
        <f t="shared" si="3"/>
        <v>1</v>
      </c>
      <c r="F51" s="40">
        <v>9250</v>
      </c>
      <c r="G51" s="40">
        <f>'Performance Assumptions'!$D$57</f>
        <v>100</v>
      </c>
      <c r="H51" s="40">
        <v>608827</v>
      </c>
      <c r="I51">
        <v>8.1999999999999993</v>
      </c>
      <c r="J51" s="54">
        <f t="shared" si="4"/>
        <v>65.819135135135141</v>
      </c>
      <c r="K51" s="55">
        <f t="shared" si="2"/>
        <v>1.5193150106680551E-2</v>
      </c>
      <c r="M51"/>
      <c r="O51"/>
      <c r="P51"/>
    </row>
    <row r="52" spans="1:16" x14ac:dyDescent="0.25">
      <c r="A52">
        <v>48</v>
      </c>
      <c r="B52" t="s">
        <v>173</v>
      </c>
      <c r="C52" t="s">
        <v>120</v>
      </c>
      <c r="D52">
        <v>48</v>
      </c>
      <c r="E52" s="52">
        <f t="shared" si="3"/>
        <v>6.3423560808234853</v>
      </c>
      <c r="F52" s="40">
        <v>66544</v>
      </c>
      <c r="G52" s="40">
        <f>'Performance Assumptions'!$D$57</f>
        <v>100</v>
      </c>
      <c r="H52" s="40">
        <v>5894121</v>
      </c>
      <c r="I52">
        <v>21.1</v>
      </c>
      <c r="J52" s="54">
        <f t="shared" si="4"/>
        <v>88.574792618417888</v>
      </c>
      <c r="K52" s="55">
        <f t="shared" si="2"/>
        <v>1.1289893777206135E-2</v>
      </c>
      <c r="M52"/>
      <c r="O52"/>
      <c r="P52"/>
    </row>
    <row r="53" spans="1:16" x14ac:dyDescent="0.25">
      <c r="A53">
        <v>49</v>
      </c>
      <c r="B53" t="s">
        <v>174</v>
      </c>
      <c r="C53" t="s">
        <v>108</v>
      </c>
      <c r="D53">
        <v>49</v>
      </c>
      <c r="E53" s="52">
        <f t="shared" si="3"/>
        <v>5.1763248189096451</v>
      </c>
      <c r="F53" s="40">
        <v>54310</v>
      </c>
      <c r="G53" s="40">
        <f>'Performance Assumptions'!$D$57</f>
        <v>100</v>
      </c>
      <c r="H53" s="40">
        <v>5363675</v>
      </c>
      <c r="I53">
        <v>9.6</v>
      </c>
      <c r="J53" s="54">
        <f t="shared" si="4"/>
        <v>98.760357208617194</v>
      </c>
      <c r="K53" s="55">
        <f t="shared" si="2"/>
        <v>1.0125520282269153E-2</v>
      </c>
      <c r="M53"/>
      <c r="O53"/>
      <c r="P53"/>
    </row>
    <row r="54" spans="1:16" x14ac:dyDescent="0.25">
      <c r="A54">
        <v>50</v>
      </c>
      <c r="B54" t="s">
        <v>175</v>
      </c>
      <c r="C54" t="s">
        <v>96</v>
      </c>
      <c r="D54">
        <v>50</v>
      </c>
      <c r="E54" s="52">
        <f t="shared" si="3"/>
        <v>2.2948913457872666</v>
      </c>
      <c r="F54" s="40">
        <v>24078</v>
      </c>
      <c r="G54" s="40">
        <f>'Performance Assumptions'!$D$57</f>
        <v>100</v>
      </c>
      <c r="H54" s="40">
        <v>1808344</v>
      </c>
      <c r="I54">
        <v>0.8</v>
      </c>
      <c r="J54" s="54">
        <f t="shared" si="4"/>
        <v>75.103580031564078</v>
      </c>
      <c r="K54" s="55">
        <f t="shared" si="2"/>
        <v>1.3314944501709853E-2</v>
      </c>
      <c r="M54"/>
      <c r="O54"/>
      <c r="P54"/>
    </row>
    <row r="55" spans="1:16" x14ac:dyDescent="0.25">
      <c r="A55">
        <v>51</v>
      </c>
      <c r="B55" t="s">
        <v>176</v>
      </c>
      <c r="C55" t="s">
        <v>115</v>
      </c>
      <c r="D55">
        <v>51</v>
      </c>
      <c r="E55" s="52">
        <f t="shared" si="3"/>
        <v>9.2546702249332835</v>
      </c>
      <c r="F55" s="40">
        <v>97100</v>
      </c>
      <c r="G55" s="40">
        <f>'Performance Assumptions'!$D$57</f>
        <v>100</v>
      </c>
      <c r="H55" s="40">
        <v>493782</v>
      </c>
      <c r="I55">
        <v>8.9</v>
      </c>
      <c r="J55" s="54">
        <f t="shared" si="4"/>
        <v>5.0852935118434601</v>
      </c>
      <c r="K55" s="55">
        <f t="shared" si="2"/>
        <v>0.19664548322944134</v>
      </c>
      <c r="M55"/>
      <c r="O55"/>
      <c r="P55"/>
    </row>
    <row r="56" spans="1:16" x14ac:dyDescent="0.25">
      <c r="B56" t="s">
        <v>177</v>
      </c>
      <c r="C56" t="s">
        <v>62</v>
      </c>
      <c r="E56" s="52"/>
      <c r="F56" s="40">
        <v>3537441</v>
      </c>
      <c r="H56" s="40">
        <v>281421906</v>
      </c>
      <c r="I56">
        <v>13.1</v>
      </c>
      <c r="J56" s="52">
        <f>H56/F56</f>
        <v>79.555222546467917</v>
      </c>
      <c r="K56" s="55">
        <f>1/J56</f>
        <v>1.2569885018119377E-2</v>
      </c>
      <c r="M56"/>
      <c r="O56"/>
      <c r="P56"/>
    </row>
    <row r="58" spans="1:16" x14ac:dyDescent="0.25">
      <c r="F58" s="40">
        <f>SUM(F5:F55)</f>
        <v>3537441</v>
      </c>
      <c r="H58" s="40">
        <f>SUM(H5:H55)</f>
        <v>281421906</v>
      </c>
      <c r="I58" s="40">
        <f>AVERAGE(I5:I55)</f>
        <v>13.443137254901959</v>
      </c>
    </row>
    <row r="59" spans="1:16" x14ac:dyDescent="0.25">
      <c r="G59" s="40"/>
      <c r="H59" s="51" t="s">
        <v>63</v>
      </c>
      <c r="I59" s="40"/>
    </row>
    <row r="60" spans="1:16" x14ac:dyDescent="0.25">
      <c r="G60" s="40"/>
      <c r="H60" t="s">
        <v>64</v>
      </c>
      <c r="I60" s="40"/>
    </row>
    <row r="64" spans="1:16" x14ac:dyDescent="0.25">
      <c r="C64" s="1"/>
      <c r="E64" s="1"/>
    </row>
  </sheetData>
  <phoneticPr fontId="0" type="noConversion"/>
  <hyperlinks>
    <hyperlink ref="H59" r:id="rId1"/>
  </hyperlinks>
  <printOptions gridLines="1"/>
  <pageMargins left="0.75" right="0.75" top="1" bottom="1" header="0.5" footer="0.5"/>
  <pageSetup orientation="portrait" r:id="rId2"/>
  <headerFooter alignWithMargins="0"/>
  <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M28"/>
  <sheetViews>
    <sheetView workbookViewId="0">
      <selection activeCell="E2" sqref="E2"/>
    </sheetView>
  </sheetViews>
  <sheetFormatPr defaultColWidth="9.109375" defaultRowHeight="15" x14ac:dyDescent="0.25"/>
  <cols>
    <col min="1" max="1" width="9.109375" style="120" customWidth="1"/>
    <col min="2" max="2" width="16.109375" style="120" customWidth="1"/>
    <col min="3" max="3" width="13.6640625" style="120" customWidth="1"/>
    <col min="4" max="4" width="16.33203125" style="120" customWidth="1"/>
    <col min="5" max="5" width="7.44140625" style="120" customWidth="1"/>
    <col min="6" max="6" width="13.6640625" style="120" customWidth="1"/>
    <col min="7" max="7" width="13.33203125" style="120" customWidth="1"/>
    <col min="8" max="8" width="10.33203125" style="120" customWidth="1"/>
    <col min="9" max="9" width="11.44140625" style="120" customWidth="1"/>
    <col min="10" max="11" width="9.109375" style="120" customWidth="1"/>
    <col min="12" max="12" width="13" style="120" customWidth="1"/>
    <col min="13" max="13" width="13.109375" style="120" customWidth="1"/>
    <col min="14" max="16384" width="9.109375" style="120"/>
  </cols>
  <sheetData>
    <row r="1" spans="2:13" x14ac:dyDescent="0.25">
      <c r="K1" s="559"/>
      <c r="L1" s="559"/>
      <c r="M1" s="559"/>
    </row>
    <row r="2" spans="2:13" x14ac:dyDescent="0.25">
      <c r="K2" s="153"/>
      <c r="L2" s="153"/>
      <c r="M2" s="153"/>
    </row>
    <row r="3" spans="2:13" x14ac:dyDescent="0.25">
      <c r="K3" s="153"/>
      <c r="L3" s="153"/>
      <c r="M3" s="153"/>
    </row>
    <row r="4" spans="2:13" ht="15.6" thickBot="1" x14ac:dyDescent="0.3">
      <c r="K4" s="153"/>
      <c r="L4" s="153"/>
      <c r="M4" s="153"/>
    </row>
    <row r="5" spans="2:13" ht="33" customHeight="1" thickBot="1" x14ac:dyDescent="0.35">
      <c r="B5" s="564" t="s">
        <v>244</v>
      </c>
      <c r="C5" s="565"/>
      <c r="D5" s="565"/>
      <c r="E5" s="565"/>
      <c r="F5" s="565"/>
      <c r="G5" s="566"/>
      <c r="K5" s="153"/>
      <c r="L5" s="153"/>
      <c r="M5" s="153"/>
    </row>
    <row r="6" spans="2:13" ht="18.75" customHeight="1" thickTop="1" x14ac:dyDescent="0.3">
      <c r="B6" s="569"/>
      <c r="C6" s="570"/>
      <c r="D6" s="570"/>
      <c r="E6" s="570"/>
      <c r="F6" s="570"/>
      <c r="G6" s="571"/>
      <c r="K6" s="153"/>
      <c r="L6" s="153"/>
      <c r="M6" s="153"/>
    </row>
    <row r="7" spans="2:13" ht="15.6" x14ac:dyDescent="0.3">
      <c r="B7" s="567" t="s">
        <v>0</v>
      </c>
      <c r="C7" s="376"/>
      <c r="D7" s="376"/>
      <c r="E7" s="376"/>
      <c r="F7" s="376"/>
      <c r="G7" s="568"/>
      <c r="K7" s="153"/>
      <c r="L7" s="153"/>
      <c r="M7" s="153"/>
    </row>
    <row r="8" spans="2:13" ht="31.2" x14ac:dyDescent="0.3">
      <c r="B8" s="575" t="s">
        <v>226</v>
      </c>
      <c r="C8" s="576"/>
      <c r="D8" s="576"/>
      <c r="E8" s="576"/>
      <c r="F8" s="159" t="s">
        <v>231</v>
      </c>
      <c r="G8" s="160" t="s">
        <v>232</v>
      </c>
    </row>
    <row r="9" spans="2:13" ht="34.5" customHeight="1" x14ac:dyDescent="0.25">
      <c r="B9" s="562" t="s">
        <v>187</v>
      </c>
      <c r="C9" s="563"/>
      <c r="D9" s="563"/>
      <c r="E9" s="563"/>
      <c r="F9" s="161">
        <v>1</v>
      </c>
      <c r="G9" s="150" t="str">
        <f>IF(F9=1,"shell casings only",IF(F9=2,"bullets only","shell casings and bullets"))</f>
        <v>shell casings only</v>
      </c>
      <c r="K9" s="158"/>
      <c r="L9" s="158"/>
      <c r="M9" s="158"/>
    </row>
    <row r="10" spans="2:13" ht="30" x14ac:dyDescent="0.25">
      <c r="B10" s="560" t="s">
        <v>188</v>
      </c>
      <c r="C10" s="561"/>
      <c r="D10" s="561"/>
      <c r="E10" s="561"/>
      <c r="F10" s="148">
        <v>1</v>
      </c>
      <c r="G10" s="162" t="str">
        <f>IF(F10=1,"one central location","distributed locations")</f>
        <v>one central location</v>
      </c>
      <c r="K10" s="158"/>
      <c r="L10" s="158"/>
      <c r="M10" s="158"/>
    </row>
    <row r="11" spans="2:13" ht="34.5" customHeight="1" x14ac:dyDescent="0.25">
      <c r="B11" s="560" t="s">
        <v>225</v>
      </c>
      <c r="C11" s="561"/>
      <c r="D11" s="561"/>
      <c r="E11" s="561"/>
      <c r="F11" s="148">
        <v>1</v>
      </c>
      <c r="G11" s="162" t="str">
        <f>IF(F11=1,"stand-alone hub",IF(F11=2,"remote","hub network"))</f>
        <v>stand-alone hub</v>
      </c>
      <c r="K11" s="158"/>
      <c r="L11" s="158"/>
      <c r="M11" s="158"/>
    </row>
    <row r="12" spans="2:13" ht="34.5" customHeight="1" x14ac:dyDescent="0.25">
      <c r="B12" s="451" t="s">
        <v>349</v>
      </c>
      <c r="C12" s="452"/>
      <c r="D12" s="452"/>
      <c r="E12" s="582"/>
      <c r="F12" s="148">
        <f>G12</f>
        <v>1</v>
      </c>
      <c r="G12" s="162">
        <v>1</v>
      </c>
      <c r="K12" s="158"/>
      <c r="L12" s="158"/>
      <c r="M12" s="158"/>
    </row>
    <row r="13" spans="2:13" ht="24" customHeight="1" x14ac:dyDescent="0.3">
      <c r="B13" s="577" t="s">
        <v>227</v>
      </c>
      <c r="C13" s="578"/>
      <c r="D13" s="578"/>
      <c r="E13" s="578"/>
      <c r="F13" s="148"/>
      <c r="G13" s="137"/>
      <c r="K13" s="158"/>
      <c r="L13" s="158"/>
      <c r="M13" s="158"/>
    </row>
    <row r="14" spans="2:13" ht="51.75" customHeight="1" x14ac:dyDescent="0.25">
      <c r="B14" s="560" t="s">
        <v>217</v>
      </c>
      <c r="C14" s="561"/>
      <c r="D14" s="561"/>
      <c r="E14" s="561"/>
      <c r="F14" s="148">
        <v>1</v>
      </c>
      <c r="G14" s="162" t="str">
        <f>IF(F14=1,"one central location",IF(F14=2,"distributed locations","mobile operation"))</f>
        <v>one central location</v>
      </c>
      <c r="K14" s="158"/>
      <c r="L14" s="158"/>
      <c r="M14" s="158"/>
    </row>
    <row r="15" spans="2:13" ht="20.25" customHeight="1" x14ac:dyDescent="0.3">
      <c r="B15" s="577" t="s">
        <v>228</v>
      </c>
      <c r="C15" s="578"/>
      <c r="D15" s="578"/>
      <c r="E15" s="578"/>
      <c r="F15" s="148"/>
      <c r="G15" s="137"/>
      <c r="K15" s="158"/>
      <c r="L15" s="158"/>
      <c r="M15" s="158"/>
    </row>
    <row r="16" spans="2:13" ht="46.5" customHeight="1" x14ac:dyDescent="0.25">
      <c r="B16" s="560" t="s">
        <v>317</v>
      </c>
      <c r="C16" s="561"/>
      <c r="D16" s="561"/>
      <c r="E16" s="561"/>
      <c r="F16" s="148">
        <v>2</v>
      </c>
      <c r="G16" s="162" t="str">
        <f>IF(F16=1,"yes","no")</f>
        <v>no</v>
      </c>
      <c r="K16" s="158"/>
      <c r="L16" s="158"/>
      <c r="M16" s="158"/>
    </row>
    <row r="17" spans="1:13" ht="46.5" customHeight="1" thickBot="1" x14ac:dyDescent="0.3">
      <c r="B17" s="579" t="s">
        <v>197</v>
      </c>
      <c r="C17" s="580"/>
      <c r="D17" s="580"/>
      <c r="E17" s="580"/>
      <c r="F17" s="266">
        <v>2</v>
      </c>
      <c r="G17" s="167" t="str">
        <f>IF(F17=1,"yes","no")</f>
        <v>no</v>
      </c>
      <c r="K17" s="158"/>
      <c r="L17" s="158"/>
      <c r="M17" s="158"/>
    </row>
    <row r="18" spans="1:13" x14ac:dyDescent="0.25">
      <c r="A18" s="153"/>
      <c r="B18" s="581"/>
      <c r="C18" s="581"/>
      <c r="D18" s="581"/>
      <c r="E18" s="581"/>
      <c r="F18" s="581"/>
      <c r="G18" s="581"/>
      <c r="H18" s="153"/>
      <c r="I18" s="158"/>
      <c r="K18" s="158"/>
      <c r="L18" s="158"/>
      <c r="M18" s="158"/>
    </row>
    <row r="19" spans="1:13" ht="15.6" x14ac:dyDescent="0.3">
      <c r="B19" s="572" t="s">
        <v>233</v>
      </c>
      <c r="C19" s="573"/>
      <c r="D19" s="573"/>
      <c r="E19" s="573"/>
      <c r="F19" s="573"/>
      <c r="G19" s="574"/>
      <c r="H19" s="277"/>
      <c r="I19" s="158"/>
      <c r="K19" s="158"/>
      <c r="L19" s="158"/>
      <c r="M19" s="158"/>
    </row>
    <row r="20" spans="1:13" ht="31.2" x14ac:dyDescent="0.3">
      <c r="B20" s="141" t="s">
        <v>238</v>
      </c>
      <c r="C20" s="131" t="s">
        <v>239</v>
      </c>
      <c r="D20" s="131" t="s">
        <v>240</v>
      </c>
      <c r="E20" s="131" t="s">
        <v>350</v>
      </c>
      <c r="F20" s="131" t="s">
        <v>241</v>
      </c>
      <c r="G20" s="131" t="s">
        <v>458</v>
      </c>
      <c r="H20" s="142" t="s">
        <v>242</v>
      </c>
    </row>
    <row r="21" spans="1:13" ht="30" x14ac:dyDescent="0.25">
      <c r="B21" s="163" t="s">
        <v>284</v>
      </c>
      <c r="C21" s="164" t="s">
        <v>67</v>
      </c>
      <c r="D21" s="164" t="s">
        <v>354</v>
      </c>
      <c r="E21" s="164">
        <v>1</v>
      </c>
      <c r="F21" s="164" t="s">
        <v>67</v>
      </c>
      <c r="G21" s="164" t="s">
        <v>29</v>
      </c>
      <c r="H21" s="162" t="s">
        <v>29</v>
      </c>
    </row>
    <row r="22" spans="1:13" ht="30" x14ac:dyDescent="0.25">
      <c r="B22" s="163" t="s">
        <v>200</v>
      </c>
      <c r="C22" s="164" t="s">
        <v>201</v>
      </c>
      <c r="D22" s="164" t="s">
        <v>59</v>
      </c>
      <c r="E22" s="164">
        <v>2</v>
      </c>
      <c r="F22" s="164" t="s">
        <v>201</v>
      </c>
      <c r="G22" s="164" t="s">
        <v>216</v>
      </c>
      <c r="H22" s="162" t="s">
        <v>216</v>
      </c>
    </row>
    <row r="23" spans="1:13" ht="30.6" thickBot="1" x14ac:dyDescent="0.3">
      <c r="B23" s="165" t="s">
        <v>285</v>
      </c>
      <c r="C23" s="166"/>
      <c r="D23" s="166" t="s">
        <v>178</v>
      </c>
      <c r="E23" s="166">
        <v>3</v>
      </c>
      <c r="F23" s="166" t="s">
        <v>202</v>
      </c>
      <c r="G23" s="166"/>
      <c r="H23" s="167"/>
    </row>
    <row r="25" spans="1:13" ht="15.6" x14ac:dyDescent="0.3">
      <c r="B25" s="583" t="s">
        <v>1</v>
      </c>
      <c r="C25" s="584"/>
      <c r="D25" s="584"/>
      <c r="E25" s="584"/>
      <c r="F25" s="584"/>
      <c r="G25" s="585"/>
    </row>
    <row r="26" spans="1:13" ht="15.6" x14ac:dyDescent="0.3">
      <c r="B26" s="205" t="s">
        <v>211</v>
      </c>
      <c r="C26" s="148">
        <v>2</v>
      </c>
      <c r="D26" s="523" t="str">
        <f>IF(C26=1,"default used","user estimates used")</f>
        <v>user estimates used</v>
      </c>
      <c r="E26" s="586"/>
      <c r="F26" s="148"/>
      <c r="G26" s="148"/>
    </row>
    <row r="27" spans="1:13" ht="15.6" x14ac:dyDescent="0.3">
      <c r="B27" s="205" t="s">
        <v>212</v>
      </c>
      <c r="C27" s="148">
        <v>2</v>
      </c>
      <c r="D27" s="523" t="str">
        <f>IF(C27=1,"default used","user estimates used")</f>
        <v>user estimates used</v>
      </c>
      <c r="E27" s="586"/>
      <c r="F27" s="148"/>
      <c r="G27" s="148"/>
    </row>
    <row r="28" spans="1:13" ht="15.6" x14ac:dyDescent="0.3">
      <c r="B28" s="205" t="s">
        <v>297</v>
      </c>
      <c r="C28" s="148">
        <v>2</v>
      </c>
      <c r="D28" s="523" t="str">
        <f>IF(C28=1,"model estimate used","user estimate used")</f>
        <v>user estimate used</v>
      </c>
      <c r="E28" s="586"/>
      <c r="F28" s="148"/>
      <c r="G28" s="148"/>
    </row>
  </sheetData>
  <mergeCells count="20">
    <mergeCell ref="B25:G25"/>
    <mergeCell ref="D26:E26"/>
    <mergeCell ref="D27:E27"/>
    <mergeCell ref="D28:E28"/>
    <mergeCell ref="B19:G19"/>
    <mergeCell ref="B8:E8"/>
    <mergeCell ref="B13:E13"/>
    <mergeCell ref="B15:E15"/>
    <mergeCell ref="B17:E17"/>
    <mergeCell ref="B18:G18"/>
    <mergeCell ref="B12:E12"/>
    <mergeCell ref="K1:M1"/>
    <mergeCell ref="B14:E14"/>
    <mergeCell ref="B16:E16"/>
    <mergeCell ref="B9:E9"/>
    <mergeCell ref="B10:E10"/>
    <mergeCell ref="B11:E11"/>
    <mergeCell ref="B5:G5"/>
    <mergeCell ref="B7:G7"/>
    <mergeCell ref="B6:G6"/>
  </mergeCells>
  <phoneticPr fontId="0" type="noConversion"/>
  <pageMargins left="0.75" right="0.75" top="1" bottom="1" header="0.5" footer="0.5"/>
  <pageSetup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5365" r:id="rId4" name="Button 5">
              <controlPr defaultSize="0" print="0" autoFill="0" autoPict="0" macro="[0]!ToMap">
                <anchor moveWithCells="1" sizeWithCells="1">
                  <from>
                    <xdr:col>2</xdr:col>
                    <xdr:colOff>175260</xdr:colOff>
                    <xdr:row>0</xdr:row>
                    <xdr:rowOff>144780</xdr:rowOff>
                  </from>
                  <to>
                    <xdr:col>3</xdr:col>
                    <xdr:colOff>777240</xdr:colOff>
                    <xdr:row>3</xdr:row>
                    <xdr:rowOff>7620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C3:K26"/>
  <sheetViews>
    <sheetView showRowColHeaders="0" topLeftCell="A11" workbookViewId="0">
      <selection activeCell="J32" sqref="J32"/>
    </sheetView>
  </sheetViews>
  <sheetFormatPr defaultColWidth="9.109375" defaultRowHeight="15" x14ac:dyDescent="0.25"/>
  <cols>
    <col min="1" max="16384" width="9.109375" style="104"/>
  </cols>
  <sheetData>
    <row r="3" spans="3:11" ht="15.6" x14ac:dyDescent="0.3">
      <c r="C3" s="106"/>
      <c r="D3" s="106"/>
      <c r="E3" s="106"/>
      <c r="F3" s="106"/>
      <c r="G3" s="106"/>
      <c r="H3" s="106"/>
      <c r="I3" s="106"/>
      <c r="J3" s="106"/>
      <c r="K3" s="106"/>
    </row>
    <row r="4" spans="3:11" ht="15.6" x14ac:dyDescent="0.3">
      <c r="C4" s="106"/>
      <c r="D4" s="106"/>
      <c r="E4" s="106"/>
      <c r="F4" s="106"/>
      <c r="G4" s="106"/>
      <c r="H4" s="106"/>
      <c r="I4" s="106"/>
      <c r="J4" s="106"/>
      <c r="K4" s="106"/>
    </row>
    <row r="5" spans="3:11" ht="15.6" x14ac:dyDescent="0.3">
      <c r="C5" s="106"/>
      <c r="D5" s="106"/>
      <c r="E5" s="106"/>
      <c r="F5" s="106"/>
      <c r="G5" s="106"/>
      <c r="H5" s="106"/>
      <c r="I5" s="106"/>
      <c r="J5" s="106"/>
      <c r="K5" s="106"/>
    </row>
    <row r="6" spans="3:11" ht="15.6" x14ac:dyDescent="0.3">
      <c r="C6" s="106"/>
      <c r="D6" s="106"/>
      <c r="E6" s="106"/>
      <c r="F6" s="106"/>
      <c r="G6" s="106"/>
      <c r="H6" s="106"/>
      <c r="I6" s="106"/>
      <c r="J6" s="106"/>
      <c r="K6" s="106"/>
    </row>
    <row r="7" spans="3:11" ht="15.6" x14ac:dyDescent="0.3">
      <c r="C7" s="106"/>
      <c r="D7" s="106"/>
      <c r="E7" s="106"/>
      <c r="F7" s="106"/>
      <c r="G7" s="106"/>
      <c r="H7" s="106"/>
      <c r="I7" s="106"/>
      <c r="J7" s="106"/>
      <c r="K7" s="106"/>
    </row>
    <row r="8" spans="3:11" ht="15.6" x14ac:dyDescent="0.3">
      <c r="C8" s="106"/>
      <c r="D8" s="106"/>
      <c r="E8" s="106"/>
      <c r="F8" s="106"/>
      <c r="G8" s="106"/>
      <c r="H8" s="106"/>
      <c r="I8" s="106"/>
      <c r="J8" s="106"/>
      <c r="K8" s="106"/>
    </row>
    <row r="9" spans="3:11" ht="15.6" x14ac:dyDescent="0.3">
      <c r="C9" s="106"/>
      <c r="D9" s="106"/>
      <c r="E9" s="106"/>
      <c r="F9" s="106"/>
      <c r="G9" s="106"/>
      <c r="H9" s="106"/>
      <c r="I9" s="106"/>
      <c r="J9" s="106"/>
      <c r="K9" s="106"/>
    </row>
    <row r="10" spans="3:11" ht="15.6" x14ac:dyDescent="0.3">
      <c r="C10" s="106"/>
      <c r="D10" s="106"/>
      <c r="E10" s="106"/>
      <c r="F10" s="106"/>
      <c r="G10" s="106"/>
      <c r="H10" s="106"/>
      <c r="I10" s="106"/>
      <c r="J10" s="106"/>
      <c r="K10" s="106"/>
    </row>
    <row r="25" spans="6:8" ht="15.6" x14ac:dyDescent="0.3">
      <c r="F25" s="106"/>
      <c r="G25" s="106"/>
      <c r="H25" s="106"/>
    </row>
    <row r="26" spans="6:8" ht="15.6" x14ac:dyDescent="0.3">
      <c r="F26" s="106"/>
      <c r="G26" s="106"/>
      <c r="H26" s="106"/>
    </row>
  </sheetData>
  <sheetProtection sheet="1"/>
  <phoneticPr fontId="0" type="noConversion"/>
  <pageMargins left="0.75" right="0.75" top="1" bottom="1" header="0.5" footer="0.5"/>
  <pageSetup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8" r:id="rId4" name="Button 6">
              <controlPr defaultSize="0" print="0" autoFill="0" autoPict="0" macro="[0]!WelcomeMapButton">
                <anchor moveWithCells="1" sizeWithCells="1">
                  <from>
                    <xdr:col>9</xdr:col>
                    <xdr:colOff>91440</xdr:colOff>
                    <xdr:row>8</xdr:row>
                    <xdr:rowOff>68580</xdr:rowOff>
                  </from>
                  <to>
                    <xdr:col>11</xdr:col>
                    <xdr:colOff>480060</xdr:colOff>
                    <xdr:row>10</xdr:row>
                    <xdr:rowOff>152400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B2:N32"/>
  <sheetViews>
    <sheetView workbookViewId="0"/>
  </sheetViews>
  <sheetFormatPr defaultColWidth="9.109375" defaultRowHeight="15" x14ac:dyDescent="0.25"/>
  <cols>
    <col min="1" max="1" width="5.109375" style="104" customWidth="1"/>
    <col min="2" max="2" width="6.88671875" style="104" customWidth="1"/>
    <col min="3" max="12" width="9.109375" style="104" customWidth="1"/>
    <col min="13" max="13" width="10.6640625" style="104" customWidth="1"/>
    <col min="14" max="16384" width="9.109375" style="104"/>
  </cols>
  <sheetData>
    <row r="2" spans="2:13" x14ac:dyDescent="0.25">
      <c r="C2" s="376" t="s">
        <v>47</v>
      </c>
      <c r="D2" s="376"/>
      <c r="E2" s="376"/>
      <c r="F2" s="376"/>
      <c r="G2" s="376"/>
      <c r="H2" s="376"/>
      <c r="I2" s="376"/>
      <c r="J2" s="376"/>
      <c r="K2" s="376"/>
      <c r="L2" s="376"/>
    </row>
    <row r="3" spans="2:13" ht="15.75" customHeight="1" x14ac:dyDescent="0.25">
      <c r="C3" s="376"/>
      <c r="D3" s="376"/>
      <c r="E3" s="376"/>
      <c r="F3" s="376"/>
      <c r="G3" s="376"/>
      <c r="H3" s="376"/>
      <c r="I3" s="376"/>
      <c r="J3" s="376"/>
      <c r="K3" s="376"/>
      <c r="L3" s="376"/>
    </row>
    <row r="4" spans="2:13" ht="15.6" thickBot="1" x14ac:dyDescent="0.3"/>
    <row r="5" spans="2:13" ht="57" customHeight="1" thickBot="1" x14ac:dyDescent="0.35">
      <c r="D5" s="380" t="s">
        <v>305</v>
      </c>
      <c r="E5" s="381"/>
      <c r="F5" s="381"/>
      <c r="G5" s="381"/>
      <c r="H5" s="381"/>
      <c r="I5" s="381"/>
      <c r="J5" s="381"/>
      <c r="K5" s="382"/>
      <c r="L5" s="222"/>
      <c r="M5" s="222"/>
    </row>
    <row r="6" spans="2:13" x14ac:dyDescent="0.25">
      <c r="C6" s="113"/>
      <c r="D6" s="383"/>
      <c r="E6" s="384"/>
      <c r="F6" s="384"/>
      <c r="G6" s="384"/>
      <c r="H6" s="384"/>
      <c r="I6" s="384"/>
      <c r="J6" s="384"/>
      <c r="K6" s="385"/>
      <c r="L6" s="113"/>
    </row>
    <row r="7" spans="2:13" x14ac:dyDescent="0.25">
      <c r="C7" s="113"/>
      <c r="D7" s="386"/>
      <c r="E7" s="387"/>
      <c r="F7" s="387"/>
      <c r="G7" s="387"/>
      <c r="H7" s="387"/>
      <c r="I7" s="387"/>
      <c r="J7" s="387"/>
      <c r="K7" s="388"/>
      <c r="L7" s="113"/>
    </row>
    <row r="8" spans="2:13" x14ac:dyDescent="0.25">
      <c r="C8" s="113"/>
      <c r="D8" s="386"/>
      <c r="E8" s="387"/>
      <c r="F8" s="387"/>
      <c r="G8" s="387"/>
      <c r="H8" s="387"/>
      <c r="I8" s="387"/>
      <c r="J8" s="387"/>
      <c r="K8" s="388"/>
      <c r="L8" s="113"/>
    </row>
    <row r="9" spans="2:13" x14ac:dyDescent="0.25">
      <c r="C9" s="113"/>
      <c r="D9" s="386"/>
      <c r="E9" s="387"/>
      <c r="F9" s="387"/>
      <c r="G9" s="387"/>
      <c r="H9" s="387"/>
      <c r="I9" s="387"/>
      <c r="J9" s="387"/>
      <c r="K9" s="388"/>
      <c r="L9" s="113"/>
    </row>
    <row r="10" spans="2:13" ht="15.6" thickBot="1" x14ac:dyDescent="0.3">
      <c r="C10" s="113"/>
      <c r="D10" s="389"/>
      <c r="E10" s="390"/>
      <c r="F10" s="390"/>
      <c r="G10" s="390"/>
      <c r="H10" s="390"/>
      <c r="I10" s="390"/>
      <c r="J10" s="390"/>
      <c r="K10" s="391"/>
      <c r="L10" s="113"/>
    </row>
    <row r="11" spans="2:13" ht="16.2" thickBot="1" x14ac:dyDescent="0.35">
      <c r="B11" s="113"/>
      <c r="C11" s="222"/>
      <c r="D11" s="222"/>
      <c r="E11" s="222"/>
      <c r="G11" s="222"/>
      <c r="H11" s="222"/>
      <c r="I11" s="222"/>
      <c r="J11" s="105"/>
      <c r="K11" s="222"/>
      <c r="L11" s="222"/>
      <c r="M11" s="222"/>
    </row>
    <row r="12" spans="2:13" ht="15.75" customHeight="1" x14ac:dyDescent="0.25">
      <c r="B12" s="113"/>
      <c r="C12" s="380" t="s">
        <v>304</v>
      </c>
      <c r="D12" s="381"/>
      <c r="E12" s="381"/>
      <c r="F12" s="381"/>
      <c r="G12" s="381"/>
      <c r="H12" s="381"/>
      <c r="I12" s="381"/>
      <c r="J12" s="381"/>
      <c r="K12" s="381"/>
      <c r="L12" s="382"/>
      <c r="M12" s="130"/>
    </row>
    <row r="13" spans="2:13" ht="9" customHeight="1" thickBot="1" x14ac:dyDescent="0.3">
      <c r="B13" s="113"/>
      <c r="C13" s="392"/>
      <c r="D13" s="393"/>
      <c r="E13" s="393"/>
      <c r="F13" s="393"/>
      <c r="G13" s="393"/>
      <c r="H13" s="393"/>
      <c r="I13" s="393"/>
      <c r="J13" s="393"/>
      <c r="K13" s="393"/>
      <c r="L13" s="394"/>
      <c r="M13" s="130"/>
    </row>
    <row r="14" spans="2:13" x14ac:dyDescent="0.25">
      <c r="B14" s="113"/>
      <c r="C14" s="224"/>
      <c r="D14" s="225"/>
      <c r="E14" s="225"/>
      <c r="F14" s="233"/>
      <c r="G14" s="225"/>
      <c r="H14" s="225"/>
      <c r="I14" s="225"/>
      <c r="J14" s="234"/>
      <c r="K14" s="225"/>
      <c r="L14" s="226"/>
      <c r="M14" s="130"/>
    </row>
    <row r="15" spans="2:13" ht="15.6" x14ac:dyDescent="0.3">
      <c r="B15" s="113"/>
      <c r="C15" s="378" t="s">
        <v>303</v>
      </c>
      <c r="D15" s="377"/>
      <c r="E15" s="377"/>
      <c r="F15" s="377"/>
      <c r="G15" s="377"/>
      <c r="H15" s="377"/>
      <c r="I15" s="377"/>
      <c r="J15" s="377"/>
      <c r="K15" s="377"/>
      <c r="L15" s="379"/>
      <c r="M15" s="130"/>
    </row>
    <row r="16" spans="2:13" x14ac:dyDescent="0.25">
      <c r="B16" s="113"/>
      <c r="C16" s="227"/>
      <c r="D16" s="228"/>
      <c r="E16" s="228"/>
      <c r="F16" s="228"/>
      <c r="G16" s="228"/>
      <c r="H16" s="228"/>
      <c r="I16" s="228"/>
      <c r="J16" s="228"/>
      <c r="K16" s="228"/>
      <c r="L16" s="229"/>
      <c r="M16" s="113"/>
    </row>
    <row r="17" spans="2:14" x14ac:dyDescent="0.25">
      <c r="B17" s="113"/>
      <c r="C17" s="227"/>
      <c r="D17" s="228"/>
      <c r="E17" s="228"/>
      <c r="F17" s="228"/>
      <c r="G17" s="228"/>
      <c r="H17" s="228"/>
      <c r="I17" s="228"/>
      <c r="J17" s="228"/>
      <c r="K17" s="228"/>
      <c r="L17" s="229"/>
    </row>
    <row r="18" spans="2:14" ht="15.6" x14ac:dyDescent="0.3">
      <c r="B18" s="113"/>
      <c r="C18" s="227"/>
      <c r="D18" s="228"/>
      <c r="E18" s="228"/>
      <c r="F18" s="228"/>
      <c r="G18" s="228"/>
      <c r="H18" s="228"/>
      <c r="I18" s="228"/>
      <c r="J18" s="228"/>
      <c r="K18" s="228"/>
      <c r="L18" s="229"/>
      <c r="M18" s="222"/>
    </row>
    <row r="19" spans="2:14" x14ac:dyDescent="0.25">
      <c r="B19" s="113"/>
      <c r="C19" s="227"/>
      <c r="D19" s="228"/>
      <c r="E19" s="228"/>
      <c r="F19" s="228"/>
      <c r="G19" s="228"/>
      <c r="H19" s="228"/>
      <c r="I19" s="228"/>
      <c r="J19" s="228"/>
      <c r="K19" s="228"/>
      <c r="L19" s="229"/>
      <c r="M19" s="130"/>
    </row>
    <row r="20" spans="2:14" x14ac:dyDescent="0.25">
      <c r="B20" s="113"/>
      <c r="C20" s="227"/>
      <c r="D20" s="228"/>
      <c r="E20" s="228"/>
      <c r="F20" s="228"/>
      <c r="G20" s="228"/>
      <c r="H20" s="228"/>
      <c r="I20" s="228"/>
      <c r="J20" s="228"/>
      <c r="K20" s="228"/>
      <c r="L20" s="229"/>
      <c r="M20" s="130"/>
    </row>
    <row r="21" spans="2:14" ht="15.6" x14ac:dyDescent="0.3">
      <c r="B21" s="113"/>
      <c r="C21" s="227"/>
      <c r="D21" s="228"/>
      <c r="E21" s="377" t="s">
        <v>301</v>
      </c>
      <c r="F21" s="377"/>
      <c r="G21" s="228"/>
      <c r="H21" s="228"/>
      <c r="I21" s="377" t="s">
        <v>302</v>
      </c>
      <c r="J21" s="377"/>
      <c r="K21" s="223"/>
      <c r="L21" s="229"/>
      <c r="M21" s="130"/>
    </row>
    <row r="22" spans="2:14" x14ac:dyDescent="0.25">
      <c r="B22" s="113"/>
      <c r="C22" s="227"/>
      <c r="D22" s="228"/>
      <c r="E22" s="228"/>
      <c r="F22" s="228"/>
      <c r="G22" s="228"/>
      <c r="H22" s="228"/>
      <c r="I22" s="228"/>
      <c r="J22" s="228"/>
      <c r="K22" s="228"/>
      <c r="L22" s="229"/>
      <c r="M22" s="130"/>
    </row>
    <row r="23" spans="2:14" x14ac:dyDescent="0.25">
      <c r="B23" s="113"/>
      <c r="C23" s="227"/>
      <c r="D23" s="228"/>
      <c r="E23" s="228"/>
      <c r="F23" s="228"/>
      <c r="G23" s="228"/>
      <c r="H23" s="228"/>
      <c r="I23" s="228"/>
      <c r="J23" s="228"/>
      <c r="K23" s="228"/>
      <c r="L23" s="229"/>
      <c r="M23" s="113"/>
    </row>
    <row r="24" spans="2:14" x14ac:dyDescent="0.25">
      <c r="B24" s="113"/>
      <c r="C24" s="227"/>
      <c r="D24" s="228"/>
      <c r="E24" s="228"/>
      <c r="F24" s="228"/>
      <c r="G24" s="228"/>
      <c r="H24" s="228"/>
      <c r="I24" s="228"/>
      <c r="J24" s="228"/>
      <c r="K24" s="228"/>
      <c r="L24" s="229"/>
    </row>
    <row r="25" spans="2:14" ht="15.75" customHeight="1" x14ac:dyDescent="0.25">
      <c r="B25" s="113"/>
      <c r="C25" s="227"/>
      <c r="D25" s="228"/>
      <c r="E25" s="228"/>
      <c r="F25" s="228"/>
      <c r="G25" s="228"/>
      <c r="H25" s="228"/>
      <c r="I25" s="228"/>
      <c r="J25" s="228"/>
      <c r="K25" s="228"/>
      <c r="L25" s="229"/>
    </row>
    <row r="26" spans="2:14" ht="15" customHeight="1" x14ac:dyDescent="0.25">
      <c r="B26" s="113"/>
      <c r="C26" s="227"/>
      <c r="D26" s="228"/>
      <c r="E26" s="228"/>
      <c r="F26" s="228"/>
      <c r="G26" s="228"/>
      <c r="H26" s="228"/>
      <c r="I26" s="228"/>
      <c r="J26" s="228"/>
      <c r="K26" s="228"/>
      <c r="L26" s="229"/>
    </row>
    <row r="27" spans="2:14" ht="6" customHeight="1" thickBot="1" x14ac:dyDescent="0.3">
      <c r="B27" s="113"/>
      <c r="C27" s="230"/>
      <c r="D27" s="231"/>
      <c r="E27" s="231"/>
      <c r="F27" s="231"/>
      <c r="G27" s="231"/>
      <c r="H27" s="231"/>
      <c r="I27" s="231"/>
      <c r="J27" s="231"/>
      <c r="K27" s="231"/>
      <c r="L27" s="232"/>
    </row>
    <row r="28" spans="2:14" x14ac:dyDescent="0.25">
      <c r="B28" s="113"/>
      <c r="C28" s="130"/>
      <c r="D28" s="130"/>
      <c r="E28" s="130"/>
      <c r="F28" s="130"/>
      <c r="J28" s="130"/>
      <c r="K28" s="130"/>
      <c r="L28" s="130"/>
    </row>
    <row r="29" spans="2:14" x14ac:dyDescent="0.25">
      <c r="C29" s="113"/>
      <c r="D29" s="130"/>
      <c r="E29" s="130"/>
      <c r="F29" s="130"/>
      <c r="G29" s="130"/>
      <c r="K29" s="130"/>
      <c r="L29" s="130"/>
      <c r="M29" s="130"/>
    </row>
    <row r="30" spans="2:14" x14ac:dyDescent="0.25">
      <c r="C30" s="113"/>
      <c r="D30" s="130"/>
      <c r="E30" s="130"/>
      <c r="F30" s="130"/>
      <c r="G30" s="130"/>
      <c r="K30" s="130"/>
      <c r="L30" s="130"/>
      <c r="M30" s="130"/>
      <c r="N30" s="113"/>
    </row>
    <row r="31" spans="2:14" x14ac:dyDescent="0.25">
      <c r="D31" s="130"/>
      <c r="E31" s="130"/>
      <c r="F31" s="130"/>
      <c r="G31" s="130"/>
      <c r="K31" s="130"/>
      <c r="L31" s="130"/>
      <c r="M31" s="130"/>
    </row>
    <row r="32" spans="2:14" x14ac:dyDescent="0.25">
      <c r="D32" s="113"/>
      <c r="E32" s="113"/>
      <c r="F32" s="113"/>
      <c r="G32" s="113"/>
      <c r="H32" s="113"/>
      <c r="I32" s="113"/>
      <c r="J32" s="113"/>
      <c r="L32" s="113"/>
      <c r="M32" s="113"/>
    </row>
  </sheetData>
  <sheetProtection sheet="1"/>
  <mergeCells count="7">
    <mergeCell ref="C2:L3"/>
    <mergeCell ref="E21:F21"/>
    <mergeCell ref="C15:L15"/>
    <mergeCell ref="I21:J21"/>
    <mergeCell ref="D5:K5"/>
    <mergeCell ref="D6:K10"/>
    <mergeCell ref="C12:L13"/>
  </mergeCells>
  <phoneticPr fontId="0" type="noConversion"/>
  <pageMargins left="0.75" right="0.75" top="1" bottom="1" header="0.5" footer="0.5"/>
  <pageSetup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102" r:id="rId4" name="Button 6">
              <controlPr defaultSize="0" autoFill="0" autoPict="0" macro="[0]!MapToBackground">
                <anchor moveWithCells="1" sizeWithCells="1">
                  <from>
                    <xdr:col>2</xdr:col>
                    <xdr:colOff>358140</xdr:colOff>
                    <xdr:row>15</xdr:row>
                    <xdr:rowOff>7620</xdr:rowOff>
                  </from>
                  <to>
                    <xdr:col>4</xdr:col>
                    <xdr:colOff>335280</xdr:colOff>
                    <xdr:row>19</xdr:row>
                    <xdr:rowOff>22860</xdr:rowOff>
                  </to>
                </anchor>
              </controlPr>
            </control>
          </mc:Choice>
        </mc:AlternateContent>
        <mc:AlternateContent xmlns:mc="http://schemas.openxmlformats.org/markup-compatibility/2006">
          <mc:Choice Requires="x14">
            <control shapeId="4103" r:id="rId5" name="Button 7">
              <controlPr defaultSize="0" autoFill="0" autoPict="0" macro="[0]!MapToCost">
                <anchor moveWithCells="1" sizeWithCells="1">
                  <from>
                    <xdr:col>9</xdr:col>
                    <xdr:colOff>312420</xdr:colOff>
                    <xdr:row>15</xdr:row>
                    <xdr:rowOff>7620</xdr:rowOff>
                  </from>
                  <to>
                    <xdr:col>11</xdr:col>
                    <xdr:colOff>251460</xdr:colOff>
                    <xdr:row>19</xdr:row>
                    <xdr:rowOff>0</xdr:rowOff>
                  </to>
                </anchor>
              </controlPr>
            </control>
          </mc:Choice>
        </mc:AlternateContent>
        <mc:AlternateContent xmlns:mc="http://schemas.openxmlformats.org/markup-compatibility/2006">
          <mc:Choice Requires="x14">
            <control shapeId="4104" r:id="rId6" name="Button 8">
              <controlPr defaultSize="0" autoFill="0" autoPict="0" macro="[0]!MapToPerformance">
                <anchor moveWithCells="1" sizeWithCells="1">
                  <from>
                    <xdr:col>4</xdr:col>
                    <xdr:colOff>533400</xdr:colOff>
                    <xdr:row>15</xdr:row>
                    <xdr:rowOff>7620</xdr:rowOff>
                  </from>
                  <to>
                    <xdr:col>6</xdr:col>
                    <xdr:colOff>495300</xdr:colOff>
                    <xdr:row>19</xdr:row>
                    <xdr:rowOff>7620</xdr:rowOff>
                  </to>
                </anchor>
              </controlPr>
            </control>
          </mc:Choice>
        </mc:AlternateContent>
        <mc:AlternateContent xmlns:mc="http://schemas.openxmlformats.org/markup-compatibility/2006">
          <mc:Choice Requires="x14">
            <control shapeId="4105" r:id="rId7" name="Button 9">
              <controlPr defaultSize="0" autoFill="0" autoPict="0" macro="[0]!MapToParameters">
                <anchor moveWithCells="1" sizeWithCells="1">
                  <from>
                    <xdr:col>7</xdr:col>
                    <xdr:colOff>129540</xdr:colOff>
                    <xdr:row>15</xdr:row>
                    <xdr:rowOff>22860</xdr:rowOff>
                  </from>
                  <to>
                    <xdr:col>9</xdr:col>
                    <xdr:colOff>76200</xdr:colOff>
                    <xdr:row>19</xdr:row>
                    <xdr:rowOff>7620</xdr:rowOff>
                  </to>
                </anchor>
              </controlPr>
            </control>
          </mc:Choice>
        </mc:AlternateContent>
        <mc:AlternateContent xmlns:mc="http://schemas.openxmlformats.org/markup-compatibility/2006">
          <mc:Choice Requires="x14">
            <control shapeId="4106" r:id="rId8" name="Button 10">
              <controlPr defaultSize="0" autoFill="0" autoPict="0" macro="[0]!MapToResultsSummary">
                <anchor moveWithCells="1" sizeWithCells="1">
                  <from>
                    <xdr:col>4</xdr:col>
                    <xdr:colOff>60960</xdr:colOff>
                    <xdr:row>21</xdr:row>
                    <xdr:rowOff>76200</xdr:rowOff>
                  </from>
                  <to>
                    <xdr:col>6</xdr:col>
                    <xdr:colOff>144780</xdr:colOff>
                    <xdr:row>24</xdr:row>
                    <xdr:rowOff>121920</xdr:rowOff>
                  </to>
                </anchor>
              </controlPr>
            </control>
          </mc:Choice>
        </mc:AlternateContent>
        <mc:AlternateContent xmlns:mc="http://schemas.openxmlformats.org/markup-compatibility/2006">
          <mc:Choice Requires="x14">
            <control shapeId="4110" r:id="rId9" name="Button 14">
              <controlPr defaultSize="0" autoFill="0" autoPict="0" macro="[0]!MapToReadMeFirst">
                <anchor moveWithCells="1" sizeWithCells="1">
                  <from>
                    <xdr:col>4</xdr:col>
                    <xdr:colOff>586740</xdr:colOff>
                    <xdr:row>5</xdr:row>
                    <xdr:rowOff>144780</xdr:rowOff>
                  </from>
                  <to>
                    <xdr:col>6</xdr:col>
                    <xdr:colOff>487680</xdr:colOff>
                    <xdr:row>8</xdr:row>
                    <xdr:rowOff>182880</xdr:rowOff>
                  </to>
                </anchor>
              </controlPr>
            </control>
          </mc:Choice>
        </mc:AlternateContent>
        <mc:AlternateContent xmlns:mc="http://schemas.openxmlformats.org/markup-compatibility/2006">
          <mc:Choice Requires="x14">
            <control shapeId="4111" r:id="rId10" name="Button 15">
              <controlPr defaultSize="0" autoFill="0" autoPict="0" macro="[0]!MapToCalculations">
                <anchor moveWithCells="1" sizeWithCells="1">
                  <from>
                    <xdr:col>8</xdr:col>
                    <xdr:colOff>129540</xdr:colOff>
                    <xdr:row>21</xdr:row>
                    <xdr:rowOff>76200</xdr:rowOff>
                  </from>
                  <to>
                    <xdr:col>10</xdr:col>
                    <xdr:colOff>22860</xdr:colOff>
                    <xdr:row>24</xdr:row>
                    <xdr:rowOff>83820</xdr:rowOff>
                  </to>
                </anchor>
              </controlPr>
            </control>
          </mc:Choice>
        </mc:AlternateContent>
        <mc:AlternateContent xmlns:mc="http://schemas.openxmlformats.org/markup-compatibility/2006">
          <mc:Choice Requires="x14">
            <control shapeId="4112" r:id="rId11" name="Button 16">
              <controlPr defaultSize="0" autoFill="0" autoPict="0" macro="[0]!MapToWelcome">
                <anchor moveWithCells="1" sizeWithCells="1">
                  <from>
                    <xdr:col>3</xdr:col>
                    <xdr:colOff>167640</xdr:colOff>
                    <xdr:row>6</xdr:row>
                    <xdr:rowOff>144780</xdr:rowOff>
                  </from>
                  <to>
                    <xdr:col>4</xdr:col>
                    <xdr:colOff>266700</xdr:colOff>
                    <xdr:row>8</xdr:row>
                    <xdr:rowOff>182880</xdr:rowOff>
                  </to>
                </anchor>
              </controlPr>
            </control>
          </mc:Choice>
        </mc:AlternateContent>
        <mc:AlternateContent xmlns:mc="http://schemas.openxmlformats.org/markup-compatibility/2006">
          <mc:Choice Requires="x14">
            <control shapeId="4115" r:id="rId12" name="Button 19">
              <controlPr defaultSize="0" autoFill="0" autoPict="0" macro="[0]!MapToComments">
                <anchor moveWithCells="1" sizeWithCells="1">
                  <from>
                    <xdr:col>7</xdr:col>
                    <xdr:colOff>144780</xdr:colOff>
                    <xdr:row>5</xdr:row>
                    <xdr:rowOff>160020</xdr:rowOff>
                  </from>
                  <to>
                    <xdr:col>9</xdr:col>
                    <xdr:colOff>76200</xdr:colOff>
                    <xdr:row>8</xdr:row>
                    <xdr:rowOff>167640</xdr:rowOff>
                  </to>
                </anchor>
              </controlPr>
            </control>
          </mc:Choice>
        </mc:AlternateContent>
        <mc:AlternateContent xmlns:mc="http://schemas.openxmlformats.org/markup-compatibility/2006">
          <mc:Choice Requires="x14">
            <control shapeId="4116" r:id="rId13" name="Button 20">
              <controlPr defaultSize="0" autoFill="0" autoPict="0" macro="[0]!ExitCostModel">
                <anchor moveWithCells="1" sizeWithCells="1">
                  <from>
                    <xdr:col>9</xdr:col>
                    <xdr:colOff>487680</xdr:colOff>
                    <xdr:row>6</xdr:row>
                    <xdr:rowOff>121920</xdr:rowOff>
                  </from>
                  <to>
                    <xdr:col>10</xdr:col>
                    <xdr:colOff>449580</xdr:colOff>
                    <xdr:row>8</xdr:row>
                    <xdr:rowOff>167640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autoPageBreaks="0"/>
  </sheetPr>
  <dimension ref="A1:K9"/>
  <sheetViews>
    <sheetView topLeftCell="A70" zoomScaleNormal="100" workbookViewId="0">
      <selection activeCell="A73" sqref="A73"/>
    </sheetView>
  </sheetViews>
  <sheetFormatPr defaultColWidth="9.109375" defaultRowHeight="13.2" x14ac:dyDescent="0.25"/>
  <cols>
    <col min="1" max="1" width="12" style="280" customWidth="1"/>
    <col min="2" max="2" width="12.33203125" style="280" customWidth="1"/>
    <col min="3" max="3" width="16" style="280" customWidth="1"/>
    <col min="4" max="4" width="13.44140625" style="280" customWidth="1"/>
    <col min="5" max="5" width="11" style="280" customWidth="1"/>
    <col min="6" max="6" width="11.109375" style="280" customWidth="1"/>
    <col min="7" max="7" width="12.44140625" style="280" customWidth="1"/>
    <col min="8" max="16384" width="9.109375" style="280"/>
  </cols>
  <sheetData>
    <row r="1" spans="1:11" x14ac:dyDescent="0.25">
      <c r="C1" s="281"/>
    </row>
    <row r="3" spans="1:11" ht="15.6" x14ac:dyDescent="0.3">
      <c r="B3" s="282"/>
    </row>
    <row r="4" spans="1:11" ht="15.6" x14ac:dyDescent="0.3">
      <c r="B4" s="282"/>
    </row>
    <row r="9" spans="1:11" x14ac:dyDescent="0.25">
      <c r="A9" s="283"/>
      <c r="B9" s="283"/>
      <c r="C9" s="283"/>
      <c r="D9" s="283"/>
      <c r="E9" s="283"/>
      <c r="F9" s="283"/>
      <c r="G9" s="283"/>
      <c r="H9" s="283"/>
      <c r="I9" s="283"/>
      <c r="J9" s="283"/>
      <c r="K9" s="283"/>
    </row>
  </sheetData>
  <sheetProtection sheet="1"/>
  <phoneticPr fontId="0" type="noConversion"/>
  <pageMargins left="0.75" right="0.75" top="1" bottom="1" header="0.5" footer="0.5"/>
  <pageSetup orientation="landscape" r:id="rId1"/>
  <headerFooter alignWithMargins="0"/>
  <rowBreaks count="2" manualBreakCount="2">
    <brk id="33" max="9" man="1"/>
    <brk id="66" max="9" man="1"/>
  </rowBreaks>
  <drawing r:id="rId2"/>
  <legacyDrawing r:id="rId3"/>
  <mc:AlternateContent xmlns:mc="http://schemas.openxmlformats.org/markup-compatibility/2006">
    <mc:Choice Requires="x14">
      <controls>
        <mc:AlternateContent xmlns:mc="http://schemas.openxmlformats.org/markup-compatibility/2006">
          <mc:Choice Requires="x14">
            <control shapeId="9217" r:id="rId4" name="Button 1">
              <controlPr defaultSize="0" print="0" autoFill="0" autoPict="0" macro="[0]!ReadToMap">
                <anchor moveWithCells="1" sizeWithCells="1">
                  <from>
                    <xdr:col>1</xdr:col>
                    <xdr:colOff>99060</xdr:colOff>
                    <xdr:row>1</xdr:row>
                    <xdr:rowOff>60960</xdr:rowOff>
                  </from>
                  <to>
                    <xdr:col>2</xdr:col>
                    <xdr:colOff>998220</xdr:colOff>
                    <xdr:row>3</xdr:row>
                    <xdr:rowOff>167640</xdr:rowOff>
                  </to>
                </anchor>
              </controlPr>
            </control>
          </mc:Choice>
        </mc:AlternateContent>
        <mc:AlternateContent xmlns:mc="http://schemas.openxmlformats.org/markup-compatibility/2006">
          <mc:Choice Requires="x14">
            <control shapeId="9218" r:id="rId5" name="Button 2">
              <controlPr defaultSize="0" print="0" autoFill="0" autoPict="0" macro="[0]!ExitCostModel">
                <anchor moveWithCells="1" sizeWithCells="1">
                  <from>
                    <xdr:col>5</xdr:col>
                    <xdr:colOff>601980</xdr:colOff>
                    <xdr:row>1</xdr:row>
                    <xdr:rowOff>76200</xdr:rowOff>
                  </from>
                  <to>
                    <xdr:col>7</xdr:col>
                    <xdr:colOff>487680</xdr:colOff>
                    <xdr:row>3</xdr:row>
                    <xdr:rowOff>129540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autoPageBreaks="0"/>
  </sheetPr>
  <dimension ref="A5:L35"/>
  <sheetViews>
    <sheetView showRowColHeaders="0" workbookViewId="0"/>
  </sheetViews>
  <sheetFormatPr defaultColWidth="9.109375" defaultRowHeight="15" x14ac:dyDescent="0.25"/>
  <cols>
    <col min="1" max="16384" width="9.109375" style="294"/>
  </cols>
  <sheetData>
    <row r="5" spans="1:12" ht="15.6" thickBot="1" x14ac:dyDescent="0.3"/>
    <row r="6" spans="1:12" ht="16.2" thickBot="1" x14ac:dyDescent="0.35">
      <c r="B6" s="398" t="s">
        <v>273</v>
      </c>
      <c r="C6" s="399"/>
      <c r="D6" s="399"/>
      <c r="E6" s="399"/>
      <c r="F6" s="399"/>
      <c r="G6" s="399"/>
      <c r="H6" s="399"/>
      <c r="I6" s="399"/>
      <c r="J6" s="400"/>
    </row>
    <row r="7" spans="1:12" ht="15.6" thickBot="1" x14ac:dyDescent="0.3">
      <c r="B7" s="401"/>
      <c r="C7" s="402"/>
      <c r="D7" s="402"/>
      <c r="E7" s="402"/>
      <c r="F7" s="402"/>
      <c r="G7" s="402"/>
      <c r="H7" s="402"/>
      <c r="I7" s="402"/>
      <c r="J7" s="403"/>
    </row>
    <row r="8" spans="1:12" ht="16.2" thickBot="1" x14ac:dyDescent="0.35">
      <c r="B8" s="395" t="s">
        <v>218</v>
      </c>
      <c r="C8" s="396"/>
      <c r="D8" s="396"/>
      <c r="E8" s="396"/>
      <c r="F8" s="396"/>
      <c r="G8" s="396"/>
      <c r="H8" s="396"/>
      <c r="I8" s="396"/>
      <c r="J8" s="397"/>
    </row>
    <row r="9" spans="1:12" x14ac:dyDescent="0.25">
      <c r="A9" s="152"/>
      <c r="B9" s="113"/>
      <c r="C9" s="113"/>
      <c r="D9" s="113"/>
      <c r="E9" s="113"/>
      <c r="F9" s="113"/>
      <c r="G9" s="113"/>
      <c r="H9" s="113"/>
      <c r="I9" s="113"/>
      <c r="J9" s="113"/>
      <c r="K9" s="104"/>
      <c r="L9" s="104"/>
    </row>
    <row r="10" spans="1:12" x14ac:dyDescent="0.25">
      <c r="A10" s="152"/>
      <c r="B10" s="113"/>
      <c r="C10" s="113"/>
      <c r="D10" s="113"/>
      <c r="E10" s="113"/>
      <c r="F10" s="113"/>
      <c r="G10" s="113"/>
      <c r="H10" s="113"/>
      <c r="I10" s="113"/>
      <c r="J10" s="113"/>
      <c r="K10" s="104"/>
      <c r="L10" s="104"/>
    </row>
    <row r="11" spans="1:12" x14ac:dyDescent="0.25">
      <c r="A11" s="152"/>
      <c r="B11" s="113"/>
      <c r="C11" s="113"/>
      <c r="D11" s="113"/>
      <c r="E11" s="113"/>
      <c r="F11" s="113"/>
      <c r="G11" s="113"/>
      <c r="H11" s="113"/>
      <c r="I11" s="113"/>
      <c r="J11" s="113"/>
      <c r="K11" s="104"/>
      <c r="L11" s="104"/>
    </row>
    <row r="12" spans="1:12" x14ac:dyDescent="0.25">
      <c r="A12" s="152"/>
      <c r="B12" s="113"/>
      <c r="C12" s="113"/>
      <c r="D12" s="113"/>
      <c r="E12" s="113"/>
      <c r="F12" s="113"/>
      <c r="G12" s="113"/>
      <c r="H12" s="113"/>
      <c r="I12" s="113"/>
      <c r="J12" s="113"/>
      <c r="K12" s="104"/>
      <c r="L12" s="104"/>
    </row>
    <row r="13" spans="1:12" x14ac:dyDescent="0.25">
      <c r="A13" s="152"/>
      <c r="B13" s="113"/>
      <c r="C13" s="113"/>
      <c r="D13" s="113"/>
      <c r="E13" s="113"/>
      <c r="F13" s="113"/>
      <c r="G13" s="113"/>
      <c r="H13" s="113"/>
      <c r="I13" s="113"/>
      <c r="J13" s="113"/>
      <c r="K13" s="104"/>
      <c r="L13" s="104"/>
    </row>
    <row r="14" spans="1:12" x14ac:dyDescent="0.25">
      <c r="A14" s="152"/>
      <c r="B14" s="113"/>
      <c r="C14" s="113"/>
      <c r="D14" s="113"/>
      <c r="E14" s="113"/>
      <c r="F14" s="113"/>
      <c r="G14" s="113"/>
      <c r="H14" s="113"/>
      <c r="I14" s="113"/>
      <c r="J14" s="113"/>
      <c r="K14" s="104"/>
      <c r="L14" s="104"/>
    </row>
    <row r="15" spans="1:12" x14ac:dyDescent="0.25">
      <c r="A15" s="152"/>
      <c r="B15" s="113"/>
      <c r="C15" s="113"/>
      <c r="D15" s="113"/>
      <c r="E15" s="113"/>
      <c r="F15" s="113"/>
      <c r="G15" s="113"/>
      <c r="H15" s="113"/>
      <c r="I15" s="113"/>
      <c r="J15" s="113"/>
      <c r="K15" s="104"/>
      <c r="L15" s="104"/>
    </row>
    <row r="16" spans="1:12" x14ac:dyDescent="0.25">
      <c r="A16" s="152"/>
      <c r="B16" s="113"/>
      <c r="C16" s="113"/>
      <c r="D16" s="113"/>
      <c r="E16" s="113"/>
      <c r="F16" s="113"/>
      <c r="G16" s="113"/>
      <c r="H16" s="113"/>
      <c r="I16" s="113"/>
      <c r="J16" s="113"/>
      <c r="K16" s="104"/>
      <c r="L16" s="104"/>
    </row>
    <row r="17" spans="1:12" x14ac:dyDescent="0.25">
      <c r="A17" s="152"/>
      <c r="B17" s="113"/>
      <c r="C17" s="113"/>
      <c r="D17" s="113"/>
      <c r="E17" s="113"/>
      <c r="F17" s="113"/>
      <c r="G17" s="113"/>
      <c r="H17" s="113"/>
      <c r="I17" s="113"/>
      <c r="J17" s="113"/>
      <c r="K17" s="104"/>
      <c r="L17" s="104"/>
    </row>
    <row r="18" spans="1:12" x14ac:dyDescent="0.25">
      <c r="A18" s="152"/>
      <c r="B18" s="113"/>
      <c r="C18" s="113"/>
      <c r="D18" s="113"/>
      <c r="E18" s="113"/>
      <c r="F18" s="113"/>
      <c r="G18" s="113"/>
      <c r="H18" s="113"/>
      <c r="I18" s="113"/>
      <c r="J18" s="113"/>
      <c r="K18" s="104"/>
      <c r="L18" s="104"/>
    </row>
    <row r="19" spans="1:12" x14ac:dyDescent="0.25">
      <c r="A19" s="152"/>
      <c r="B19" s="113"/>
      <c r="C19" s="113"/>
      <c r="D19" s="113"/>
      <c r="E19" s="113"/>
      <c r="F19" s="113"/>
      <c r="G19" s="113"/>
      <c r="H19" s="113"/>
      <c r="I19" s="113"/>
      <c r="J19" s="113"/>
      <c r="K19" s="104"/>
      <c r="L19" s="104"/>
    </row>
    <row r="20" spans="1:12" x14ac:dyDescent="0.25">
      <c r="A20" s="104"/>
      <c r="B20" s="113"/>
      <c r="C20" s="113"/>
      <c r="D20" s="113"/>
      <c r="E20" s="113"/>
      <c r="F20" s="113"/>
      <c r="G20" s="113"/>
      <c r="H20" s="113"/>
      <c r="I20" s="113"/>
      <c r="J20" s="113"/>
      <c r="K20" s="104"/>
      <c r="L20" s="104"/>
    </row>
    <row r="21" spans="1:12" x14ac:dyDescent="0.25">
      <c r="A21" s="104"/>
      <c r="B21" s="113"/>
      <c r="C21" s="113"/>
      <c r="D21" s="113"/>
      <c r="E21" s="113"/>
      <c r="F21" s="113"/>
      <c r="G21" s="113"/>
      <c r="H21" s="113"/>
      <c r="I21" s="113"/>
      <c r="J21" s="113"/>
      <c r="K21" s="104"/>
      <c r="L21" s="104"/>
    </row>
    <row r="22" spans="1:12" x14ac:dyDescent="0.25">
      <c r="A22" s="104"/>
      <c r="B22" s="113"/>
      <c r="C22" s="113"/>
      <c r="D22" s="113"/>
      <c r="E22" s="113"/>
      <c r="F22" s="113"/>
      <c r="G22" s="113"/>
      <c r="H22" s="113"/>
      <c r="I22" s="113"/>
      <c r="J22" s="113"/>
      <c r="K22" s="104"/>
      <c r="L22" s="104"/>
    </row>
    <row r="23" spans="1:12" x14ac:dyDescent="0.25">
      <c r="A23" s="104"/>
      <c r="B23" s="113"/>
      <c r="C23" s="113"/>
      <c r="D23" s="113"/>
      <c r="E23" s="113"/>
      <c r="F23" s="113"/>
      <c r="G23" s="113"/>
      <c r="H23" s="113"/>
      <c r="I23" s="113"/>
      <c r="J23" s="113"/>
      <c r="K23" s="104"/>
      <c r="L23" s="104"/>
    </row>
    <row r="24" spans="1:12" x14ac:dyDescent="0.25">
      <c r="A24" s="104"/>
      <c r="B24" s="113"/>
      <c r="C24" s="113"/>
      <c r="D24" s="113"/>
      <c r="E24" s="113"/>
      <c r="F24" s="113"/>
      <c r="G24" s="113"/>
      <c r="H24" s="113"/>
      <c r="I24" s="113"/>
      <c r="J24" s="113"/>
      <c r="K24" s="104"/>
      <c r="L24" s="104"/>
    </row>
    <row r="25" spans="1:12" x14ac:dyDescent="0.25">
      <c r="A25" s="104"/>
      <c r="B25" s="113"/>
      <c r="C25" s="113"/>
      <c r="D25" s="113"/>
      <c r="E25" s="113"/>
      <c r="F25" s="113"/>
      <c r="G25" s="113"/>
      <c r="H25" s="113"/>
      <c r="I25" s="113"/>
      <c r="J25" s="113"/>
      <c r="K25" s="104"/>
      <c r="L25" s="104"/>
    </row>
    <row r="26" spans="1:12" x14ac:dyDescent="0.25">
      <c r="A26" s="104"/>
      <c r="B26" s="113"/>
      <c r="C26" s="113"/>
      <c r="D26" s="113"/>
      <c r="E26" s="113"/>
      <c r="F26" s="113"/>
      <c r="G26" s="113"/>
      <c r="H26" s="113"/>
      <c r="I26" s="113"/>
      <c r="J26" s="113"/>
      <c r="K26" s="104"/>
      <c r="L26" s="104"/>
    </row>
    <row r="27" spans="1:12" x14ac:dyDescent="0.25">
      <c r="A27" s="104"/>
      <c r="B27" s="113"/>
      <c r="C27" s="113"/>
      <c r="D27" s="113"/>
      <c r="E27" s="113"/>
      <c r="F27" s="113"/>
      <c r="G27" s="113"/>
      <c r="H27" s="113"/>
      <c r="I27" s="113"/>
      <c r="J27" s="113"/>
      <c r="K27" s="104"/>
      <c r="L27" s="104"/>
    </row>
    <row r="28" spans="1:12" x14ac:dyDescent="0.25">
      <c r="A28" s="104"/>
      <c r="B28" s="113"/>
      <c r="C28" s="113"/>
      <c r="D28" s="113"/>
      <c r="E28" s="113"/>
      <c r="F28" s="113"/>
      <c r="G28" s="113"/>
      <c r="H28" s="113"/>
      <c r="I28" s="113"/>
      <c r="J28" s="113"/>
      <c r="K28" s="104"/>
      <c r="L28" s="104"/>
    </row>
    <row r="29" spans="1:12" x14ac:dyDescent="0.25">
      <c r="A29" s="104"/>
      <c r="B29" s="113"/>
      <c r="C29" s="113"/>
      <c r="D29" s="113"/>
      <c r="E29" s="113"/>
      <c r="F29" s="113"/>
      <c r="G29" s="113"/>
      <c r="H29" s="113"/>
      <c r="I29" s="113"/>
      <c r="J29" s="113"/>
      <c r="K29" s="104"/>
      <c r="L29" s="104"/>
    </row>
    <row r="30" spans="1:12" x14ac:dyDescent="0.25">
      <c r="A30" s="104"/>
      <c r="B30" s="113"/>
      <c r="C30" s="113"/>
      <c r="D30" s="113"/>
      <c r="E30" s="113"/>
      <c r="F30" s="113"/>
      <c r="G30" s="113"/>
      <c r="H30" s="113"/>
      <c r="I30" s="113"/>
      <c r="J30" s="113"/>
      <c r="K30" s="104"/>
      <c r="L30" s="104"/>
    </row>
    <row r="31" spans="1:12" x14ac:dyDescent="0.25">
      <c r="A31" s="104"/>
      <c r="B31" s="113"/>
      <c r="C31" s="113"/>
      <c r="D31" s="113"/>
      <c r="E31" s="113"/>
      <c r="F31" s="113"/>
      <c r="G31" s="113"/>
      <c r="H31" s="113"/>
      <c r="I31" s="113"/>
      <c r="J31" s="113"/>
      <c r="K31" s="104"/>
      <c r="L31" s="104"/>
    </row>
    <row r="32" spans="1:12" x14ac:dyDescent="0.25">
      <c r="A32" s="104"/>
      <c r="B32" s="113"/>
      <c r="C32" s="113"/>
      <c r="D32" s="113"/>
      <c r="E32" s="113"/>
      <c r="F32" s="113"/>
      <c r="G32" s="113"/>
      <c r="H32" s="113"/>
      <c r="I32" s="113"/>
      <c r="J32" s="113"/>
      <c r="K32" s="104"/>
      <c r="L32" s="104"/>
    </row>
    <row r="33" spans="1:12" x14ac:dyDescent="0.25">
      <c r="A33" s="104"/>
      <c r="B33" s="105"/>
      <c r="C33" s="105"/>
      <c r="D33" s="105"/>
      <c r="E33" s="105"/>
      <c r="F33" s="105"/>
      <c r="G33" s="105"/>
      <c r="H33" s="105"/>
      <c r="I33" s="105"/>
      <c r="J33" s="105"/>
      <c r="K33" s="104"/>
      <c r="L33" s="104"/>
    </row>
    <row r="34" spans="1:12" x14ac:dyDescent="0.25">
      <c r="B34" s="105"/>
      <c r="C34" s="105"/>
      <c r="D34" s="105"/>
      <c r="E34" s="105"/>
      <c r="F34" s="105"/>
      <c r="G34" s="105"/>
      <c r="H34" s="105"/>
      <c r="I34" s="105"/>
      <c r="J34" s="105"/>
      <c r="K34" s="104"/>
    </row>
    <row r="35" spans="1:12" x14ac:dyDescent="0.25">
      <c r="B35" s="105"/>
      <c r="C35" s="105"/>
      <c r="D35" s="105"/>
      <c r="E35" s="105"/>
      <c r="F35" s="105"/>
      <c r="G35" s="105"/>
      <c r="H35" s="105"/>
      <c r="I35" s="105"/>
      <c r="J35" s="105"/>
      <c r="K35" s="104"/>
    </row>
  </sheetData>
  <mergeCells count="3">
    <mergeCell ref="B8:J8"/>
    <mergeCell ref="B6:J6"/>
    <mergeCell ref="B7:J7"/>
  </mergeCells>
  <phoneticPr fontId="0" type="noConversion"/>
  <pageMargins left="0.75" right="0.75" top="1" bottom="1" header="0.5" footer="0.5"/>
  <pageSetup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6385" r:id="rId4" name="Button 1">
              <controlPr defaultSize="0" print="0" autoFill="0" autoPict="0" macro="[0]!CommentsToMap">
                <anchor moveWithCells="1" sizeWithCells="1">
                  <from>
                    <xdr:col>1</xdr:col>
                    <xdr:colOff>129540</xdr:colOff>
                    <xdr:row>0</xdr:row>
                    <xdr:rowOff>99060</xdr:rowOff>
                  </from>
                  <to>
                    <xdr:col>3</xdr:col>
                    <xdr:colOff>198120</xdr:colOff>
                    <xdr:row>3</xdr:row>
                    <xdr:rowOff>129540</xdr:rowOff>
                  </to>
                </anchor>
              </controlPr>
            </control>
          </mc:Choice>
        </mc:AlternateContent>
        <mc:AlternateContent xmlns:mc="http://schemas.openxmlformats.org/markup-compatibility/2006">
          <mc:Choice Requires="x14">
            <control shapeId="16386" r:id="rId5" name="Button 2">
              <controlPr defaultSize="0" print="0" autoFill="0" autoPict="0" macro="[0]!ExitCostModel">
                <anchor moveWithCells="1" sizeWithCells="1">
                  <from>
                    <xdr:col>7</xdr:col>
                    <xdr:colOff>403860</xdr:colOff>
                    <xdr:row>1</xdr:row>
                    <xdr:rowOff>7620</xdr:rowOff>
                  </from>
                  <to>
                    <xdr:col>9</xdr:col>
                    <xdr:colOff>388620</xdr:colOff>
                    <xdr:row>3</xdr:row>
                    <xdr:rowOff>129540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B5:H358"/>
  <sheetViews>
    <sheetView topLeftCell="B19" zoomScale="90" zoomScaleNormal="100" workbookViewId="0"/>
  </sheetViews>
  <sheetFormatPr defaultColWidth="9.109375" defaultRowHeight="15" x14ac:dyDescent="0.25"/>
  <cols>
    <col min="1" max="1" width="9.109375" style="289" customWidth="1"/>
    <col min="2" max="2" width="40.44140625" style="289" customWidth="1"/>
    <col min="3" max="3" width="14.109375" style="289" customWidth="1"/>
    <col min="4" max="4" width="14.5546875" style="289" customWidth="1"/>
    <col min="5" max="5" width="19.6640625" style="289" customWidth="1"/>
    <col min="6" max="6" width="28.6640625" style="289" customWidth="1"/>
    <col min="7" max="7" width="9.109375" style="289" customWidth="1"/>
    <col min="8" max="8" width="40.33203125" style="289" customWidth="1"/>
    <col min="9" max="9" width="15" style="289" customWidth="1"/>
    <col min="10" max="10" width="12.33203125" style="289" customWidth="1"/>
    <col min="11" max="16" width="9.109375" style="289" customWidth="1"/>
    <col min="17" max="17" width="11.44140625" style="289" customWidth="1"/>
    <col min="18" max="19" width="9.109375" style="289" customWidth="1"/>
    <col min="20" max="20" width="10.5546875" style="289" customWidth="1"/>
    <col min="21" max="16384" width="9.109375" style="289"/>
  </cols>
  <sheetData>
    <row r="5" spans="2:6" ht="30" customHeight="1" x14ac:dyDescent="0.3">
      <c r="B5" s="410" t="s">
        <v>234</v>
      </c>
      <c r="C5" s="410"/>
      <c r="D5" s="410"/>
      <c r="E5" s="410"/>
      <c r="F5" s="410"/>
    </row>
    <row r="6" spans="2:6" x14ac:dyDescent="0.25">
      <c r="B6" s="404"/>
      <c r="C6" s="404"/>
      <c r="D6" s="404"/>
      <c r="E6" s="404"/>
      <c r="F6" s="404"/>
    </row>
    <row r="7" spans="2:6" ht="15.75" customHeight="1" x14ac:dyDescent="0.3">
      <c r="B7" s="404" t="s">
        <v>272</v>
      </c>
      <c r="C7" s="404"/>
      <c r="D7" s="404"/>
      <c r="E7" s="404"/>
      <c r="F7" s="298" t="s">
        <v>74</v>
      </c>
    </row>
    <row r="8" spans="2:6" ht="15.6" x14ac:dyDescent="0.3">
      <c r="B8" s="377" t="s">
        <v>268</v>
      </c>
      <c r="C8" s="377"/>
      <c r="D8" s="377"/>
      <c r="E8" s="377"/>
      <c r="F8" s="377"/>
    </row>
    <row r="9" spans="2:6" s="290" customFormat="1" ht="24" customHeight="1" x14ac:dyDescent="0.25">
      <c r="B9" s="404" t="s">
        <v>269</v>
      </c>
      <c r="C9" s="404"/>
      <c r="D9" s="404"/>
      <c r="E9" s="404"/>
      <c r="F9" s="297">
        <v>30000</v>
      </c>
    </row>
    <row r="10" spans="2:6" s="290" customFormat="1" ht="22.5" customHeight="1" x14ac:dyDescent="0.25">
      <c r="B10" s="404" t="s">
        <v>270</v>
      </c>
      <c r="C10" s="404"/>
      <c r="D10" s="404"/>
      <c r="E10" s="404"/>
      <c r="F10" s="297"/>
    </row>
    <row r="11" spans="2:6" s="290" customFormat="1" ht="21" customHeight="1" x14ac:dyDescent="0.25">
      <c r="B11" s="404" t="s">
        <v>230</v>
      </c>
      <c r="C11" s="404"/>
      <c r="D11" s="404"/>
      <c r="E11" s="404"/>
      <c r="F11" s="297"/>
    </row>
    <row r="12" spans="2:6" s="290" customFormat="1" ht="24" customHeight="1" x14ac:dyDescent="0.25">
      <c r="B12" s="404" t="s">
        <v>271</v>
      </c>
      <c r="C12" s="404"/>
      <c r="D12" s="404"/>
      <c r="E12" s="404"/>
      <c r="F12" s="299"/>
    </row>
    <row r="13" spans="2:6" s="290" customFormat="1" ht="41.25" customHeight="1" x14ac:dyDescent="0.3">
      <c r="B13" s="411" t="s">
        <v>390</v>
      </c>
      <c r="C13" s="411"/>
      <c r="D13" s="411"/>
      <c r="E13" s="411"/>
      <c r="F13" s="291">
        <f>SUM(F9:F12)</f>
        <v>30000</v>
      </c>
    </row>
    <row r="14" spans="2:6" s="290" customFormat="1" ht="55.5" customHeight="1" x14ac:dyDescent="0.25">
      <c r="B14" s="404" t="s">
        <v>391</v>
      </c>
      <c r="C14" s="404"/>
      <c r="D14" s="404"/>
      <c r="E14" s="404"/>
      <c r="F14" s="300">
        <v>0</v>
      </c>
    </row>
    <row r="15" spans="2:6" s="290" customFormat="1" ht="15.6" x14ac:dyDescent="0.3">
      <c r="B15" s="405" t="s">
        <v>226</v>
      </c>
      <c r="C15" s="406"/>
      <c r="D15" s="406"/>
      <c r="E15" s="406"/>
      <c r="F15" s="407"/>
    </row>
    <row r="16" spans="2:6" ht="31.5" customHeight="1" x14ac:dyDescent="0.25">
      <c r="B16" s="404" t="s">
        <v>187</v>
      </c>
      <c r="C16" s="404"/>
      <c r="D16" s="404"/>
      <c r="E16" s="404"/>
      <c r="F16" s="130"/>
    </row>
    <row r="17" spans="2:7" ht="29.25" customHeight="1" x14ac:dyDescent="0.25">
      <c r="B17" s="404" t="s">
        <v>188</v>
      </c>
      <c r="C17" s="404"/>
      <c r="D17" s="404"/>
      <c r="E17" s="404"/>
      <c r="F17" s="130"/>
    </row>
    <row r="18" spans="2:7" ht="60.75" customHeight="1" x14ac:dyDescent="0.25">
      <c r="B18" s="404" t="s">
        <v>225</v>
      </c>
      <c r="C18" s="404"/>
      <c r="D18" s="408" t="str">
        <f>IF(AND(Status!G10="distributed locations",Status!G11="stand-alone hub"),"Imaging at distributed locations with a stand-alone hub configuration is not feasible.  Modify your selection.","  ")</f>
        <v xml:space="preserve">  </v>
      </c>
      <c r="E18" s="408"/>
      <c r="F18" s="130"/>
    </row>
    <row r="19" spans="2:7" ht="37.5" customHeight="1" x14ac:dyDescent="0.25">
      <c r="B19" s="404" t="s">
        <v>349</v>
      </c>
      <c r="C19" s="404"/>
      <c r="D19" s="404"/>
      <c r="E19" s="152"/>
      <c r="F19" s="130"/>
    </row>
    <row r="20" spans="2:7" ht="15.6" x14ac:dyDescent="0.3">
      <c r="B20" s="405" t="s">
        <v>227</v>
      </c>
      <c r="C20" s="406"/>
      <c r="D20" s="406"/>
      <c r="E20" s="406"/>
      <c r="F20" s="407"/>
    </row>
    <row r="21" spans="2:7" ht="32.25" customHeight="1" x14ac:dyDescent="0.25">
      <c r="B21" s="404" t="s">
        <v>267</v>
      </c>
      <c r="C21" s="404"/>
      <c r="D21" s="404"/>
      <c r="E21" s="404"/>
      <c r="F21" s="130"/>
    </row>
    <row r="22" spans="2:7" ht="15.6" x14ac:dyDescent="0.3">
      <c r="B22" s="405" t="s">
        <v>228</v>
      </c>
      <c r="C22" s="406"/>
      <c r="D22" s="406"/>
      <c r="E22" s="406"/>
      <c r="F22" s="407"/>
    </row>
    <row r="23" spans="2:7" ht="30.75" customHeight="1" x14ac:dyDescent="0.25">
      <c r="B23" s="404" t="s">
        <v>317</v>
      </c>
      <c r="C23" s="404"/>
      <c r="D23" s="404"/>
      <c r="E23" s="404"/>
      <c r="F23" s="130"/>
      <c r="G23" s="292"/>
    </row>
    <row r="24" spans="2:7" ht="30" customHeight="1" x14ac:dyDescent="0.25">
      <c r="B24" s="404" t="s">
        <v>446</v>
      </c>
      <c r="C24" s="404"/>
      <c r="D24" s="404"/>
      <c r="E24" s="404"/>
      <c r="F24" s="130"/>
      <c r="G24" s="292"/>
    </row>
    <row r="25" spans="2:7" ht="15" customHeight="1" x14ac:dyDescent="0.3">
      <c r="B25" s="405" t="s">
        <v>229</v>
      </c>
      <c r="C25" s="406"/>
      <c r="D25" s="406"/>
      <c r="E25" s="406"/>
      <c r="F25" s="407"/>
    </row>
    <row r="26" spans="2:7" ht="31.5" customHeight="1" x14ac:dyDescent="0.25">
      <c r="B26" s="404" t="s">
        <v>258</v>
      </c>
      <c r="C26" s="404"/>
      <c r="D26" s="404"/>
      <c r="E26" s="404"/>
      <c r="F26" s="301">
        <v>0</v>
      </c>
    </row>
    <row r="27" spans="2:7" ht="17.25" customHeight="1" x14ac:dyDescent="0.3">
      <c r="B27" s="377" t="s">
        <v>459</v>
      </c>
      <c r="C27" s="377"/>
      <c r="D27" s="377"/>
      <c r="E27" s="377"/>
      <c r="F27" s="377"/>
    </row>
    <row r="28" spans="2:7" ht="31.5" customHeight="1" x14ac:dyDescent="0.25">
      <c r="B28" s="203"/>
      <c r="C28" s="203"/>
      <c r="D28" s="203"/>
      <c r="E28" s="203"/>
      <c r="F28" s="293"/>
    </row>
    <row r="29" spans="2:7" x14ac:dyDescent="0.25">
      <c r="B29" s="409"/>
      <c r="C29" s="409"/>
      <c r="D29" s="409"/>
      <c r="E29" s="409"/>
      <c r="F29" s="409"/>
    </row>
    <row r="31" spans="2:7" ht="16.5" customHeight="1" x14ac:dyDescent="0.25"/>
    <row r="32" spans="2: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32.25" customHeight="1" x14ac:dyDescent="0.25"/>
    <row r="45" ht="31.5" customHeight="1" x14ac:dyDescent="0.25"/>
    <row r="46" ht="36.75" customHeight="1" x14ac:dyDescent="0.25"/>
    <row r="47" s="290" customFormat="1" ht="99" customHeight="1" x14ac:dyDescent="0.25"/>
    <row r="48" ht="68.25" customHeight="1" x14ac:dyDescent="0.25"/>
    <row r="49" spans="2:8" ht="102" customHeight="1" x14ac:dyDescent="0.25"/>
    <row r="50" spans="2:8" ht="48" customHeight="1" x14ac:dyDescent="0.25"/>
    <row r="51" spans="2:8" ht="66" customHeight="1" x14ac:dyDescent="0.25"/>
    <row r="52" spans="2:8" ht="39" customHeight="1" x14ac:dyDescent="0.25"/>
    <row r="55" spans="2:8" ht="30.75" customHeight="1" x14ac:dyDescent="0.25"/>
    <row r="56" spans="2:8" x14ac:dyDescent="0.25">
      <c r="B56" s="290"/>
      <c r="C56" s="290"/>
      <c r="D56" s="290"/>
      <c r="E56" s="290"/>
      <c r="F56" s="290"/>
      <c r="G56" s="290"/>
      <c r="H56" s="290"/>
    </row>
    <row r="59" spans="2:8" s="290" customFormat="1" x14ac:dyDescent="0.25"/>
    <row r="60" spans="2:8" s="290" customFormat="1" x14ac:dyDescent="0.25"/>
    <row r="61" spans="2:8" s="290" customFormat="1" x14ac:dyDescent="0.25"/>
    <row r="62" spans="2:8" s="290" customFormat="1" x14ac:dyDescent="0.25"/>
    <row r="63" spans="2:8" s="290" customFormat="1" x14ac:dyDescent="0.25"/>
    <row r="64" spans="2:8" s="290" customFormat="1" x14ac:dyDescent="0.25"/>
    <row r="65" s="290" customFormat="1" x14ac:dyDescent="0.25"/>
    <row r="66" s="290" customFormat="1" x14ac:dyDescent="0.25"/>
    <row r="67" s="290" customFormat="1" x14ac:dyDescent="0.25"/>
    <row r="68" s="290" customFormat="1" x14ac:dyDescent="0.25"/>
    <row r="69" s="290" customFormat="1" x14ac:dyDescent="0.25"/>
    <row r="70" s="290" customFormat="1" x14ac:dyDescent="0.25"/>
    <row r="71" s="290" customFormat="1" x14ac:dyDescent="0.25"/>
    <row r="72" s="290" customFormat="1" x14ac:dyDescent="0.25"/>
    <row r="73" s="290" customFormat="1" x14ac:dyDescent="0.25"/>
    <row r="74" s="290" customFormat="1" x14ac:dyDescent="0.25"/>
    <row r="75" s="290" customFormat="1" x14ac:dyDescent="0.25"/>
    <row r="76" s="290" customFormat="1" x14ac:dyDescent="0.25"/>
    <row r="77" s="290" customFormat="1" x14ac:dyDescent="0.25"/>
    <row r="78" s="290" customFormat="1" x14ac:dyDescent="0.25"/>
    <row r="79" s="290" customFormat="1" x14ac:dyDescent="0.25"/>
    <row r="80" s="290" customFormat="1" x14ac:dyDescent="0.25"/>
    <row r="81" s="290" customFormat="1" x14ac:dyDescent="0.25"/>
    <row r="82" s="290" customFormat="1" x14ac:dyDescent="0.25"/>
    <row r="83" s="290" customFormat="1" x14ac:dyDescent="0.25"/>
    <row r="84" s="290" customFormat="1" x14ac:dyDescent="0.25"/>
    <row r="85" s="290" customFormat="1" x14ac:dyDescent="0.25"/>
    <row r="86" s="290" customFormat="1" x14ac:dyDescent="0.25"/>
    <row r="87" s="290" customFormat="1" x14ac:dyDescent="0.25"/>
    <row r="88" s="290" customFormat="1" x14ac:dyDescent="0.25"/>
    <row r="89" s="290" customFormat="1" x14ac:dyDescent="0.25"/>
    <row r="90" s="290" customFormat="1" x14ac:dyDescent="0.25"/>
    <row r="91" s="290" customFormat="1" x14ac:dyDescent="0.25"/>
    <row r="92" s="290" customFormat="1" x14ac:dyDescent="0.25"/>
    <row r="93" s="290" customFormat="1" x14ac:dyDescent="0.25"/>
    <row r="94" s="290" customFormat="1" x14ac:dyDescent="0.25"/>
    <row r="95" s="290" customFormat="1" x14ac:dyDescent="0.25"/>
    <row r="96" s="290" customFormat="1" x14ac:dyDescent="0.25"/>
    <row r="97" s="290" customFormat="1" x14ac:dyDescent="0.25"/>
    <row r="98" s="290" customFormat="1" x14ac:dyDescent="0.25"/>
    <row r="99" s="290" customFormat="1" x14ac:dyDescent="0.25"/>
    <row r="100" s="290" customFormat="1" x14ac:dyDescent="0.25"/>
    <row r="101" s="290" customFormat="1" x14ac:dyDescent="0.25"/>
    <row r="102" s="290" customFormat="1" x14ac:dyDescent="0.25"/>
    <row r="103" s="290" customFormat="1" x14ac:dyDescent="0.25"/>
    <row r="104" s="290" customFormat="1" x14ac:dyDescent="0.25"/>
    <row r="105" s="290" customFormat="1" x14ac:dyDescent="0.25"/>
    <row r="106" s="290" customFormat="1" x14ac:dyDescent="0.25"/>
    <row r="107" s="290" customFormat="1" x14ac:dyDescent="0.25"/>
    <row r="108" s="290" customFormat="1" x14ac:dyDescent="0.25"/>
    <row r="109" s="290" customFormat="1" x14ac:dyDescent="0.25"/>
    <row r="110" s="290" customFormat="1" x14ac:dyDescent="0.25"/>
    <row r="111" s="290" customFormat="1" x14ac:dyDescent="0.25"/>
    <row r="112" s="290" customFormat="1" x14ac:dyDescent="0.25"/>
    <row r="113" s="290" customFormat="1" x14ac:dyDescent="0.25"/>
    <row r="114" s="290" customFormat="1" x14ac:dyDescent="0.25"/>
    <row r="115" s="290" customFormat="1" x14ac:dyDescent="0.25"/>
    <row r="116" s="290" customFormat="1" x14ac:dyDescent="0.25"/>
    <row r="117" s="290" customFormat="1" x14ac:dyDescent="0.25"/>
    <row r="118" s="290" customFormat="1" x14ac:dyDescent="0.25"/>
    <row r="119" s="290" customFormat="1" x14ac:dyDescent="0.25"/>
    <row r="120" s="290" customFormat="1" x14ac:dyDescent="0.25"/>
    <row r="121" s="290" customFormat="1" x14ac:dyDescent="0.25"/>
    <row r="122" s="290" customFormat="1" x14ac:dyDescent="0.25"/>
    <row r="123" s="290" customFormat="1" x14ac:dyDescent="0.25"/>
    <row r="124" s="290" customFormat="1" x14ac:dyDescent="0.25"/>
    <row r="125" s="290" customFormat="1" x14ac:dyDescent="0.25"/>
    <row r="126" s="290" customFormat="1" x14ac:dyDescent="0.25"/>
    <row r="127" s="290" customFormat="1" x14ac:dyDescent="0.25"/>
    <row r="128" s="290" customFormat="1" x14ac:dyDescent="0.25"/>
    <row r="129" s="290" customFormat="1" x14ac:dyDescent="0.25"/>
    <row r="130" s="290" customFormat="1" x14ac:dyDescent="0.25"/>
    <row r="131" s="290" customFormat="1" x14ac:dyDescent="0.25"/>
    <row r="132" s="290" customFormat="1" x14ac:dyDescent="0.25"/>
    <row r="133" s="290" customFormat="1" x14ac:dyDescent="0.25"/>
    <row r="134" s="290" customFormat="1" x14ac:dyDescent="0.25"/>
    <row r="135" s="290" customFormat="1" x14ac:dyDescent="0.25"/>
    <row r="136" s="290" customFormat="1" x14ac:dyDescent="0.25"/>
    <row r="137" s="290" customFormat="1" x14ac:dyDescent="0.25"/>
    <row r="138" s="290" customFormat="1" x14ac:dyDescent="0.25"/>
    <row r="139" s="290" customFormat="1" x14ac:dyDescent="0.25"/>
    <row r="140" s="290" customFormat="1" x14ac:dyDescent="0.25"/>
    <row r="141" s="290" customFormat="1" x14ac:dyDescent="0.25"/>
    <row r="142" s="290" customFormat="1" x14ac:dyDescent="0.25"/>
    <row r="143" s="290" customFormat="1" x14ac:dyDescent="0.25"/>
    <row r="144" s="290" customFormat="1" x14ac:dyDescent="0.25"/>
    <row r="145" s="290" customFormat="1" x14ac:dyDescent="0.25"/>
    <row r="146" s="290" customFormat="1" x14ac:dyDescent="0.25"/>
    <row r="147" s="290" customFormat="1" x14ac:dyDescent="0.25"/>
    <row r="148" s="290" customFormat="1" x14ac:dyDescent="0.25"/>
    <row r="149" s="290" customFormat="1" x14ac:dyDescent="0.25"/>
    <row r="150" s="290" customFormat="1" x14ac:dyDescent="0.25"/>
    <row r="151" s="290" customFormat="1" x14ac:dyDescent="0.25"/>
    <row r="152" s="290" customFormat="1" x14ac:dyDescent="0.25"/>
    <row r="153" s="290" customFormat="1" x14ac:dyDescent="0.25"/>
    <row r="154" s="290" customFormat="1" x14ac:dyDescent="0.25"/>
    <row r="155" s="290" customFormat="1" x14ac:dyDescent="0.25"/>
    <row r="156" s="290" customFormat="1" x14ac:dyDescent="0.25"/>
    <row r="157" s="290" customFormat="1" x14ac:dyDescent="0.25"/>
    <row r="158" s="290" customFormat="1" x14ac:dyDescent="0.25"/>
    <row r="159" s="290" customFormat="1" x14ac:dyDescent="0.25"/>
    <row r="160" s="290" customFormat="1" x14ac:dyDescent="0.25"/>
    <row r="161" s="290" customFormat="1" x14ac:dyDescent="0.25"/>
    <row r="162" s="290" customFormat="1" x14ac:dyDescent="0.25"/>
    <row r="163" s="290" customFormat="1" x14ac:dyDescent="0.25"/>
    <row r="164" s="290" customFormat="1" x14ac:dyDescent="0.25"/>
    <row r="165" s="290" customFormat="1" x14ac:dyDescent="0.25"/>
    <row r="166" s="290" customFormat="1" x14ac:dyDescent="0.25"/>
    <row r="167" s="290" customFormat="1" x14ac:dyDescent="0.25"/>
    <row r="168" s="290" customFormat="1" x14ac:dyDescent="0.25"/>
    <row r="169" s="290" customFormat="1" x14ac:dyDescent="0.25"/>
    <row r="170" s="290" customFormat="1" x14ac:dyDescent="0.25"/>
    <row r="171" s="290" customFormat="1" x14ac:dyDescent="0.25"/>
    <row r="172" s="290" customFormat="1" x14ac:dyDescent="0.25"/>
    <row r="173" s="290" customFormat="1" x14ac:dyDescent="0.25"/>
    <row r="174" s="290" customFormat="1" x14ac:dyDescent="0.25"/>
    <row r="175" s="290" customFormat="1" x14ac:dyDescent="0.25"/>
    <row r="176" s="290" customFormat="1" x14ac:dyDescent="0.25"/>
    <row r="177" s="290" customFormat="1" x14ac:dyDescent="0.25"/>
    <row r="178" s="290" customFormat="1" x14ac:dyDescent="0.25"/>
    <row r="179" s="290" customFormat="1" x14ac:dyDescent="0.25"/>
    <row r="180" s="290" customFormat="1" x14ac:dyDescent="0.25"/>
    <row r="181" s="290" customFormat="1" x14ac:dyDescent="0.25"/>
    <row r="182" s="290" customFormat="1" x14ac:dyDescent="0.25"/>
    <row r="183" s="290" customFormat="1" x14ac:dyDescent="0.25"/>
    <row r="184" s="290" customFormat="1" x14ac:dyDescent="0.25"/>
    <row r="185" s="290" customFormat="1" x14ac:dyDescent="0.25"/>
    <row r="186" s="290" customFormat="1" x14ac:dyDescent="0.25"/>
    <row r="187" s="290" customFormat="1" x14ac:dyDescent="0.25"/>
    <row r="188" s="290" customFormat="1" x14ac:dyDescent="0.25"/>
    <row r="189" s="290" customFormat="1" x14ac:dyDescent="0.25"/>
    <row r="190" s="290" customFormat="1" x14ac:dyDescent="0.25"/>
    <row r="191" s="290" customFormat="1" x14ac:dyDescent="0.25"/>
    <row r="192" s="290" customFormat="1" x14ac:dyDescent="0.25"/>
    <row r="193" s="290" customFormat="1" x14ac:dyDescent="0.25"/>
    <row r="194" s="290" customFormat="1" x14ac:dyDescent="0.25"/>
    <row r="195" s="290" customFormat="1" x14ac:dyDescent="0.25"/>
    <row r="196" s="290" customFormat="1" x14ac:dyDescent="0.25"/>
    <row r="197" s="290" customFormat="1" x14ac:dyDescent="0.25"/>
    <row r="198" s="290" customFormat="1" x14ac:dyDescent="0.25"/>
    <row r="199" s="290" customFormat="1" x14ac:dyDescent="0.25"/>
    <row r="200" s="290" customFormat="1" x14ac:dyDescent="0.25"/>
    <row r="201" s="290" customFormat="1" x14ac:dyDescent="0.25"/>
    <row r="202" s="290" customFormat="1" x14ac:dyDescent="0.25"/>
    <row r="203" s="290" customFormat="1" x14ac:dyDescent="0.25"/>
    <row r="204" s="290" customFormat="1" x14ac:dyDescent="0.25"/>
    <row r="205" s="290" customFormat="1" x14ac:dyDescent="0.25"/>
    <row r="206" s="290" customFormat="1" x14ac:dyDescent="0.25"/>
    <row r="207" s="290" customFormat="1" x14ac:dyDescent="0.25"/>
    <row r="208" s="290" customFormat="1" x14ac:dyDescent="0.25"/>
    <row r="209" s="290" customFormat="1" x14ac:dyDescent="0.25"/>
    <row r="210" s="290" customFormat="1" x14ac:dyDescent="0.25"/>
    <row r="211" s="290" customFormat="1" x14ac:dyDescent="0.25"/>
    <row r="212" s="290" customFormat="1" x14ac:dyDescent="0.25"/>
    <row r="213" s="290" customFormat="1" x14ac:dyDescent="0.25"/>
    <row r="214" s="290" customFormat="1" x14ac:dyDescent="0.25"/>
    <row r="215" s="290" customFormat="1" x14ac:dyDescent="0.25"/>
    <row r="216" s="290" customFormat="1" x14ac:dyDescent="0.25"/>
    <row r="217" s="290" customFormat="1" x14ac:dyDescent="0.25"/>
    <row r="218" s="290" customFormat="1" x14ac:dyDescent="0.25"/>
    <row r="219" s="290" customFormat="1" x14ac:dyDescent="0.25"/>
    <row r="220" s="290" customFormat="1" x14ac:dyDescent="0.25"/>
    <row r="221" s="290" customFormat="1" x14ac:dyDescent="0.25"/>
    <row r="222" s="290" customFormat="1" x14ac:dyDescent="0.25"/>
    <row r="223" s="290" customFormat="1" x14ac:dyDescent="0.25"/>
    <row r="224" s="290" customFormat="1" x14ac:dyDescent="0.25"/>
    <row r="225" s="290" customFormat="1" x14ac:dyDescent="0.25"/>
    <row r="226" s="290" customFormat="1" x14ac:dyDescent="0.25"/>
    <row r="227" s="290" customFormat="1" x14ac:dyDescent="0.25"/>
    <row r="228" s="290" customFormat="1" x14ac:dyDescent="0.25"/>
    <row r="229" s="290" customFormat="1" x14ac:dyDescent="0.25"/>
    <row r="230" s="290" customFormat="1" x14ac:dyDescent="0.25"/>
    <row r="231" s="290" customFormat="1" x14ac:dyDescent="0.25"/>
    <row r="232" s="290" customFormat="1" x14ac:dyDescent="0.25"/>
    <row r="233" s="290" customFormat="1" x14ac:dyDescent="0.25"/>
    <row r="234" s="290" customFormat="1" x14ac:dyDescent="0.25"/>
    <row r="235" s="290" customFormat="1" x14ac:dyDescent="0.25"/>
    <row r="236" s="290" customFormat="1" x14ac:dyDescent="0.25"/>
    <row r="237" s="290" customFormat="1" x14ac:dyDescent="0.25"/>
    <row r="238" s="290" customFormat="1" x14ac:dyDescent="0.25"/>
    <row r="239" s="290" customFormat="1" x14ac:dyDescent="0.25"/>
    <row r="240" s="290" customFormat="1" x14ac:dyDescent="0.25"/>
    <row r="241" s="290" customFormat="1" x14ac:dyDescent="0.25"/>
    <row r="242" s="290" customFormat="1" x14ac:dyDescent="0.25"/>
    <row r="243" s="290" customFormat="1" x14ac:dyDescent="0.25"/>
    <row r="244" s="290" customFormat="1" x14ac:dyDescent="0.25"/>
    <row r="245" s="290" customFormat="1" x14ac:dyDescent="0.25"/>
    <row r="246" s="290" customFormat="1" x14ac:dyDescent="0.25"/>
    <row r="247" s="290" customFormat="1" x14ac:dyDescent="0.25"/>
    <row r="248" s="290" customFormat="1" x14ac:dyDescent="0.25"/>
    <row r="249" s="290" customFormat="1" x14ac:dyDescent="0.25"/>
    <row r="250" s="290" customFormat="1" x14ac:dyDescent="0.25"/>
    <row r="251" s="290" customFormat="1" x14ac:dyDescent="0.25"/>
    <row r="252" s="290" customFormat="1" x14ac:dyDescent="0.25"/>
    <row r="253" s="290" customFormat="1" x14ac:dyDescent="0.25"/>
    <row r="254" s="290" customFormat="1" x14ac:dyDescent="0.25"/>
    <row r="255" s="290" customFormat="1" x14ac:dyDescent="0.25"/>
    <row r="256" s="290" customFormat="1" x14ac:dyDescent="0.25"/>
    <row r="257" s="290" customFormat="1" x14ac:dyDescent="0.25"/>
    <row r="258" s="290" customFormat="1" x14ac:dyDescent="0.25"/>
    <row r="259" s="290" customFormat="1" x14ac:dyDescent="0.25"/>
    <row r="260" s="290" customFormat="1" x14ac:dyDescent="0.25"/>
    <row r="261" s="290" customFormat="1" x14ac:dyDescent="0.25"/>
    <row r="262" s="290" customFormat="1" x14ac:dyDescent="0.25"/>
    <row r="263" s="290" customFormat="1" x14ac:dyDescent="0.25"/>
    <row r="264" s="290" customFormat="1" x14ac:dyDescent="0.25"/>
    <row r="265" s="290" customFormat="1" x14ac:dyDescent="0.25"/>
    <row r="266" s="290" customFormat="1" x14ac:dyDescent="0.25"/>
    <row r="267" s="290" customFormat="1" x14ac:dyDescent="0.25"/>
    <row r="268" s="290" customFormat="1" x14ac:dyDescent="0.25"/>
    <row r="269" s="290" customFormat="1" x14ac:dyDescent="0.25"/>
    <row r="270" s="290" customFormat="1" x14ac:dyDescent="0.25"/>
    <row r="271" s="290" customFormat="1" x14ac:dyDescent="0.25"/>
    <row r="272" s="290" customFormat="1" x14ac:dyDescent="0.25"/>
    <row r="273" s="290" customFormat="1" x14ac:dyDescent="0.25"/>
    <row r="274" s="290" customFormat="1" x14ac:dyDescent="0.25"/>
    <row r="275" s="290" customFormat="1" x14ac:dyDescent="0.25"/>
    <row r="276" s="290" customFormat="1" x14ac:dyDescent="0.25"/>
    <row r="277" s="290" customFormat="1" x14ac:dyDescent="0.25"/>
    <row r="278" s="290" customFormat="1" x14ac:dyDescent="0.25"/>
    <row r="279" s="290" customFormat="1" x14ac:dyDescent="0.25"/>
    <row r="280" s="290" customFormat="1" x14ac:dyDescent="0.25"/>
    <row r="281" s="290" customFormat="1" x14ac:dyDescent="0.25"/>
    <row r="282" s="290" customFormat="1" x14ac:dyDescent="0.25"/>
    <row r="283" s="290" customFormat="1" x14ac:dyDescent="0.25"/>
    <row r="284" s="290" customFormat="1" x14ac:dyDescent="0.25"/>
    <row r="285" s="290" customFormat="1" x14ac:dyDescent="0.25"/>
    <row r="286" s="290" customFormat="1" x14ac:dyDescent="0.25"/>
    <row r="287" s="290" customFormat="1" x14ac:dyDescent="0.25"/>
    <row r="288" s="290" customFormat="1" x14ac:dyDescent="0.25"/>
    <row r="289" s="290" customFormat="1" x14ac:dyDescent="0.25"/>
    <row r="290" s="290" customFormat="1" x14ac:dyDescent="0.25"/>
    <row r="291" s="290" customFormat="1" x14ac:dyDescent="0.25"/>
    <row r="292" s="290" customFormat="1" x14ac:dyDescent="0.25"/>
    <row r="293" s="290" customFormat="1" x14ac:dyDescent="0.25"/>
    <row r="294" s="290" customFormat="1" x14ac:dyDescent="0.25"/>
    <row r="295" s="290" customFormat="1" x14ac:dyDescent="0.25"/>
    <row r="296" s="290" customFormat="1" x14ac:dyDescent="0.25"/>
    <row r="297" s="290" customFormat="1" x14ac:dyDescent="0.25"/>
    <row r="298" s="290" customFormat="1" x14ac:dyDescent="0.25"/>
    <row r="299" s="290" customFormat="1" x14ac:dyDescent="0.25"/>
    <row r="300" s="290" customFormat="1" x14ac:dyDescent="0.25"/>
    <row r="301" s="290" customFormat="1" x14ac:dyDescent="0.25"/>
    <row r="302" s="290" customFormat="1" x14ac:dyDescent="0.25"/>
    <row r="303" s="290" customFormat="1" x14ac:dyDescent="0.25"/>
    <row r="304" s="290" customFormat="1" x14ac:dyDescent="0.25"/>
    <row r="305" s="290" customFormat="1" x14ac:dyDescent="0.25"/>
    <row r="306" s="290" customFormat="1" x14ac:dyDescent="0.25"/>
    <row r="307" s="290" customFormat="1" x14ac:dyDescent="0.25"/>
    <row r="308" s="290" customFormat="1" x14ac:dyDescent="0.25"/>
    <row r="309" s="290" customFormat="1" x14ac:dyDescent="0.25"/>
    <row r="310" s="290" customFormat="1" x14ac:dyDescent="0.25"/>
    <row r="311" s="290" customFormat="1" x14ac:dyDescent="0.25"/>
    <row r="312" s="290" customFormat="1" x14ac:dyDescent="0.25"/>
    <row r="313" s="290" customFormat="1" x14ac:dyDescent="0.25"/>
    <row r="314" s="290" customFormat="1" x14ac:dyDescent="0.25"/>
    <row r="315" s="290" customFormat="1" x14ac:dyDescent="0.25"/>
    <row r="316" s="290" customFormat="1" x14ac:dyDescent="0.25"/>
    <row r="317" s="290" customFormat="1" x14ac:dyDescent="0.25"/>
    <row r="318" s="290" customFormat="1" x14ac:dyDescent="0.25"/>
    <row r="319" s="290" customFormat="1" x14ac:dyDescent="0.25"/>
    <row r="320" s="290" customFormat="1" x14ac:dyDescent="0.25"/>
    <row r="321" s="290" customFormat="1" x14ac:dyDescent="0.25"/>
    <row r="322" s="290" customFormat="1" x14ac:dyDescent="0.25"/>
    <row r="323" s="290" customFormat="1" x14ac:dyDescent="0.25"/>
    <row r="324" s="290" customFormat="1" x14ac:dyDescent="0.25"/>
    <row r="325" s="290" customFormat="1" x14ac:dyDescent="0.25"/>
    <row r="326" s="290" customFormat="1" x14ac:dyDescent="0.25"/>
    <row r="327" s="290" customFormat="1" x14ac:dyDescent="0.25"/>
    <row r="328" s="290" customFormat="1" x14ac:dyDescent="0.25"/>
    <row r="329" s="290" customFormat="1" x14ac:dyDescent="0.25"/>
    <row r="330" s="290" customFormat="1" x14ac:dyDescent="0.25"/>
    <row r="331" s="290" customFormat="1" x14ac:dyDescent="0.25"/>
    <row r="332" s="290" customFormat="1" x14ac:dyDescent="0.25"/>
    <row r="333" s="290" customFormat="1" x14ac:dyDescent="0.25"/>
    <row r="334" s="290" customFormat="1" x14ac:dyDescent="0.25"/>
    <row r="335" s="290" customFormat="1" x14ac:dyDescent="0.25"/>
    <row r="336" s="290" customFormat="1" x14ac:dyDescent="0.25"/>
    <row r="337" s="290" customFormat="1" x14ac:dyDescent="0.25"/>
    <row r="338" s="290" customFormat="1" x14ac:dyDescent="0.25"/>
    <row r="339" s="290" customFormat="1" x14ac:dyDescent="0.25"/>
    <row r="340" s="290" customFormat="1" x14ac:dyDescent="0.25"/>
    <row r="341" s="290" customFormat="1" x14ac:dyDescent="0.25"/>
    <row r="342" s="290" customFormat="1" x14ac:dyDescent="0.25"/>
    <row r="343" s="290" customFormat="1" x14ac:dyDescent="0.25"/>
    <row r="344" s="290" customFormat="1" x14ac:dyDescent="0.25"/>
    <row r="345" s="290" customFormat="1" x14ac:dyDescent="0.25"/>
    <row r="346" s="290" customFormat="1" x14ac:dyDescent="0.25"/>
    <row r="347" s="290" customFormat="1" x14ac:dyDescent="0.25"/>
    <row r="348" s="290" customFormat="1" x14ac:dyDescent="0.25"/>
    <row r="349" s="290" customFormat="1" x14ac:dyDescent="0.25"/>
    <row r="350" s="290" customFormat="1" x14ac:dyDescent="0.25"/>
    <row r="351" s="290" customFormat="1" x14ac:dyDescent="0.25"/>
    <row r="352" s="290" customFormat="1" x14ac:dyDescent="0.25"/>
    <row r="353" s="290" customFormat="1" x14ac:dyDescent="0.25"/>
    <row r="354" s="290" customFormat="1" x14ac:dyDescent="0.25"/>
    <row r="355" s="290" customFormat="1" x14ac:dyDescent="0.25"/>
    <row r="356" s="290" customFormat="1" x14ac:dyDescent="0.25"/>
    <row r="357" s="290" customFormat="1" x14ac:dyDescent="0.25"/>
    <row r="358" s="290" customFormat="1" x14ac:dyDescent="0.25"/>
  </sheetData>
  <mergeCells count="25">
    <mergeCell ref="B5:F5"/>
    <mergeCell ref="B15:F15"/>
    <mergeCell ref="B20:F20"/>
    <mergeCell ref="B7:E7"/>
    <mergeCell ref="B9:E9"/>
    <mergeCell ref="B10:E10"/>
    <mergeCell ref="B11:E11"/>
    <mergeCell ref="B6:F6"/>
    <mergeCell ref="B14:E14"/>
    <mergeCell ref="B13:E13"/>
    <mergeCell ref="B29:F29"/>
    <mergeCell ref="B23:E23"/>
    <mergeCell ref="B24:E24"/>
    <mergeCell ref="B26:E26"/>
    <mergeCell ref="B25:F25"/>
    <mergeCell ref="B27:F27"/>
    <mergeCell ref="B8:F8"/>
    <mergeCell ref="B12:E12"/>
    <mergeCell ref="B16:E16"/>
    <mergeCell ref="B22:F22"/>
    <mergeCell ref="B17:E17"/>
    <mergeCell ref="B21:E21"/>
    <mergeCell ref="B18:C18"/>
    <mergeCell ref="D18:E18"/>
    <mergeCell ref="B19:D19"/>
  </mergeCells>
  <phoneticPr fontId="0" type="noConversion"/>
  <printOptions gridLines="1"/>
  <pageMargins left="0.75" right="0.17" top="1" bottom="0.35" header="0.28000000000000003" footer="0.22"/>
  <pageSetup scale="80" orientation="portrait" r:id="rId1"/>
  <headerFooter alignWithMargins="0"/>
  <rowBreaks count="1" manualBreakCount="1">
    <brk id="41" min="1" max="5" man="1"/>
  </rowBreaks>
  <drawing r:id="rId2"/>
  <legacyDrawing r:id="rId3"/>
  <mc:AlternateContent xmlns:mc="http://schemas.openxmlformats.org/markup-compatibility/2006">
    <mc:Choice Requires="x14">
      <controls>
        <mc:AlternateContent xmlns:mc="http://schemas.openxmlformats.org/markup-compatibility/2006">
          <mc:Choice Requires="x14">
            <control shapeId="5132" r:id="rId4" name="Button 12">
              <controlPr defaultSize="0" print="0" autoFill="0" autoPict="0" macro="[0]!BackgroundToMap">
                <anchor moveWithCells="1" sizeWithCells="1">
                  <from>
                    <xdr:col>1</xdr:col>
                    <xdr:colOff>2232660</xdr:colOff>
                    <xdr:row>0</xdr:row>
                    <xdr:rowOff>114300</xdr:rowOff>
                  </from>
                  <to>
                    <xdr:col>3</xdr:col>
                    <xdr:colOff>106680</xdr:colOff>
                    <xdr:row>3</xdr:row>
                    <xdr:rowOff>60960</xdr:rowOff>
                  </to>
                </anchor>
              </controlPr>
            </control>
          </mc:Choice>
        </mc:AlternateContent>
        <mc:AlternateContent xmlns:mc="http://schemas.openxmlformats.org/markup-compatibility/2006">
          <mc:Choice Requires="x14">
            <control shapeId="5139" r:id="rId5" name="Drop Down 19">
              <controlPr defaultSize="0" autoLine="0" autoPict="0">
                <anchor moveWithCells="1">
                  <from>
                    <xdr:col>5</xdr:col>
                    <xdr:colOff>99060</xdr:colOff>
                    <xdr:row>15</xdr:row>
                    <xdr:rowOff>99060</xdr:rowOff>
                  </from>
                  <to>
                    <xdr:col>5</xdr:col>
                    <xdr:colOff>1958340</xdr:colOff>
                    <xdr:row>15</xdr:row>
                    <xdr:rowOff>342900</xdr:rowOff>
                  </to>
                </anchor>
              </controlPr>
            </control>
          </mc:Choice>
        </mc:AlternateContent>
        <mc:AlternateContent xmlns:mc="http://schemas.openxmlformats.org/markup-compatibility/2006">
          <mc:Choice Requires="x14">
            <control shapeId="5140" r:id="rId6" name="Drop Down 20">
              <controlPr defaultSize="0" autoLine="0" autoPict="0">
                <anchor moveWithCells="1">
                  <from>
                    <xdr:col>5</xdr:col>
                    <xdr:colOff>91440</xdr:colOff>
                    <xdr:row>16</xdr:row>
                    <xdr:rowOff>53340</xdr:rowOff>
                  </from>
                  <to>
                    <xdr:col>6</xdr:col>
                    <xdr:colOff>0</xdr:colOff>
                    <xdr:row>16</xdr:row>
                    <xdr:rowOff>312420</xdr:rowOff>
                  </to>
                </anchor>
              </controlPr>
            </control>
          </mc:Choice>
        </mc:AlternateContent>
        <mc:AlternateContent xmlns:mc="http://schemas.openxmlformats.org/markup-compatibility/2006">
          <mc:Choice Requires="x14">
            <control shapeId="5141" r:id="rId7" name="Drop Down 21">
              <controlPr defaultSize="0" autoLine="0" autoPict="0">
                <anchor moveWithCells="1">
                  <from>
                    <xdr:col>5</xdr:col>
                    <xdr:colOff>106680</xdr:colOff>
                    <xdr:row>17</xdr:row>
                    <xdr:rowOff>464820</xdr:rowOff>
                  </from>
                  <to>
                    <xdr:col>5</xdr:col>
                    <xdr:colOff>1943100</xdr:colOff>
                    <xdr:row>17</xdr:row>
                    <xdr:rowOff>731520</xdr:rowOff>
                  </to>
                </anchor>
              </controlPr>
            </control>
          </mc:Choice>
        </mc:AlternateContent>
        <mc:AlternateContent xmlns:mc="http://schemas.openxmlformats.org/markup-compatibility/2006">
          <mc:Choice Requires="x14">
            <control shapeId="5142" r:id="rId8" name="Drop Down 22">
              <controlPr defaultSize="0" autoLine="0" autoPict="0">
                <anchor moveWithCells="1">
                  <from>
                    <xdr:col>5</xdr:col>
                    <xdr:colOff>129540</xdr:colOff>
                    <xdr:row>20</xdr:row>
                    <xdr:rowOff>76200</xdr:rowOff>
                  </from>
                  <to>
                    <xdr:col>5</xdr:col>
                    <xdr:colOff>1935480</xdr:colOff>
                    <xdr:row>20</xdr:row>
                    <xdr:rowOff>342900</xdr:rowOff>
                  </to>
                </anchor>
              </controlPr>
            </control>
          </mc:Choice>
        </mc:AlternateContent>
        <mc:AlternateContent xmlns:mc="http://schemas.openxmlformats.org/markup-compatibility/2006">
          <mc:Choice Requires="x14">
            <control shapeId="5143" r:id="rId9" name="Drop Down 23">
              <controlPr defaultSize="0" autoLine="0" autoPict="0">
                <anchor moveWithCells="1">
                  <from>
                    <xdr:col>5</xdr:col>
                    <xdr:colOff>129540</xdr:colOff>
                    <xdr:row>22</xdr:row>
                    <xdr:rowOff>76200</xdr:rowOff>
                  </from>
                  <to>
                    <xdr:col>5</xdr:col>
                    <xdr:colOff>1927860</xdr:colOff>
                    <xdr:row>22</xdr:row>
                    <xdr:rowOff>320040</xdr:rowOff>
                  </to>
                </anchor>
              </controlPr>
            </control>
          </mc:Choice>
        </mc:AlternateContent>
        <mc:AlternateContent xmlns:mc="http://schemas.openxmlformats.org/markup-compatibility/2006">
          <mc:Choice Requires="x14">
            <control shapeId="5144" r:id="rId10" name="Drop Down 24">
              <controlPr defaultSize="0" autoLine="0" autoPict="0">
                <anchor moveWithCells="1">
                  <from>
                    <xdr:col>5</xdr:col>
                    <xdr:colOff>129540</xdr:colOff>
                    <xdr:row>23</xdr:row>
                    <xdr:rowOff>53340</xdr:rowOff>
                  </from>
                  <to>
                    <xdr:col>5</xdr:col>
                    <xdr:colOff>1950720</xdr:colOff>
                    <xdr:row>23</xdr:row>
                    <xdr:rowOff>312420</xdr:rowOff>
                  </to>
                </anchor>
              </controlPr>
            </control>
          </mc:Choice>
        </mc:AlternateContent>
        <mc:AlternateContent xmlns:mc="http://schemas.openxmlformats.org/markup-compatibility/2006">
          <mc:Choice Requires="x14">
            <control shapeId="5146" r:id="rId11" name="Button 26">
              <controlPr defaultSize="0" print="0" autoFill="0" autoPict="0" macro="[0]!ExitCostModel">
                <anchor moveWithCells="1" sizeWithCells="1">
                  <from>
                    <xdr:col>4</xdr:col>
                    <xdr:colOff>30480</xdr:colOff>
                    <xdr:row>0</xdr:row>
                    <xdr:rowOff>114300</xdr:rowOff>
                  </from>
                  <to>
                    <xdr:col>4</xdr:col>
                    <xdr:colOff>891540</xdr:colOff>
                    <xdr:row>3</xdr:row>
                    <xdr:rowOff>76200</xdr:rowOff>
                  </to>
                </anchor>
              </controlPr>
            </control>
          </mc:Choice>
        </mc:AlternateContent>
        <mc:AlternateContent xmlns:mc="http://schemas.openxmlformats.org/markup-compatibility/2006">
          <mc:Choice Requires="x14">
            <control shapeId="5147" r:id="rId12" name="Button 27">
              <controlPr defaultSize="0" autoFill="0" autoPict="0" macro="[0]!BackToPerformance">
                <anchor moveWithCells="1" sizeWithCells="1">
                  <from>
                    <xdr:col>1</xdr:col>
                    <xdr:colOff>281940</xdr:colOff>
                    <xdr:row>27</xdr:row>
                    <xdr:rowOff>30480</xdr:rowOff>
                  </from>
                  <to>
                    <xdr:col>1</xdr:col>
                    <xdr:colOff>1965960</xdr:colOff>
                    <xdr:row>28</xdr:row>
                    <xdr:rowOff>160020</xdr:rowOff>
                  </to>
                </anchor>
              </controlPr>
            </control>
          </mc:Choice>
        </mc:AlternateContent>
        <mc:AlternateContent xmlns:mc="http://schemas.openxmlformats.org/markup-compatibility/2006">
          <mc:Choice Requires="x14">
            <control shapeId="5148" r:id="rId13" name="Button 28">
              <controlPr defaultSize="0" autoFill="0" autoPict="0" macro="[0]!BackToTestFire">
                <anchor moveWithCells="1" sizeWithCells="1">
                  <from>
                    <xdr:col>2</xdr:col>
                    <xdr:colOff>182880</xdr:colOff>
                    <xdr:row>27</xdr:row>
                    <xdr:rowOff>60960</xdr:rowOff>
                  </from>
                  <to>
                    <xdr:col>3</xdr:col>
                    <xdr:colOff>861060</xdr:colOff>
                    <xdr:row>28</xdr:row>
                    <xdr:rowOff>167640</xdr:rowOff>
                  </to>
                </anchor>
              </controlPr>
            </control>
          </mc:Choice>
        </mc:AlternateContent>
        <mc:AlternateContent xmlns:mc="http://schemas.openxmlformats.org/markup-compatibility/2006">
          <mc:Choice Requires="x14">
            <control shapeId="5149" r:id="rId14" name="Button 29">
              <controlPr defaultSize="0" autoFill="0" autoPict="0" macro="[0]!BackToLocations">
                <anchor moveWithCells="1" sizeWithCells="1">
                  <from>
                    <xdr:col>4</xdr:col>
                    <xdr:colOff>868680</xdr:colOff>
                    <xdr:row>27</xdr:row>
                    <xdr:rowOff>38100</xdr:rowOff>
                  </from>
                  <to>
                    <xdr:col>5</xdr:col>
                    <xdr:colOff>1386840</xdr:colOff>
                    <xdr:row>28</xdr:row>
                    <xdr:rowOff>167640</xdr:rowOff>
                  </to>
                </anchor>
              </controlPr>
            </control>
          </mc:Choice>
        </mc:AlternateContent>
        <mc:AlternateContent xmlns:mc="http://schemas.openxmlformats.org/markup-compatibility/2006">
          <mc:Choice Requires="x14">
            <control shapeId="5153" r:id="rId15" name="Drop Down 33">
              <controlPr defaultSize="0" autoLine="0" autoPict="0">
                <anchor moveWithCells="1">
                  <from>
                    <xdr:col>5</xdr:col>
                    <xdr:colOff>106680</xdr:colOff>
                    <xdr:row>18</xdr:row>
                    <xdr:rowOff>160020</xdr:rowOff>
                  </from>
                  <to>
                    <xdr:col>5</xdr:col>
                    <xdr:colOff>1958340</xdr:colOff>
                    <xdr:row>18</xdr:row>
                    <xdr:rowOff>396240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C4:G70"/>
  <sheetViews>
    <sheetView topLeftCell="B64" zoomScaleNormal="100" workbookViewId="0">
      <selection activeCell="A9" sqref="A9"/>
    </sheetView>
  </sheetViews>
  <sheetFormatPr defaultColWidth="9.109375" defaultRowHeight="15" x14ac:dyDescent="0.25"/>
  <cols>
    <col min="1" max="2" width="9.109375" style="120" customWidth="1"/>
    <col min="3" max="3" width="53.88671875" style="120" customWidth="1"/>
    <col min="4" max="4" width="18.5546875" style="120" customWidth="1"/>
    <col min="5" max="5" width="18" style="120" customWidth="1"/>
    <col min="6" max="6" width="18.33203125" style="120" customWidth="1"/>
    <col min="7" max="16384" width="9.109375" style="120"/>
  </cols>
  <sheetData>
    <row r="4" spans="3:7" ht="15.6" thickBot="1" x14ac:dyDescent="0.3"/>
    <row r="5" spans="3:7" ht="30.75" customHeight="1" thickBot="1" x14ac:dyDescent="0.35">
      <c r="C5" s="395" t="s">
        <v>293</v>
      </c>
      <c r="D5" s="396"/>
      <c r="E5" s="397"/>
    </row>
    <row r="6" spans="3:7" ht="25.5" customHeight="1" thickBot="1" x14ac:dyDescent="0.35">
      <c r="C6" s="246"/>
      <c r="D6" s="193"/>
      <c r="E6" s="194"/>
    </row>
    <row r="7" spans="3:7" ht="16.2" thickBot="1" x14ac:dyDescent="0.35">
      <c r="C7" s="437" t="s">
        <v>365</v>
      </c>
      <c r="D7" s="438"/>
      <c r="E7" s="439"/>
    </row>
    <row r="8" spans="3:7" ht="112.5" customHeight="1" thickBot="1" x14ac:dyDescent="0.3">
      <c r="C8" s="440" t="s">
        <v>460</v>
      </c>
      <c r="D8" s="441"/>
      <c r="E8" s="442"/>
      <c r="G8" s="153"/>
    </row>
    <row r="9" spans="3:7" ht="34.5" customHeight="1" thickTop="1" x14ac:dyDescent="0.3">
      <c r="C9" s="143"/>
      <c r="D9" s="433" t="s">
        <v>274</v>
      </c>
      <c r="E9" s="434"/>
      <c r="G9" s="153"/>
    </row>
    <row r="10" spans="3:7" ht="31.5" customHeight="1" x14ac:dyDescent="0.3">
      <c r="C10" s="141" t="s">
        <v>275</v>
      </c>
      <c r="D10" s="134" t="s">
        <v>263</v>
      </c>
      <c r="E10" s="135" t="s">
        <v>264</v>
      </c>
      <c r="F10" s="153"/>
      <c r="G10" s="153"/>
    </row>
    <row r="11" spans="3:7" x14ac:dyDescent="0.25">
      <c r="C11" s="305" t="s">
        <v>279</v>
      </c>
      <c r="D11" s="144">
        <v>1</v>
      </c>
      <c r="E11" s="302">
        <v>1</v>
      </c>
      <c r="F11" s="153"/>
      <c r="G11" s="153"/>
    </row>
    <row r="12" spans="3:7" x14ac:dyDescent="0.25">
      <c r="C12" s="305" t="s">
        <v>276</v>
      </c>
      <c r="D12" s="257">
        <v>13.5</v>
      </c>
      <c r="E12" s="303">
        <v>5</v>
      </c>
      <c r="F12" s="153"/>
      <c r="G12" s="153"/>
    </row>
    <row r="13" spans="3:7" x14ac:dyDescent="0.25">
      <c r="C13" s="305" t="s">
        <v>277</v>
      </c>
      <c r="D13" s="145">
        <v>25</v>
      </c>
      <c r="E13" s="303">
        <v>8</v>
      </c>
      <c r="F13" s="153"/>
      <c r="G13" s="153"/>
    </row>
    <row r="14" spans="3:7" ht="30" x14ac:dyDescent="0.25">
      <c r="C14" s="306" t="s">
        <v>278</v>
      </c>
      <c r="D14" s="147">
        <v>1</v>
      </c>
      <c r="E14" s="304">
        <v>1</v>
      </c>
      <c r="F14" s="153"/>
      <c r="G14" s="153"/>
    </row>
    <row r="15" spans="3:7" ht="35.25" customHeight="1" x14ac:dyDescent="0.3">
      <c r="C15" s="133"/>
      <c r="D15" s="443" t="s">
        <v>287</v>
      </c>
      <c r="E15" s="444"/>
      <c r="F15" s="153"/>
      <c r="G15" s="153"/>
    </row>
    <row r="16" spans="3:7" ht="15.6" x14ac:dyDescent="0.3">
      <c r="C16" s="141" t="s">
        <v>280</v>
      </c>
      <c r="D16" s="134" t="s">
        <v>263</v>
      </c>
      <c r="E16" s="135" t="s">
        <v>264</v>
      </c>
      <c r="F16" s="153"/>
      <c r="G16" s="153"/>
    </row>
    <row r="17" spans="3:7" x14ac:dyDescent="0.25">
      <c r="C17" s="305" t="s">
        <v>284</v>
      </c>
      <c r="D17" s="144">
        <f>ROUND((60/(D11+D12+D14))*8,0)</f>
        <v>31</v>
      </c>
      <c r="E17" s="184">
        <f>ROUND((60/(E11+E12+E14))*8,0)</f>
        <v>69</v>
      </c>
      <c r="F17" s="153"/>
      <c r="G17" s="153"/>
    </row>
    <row r="18" spans="3:7" x14ac:dyDescent="0.25">
      <c r="C18" s="305" t="s">
        <v>200</v>
      </c>
      <c r="D18" s="144">
        <f>ROUND((60/(D11+D13+D14))*8,0)</f>
        <v>18</v>
      </c>
      <c r="E18" s="184">
        <f>ROUND((60/(E11+E13+E14))*8,0)</f>
        <v>48</v>
      </c>
      <c r="F18" s="153"/>
      <c r="G18" s="153"/>
    </row>
    <row r="19" spans="3:7" x14ac:dyDescent="0.25">
      <c r="C19" s="305" t="s">
        <v>285</v>
      </c>
      <c r="D19" s="149">
        <f>ROUND((60/(D11+D12+D13+D14))*8,0)</f>
        <v>12</v>
      </c>
      <c r="E19" s="172">
        <f>ROUND((60/(E11+E12+E13+E14))*8,0)</f>
        <v>32</v>
      </c>
      <c r="F19" s="153"/>
      <c r="G19" s="153"/>
    </row>
    <row r="20" spans="3:7" x14ac:dyDescent="0.25">
      <c r="C20" s="185"/>
      <c r="D20" s="168"/>
      <c r="E20" s="186"/>
      <c r="F20" s="153"/>
      <c r="G20" s="153"/>
    </row>
    <row r="21" spans="3:7" ht="19.5" customHeight="1" x14ac:dyDescent="0.3">
      <c r="C21" s="176" t="s">
        <v>282</v>
      </c>
      <c r="D21" s="113"/>
      <c r="E21" s="188"/>
      <c r="F21" s="153"/>
      <c r="G21" s="153"/>
    </row>
    <row r="22" spans="3:7" ht="15.6" thickBot="1" x14ac:dyDescent="0.3">
      <c r="C22" s="190"/>
      <c r="D22" s="191"/>
      <c r="E22" s="192"/>
      <c r="F22" s="153"/>
      <c r="G22" s="153"/>
    </row>
    <row r="23" spans="3:7" ht="16.2" thickTop="1" x14ac:dyDescent="0.3">
      <c r="C23" s="418" t="s">
        <v>399</v>
      </c>
      <c r="D23" s="419"/>
      <c r="E23" s="420"/>
      <c r="F23" s="153"/>
      <c r="G23" s="153"/>
    </row>
    <row r="24" spans="3:7" ht="15.6" x14ac:dyDescent="0.3">
      <c r="C24" s="176" t="s">
        <v>283</v>
      </c>
      <c r="D24" s="170" t="s">
        <v>286</v>
      </c>
      <c r="E24" s="188"/>
      <c r="F24" s="153"/>
      <c r="G24" s="153"/>
    </row>
    <row r="25" spans="3:7" ht="15.6" thickBot="1" x14ac:dyDescent="0.3">
      <c r="C25" s="189" t="str">
        <f>Status!G9</f>
        <v>shell casings only</v>
      </c>
      <c r="D25" s="178">
        <f>IF(C25="Shell casings only",IF(Status!D26="default used",'Performance Assumptions'!D17,'Performance Assumptions'!E17),IF('Performance Assumptions'!C25="Bullets only",IF(Status!D26="default used",'Performance Assumptions'!D18,'Performance Assumptions'!E18),IF(Status!D26="default used",'Performance Assumptions'!D19,'Performance Assumptions'!E19)))</f>
        <v>69</v>
      </c>
      <c r="E25" s="183"/>
      <c r="F25" s="153"/>
      <c r="G25" s="153"/>
    </row>
    <row r="26" spans="3:7" s="193" customFormat="1" x14ac:dyDescent="0.25">
      <c r="C26" s="199"/>
      <c r="D26" s="169"/>
      <c r="E26" s="169"/>
      <c r="F26" s="169"/>
      <c r="G26" s="169"/>
    </row>
    <row r="27" spans="3:7" s="193" customFormat="1" x14ac:dyDescent="0.25">
      <c r="C27" s="199"/>
      <c r="D27" s="169"/>
      <c r="E27" s="169"/>
      <c r="F27" s="169"/>
      <c r="G27" s="169"/>
    </row>
    <row r="28" spans="3:7" s="193" customFormat="1" ht="15.6" thickBot="1" x14ac:dyDescent="0.3">
      <c r="C28" s="199"/>
      <c r="D28" s="169"/>
      <c r="E28" s="169"/>
      <c r="F28" s="169"/>
      <c r="G28" s="169"/>
    </row>
    <row r="29" spans="3:7" ht="30.75" customHeight="1" thickBot="1" x14ac:dyDescent="0.35">
      <c r="C29" s="395" t="s">
        <v>292</v>
      </c>
      <c r="D29" s="396"/>
      <c r="E29" s="397"/>
      <c r="F29" s="153"/>
      <c r="G29" s="153"/>
    </row>
    <row r="30" spans="3:7" ht="29.25" customHeight="1" thickBot="1" x14ac:dyDescent="0.3">
      <c r="C30" s="209"/>
      <c r="D30" s="169"/>
      <c r="E30" s="187"/>
      <c r="F30" s="153"/>
      <c r="G30" s="153"/>
    </row>
    <row r="31" spans="3:7" ht="16.2" thickBot="1" x14ac:dyDescent="0.35">
      <c r="C31" s="428" t="s">
        <v>366</v>
      </c>
      <c r="D31" s="429"/>
      <c r="E31" s="430"/>
      <c r="F31" s="153"/>
      <c r="G31" s="153"/>
    </row>
    <row r="32" spans="3:7" ht="81" customHeight="1" x14ac:dyDescent="0.25">
      <c r="C32" s="445" t="s">
        <v>383</v>
      </c>
      <c r="D32" s="446"/>
      <c r="E32" s="447"/>
    </row>
    <row r="33" spans="3:5" ht="19.5" customHeight="1" x14ac:dyDescent="0.3">
      <c r="C33" s="143"/>
      <c r="D33" s="435" t="s">
        <v>235</v>
      </c>
      <c r="E33" s="436"/>
    </row>
    <row r="34" spans="3:5" ht="61.5" customHeight="1" x14ac:dyDescent="0.3">
      <c r="C34" s="141" t="s">
        <v>125</v>
      </c>
      <c r="D34" s="134" t="s">
        <v>263</v>
      </c>
      <c r="E34" s="135" t="s">
        <v>264</v>
      </c>
    </row>
    <row r="35" spans="3:5" x14ac:dyDescent="0.25">
      <c r="C35" s="305" t="s">
        <v>25</v>
      </c>
      <c r="D35" s="144">
        <v>10</v>
      </c>
      <c r="E35" s="302">
        <v>10</v>
      </c>
    </row>
    <row r="36" spans="3:5" x14ac:dyDescent="0.25">
      <c r="C36" s="305" t="s">
        <v>328</v>
      </c>
      <c r="D36" s="144">
        <v>10</v>
      </c>
      <c r="E36" s="302">
        <v>10</v>
      </c>
    </row>
    <row r="37" spans="3:5" x14ac:dyDescent="0.25">
      <c r="C37" s="305" t="s">
        <v>329</v>
      </c>
      <c r="D37" s="144">
        <v>0</v>
      </c>
      <c r="E37" s="302">
        <v>0</v>
      </c>
    </row>
    <row r="38" spans="3:5" ht="30" x14ac:dyDescent="0.25">
      <c r="C38" s="306" t="s">
        <v>327</v>
      </c>
      <c r="D38" s="147">
        <v>60</v>
      </c>
      <c r="E38" s="304">
        <v>60</v>
      </c>
    </row>
    <row r="39" spans="3:5" ht="28.5" customHeight="1" x14ac:dyDescent="0.3">
      <c r="C39" s="146"/>
      <c r="D39" s="431" t="s">
        <v>265</v>
      </c>
      <c r="E39" s="432"/>
    </row>
    <row r="40" spans="3:5" ht="15.6" x14ac:dyDescent="0.3">
      <c r="C40" s="330" t="s">
        <v>392</v>
      </c>
      <c r="D40" s="134" t="s">
        <v>263</v>
      </c>
      <c r="E40" s="135" t="s">
        <v>264</v>
      </c>
    </row>
    <row r="41" spans="3:5" x14ac:dyDescent="0.25">
      <c r="C41" s="305" t="s">
        <v>266</v>
      </c>
      <c r="D41" s="149">
        <f>ROUND((60/SUM(D35:D37))*((8-(D38/60))),0)</f>
        <v>21</v>
      </c>
      <c r="E41" s="172">
        <f>ROUND((60/SUM(E35:E37))*((8-(E38/60))),0)</f>
        <v>21</v>
      </c>
    </row>
    <row r="42" spans="3:5" x14ac:dyDescent="0.25">
      <c r="C42" s="307" t="s">
        <v>369</v>
      </c>
      <c r="D42" s="149">
        <f>ROUND((60/SUM(D35:D37))*8,0)</f>
        <v>24</v>
      </c>
      <c r="E42" s="172">
        <f>ROUND((60/SUM(E35:E37))*8,0)</f>
        <v>24</v>
      </c>
    </row>
    <row r="43" spans="3:5" x14ac:dyDescent="0.25">
      <c r="C43" s="174"/>
      <c r="D43" s="171"/>
      <c r="E43" s="175"/>
    </row>
    <row r="44" spans="3:5" ht="23.25" customHeight="1" x14ac:dyDescent="0.3">
      <c r="C44" s="176" t="s">
        <v>282</v>
      </c>
      <c r="D44" s="248"/>
      <c r="E44" s="249"/>
    </row>
    <row r="45" spans="3:5" ht="23.25" customHeight="1" thickBot="1" x14ac:dyDescent="0.3">
      <c r="C45" s="179"/>
      <c r="D45" s="180"/>
      <c r="E45" s="181"/>
    </row>
    <row r="46" spans="3:5" ht="23.25" customHeight="1" thickTop="1" x14ac:dyDescent="0.3">
      <c r="C46" s="421" t="s">
        <v>399</v>
      </c>
      <c r="D46" s="422"/>
      <c r="E46" s="423"/>
    </row>
    <row r="47" spans="3:5" ht="34.5" customHeight="1" x14ac:dyDescent="0.3">
      <c r="C47" s="176" t="s">
        <v>367</v>
      </c>
      <c r="D47" s="411" t="s">
        <v>288</v>
      </c>
      <c r="E47" s="427"/>
    </row>
    <row r="48" spans="3:5" ht="15.6" thickBot="1" x14ac:dyDescent="0.3">
      <c r="C48" s="177" t="str">
        <f>Status!G14</f>
        <v>one central location</v>
      </c>
      <c r="D48" s="182">
        <f>IF(C48="mobile operation",IF(Status!D27="default used",'Performance Assumptions'!D41,'Performance Assumptions'!E41),IF(Status!D27="default used",'Performance Assumptions'!D42,'Performance Assumptions'!E42))</f>
        <v>24</v>
      </c>
      <c r="E48" s="183" t="s">
        <v>289</v>
      </c>
    </row>
    <row r="49" spans="3:6" s="193" customFormat="1" x14ac:dyDescent="0.25">
      <c r="D49" s="201"/>
      <c r="E49" s="169"/>
    </row>
    <row r="50" spans="3:6" s="193" customFormat="1" x14ac:dyDescent="0.25">
      <c r="D50" s="201"/>
      <c r="E50" s="169"/>
    </row>
    <row r="51" spans="3:6" s="193" customFormat="1" ht="15.6" thickBot="1" x14ac:dyDescent="0.3">
      <c r="D51" s="201"/>
      <c r="E51" s="169"/>
    </row>
    <row r="52" spans="3:6" ht="30.75" customHeight="1" thickBot="1" x14ac:dyDescent="0.35">
      <c r="C52" s="395" t="s">
        <v>294</v>
      </c>
      <c r="D52" s="396"/>
      <c r="E52" s="397"/>
    </row>
    <row r="53" spans="3:6" ht="24.75" customHeight="1" thickBot="1" x14ac:dyDescent="0.3">
      <c r="C53" s="209"/>
      <c r="D53" s="169"/>
      <c r="E53" s="187"/>
    </row>
    <row r="54" spans="3:6" ht="15.6" x14ac:dyDescent="0.3">
      <c r="C54" s="428" t="s">
        <v>295</v>
      </c>
      <c r="D54" s="429"/>
      <c r="E54" s="430"/>
    </row>
    <row r="55" spans="3:6" ht="159" customHeight="1" thickBot="1" x14ac:dyDescent="0.3">
      <c r="C55" s="424" t="s">
        <v>393</v>
      </c>
      <c r="D55" s="425"/>
      <c r="E55" s="426"/>
      <c r="F55" s="247"/>
    </row>
    <row r="56" spans="3:6" ht="28.5" customHeight="1" thickTop="1" thickBot="1" x14ac:dyDescent="0.3">
      <c r="C56" s="412"/>
      <c r="D56" s="413"/>
      <c r="E56" s="414"/>
      <c r="F56" s="247"/>
    </row>
    <row r="57" spans="3:6" ht="51" customHeight="1" thickBot="1" x14ac:dyDescent="0.3">
      <c r="C57" s="151" t="s">
        <v>296</v>
      </c>
      <c r="D57" s="308">
        <v>100</v>
      </c>
      <c r="E57" s="253" t="str">
        <f>IF(AND(D57&lt;1,OR(Status!F10=2,Status!F14=2))=TRUE,"Error:  Distance must be more than one mile"," ")</f>
        <v xml:space="preserve"> </v>
      </c>
      <c r="F57" s="247"/>
    </row>
    <row r="58" spans="3:6" ht="24" customHeight="1" x14ac:dyDescent="0.25">
      <c r="C58" s="151"/>
      <c r="D58" s="251"/>
      <c r="E58" s="155"/>
      <c r="F58" s="247"/>
    </row>
    <row r="59" spans="3:6" ht="45.6" x14ac:dyDescent="0.25">
      <c r="C59" s="252" t="s">
        <v>321</v>
      </c>
      <c r="D59" s="130">
        <f>Calculations!B225</f>
        <v>1</v>
      </c>
      <c r="E59" s="155"/>
    </row>
    <row r="60" spans="3:6" ht="15.6" thickBot="1" x14ac:dyDescent="0.3">
      <c r="C60" s="151"/>
      <c r="D60" s="130"/>
      <c r="E60" s="155"/>
    </row>
    <row r="61" spans="3:6" ht="31.2" thickBot="1" x14ac:dyDescent="0.3">
      <c r="C61" s="176" t="s">
        <v>322</v>
      </c>
      <c r="D61" s="309">
        <v>1</v>
      </c>
      <c r="E61" s="155"/>
    </row>
    <row r="62" spans="3:6" x14ac:dyDescent="0.25">
      <c r="C62" s="154"/>
      <c r="D62" s="104"/>
      <c r="E62" s="155"/>
    </row>
    <row r="63" spans="3:6" ht="51" customHeight="1" x14ac:dyDescent="0.3">
      <c r="C63" s="176" t="s">
        <v>395</v>
      </c>
      <c r="D63" s="104"/>
      <c r="E63" s="155"/>
    </row>
    <row r="64" spans="3:6" ht="15.6" x14ac:dyDescent="0.3">
      <c r="C64" s="332"/>
      <c r="D64" s="333"/>
      <c r="E64" s="334"/>
    </row>
    <row r="65" spans="3:5" x14ac:dyDescent="0.25">
      <c r="C65" s="185"/>
      <c r="D65" s="104"/>
      <c r="E65" s="155"/>
    </row>
    <row r="66" spans="3:5" ht="45.6" thickBot="1" x14ac:dyDescent="0.3">
      <c r="C66" s="190" t="s">
        <v>394</v>
      </c>
      <c r="D66" s="191">
        <f>IF(Status!D28="model estimate used",'Performance Assumptions'!D59,'Performance Assumptions'!D61)</f>
        <v>1</v>
      </c>
      <c r="E66" s="192"/>
    </row>
    <row r="67" spans="3:5" ht="16.2" thickTop="1" x14ac:dyDescent="0.3">
      <c r="C67" s="415" t="s">
        <v>399</v>
      </c>
      <c r="D67" s="416"/>
      <c r="E67" s="417"/>
    </row>
    <row r="68" spans="3:5" ht="32.25" customHeight="1" x14ac:dyDescent="0.3">
      <c r="C68" s="415" t="s">
        <v>396</v>
      </c>
      <c r="D68" s="416"/>
      <c r="E68" s="417"/>
    </row>
    <row r="69" spans="3:5" x14ac:dyDescent="0.25">
      <c r="C69" s="185" t="s">
        <v>397</v>
      </c>
      <c r="D69" s="113">
        <f>IF(Status!F10=2,'Performance Assumptions'!D66,1)</f>
        <v>1</v>
      </c>
      <c r="E69" s="155"/>
    </row>
    <row r="70" spans="3:5" ht="15.6" thickBot="1" x14ac:dyDescent="0.3">
      <c r="C70" s="189" t="s">
        <v>398</v>
      </c>
      <c r="D70" s="178">
        <f>IF(Status!F14=2,'Performance Assumptions'!D66,1)</f>
        <v>1</v>
      </c>
      <c r="E70" s="331"/>
    </row>
  </sheetData>
  <mergeCells count="19">
    <mergeCell ref="D9:E9"/>
    <mergeCell ref="D33:E33"/>
    <mergeCell ref="C5:E5"/>
    <mergeCell ref="C7:E7"/>
    <mergeCell ref="C31:E31"/>
    <mergeCell ref="C8:E8"/>
    <mergeCell ref="D15:E15"/>
    <mergeCell ref="C29:E29"/>
    <mergeCell ref="C32:E32"/>
    <mergeCell ref="C56:E56"/>
    <mergeCell ref="C68:E68"/>
    <mergeCell ref="C23:E23"/>
    <mergeCell ref="C46:E46"/>
    <mergeCell ref="C67:E67"/>
    <mergeCell ref="C55:E55"/>
    <mergeCell ref="D47:E47"/>
    <mergeCell ref="C52:E52"/>
    <mergeCell ref="C54:E54"/>
    <mergeCell ref="D39:E39"/>
  </mergeCells>
  <phoneticPr fontId="0" type="noConversion"/>
  <pageMargins left="0.75" right="0.75" top="1" bottom="1" header="0.5" footer="0.5"/>
  <pageSetup orientation="portrait" r:id="rId1"/>
  <headerFooter alignWithMargins="0"/>
  <rowBreaks count="2" manualBreakCount="2">
    <brk id="28" min="2" max="4" man="1"/>
    <brk id="51" max="16383" man="1"/>
  </rowBreaks>
  <colBreaks count="1" manualBreakCount="1">
    <brk id="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7171" r:id="rId4" name="Button 3">
              <controlPr defaultSize="0" print="0" autoFill="0" autoPict="0" macro="[0]!PerformanceToMap">
                <anchor moveWithCells="1" sizeWithCells="1">
                  <from>
                    <xdr:col>2</xdr:col>
                    <xdr:colOff>1066800</xdr:colOff>
                    <xdr:row>0</xdr:row>
                    <xdr:rowOff>144780</xdr:rowOff>
                  </from>
                  <to>
                    <xdr:col>2</xdr:col>
                    <xdr:colOff>2796540</xdr:colOff>
                    <xdr:row>3</xdr:row>
                    <xdr:rowOff>76200</xdr:rowOff>
                  </to>
                </anchor>
              </controlPr>
            </control>
          </mc:Choice>
        </mc:AlternateContent>
        <mc:AlternateContent xmlns:mc="http://schemas.openxmlformats.org/markup-compatibility/2006">
          <mc:Choice Requires="x14">
            <control shapeId="7174" r:id="rId5" name="Button 6">
              <controlPr defaultSize="0" print="0" autoFill="0" autoPict="0" macro="[0]!ExitCostModel">
                <anchor moveWithCells="1" sizeWithCells="1">
                  <from>
                    <xdr:col>2</xdr:col>
                    <xdr:colOff>3688080</xdr:colOff>
                    <xdr:row>0</xdr:row>
                    <xdr:rowOff>160020</xdr:rowOff>
                  </from>
                  <to>
                    <xdr:col>3</xdr:col>
                    <xdr:colOff>800100</xdr:colOff>
                    <xdr:row>3</xdr:row>
                    <xdr:rowOff>106680</xdr:rowOff>
                  </to>
                </anchor>
              </controlPr>
            </control>
          </mc:Choice>
        </mc:AlternateContent>
        <mc:AlternateContent xmlns:mc="http://schemas.openxmlformats.org/markup-compatibility/2006">
          <mc:Choice Requires="x14">
            <control shapeId="7176" r:id="rId6" name="Option Button 8">
              <controlPr defaultSize="0" autoFill="0" autoLine="0" autoPict="0">
                <anchor moveWithCells="1">
                  <from>
                    <xdr:col>3</xdr:col>
                    <xdr:colOff>106680</xdr:colOff>
                    <xdr:row>20</xdr:row>
                    <xdr:rowOff>0</xdr:rowOff>
                  </from>
                  <to>
                    <xdr:col>3</xdr:col>
                    <xdr:colOff>1196340</xdr:colOff>
                    <xdr:row>20</xdr:row>
                    <xdr:rowOff>220980</xdr:rowOff>
                  </to>
                </anchor>
              </controlPr>
            </control>
          </mc:Choice>
        </mc:AlternateContent>
        <mc:AlternateContent xmlns:mc="http://schemas.openxmlformats.org/markup-compatibility/2006">
          <mc:Choice Requires="x14">
            <control shapeId="7177" r:id="rId7" name="Option Button 9">
              <controlPr defaultSize="0" autoFill="0" autoLine="0" autoPict="0">
                <anchor moveWithCells="1">
                  <from>
                    <xdr:col>4</xdr:col>
                    <xdr:colOff>91440</xdr:colOff>
                    <xdr:row>19</xdr:row>
                    <xdr:rowOff>182880</xdr:rowOff>
                  </from>
                  <to>
                    <xdr:col>4</xdr:col>
                    <xdr:colOff>1135380</xdr:colOff>
                    <xdr:row>20</xdr:row>
                    <xdr:rowOff>213360</xdr:rowOff>
                  </to>
                </anchor>
              </controlPr>
            </control>
          </mc:Choice>
        </mc:AlternateContent>
        <mc:AlternateContent xmlns:mc="http://schemas.openxmlformats.org/markup-compatibility/2006">
          <mc:Choice Requires="x14">
            <control shapeId="7175" r:id="rId8" name="Group Box 7">
              <controlPr defaultSize="0" autoFill="0" autoPict="0">
                <anchor moveWithCells="1">
                  <from>
                    <xdr:col>2</xdr:col>
                    <xdr:colOff>3688080</xdr:colOff>
                    <xdr:row>19</xdr:row>
                    <xdr:rowOff>182880</xdr:rowOff>
                  </from>
                  <to>
                    <xdr:col>4</xdr:col>
                    <xdr:colOff>1211580</xdr:colOff>
                    <xdr:row>20</xdr:row>
                    <xdr:rowOff>236220</xdr:rowOff>
                  </to>
                </anchor>
              </controlPr>
            </control>
          </mc:Choice>
        </mc:AlternateContent>
        <mc:AlternateContent xmlns:mc="http://schemas.openxmlformats.org/markup-compatibility/2006">
          <mc:Choice Requires="x14">
            <control shapeId="7178" r:id="rId9" name="Group Box 10">
              <controlPr defaultSize="0" autoFill="0" autoPict="0">
                <anchor moveWithCells="1">
                  <from>
                    <xdr:col>3</xdr:col>
                    <xdr:colOff>0</xdr:colOff>
                    <xdr:row>42</xdr:row>
                    <xdr:rowOff>167640</xdr:rowOff>
                  </from>
                  <to>
                    <xdr:col>4</xdr:col>
                    <xdr:colOff>1211580</xdr:colOff>
                    <xdr:row>44</xdr:row>
                    <xdr:rowOff>0</xdr:rowOff>
                  </to>
                </anchor>
              </controlPr>
            </control>
          </mc:Choice>
        </mc:AlternateContent>
        <mc:AlternateContent xmlns:mc="http://schemas.openxmlformats.org/markup-compatibility/2006">
          <mc:Choice Requires="x14">
            <control shapeId="7180" r:id="rId10" name="Option Button 12">
              <controlPr defaultSize="0" autoFill="0" autoLine="0" autoPict="0">
                <anchor moveWithCells="1">
                  <from>
                    <xdr:col>3</xdr:col>
                    <xdr:colOff>144780</xdr:colOff>
                    <xdr:row>43</xdr:row>
                    <xdr:rowOff>22860</xdr:rowOff>
                  </from>
                  <to>
                    <xdr:col>3</xdr:col>
                    <xdr:colOff>1234440</xdr:colOff>
                    <xdr:row>44</xdr:row>
                    <xdr:rowOff>0</xdr:rowOff>
                  </to>
                </anchor>
              </controlPr>
            </control>
          </mc:Choice>
        </mc:AlternateContent>
        <mc:AlternateContent xmlns:mc="http://schemas.openxmlformats.org/markup-compatibility/2006">
          <mc:Choice Requires="x14">
            <control shapeId="7181" r:id="rId11" name="Option Button 13">
              <controlPr defaultSize="0" autoFill="0" autoLine="0" autoPict="0">
                <anchor moveWithCells="1">
                  <from>
                    <xdr:col>4</xdr:col>
                    <xdr:colOff>76200</xdr:colOff>
                    <xdr:row>43</xdr:row>
                    <xdr:rowOff>22860</xdr:rowOff>
                  </from>
                  <to>
                    <xdr:col>4</xdr:col>
                    <xdr:colOff>1127760</xdr:colOff>
                    <xdr:row>44</xdr:row>
                    <xdr:rowOff>0</xdr:rowOff>
                  </to>
                </anchor>
              </controlPr>
            </control>
          </mc:Choice>
        </mc:AlternateContent>
        <mc:AlternateContent xmlns:mc="http://schemas.openxmlformats.org/markup-compatibility/2006">
          <mc:Choice Requires="x14">
            <control shapeId="7182" r:id="rId12" name="Group Box 14">
              <controlPr defaultSize="0" autoFill="0" autoPict="0">
                <anchor moveWithCells="1">
                  <from>
                    <xdr:col>3</xdr:col>
                    <xdr:colOff>0</xdr:colOff>
                    <xdr:row>62</xdr:row>
                    <xdr:rowOff>137160</xdr:rowOff>
                  </from>
                  <to>
                    <xdr:col>4</xdr:col>
                    <xdr:colOff>1211580</xdr:colOff>
                    <xdr:row>63</xdr:row>
                    <xdr:rowOff>0</xdr:rowOff>
                  </to>
                </anchor>
              </controlPr>
            </control>
          </mc:Choice>
        </mc:AlternateContent>
        <mc:AlternateContent xmlns:mc="http://schemas.openxmlformats.org/markup-compatibility/2006">
          <mc:Choice Requires="x14">
            <control shapeId="7183" r:id="rId13" name="Option Button 15">
              <controlPr defaultSize="0" autoFill="0" autoLine="0" autoPict="0">
                <anchor moveWithCells="1">
                  <from>
                    <xdr:col>3</xdr:col>
                    <xdr:colOff>68580</xdr:colOff>
                    <xdr:row>62</xdr:row>
                    <xdr:rowOff>144780</xdr:rowOff>
                  </from>
                  <to>
                    <xdr:col>3</xdr:col>
                    <xdr:colOff>1203960</xdr:colOff>
                    <xdr:row>63</xdr:row>
                    <xdr:rowOff>0</xdr:rowOff>
                  </to>
                </anchor>
              </controlPr>
            </control>
          </mc:Choice>
        </mc:AlternateContent>
        <mc:AlternateContent xmlns:mc="http://schemas.openxmlformats.org/markup-compatibility/2006">
          <mc:Choice Requires="x14">
            <control shapeId="7184" r:id="rId14" name="Option Button 16">
              <controlPr defaultSize="0" autoFill="0" autoLine="0" autoPict="0">
                <anchor moveWithCells="1">
                  <from>
                    <xdr:col>4</xdr:col>
                    <xdr:colOff>129540</xdr:colOff>
                    <xdr:row>62</xdr:row>
                    <xdr:rowOff>137160</xdr:rowOff>
                  </from>
                  <to>
                    <xdr:col>4</xdr:col>
                    <xdr:colOff>1143000</xdr:colOff>
                    <xdr:row>63</xdr:row>
                    <xdr:rowOff>0</xdr:rowOff>
                  </to>
                </anchor>
              </controlPr>
            </control>
          </mc:Choice>
        </mc:AlternateContent>
        <mc:AlternateContent xmlns:mc="http://schemas.openxmlformats.org/markup-compatibility/2006">
          <mc:Choice Requires="x14">
            <control shapeId="7198" r:id="rId15" name="Button 30">
              <controlPr defaultSize="0" print="0" autoFill="0" autoPict="0" macro="[0]!ToMiscParams">
                <anchor moveWithCells="1" sizeWithCells="1">
                  <from>
                    <xdr:col>2</xdr:col>
                    <xdr:colOff>1630680</xdr:colOff>
                    <xdr:row>71</xdr:row>
                    <xdr:rowOff>38100</xdr:rowOff>
                  </from>
                  <to>
                    <xdr:col>4</xdr:col>
                    <xdr:colOff>99060</xdr:colOff>
                    <xdr:row>72</xdr:row>
                    <xdr:rowOff>152400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2:S212"/>
  <sheetViews>
    <sheetView topLeftCell="A12" zoomScale="85" workbookViewId="0"/>
  </sheetViews>
  <sheetFormatPr defaultColWidth="9.109375" defaultRowHeight="15" x14ac:dyDescent="0.25"/>
  <cols>
    <col min="1" max="1" width="9.109375" style="120" customWidth="1"/>
    <col min="2" max="2" width="42.88671875" style="120" customWidth="1"/>
    <col min="3" max="3" width="13.5546875" style="120" customWidth="1"/>
    <col min="4" max="4" width="14.6640625" style="120" customWidth="1"/>
    <col min="5" max="5" width="35.109375" style="119" customWidth="1"/>
    <col min="6" max="6" width="13.6640625" style="119" customWidth="1"/>
    <col min="7" max="7" width="13.33203125" style="120" customWidth="1"/>
    <col min="8" max="8" width="13.109375" style="120" customWidth="1"/>
    <col min="9" max="9" width="15" style="120" customWidth="1"/>
    <col min="10" max="10" width="12.33203125" style="120" customWidth="1"/>
    <col min="11" max="16" width="9.109375" style="120" customWidth="1"/>
    <col min="17" max="17" width="11.44140625" style="120" customWidth="1"/>
    <col min="18" max="19" width="9.109375" style="120" customWidth="1"/>
    <col min="20" max="20" width="10.5546875" style="120" customWidth="1"/>
    <col min="21" max="16384" width="9.109375" style="120"/>
  </cols>
  <sheetData>
    <row r="2" spans="2:8" ht="15.6" x14ac:dyDescent="0.3">
      <c r="B2" s="195" t="s">
        <v>259</v>
      </c>
    </row>
    <row r="4" spans="2:8" ht="15.6" thickBot="1" x14ac:dyDescent="0.3"/>
    <row r="5" spans="2:8" ht="33.75" customHeight="1" x14ac:dyDescent="0.3">
      <c r="B5" s="448" t="s">
        <v>370</v>
      </c>
      <c r="C5" s="449"/>
      <c r="D5" s="449"/>
      <c r="E5" s="449"/>
      <c r="F5" s="450"/>
    </row>
    <row r="6" spans="2:8" ht="36.75" customHeight="1" x14ac:dyDescent="0.25">
      <c r="B6" s="451" t="s">
        <v>371</v>
      </c>
      <c r="C6" s="452"/>
      <c r="D6" s="452"/>
      <c r="E6" s="452"/>
      <c r="F6" s="453"/>
    </row>
    <row r="7" spans="2:8" ht="32.25" customHeight="1" x14ac:dyDescent="0.3">
      <c r="B7" s="163"/>
      <c r="C7" s="131" t="s">
        <v>323</v>
      </c>
      <c r="D7" s="131" t="s">
        <v>324</v>
      </c>
      <c r="E7" s="254"/>
      <c r="F7" s="142" t="s">
        <v>325</v>
      </c>
    </row>
    <row r="8" spans="2:8" ht="54.75" customHeight="1" x14ac:dyDescent="0.3">
      <c r="B8" s="315" t="s">
        <v>326</v>
      </c>
      <c r="C8" s="316">
        <v>5</v>
      </c>
      <c r="D8" s="310">
        <v>15</v>
      </c>
      <c r="E8" s="322"/>
      <c r="F8" s="138">
        <f>IF(G8=1,C8,D8)</f>
        <v>5</v>
      </c>
      <c r="G8" s="325">
        <v>1</v>
      </c>
    </row>
    <row r="9" spans="2:8" ht="96.75" customHeight="1" x14ac:dyDescent="0.3">
      <c r="B9" s="315" t="s">
        <v>255</v>
      </c>
      <c r="C9" s="317">
        <v>0.27</v>
      </c>
      <c r="D9" s="311">
        <v>0.8</v>
      </c>
      <c r="E9" s="322"/>
      <c r="F9" s="255">
        <f t="shared" ref="F9:F16" si="0">IF(G9=1,C9,D9)</f>
        <v>0.27</v>
      </c>
      <c r="G9" s="325">
        <v>1</v>
      </c>
    </row>
    <row r="10" spans="2:8" ht="67.5" customHeight="1" x14ac:dyDescent="0.3">
      <c r="B10" s="315" t="s">
        <v>447</v>
      </c>
      <c r="C10" s="317">
        <v>0.8</v>
      </c>
      <c r="D10" s="311">
        <v>0.95</v>
      </c>
      <c r="E10" s="322"/>
      <c r="F10" s="255">
        <f t="shared" si="0"/>
        <v>0.8</v>
      </c>
      <c r="G10" s="325">
        <v>1</v>
      </c>
      <c r="H10" s="335"/>
    </row>
    <row r="11" spans="2:8" ht="43.5" customHeight="1" x14ac:dyDescent="0.3">
      <c r="B11" s="315" t="s">
        <v>372</v>
      </c>
      <c r="C11" s="317">
        <v>0.04</v>
      </c>
      <c r="D11" s="311">
        <v>0.03</v>
      </c>
      <c r="E11" s="322"/>
      <c r="F11" s="255">
        <f t="shared" si="0"/>
        <v>0.04</v>
      </c>
      <c r="G11" s="325">
        <v>1</v>
      </c>
    </row>
    <row r="12" spans="2:8" ht="52.5" customHeight="1" x14ac:dyDescent="0.3">
      <c r="B12" s="315" t="s">
        <v>256</v>
      </c>
      <c r="C12" s="317">
        <v>0.25</v>
      </c>
      <c r="D12" s="311">
        <v>0.15</v>
      </c>
      <c r="E12" s="322"/>
      <c r="F12" s="255">
        <f t="shared" si="0"/>
        <v>0.25</v>
      </c>
      <c r="G12" s="325">
        <v>1</v>
      </c>
    </row>
    <row r="13" spans="2:8" ht="56.25" customHeight="1" x14ac:dyDescent="0.3">
      <c r="B13" s="315" t="s">
        <v>373</v>
      </c>
      <c r="C13" s="317">
        <v>0.01</v>
      </c>
      <c r="D13" s="311">
        <v>0.05</v>
      </c>
      <c r="E13" s="322"/>
      <c r="F13" s="255">
        <f t="shared" si="0"/>
        <v>0.01</v>
      </c>
      <c r="G13" s="325">
        <v>1</v>
      </c>
    </row>
    <row r="14" spans="2:8" ht="69.75" customHeight="1" x14ac:dyDescent="0.3">
      <c r="B14" s="315" t="s">
        <v>252</v>
      </c>
      <c r="C14" s="318">
        <v>20</v>
      </c>
      <c r="D14" s="312">
        <v>0</v>
      </c>
      <c r="E14" s="322"/>
      <c r="F14" s="139">
        <f t="shared" si="0"/>
        <v>20</v>
      </c>
      <c r="G14" s="325">
        <v>1</v>
      </c>
    </row>
    <row r="15" spans="2:8" ht="42" customHeight="1" thickBot="1" x14ac:dyDescent="0.35">
      <c r="B15" s="319" t="s">
        <v>348</v>
      </c>
      <c r="C15" s="320">
        <v>50</v>
      </c>
      <c r="D15" s="313">
        <v>0</v>
      </c>
      <c r="E15" s="323"/>
      <c r="F15" s="256">
        <f t="shared" si="0"/>
        <v>0</v>
      </c>
      <c r="G15" s="325">
        <v>2</v>
      </c>
    </row>
    <row r="16" spans="2:8" ht="40.5" customHeight="1" thickBot="1" x14ac:dyDescent="0.35">
      <c r="B16" s="319" t="s">
        <v>347</v>
      </c>
      <c r="C16" s="321">
        <v>0</v>
      </c>
      <c r="D16" s="314">
        <v>0</v>
      </c>
      <c r="E16" s="324"/>
      <c r="F16" s="256">
        <f t="shared" si="0"/>
        <v>0</v>
      </c>
      <c r="G16" s="325">
        <v>1</v>
      </c>
    </row>
    <row r="17" spans="3:19" s="193" customFormat="1" x14ac:dyDescent="0.25">
      <c r="C17" s="197"/>
      <c r="D17" s="197"/>
      <c r="E17" s="198"/>
      <c r="F17" s="198"/>
      <c r="G17" s="198"/>
      <c r="H17" s="198"/>
      <c r="I17" s="198"/>
      <c r="J17" s="198"/>
      <c r="K17" s="198"/>
      <c r="L17" s="198"/>
      <c r="M17" s="198"/>
      <c r="N17" s="198"/>
      <c r="O17" s="198"/>
      <c r="P17" s="198"/>
      <c r="Q17" s="198"/>
      <c r="R17" s="198"/>
      <c r="S17" s="198"/>
    </row>
    <row r="18" spans="3:19" s="193" customFormat="1" x14ac:dyDescent="0.25">
      <c r="E18" s="199"/>
      <c r="F18" s="199"/>
    </row>
    <row r="19" spans="3:19" s="193" customFormat="1" x14ac:dyDescent="0.25">
      <c r="E19" s="199"/>
      <c r="F19" s="199"/>
    </row>
    <row r="20" spans="3:19" s="193" customFormat="1" x14ac:dyDescent="0.25">
      <c r="E20" s="199"/>
      <c r="F20" s="199"/>
    </row>
    <row r="21" spans="3:19" s="193" customFormat="1" x14ac:dyDescent="0.25">
      <c r="E21" s="199"/>
      <c r="F21" s="199"/>
    </row>
    <row r="22" spans="3:19" s="193" customFormat="1" x14ac:dyDescent="0.25">
      <c r="E22" s="199"/>
      <c r="F22" s="199"/>
    </row>
    <row r="23" spans="3:19" s="193" customFormat="1" x14ac:dyDescent="0.25">
      <c r="E23" s="199"/>
      <c r="F23" s="199"/>
    </row>
    <row r="24" spans="3:19" s="193" customFormat="1" x14ac:dyDescent="0.25">
      <c r="E24" s="199"/>
      <c r="F24" s="199"/>
    </row>
    <row r="25" spans="3:19" s="193" customFormat="1" x14ac:dyDescent="0.25">
      <c r="E25" s="199"/>
      <c r="F25" s="199"/>
    </row>
    <row r="26" spans="3:19" s="193" customFormat="1" x14ac:dyDescent="0.25">
      <c r="E26" s="199"/>
      <c r="F26" s="199"/>
    </row>
    <row r="27" spans="3:19" s="193" customFormat="1" x14ac:dyDescent="0.25">
      <c r="E27" s="199"/>
      <c r="F27" s="199"/>
    </row>
    <row r="28" spans="3:19" s="193" customFormat="1" x14ac:dyDescent="0.25">
      <c r="E28" s="199"/>
      <c r="F28" s="199"/>
    </row>
    <row r="29" spans="3:19" s="193" customFormat="1" x14ac:dyDescent="0.25">
      <c r="E29" s="199"/>
      <c r="F29" s="199"/>
    </row>
    <row r="30" spans="3:19" s="193" customFormat="1" x14ac:dyDescent="0.25">
      <c r="E30" s="199"/>
      <c r="F30" s="199"/>
    </row>
    <row r="31" spans="3:19" s="193" customFormat="1" x14ac:dyDescent="0.25">
      <c r="E31" s="199"/>
      <c r="F31" s="199"/>
    </row>
    <row r="32" spans="3:19" s="193" customFormat="1" x14ac:dyDescent="0.25">
      <c r="E32" s="199"/>
      <c r="F32" s="199"/>
    </row>
    <row r="33" spans="5:6" s="193" customFormat="1" x14ac:dyDescent="0.25">
      <c r="E33" s="199"/>
      <c r="F33" s="199"/>
    </row>
    <row r="34" spans="5:6" s="193" customFormat="1" x14ac:dyDescent="0.25">
      <c r="E34" s="199"/>
      <c r="F34" s="199"/>
    </row>
    <row r="35" spans="5:6" s="193" customFormat="1" x14ac:dyDescent="0.25">
      <c r="E35" s="199"/>
      <c r="F35" s="199"/>
    </row>
    <row r="36" spans="5:6" s="193" customFormat="1" x14ac:dyDescent="0.25">
      <c r="E36" s="199"/>
      <c r="F36" s="199"/>
    </row>
    <row r="37" spans="5:6" s="193" customFormat="1" x14ac:dyDescent="0.25">
      <c r="E37" s="199"/>
      <c r="F37" s="199"/>
    </row>
    <row r="38" spans="5:6" s="193" customFormat="1" x14ac:dyDescent="0.25">
      <c r="E38" s="199"/>
      <c r="F38" s="199"/>
    </row>
    <row r="39" spans="5:6" s="193" customFormat="1" x14ac:dyDescent="0.25">
      <c r="E39" s="199"/>
      <c r="F39" s="199"/>
    </row>
    <row r="40" spans="5:6" s="193" customFormat="1" x14ac:dyDescent="0.25">
      <c r="E40" s="199"/>
      <c r="F40" s="199"/>
    </row>
    <row r="41" spans="5:6" s="193" customFormat="1" x14ac:dyDescent="0.25">
      <c r="E41" s="199"/>
      <c r="F41" s="199"/>
    </row>
    <row r="42" spans="5:6" s="193" customFormat="1" x14ac:dyDescent="0.25">
      <c r="E42" s="199"/>
      <c r="F42" s="199"/>
    </row>
    <row r="43" spans="5:6" s="193" customFormat="1" x14ac:dyDescent="0.25">
      <c r="E43" s="199"/>
      <c r="F43" s="199"/>
    </row>
    <row r="44" spans="5:6" s="193" customFormat="1" x14ac:dyDescent="0.25">
      <c r="E44" s="199"/>
      <c r="F44" s="199"/>
    </row>
    <row r="45" spans="5:6" s="193" customFormat="1" x14ac:dyDescent="0.25">
      <c r="E45" s="199"/>
      <c r="F45" s="199"/>
    </row>
    <row r="46" spans="5:6" s="193" customFormat="1" x14ac:dyDescent="0.25">
      <c r="E46" s="199"/>
      <c r="F46" s="199"/>
    </row>
    <row r="47" spans="5:6" s="193" customFormat="1" x14ac:dyDescent="0.25">
      <c r="E47" s="199"/>
      <c r="F47" s="199"/>
    </row>
    <row r="48" spans="5:6" s="193" customFormat="1" x14ac:dyDescent="0.25">
      <c r="E48" s="199"/>
      <c r="F48" s="199"/>
    </row>
    <row r="49" spans="5:6" s="193" customFormat="1" x14ac:dyDescent="0.25">
      <c r="E49" s="199"/>
      <c r="F49" s="199"/>
    </row>
    <row r="50" spans="5:6" s="193" customFormat="1" x14ac:dyDescent="0.25">
      <c r="E50" s="199"/>
      <c r="F50" s="199"/>
    </row>
    <row r="51" spans="5:6" s="193" customFormat="1" x14ac:dyDescent="0.25">
      <c r="E51" s="199"/>
      <c r="F51" s="199"/>
    </row>
    <row r="52" spans="5:6" s="193" customFormat="1" x14ac:dyDescent="0.25">
      <c r="E52" s="199"/>
      <c r="F52" s="199"/>
    </row>
    <row r="53" spans="5:6" s="193" customFormat="1" x14ac:dyDescent="0.25">
      <c r="E53" s="199"/>
      <c r="F53" s="199"/>
    </row>
    <row r="54" spans="5:6" s="193" customFormat="1" x14ac:dyDescent="0.25">
      <c r="E54" s="199"/>
      <c r="F54" s="199"/>
    </row>
    <row r="55" spans="5:6" s="193" customFormat="1" x14ac:dyDescent="0.25">
      <c r="E55" s="199"/>
      <c r="F55" s="199"/>
    </row>
    <row r="56" spans="5:6" s="193" customFormat="1" x14ac:dyDescent="0.25">
      <c r="E56" s="199"/>
      <c r="F56" s="199"/>
    </row>
    <row r="57" spans="5:6" s="193" customFormat="1" x14ac:dyDescent="0.25">
      <c r="E57" s="199"/>
      <c r="F57" s="199"/>
    </row>
    <row r="58" spans="5:6" s="193" customFormat="1" x14ac:dyDescent="0.25">
      <c r="E58" s="199"/>
      <c r="F58" s="199"/>
    </row>
    <row r="59" spans="5:6" s="193" customFormat="1" x14ac:dyDescent="0.25">
      <c r="E59" s="199"/>
      <c r="F59" s="199"/>
    </row>
    <row r="60" spans="5:6" s="193" customFormat="1" x14ac:dyDescent="0.25">
      <c r="E60" s="199"/>
      <c r="F60" s="199"/>
    </row>
    <row r="61" spans="5:6" s="193" customFormat="1" x14ac:dyDescent="0.25">
      <c r="E61" s="199"/>
      <c r="F61" s="199"/>
    </row>
    <row r="62" spans="5:6" s="193" customFormat="1" x14ac:dyDescent="0.25">
      <c r="E62" s="199"/>
      <c r="F62" s="199"/>
    </row>
    <row r="63" spans="5:6" s="193" customFormat="1" x14ac:dyDescent="0.25">
      <c r="E63" s="199"/>
      <c r="F63" s="199"/>
    </row>
    <row r="64" spans="5:6" s="193" customFormat="1" x14ac:dyDescent="0.25">
      <c r="E64" s="199"/>
      <c r="F64" s="199"/>
    </row>
    <row r="65" spans="5:6" s="193" customFormat="1" x14ac:dyDescent="0.25">
      <c r="E65" s="199"/>
      <c r="F65" s="199"/>
    </row>
    <row r="66" spans="5:6" s="193" customFormat="1" x14ac:dyDescent="0.25">
      <c r="E66" s="199"/>
      <c r="F66" s="199"/>
    </row>
    <row r="67" spans="5:6" s="193" customFormat="1" x14ac:dyDescent="0.25">
      <c r="E67" s="199"/>
      <c r="F67" s="199"/>
    </row>
    <row r="68" spans="5:6" s="193" customFormat="1" x14ac:dyDescent="0.25">
      <c r="E68" s="199"/>
      <c r="F68" s="199"/>
    </row>
    <row r="69" spans="5:6" s="193" customFormat="1" x14ac:dyDescent="0.25">
      <c r="E69" s="199"/>
      <c r="F69" s="199"/>
    </row>
    <row r="70" spans="5:6" s="193" customFormat="1" x14ac:dyDescent="0.25">
      <c r="E70" s="199"/>
      <c r="F70" s="199"/>
    </row>
    <row r="71" spans="5:6" s="193" customFormat="1" x14ac:dyDescent="0.25">
      <c r="E71" s="199"/>
      <c r="F71" s="199"/>
    </row>
    <row r="72" spans="5:6" s="193" customFormat="1" x14ac:dyDescent="0.25">
      <c r="E72" s="199"/>
      <c r="F72" s="199"/>
    </row>
    <row r="73" spans="5:6" s="193" customFormat="1" x14ac:dyDescent="0.25">
      <c r="E73" s="199"/>
      <c r="F73" s="199"/>
    </row>
    <row r="74" spans="5:6" s="193" customFormat="1" x14ac:dyDescent="0.25">
      <c r="E74" s="199"/>
      <c r="F74" s="199"/>
    </row>
    <row r="75" spans="5:6" s="193" customFormat="1" x14ac:dyDescent="0.25">
      <c r="E75" s="199"/>
      <c r="F75" s="199"/>
    </row>
    <row r="76" spans="5:6" s="193" customFormat="1" x14ac:dyDescent="0.25">
      <c r="E76" s="199"/>
      <c r="F76" s="199"/>
    </row>
    <row r="77" spans="5:6" s="193" customFormat="1" x14ac:dyDescent="0.25">
      <c r="E77" s="199"/>
      <c r="F77" s="199"/>
    </row>
    <row r="78" spans="5:6" s="193" customFormat="1" x14ac:dyDescent="0.25">
      <c r="E78" s="199"/>
      <c r="F78" s="199"/>
    </row>
    <row r="79" spans="5:6" s="193" customFormat="1" x14ac:dyDescent="0.25">
      <c r="E79" s="199"/>
      <c r="F79" s="199"/>
    </row>
    <row r="80" spans="5:6" s="193" customFormat="1" x14ac:dyDescent="0.25">
      <c r="E80" s="199"/>
      <c r="F80" s="199"/>
    </row>
    <row r="81" spans="5:6" s="193" customFormat="1" x14ac:dyDescent="0.25">
      <c r="E81" s="199"/>
      <c r="F81" s="199"/>
    </row>
    <row r="82" spans="5:6" s="193" customFormat="1" x14ac:dyDescent="0.25">
      <c r="E82" s="199"/>
      <c r="F82" s="199"/>
    </row>
    <row r="83" spans="5:6" s="193" customFormat="1" x14ac:dyDescent="0.25">
      <c r="E83" s="199"/>
      <c r="F83" s="199"/>
    </row>
    <row r="84" spans="5:6" s="193" customFormat="1" x14ac:dyDescent="0.25">
      <c r="E84" s="199"/>
      <c r="F84" s="199"/>
    </row>
    <row r="85" spans="5:6" s="193" customFormat="1" x14ac:dyDescent="0.25">
      <c r="E85" s="199"/>
      <c r="F85" s="199"/>
    </row>
    <row r="86" spans="5:6" s="193" customFormat="1" x14ac:dyDescent="0.25">
      <c r="E86" s="199"/>
      <c r="F86" s="199"/>
    </row>
    <row r="87" spans="5:6" s="193" customFormat="1" x14ac:dyDescent="0.25">
      <c r="E87" s="199"/>
      <c r="F87" s="199"/>
    </row>
    <row r="88" spans="5:6" s="193" customFormat="1" x14ac:dyDescent="0.25">
      <c r="E88" s="199"/>
      <c r="F88" s="199"/>
    </row>
    <row r="89" spans="5:6" s="193" customFormat="1" x14ac:dyDescent="0.25">
      <c r="E89" s="199"/>
      <c r="F89" s="199"/>
    </row>
    <row r="90" spans="5:6" s="193" customFormat="1" x14ac:dyDescent="0.25">
      <c r="E90" s="199"/>
      <c r="F90" s="199"/>
    </row>
    <row r="91" spans="5:6" s="193" customFormat="1" x14ac:dyDescent="0.25">
      <c r="E91" s="199"/>
      <c r="F91" s="199"/>
    </row>
    <row r="92" spans="5:6" s="193" customFormat="1" x14ac:dyDescent="0.25">
      <c r="E92" s="199"/>
      <c r="F92" s="199"/>
    </row>
    <row r="93" spans="5:6" s="193" customFormat="1" x14ac:dyDescent="0.25">
      <c r="E93" s="199"/>
      <c r="F93" s="199"/>
    </row>
    <row r="94" spans="5:6" s="193" customFormat="1" x14ac:dyDescent="0.25">
      <c r="E94" s="199"/>
      <c r="F94" s="199"/>
    </row>
    <row r="95" spans="5:6" s="193" customFormat="1" x14ac:dyDescent="0.25">
      <c r="E95" s="199"/>
      <c r="F95" s="199"/>
    </row>
    <row r="96" spans="5:6" s="193" customFormat="1" x14ac:dyDescent="0.25">
      <c r="E96" s="199"/>
      <c r="F96" s="199"/>
    </row>
    <row r="97" spans="5:6" s="193" customFormat="1" x14ac:dyDescent="0.25">
      <c r="E97" s="199"/>
      <c r="F97" s="199"/>
    </row>
    <row r="98" spans="5:6" s="193" customFormat="1" x14ac:dyDescent="0.25">
      <c r="E98" s="199"/>
      <c r="F98" s="199"/>
    </row>
    <row r="99" spans="5:6" s="193" customFormat="1" x14ac:dyDescent="0.25">
      <c r="E99" s="199"/>
      <c r="F99" s="199"/>
    </row>
    <row r="100" spans="5:6" s="193" customFormat="1" x14ac:dyDescent="0.25">
      <c r="E100" s="199"/>
      <c r="F100" s="199"/>
    </row>
    <row r="101" spans="5:6" s="193" customFormat="1" x14ac:dyDescent="0.25">
      <c r="E101" s="199"/>
      <c r="F101" s="199"/>
    </row>
    <row r="102" spans="5:6" s="193" customFormat="1" x14ac:dyDescent="0.25">
      <c r="E102" s="199"/>
      <c r="F102" s="199"/>
    </row>
    <row r="103" spans="5:6" s="193" customFormat="1" x14ac:dyDescent="0.25">
      <c r="E103" s="199"/>
      <c r="F103" s="199"/>
    </row>
    <row r="104" spans="5:6" s="193" customFormat="1" x14ac:dyDescent="0.25">
      <c r="E104" s="199"/>
      <c r="F104" s="199"/>
    </row>
    <row r="105" spans="5:6" s="193" customFormat="1" x14ac:dyDescent="0.25">
      <c r="E105" s="199"/>
      <c r="F105" s="199"/>
    </row>
    <row r="106" spans="5:6" s="193" customFormat="1" x14ac:dyDescent="0.25">
      <c r="E106" s="199"/>
      <c r="F106" s="199"/>
    </row>
    <row r="107" spans="5:6" s="193" customFormat="1" x14ac:dyDescent="0.25">
      <c r="E107" s="199"/>
      <c r="F107" s="199"/>
    </row>
    <row r="108" spans="5:6" s="193" customFormat="1" x14ac:dyDescent="0.25">
      <c r="E108" s="199"/>
      <c r="F108" s="199"/>
    </row>
    <row r="109" spans="5:6" s="193" customFormat="1" x14ac:dyDescent="0.25">
      <c r="E109" s="199"/>
      <c r="F109" s="199"/>
    </row>
    <row r="110" spans="5:6" s="193" customFormat="1" x14ac:dyDescent="0.25">
      <c r="E110" s="199"/>
      <c r="F110" s="199"/>
    </row>
    <row r="111" spans="5:6" s="193" customFormat="1" x14ac:dyDescent="0.25">
      <c r="E111" s="199"/>
      <c r="F111" s="199"/>
    </row>
    <row r="112" spans="5:6" s="193" customFormat="1" x14ac:dyDescent="0.25">
      <c r="E112" s="199"/>
      <c r="F112" s="199"/>
    </row>
    <row r="113" spans="5:6" s="193" customFormat="1" x14ac:dyDescent="0.25">
      <c r="E113" s="199"/>
      <c r="F113" s="199"/>
    </row>
    <row r="114" spans="5:6" s="193" customFormat="1" x14ac:dyDescent="0.25">
      <c r="E114" s="199"/>
      <c r="F114" s="199"/>
    </row>
    <row r="115" spans="5:6" s="193" customFormat="1" x14ac:dyDescent="0.25">
      <c r="E115" s="199"/>
      <c r="F115" s="199"/>
    </row>
    <row r="116" spans="5:6" s="193" customFormat="1" x14ac:dyDescent="0.25">
      <c r="E116" s="199"/>
      <c r="F116" s="199"/>
    </row>
    <row r="117" spans="5:6" s="193" customFormat="1" x14ac:dyDescent="0.25">
      <c r="E117" s="199"/>
      <c r="F117" s="199"/>
    </row>
    <row r="118" spans="5:6" s="193" customFormat="1" x14ac:dyDescent="0.25">
      <c r="E118" s="199"/>
      <c r="F118" s="199"/>
    </row>
    <row r="119" spans="5:6" s="193" customFormat="1" x14ac:dyDescent="0.25">
      <c r="E119" s="199"/>
      <c r="F119" s="199"/>
    </row>
    <row r="120" spans="5:6" s="193" customFormat="1" x14ac:dyDescent="0.25">
      <c r="E120" s="199"/>
      <c r="F120" s="199"/>
    </row>
    <row r="121" spans="5:6" s="193" customFormat="1" x14ac:dyDescent="0.25">
      <c r="E121" s="199"/>
      <c r="F121" s="199"/>
    </row>
    <row r="122" spans="5:6" s="193" customFormat="1" x14ac:dyDescent="0.25">
      <c r="E122" s="199"/>
      <c r="F122" s="199"/>
    </row>
    <row r="123" spans="5:6" s="193" customFormat="1" x14ac:dyDescent="0.25">
      <c r="E123" s="199"/>
      <c r="F123" s="199"/>
    </row>
    <row r="124" spans="5:6" s="193" customFormat="1" x14ac:dyDescent="0.25">
      <c r="E124" s="199"/>
      <c r="F124" s="199"/>
    </row>
    <row r="125" spans="5:6" s="193" customFormat="1" x14ac:dyDescent="0.25">
      <c r="E125" s="199"/>
      <c r="F125" s="199"/>
    </row>
    <row r="126" spans="5:6" s="193" customFormat="1" x14ac:dyDescent="0.25">
      <c r="E126" s="199"/>
      <c r="F126" s="199"/>
    </row>
    <row r="127" spans="5:6" s="193" customFormat="1" x14ac:dyDescent="0.25">
      <c r="E127" s="199"/>
      <c r="F127" s="199"/>
    </row>
    <row r="128" spans="5:6" s="193" customFormat="1" x14ac:dyDescent="0.25">
      <c r="E128" s="199"/>
      <c r="F128" s="199"/>
    </row>
    <row r="129" spans="5:6" s="193" customFormat="1" x14ac:dyDescent="0.25">
      <c r="E129" s="199"/>
      <c r="F129" s="199"/>
    </row>
    <row r="130" spans="5:6" s="193" customFormat="1" x14ac:dyDescent="0.25">
      <c r="E130" s="199"/>
      <c r="F130" s="199"/>
    </row>
    <row r="131" spans="5:6" s="193" customFormat="1" x14ac:dyDescent="0.25">
      <c r="E131" s="199"/>
      <c r="F131" s="199"/>
    </row>
    <row r="132" spans="5:6" s="193" customFormat="1" x14ac:dyDescent="0.25">
      <c r="E132" s="199"/>
      <c r="F132" s="199"/>
    </row>
    <row r="133" spans="5:6" s="193" customFormat="1" x14ac:dyDescent="0.25">
      <c r="E133" s="199"/>
      <c r="F133" s="199"/>
    </row>
    <row r="134" spans="5:6" s="193" customFormat="1" x14ac:dyDescent="0.25">
      <c r="E134" s="199"/>
      <c r="F134" s="199"/>
    </row>
    <row r="135" spans="5:6" s="193" customFormat="1" x14ac:dyDescent="0.25">
      <c r="E135" s="199"/>
      <c r="F135" s="199"/>
    </row>
    <row r="136" spans="5:6" s="193" customFormat="1" x14ac:dyDescent="0.25">
      <c r="E136" s="199"/>
      <c r="F136" s="199"/>
    </row>
    <row r="137" spans="5:6" s="193" customFormat="1" x14ac:dyDescent="0.25">
      <c r="E137" s="199"/>
      <c r="F137" s="199"/>
    </row>
    <row r="138" spans="5:6" s="193" customFormat="1" x14ac:dyDescent="0.25">
      <c r="E138" s="199"/>
      <c r="F138" s="199"/>
    </row>
    <row r="139" spans="5:6" s="193" customFormat="1" x14ac:dyDescent="0.25">
      <c r="E139" s="199"/>
      <c r="F139" s="199"/>
    </row>
    <row r="140" spans="5:6" s="193" customFormat="1" x14ac:dyDescent="0.25">
      <c r="E140" s="199"/>
      <c r="F140" s="199"/>
    </row>
    <row r="141" spans="5:6" s="193" customFormat="1" x14ac:dyDescent="0.25">
      <c r="E141" s="199"/>
      <c r="F141" s="199"/>
    </row>
    <row r="142" spans="5:6" s="193" customFormat="1" x14ac:dyDescent="0.25">
      <c r="E142" s="199"/>
      <c r="F142" s="199"/>
    </row>
    <row r="143" spans="5:6" s="193" customFormat="1" x14ac:dyDescent="0.25">
      <c r="E143" s="199"/>
      <c r="F143" s="199"/>
    </row>
    <row r="144" spans="5:6" s="193" customFormat="1" x14ac:dyDescent="0.25">
      <c r="E144" s="199"/>
      <c r="F144" s="199"/>
    </row>
    <row r="145" spans="5:6" s="193" customFormat="1" x14ac:dyDescent="0.25">
      <c r="E145" s="199"/>
      <c r="F145" s="199"/>
    </row>
    <row r="146" spans="5:6" s="193" customFormat="1" x14ac:dyDescent="0.25">
      <c r="E146" s="199"/>
      <c r="F146" s="199"/>
    </row>
    <row r="147" spans="5:6" s="193" customFormat="1" x14ac:dyDescent="0.25">
      <c r="E147" s="199"/>
      <c r="F147" s="199"/>
    </row>
    <row r="148" spans="5:6" s="193" customFormat="1" x14ac:dyDescent="0.25">
      <c r="E148" s="199"/>
      <c r="F148" s="199"/>
    </row>
    <row r="149" spans="5:6" s="193" customFormat="1" x14ac:dyDescent="0.25">
      <c r="E149" s="199"/>
      <c r="F149" s="199"/>
    </row>
    <row r="150" spans="5:6" s="193" customFormat="1" x14ac:dyDescent="0.25">
      <c r="E150" s="199"/>
      <c r="F150" s="199"/>
    </row>
    <row r="151" spans="5:6" s="193" customFormat="1" x14ac:dyDescent="0.25">
      <c r="E151" s="199"/>
      <c r="F151" s="199"/>
    </row>
    <row r="152" spans="5:6" s="193" customFormat="1" x14ac:dyDescent="0.25">
      <c r="E152" s="199"/>
      <c r="F152" s="199"/>
    </row>
    <row r="153" spans="5:6" s="193" customFormat="1" x14ac:dyDescent="0.25">
      <c r="E153" s="199"/>
      <c r="F153" s="199"/>
    </row>
    <row r="154" spans="5:6" s="193" customFormat="1" x14ac:dyDescent="0.25">
      <c r="E154" s="199"/>
      <c r="F154" s="199"/>
    </row>
    <row r="155" spans="5:6" s="193" customFormat="1" x14ac:dyDescent="0.25">
      <c r="E155" s="199"/>
      <c r="F155" s="199"/>
    </row>
    <row r="156" spans="5:6" s="193" customFormat="1" x14ac:dyDescent="0.25">
      <c r="E156" s="199"/>
      <c r="F156" s="199"/>
    </row>
    <row r="157" spans="5:6" s="193" customFormat="1" x14ac:dyDescent="0.25">
      <c r="E157" s="199"/>
      <c r="F157" s="199"/>
    </row>
    <row r="158" spans="5:6" s="193" customFormat="1" x14ac:dyDescent="0.25">
      <c r="E158" s="199"/>
      <c r="F158" s="199"/>
    </row>
    <row r="159" spans="5:6" s="193" customFormat="1" x14ac:dyDescent="0.25">
      <c r="E159" s="199"/>
      <c r="F159" s="199"/>
    </row>
    <row r="160" spans="5:6" s="193" customFormat="1" x14ac:dyDescent="0.25">
      <c r="E160" s="199"/>
      <c r="F160" s="199"/>
    </row>
    <row r="161" spans="5:6" s="193" customFormat="1" x14ac:dyDescent="0.25">
      <c r="E161" s="199"/>
      <c r="F161" s="199"/>
    </row>
    <row r="162" spans="5:6" s="193" customFormat="1" x14ac:dyDescent="0.25">
      <c r="E162" s="199"/>
      <c r="F162" s="199"/>
    </row>
    <row r="163" spans="5:6" s="193" customFormat="1" x14ac:dyDescent="0.25">
      <c r="E163" s="199"/>
      <c r="F163" s="199"/>
    </row>
    <row r="164" spans="5:6" s="193" customFormat="1" x14ac:dyDescent="0.25">
      <c r="E164" s="199"/>
      <c r="F164" s="199"/>
    </row>
    <row r="165" spans="5:6" s="193" customFormat="1" x14ac:dyDescent="0.25">
      <c r="E165" s="199"/>
      <c r="F165" s="199"/>
    </row>
    <row r="166" spans="5:6" s="193" customFormat="1" x14ac:dyDescent="0.25">
      <c r="E166" s="199"/>
      <c r="F166" s="199"/>
    </row>
    <row r="167" spans="5:6" s="193" customFormat="1" x14ac:dyDescent="0.25">
      <c r="E167" s="199"/>
      <c r="F167" s="199"/>
    </row>
    <row r="168" spans="5:6" s="193" customFormat="1" x14ac:dyDescent="0.25">
      <c r="E168" s="199"/>
      <c r="F168" s="199"/>
    </row>
    <row r="169" spans="5:6" s="193" customFormat="1" x14ac:dyDescent="0.25">
      <c r="E169" s="199"/>
      <c r="F169" s="199"/>
    </row>
    <row r="170" spans="5:6" s="193" customFormat="1" x14ac:dyDescent="0.25">
      <c r="E170" s="199"/>
      <c r="F170" s="199"/>
    </row>
    <row r="171" spans="5:6" s="193" customFormat="1" x14ac:dyDescent="0.25">
      <c r="E171" s="199"/>
      <c r="F171" s="199"/>
    </row>
    <row r="172" spans="5:6" s="193" customFormat="1" x14ac:dyDescent="0.25">
      <c r="E172" s="199"/>
      <c r="F172" s="199"/>
    </row>
    <row r="173" spans="5:6" s="193" customFormat="1" x14ac:dyDescent="0.25">
      <c r="E173" s="199"/>
      <c r="F173" s="199"/>
    </row>
    <row r="174" spans="5:6" s="193" customFormat="1" x14ac:dyDescent="0.25">
      <c r="E174" s="199"/>
      <c r="F174" s="199"/>
    </row>
    <row r="175" spans="5:6" s="193" customFormat="1" x14ac:dyDescent="0.25">
      <c r="E175" s="199"/>
      <c r="F175" s="199"/>
    </row>
    <row r="176" spans="5:6" s="193" customFormat="1" x14ac:dyDescent="0.25">
      <c r="E176" s="199"/>
      <c r="F176" s="199"/>
    </row>
    <row r="177" spans="5:6" s="193" customFormat="1" x14ac:dyDescent="0.25">
      <c r="E177" s="199"/>
      <c r="F177" s="199"/>
    </row>
    <row r="178" spans="5:6" s="193" customFormat="1" x14ac:dyDescent="0.25">
      <c r="E178" s="199"/>
      <c r="F178" s="199"/>
    </row>
    <row r="179" spans="5:6" s="193" customFormat="1" x14ac:dyDescent="0.25">
      <c r="E179" s="199"/>
      <c r="F179" s="199"/>
    </row>
    <row r="180" spans="5:6" s="193" customFormat="1" x14ac:dyDescent="0.25">
      <c r="E180" s="199"/>
      <c r="F180" s="199"/>
    </row>
    <row r="181" spans="5:6" s="193" customFormat="1" x14ac:dyDescent="0.25">
      <c r="E181" s="199"/>
      <c r="F181" s="199"/>
    </row>
    <row r="182" spans="5:6" s="193" customFormat="1" x14ac:dyDescent="0.25">
      <c r="E182" s="199"/>
      <c r="F182" s="199"/>
    </row>
    <row r="183" spans="5:6" s="193" customFormat="1" x14ac:dyDescent="0.25">
      <c r="E183" s="199"/>
      <c r="F183" s="199"/>
    </row>
    <row r="184" spans="5:6" s="193" customFormat="1" x14ac:dyDescent="0.25">
      <c r="E184" s="199"/>
      <c r="F184" s="199"/>
    </row>
    <row r="185" spans="5:6" s="193" customFormat="1" x14ac:dyDescent="0.25">
      <c r="E185" s="199"/>
      <c r="F185" s="199"/>
    </row>
    <row r="186" spans="5:6" s="193" customFormat="1" x14ac:dyDescent="0.25">
      <c r="E186" s="199"/>
      <c r="F186" s="199"/>
    </row>
    <row r="187" spans="5:6" s="193" customFormat="1" x14ac:dyDescent="0.25">
      <c r="E187" s="199"/>
      <c r="F187" s="199"/>
    </row>
    <row r="188" spans="5:6" s="193" customFormat="1" x14ac:dyDescent="0.25">
      <c r="E188" s="199"/>
      <c r="F188" s="199"/>
    </row>
    <row r="189" spans="5:6" s="193" customFormat="1" x14ac:dyDescent="0.25">
      <c r="E189" s="199"/>
      <c r="F189" s="199"/>
    </row>
    <row r="190" spans="5:6" s="193" customFormat="1" x14ac:dyDescent="0.25">
      <c r="E190" s="199"/>
      <c r="F190" s="199"/>
    </row>
    <row r="191" spans="5:6" s="193" customFormat="1" x14ac:dyDescent="0.25">
      <c r="E191" s="199"/>
      <c r="F191" s="199"/>
    </row>
    <row r="192" spans="5:6" s="193" customFormat="1" x14ac:dyDescent="0.25">
      <c r="E192" s="199"/>
      <c r="F192" s="199"/>
    </row>
    <row r="193" spans="5:6" s="193" customFormat="1" x14ac:dyDescent="0.25">
      <c r="E193" s="199"/>
      <c r="F193" s="199"/>
    </row>
    <row r="194" spans="5:6" s="193" customFormat="1" x14ac:dyDescent="0.25">
      <c r="E194" s="199"/>
      <c r="F194" s="199"/>
    </row>
    <row r="195" spans="5:6" s="193" customFormat="1" x14ac:dyDescent="0.25">
      <c r="E195" s="199"/>
      <c r="F195" s="199"/>
    </row>
    <row r="196" spans="5:6" s="193" customFormat="1" x14ac:dyDescent="0.25">
      <c r="E196" s="199"/>
      <c r="F196" s="199"/>
    </row>
    <row r="197" spans="5:6" s="193" customFormat="1" x14ac:dyDescent="0.25">
      <c r="E197" s="199"/>
      <c r="F197" s="199"/>
    </row>
    <row r="198" spans="5:6" s="193" customFormat="1" x14ac:dyDescent="0.25">
      <c r="E198" s="199"/>
      <c r="F198" s="199"/>
    </row>
    <row r="199" spans="5:6" s="193" customFormat="1" x14ac:dyDescent="0.25">
      <c r="E199" s="199"/>
      <c r="F199" s="199"/>
    </row>
    <row r="200" spans="5:6" s="193" customFormat="1" x14ac:dyDescent="0.25">
      <c r="E200" s="199"/>
      <c r="F200" s="199"/>
    </row>
    <row r="201" spans="5:6" s="193" customFormat="1" x14ac:dyDescent="0.25">
      <c r="E201" s="199"/>
      <c r="F201" s="199"/>
    </row>
    <row r="202" spans="5:6" s="193" customFormat="1" x14ac:dyDescent="0.25">
      <c r="E202" s="199"/>
      <c r="F202" s="199"/>
    </row>
    <row r="203" spans="5:6" s="193" customFormat="1" x14ac:dyDescent="0.25">
      <c r="E203" s="199"/>
      <c r="F203" s="199"/>
    </row>
    <row r="204" spans="5:6" s="193" customFormat="1" x14ac:dyDescent="0.25">
      <c r="E204" s="199"/>
      <c r="F204" s="199"/>
    </row>
    <row r="205" spans="5:6" s="193" customFormat="1" x14ac:dyDescent="0.25">
      <c r="E205" s="199"/>
      <c r="F205" s="199"/>
    </row>
    <row r="206" spans="5:6" s="193" customFormat="1" x14ac:dyDescent="0.25">
      <c r="E206" s="199"/>
      <c r="F206" s="199"/>
    </row>
    <row r="207" spans="5:6" s="193" customFormat="1" x14ac:dyDescent="0.25">
      <c r="E207" s="199"/>
      <c r="F207" s="199"/>
    </row>
    <row r="208" spans="5:6" s="193" customFormat="1" x14ac:dyDescent="0.25">
      <c r="E208" s="199"/>
      <c r="F208" s="199"/>
    </row>
    <row r="209" spans="5:6" s="193" customFormat="1" x14ac:dyDescent="0.25">
      <c r="E209" s="199"/>
      <c r="F209" s="199"/>
    </row>
    <row r="210" spans="5:6" s="193" customFormat="1" x14ac:dyDescent="0.25">
      <c r="E210" s="199"/>
      <c r="F210" s="199"/>
    </row>
    <row r="211" spans="5:6" s="193" customFormat="1" x14ac:dyDescent="0.25">
      <c r="E211" s="199"/>
      <c r="F211" s="199"/>
    </row>
    <row r="212" spans="5:6" s="193" customFormat="1" x14ac:dyDescent="0.25">
      <c r="E212" s="199"/>
      <c r="F212" s="199"/>
    </row>
  </sheetData>
  <sheetProtection sheet="1"/>
  <mergeCells count="2">
    <mergeCell ref="B5:F5"/>
    <mergeCell ref="B6:F6"/>
  </mergeCells>
  <phoneticPr fontId="0" type="noConversion"/>
  <printOptions gridLines="1"/>
  <pageMargins left="0.41" right="0.23" top="0.51" bottom="0.91" header="0.5" footer="0.5"/>
  <pageSetup scale="85"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157" r:id="rId4" name="Button 13">
              <controlPr defaultSize="0" print="0" autoFill="0" autoPict="0" macro="[0]!ModifyParametersToMap">
                <anchor moveWithCells="1" sizeWithCells="1">
                  <from>
                    <xdr:col>1</xdr:col>
                    <xdr:colOff>2217420</xdr:colOff>
                    <xdr:row>1</xdr:row>
                    <xdr:rowOff>0</xdr:rowOff>
                  </from>
                  <to>
                    <xdr:col>2</xdr:col>
                    <xdr:colOff>152400</xdr:colOff>
                    <xdr:row>3</xdr:row>
                    <xdr:rowOff>83820</xdr:rowOff>
                  </to>
                </anchor>
              </controlPr>
            </control>
          </mc:Choice>
        </mc:AlternateContent>
        <mc:AlternateContent xmlns:mc="http://schemas.openxmlformats.org/markup-compatibility/2006">
          <mc:Choice Requires="x14">
            <control shapeId="6161" r:id="rId5" name="Button 17">
              <controlPr defaultSize="0" print="0" autoFill="0" autoPict="0" macro="[0]!ExitCostModel">
                <anchor moveWithCells="1" sizeWithCells="1">
                  <from>
                    <xdr:col>4</xdr:col>
                    <xdr:colOff>60960</xdr:colOff>
                    <xdr:row>0</xdr:row>
                    <xdr:rowOff>167640</xdr:rowOff>
                  </from>
                  <to>
                    <xdr:col>4</xdr:col>
                    <xdr:colOff>1158240</xdr:colOff>
                    <xdr:row>3</xdr:row>
                    <xdr:rowOff>45720</xdr:rowOff>
                  </to>
                </anchor>
              </controlPr>
            </control>
          </mc:Choice>
        </mc:AlternateContent>
        <mc:AlternateContent xmlns:mc="http://schemas.openxmlformats.org/markup-compatibility/2006">
          <mc:Choice Requires="x14">
            <control shapeId="6173" r:id="rId6" name="Group Box 29">
              <controlPr locked="0" defaultSize="0" autoFill="0" autoPict="0">
                <anchor moveWithCells="1">
                  <from>
                    <xdr:col>4</xdr:col>
                    <xdr:colOff>38100</xdr:colOff>
                    <xdr:row>7</xdr:row>
                    <xdr:rowOff>76200</xdr:rowOff>
                  </from>
                  <to>
                    <xdr:col>4</xdr:col>
                    <xdr:colOff>2278380</xdr:colOff>
                    <xdr:row>7</xdr:row>
                    <xdr:rowOff>464820</xdr:rowOff>
                  </to>
                </anchor>
              </controlPr>
            </control>
          </mc:Choice>
        </mc:AlternateContent>
        <mc:AlternateContent xmlns:mc="http://schemas.openxmlformats.org/markup-compatibility/2006">
          <mc:Choice Requires="x14">
            <control shapeId="6176" r:id="rId7" name="Group Box 32">
              <controlPr locked="0" defaultSize="0" autoFill="0" autoPict="0">
                <anchor moveWithCells="1">
                  <from>
                    <xdr:col>4</xdr:col>
                    <xdr:colOff>45720</xdr:colOff>
                    <xdr:row>8</xdr:row>
                    <xdr:rowOff>228600</xdr:rowOff>
                  </from>
                  <to>
                    <xdr:col>4</xdr:col>
                    <xdr:colOff>2293620</xdr:colOff>
                    <xdr:row>8</xdr:row>
                    <xdr:rowOff>624840</xdr:rowOff>
                  </to>
                </anchor>
              </controlPr>
            </control>
          </mc:Choice>
        </mc:AlternateContent>
        <mc:AlternateContent xmlns:mc="http://schemas.openxmlformats.org/markup-compatibility/2006">
          <mc:Choice Requires="x14">
            <control shapeId="6177" r:id="rId8" name="Option Button 33">
              <controlPr locked="0" defaultSize="0" autoFill="0" autoLine="0" autoPict="0">
                <anchor moveWithCells="1">
                  <from>
                    <xdr:col>4</xdr:col>
                    <xdr:colOff>76200</xdr:colOff>
                    <xdr:row>8</xdr:row>
                    <xdr:rowOff>320040</xdr:rowOff>
                  </from>
                  <to>
                    <xdr:col>4</xdr:col>
                    <xdr:colOff>960120</xdr:colOff>
                    <xdr:row>8</xdr:row>
                    <xdr:rowOff>541020</xdr:rowOff>
                  </to>
                </anchor>
              </controlPr>
            </control>
          </mc:Choice>
        </mc:AlternateContent>
        <mc:AlternateContent xmlns:mc="http://schemas.openxmlformats.org/markup-compatibility/2006">
          <mc:Choice Requires="x14">
            <control shapeId="6179" r:id="rId9" name="Option Button 35">
              <controlPr locked="0" defaultSize="0" autoFill="0" autoLine="0" autoPict="0">
                <anchor moveWithCells="1">
                  <from>
                    <xdr:col>4</xdr:col>
                    <xdr:colOff>1280160</xdr:colOff>
                    <xdr:row>8</xdr:row>
                    <xdr:rowOff>327660</xdr:rowOff>
                  </from>
                  <to>
                    <xdr:col>4</xdr:col>
                    <xdr:colOff>2286000</xdr:colOff>
                    <xdr:row>8</xdr:row>
                    <xdr:rowOff>548640</xdr:rowOff>
                  </to>
                </anchor>
              </controlPr>
            </control>
          </mc:Choice>
        </mc:AlternateContent>
        <mc:AlternateContent xmlns:mc="http://schemas.openxmlformats.org/markup-compatibility/2006">
          <mc:Choice Requires="x14">
            <control shapeId="6181" r:id="rId10" name="Option Button 37">
              <controlPr defaultSize="0" autoFill="0" autoLine="0" autoPict="0">
                <anchor moveWithCells="1">
                  <from>
                    <xdr:col>4</xdr:col>
                    <xdr:colOff>68580</xdr:colOff>
                    <xdr:row>9</xdr:row>
                    <xdr:rowOff>167640</xdr:rowOff>
                  </from>
                  <to>
                    <xdr:col>4</xdr:col>
                    <xdr:colOff>1021080</xdr:colOff>
                    <xdr:row>9</xdr:row>
                    <xdr:rowOff>403860</xdr:rowOff>
                  </to>
                </anchor>
              </controlPr>
            </control>
          </mc:Choice>
        </mc:AlternateContent>
        <mc:AlternateContent xmlns:mc="http://schemas.openxmlformats.org/markup-compatibility/2006">
          <mc:Choice Requires="x14">
            <control shapeId="6182" r:id="rId11" name="Option Button 38">
              <controlPr defaultSize="0" autoFill="0" autoLine="0" autoPict="0">
                <anchor moveWithCells="1">
                  <from>
                    <xdr:col>4</xdr:col>
                    <xdr:colOff>1287780</xdr:colOff>
                    <xdr:row>9</xdr:row>
                    <xdr:rowOff>152400</xdr:rowOff>
                  </from>
                  <to>
                    <xdr:col>4</xdr:col>
                    <xdr:colOff>2278380</xdr:colOff>
                    <xdr:row>9</xdr:row>
                    <xdr:rowOff>449580</xdr:rowOff>
                  </to>
                </anchor>
              </controlPr>
            </control>
          </mc:Choice>
        </mc:AlternateContent>
        <mc:AlternateContent xmlns:mc="http://schemas.openxmlformats.org/markup-compatibility/2006">
          <mc:Choice Requires="x14">
            <control shapeId="6183" r:id="rId12" name="Group Box 39">
              <controlPr defaultSize="0" autoFill="0" autoPict="0">
                <anchor moveWithCells="1">
                  <from>
                    <xdr:col>4</xdr:col>
                    <xdr:colOff>45720</xdr:colOff>
                    <xdr:row>9</xdr:row>
                    <xdr:rowOff>144780</xdr:rowOff>
                  </from>
                  <to>
                    <xdr:col>4</xdr:col>
                    <xdr:colOff>2293620</xdr:colOff>
                    <xdr:row>9</xdr:row>
                    <xdr:rowOff>487680</xdr:rowOff>
                  </to>
                </anchor>
              </controlPr>
            </control>
          </mc:Choice>
        </mc:AlternateContent>
        <mc:AlternateContent xmlns:mc="http://schemas.openxmlformats.org/markup-compatibility/2006">
          <mc:Choice Requires="x14">
            <control shapeId="6193" r:id="rId13" name="Group Box 49">
              <controlPr defaultSize="0" autoFill="0" autoPict="0">
                <anchor moveWithCells="1">
                  <from>
                    <xdr:col>4</xdr:col>
                    <xdr:colOff>38100</xdr:colOff>
                    <xdr:row>12</xdr:row>
                    <xdr:rowOff>121920</xdr:rowOff>
                  </from>
                  <to>
                    <xdr:col>4</xdr:col>
                    <xdr:colOff>2278380</xdr:colOff>
                    <xdr:row>12</xdr:row>
                    <xdr:rowOff>434340</xdr:rowOff>
                  </to>
                </anchor>
              </controlPr>
            </control>
          </mc:Choice>
        </mc:AlternateContent>
        <mc:AlternateContent xmlns:mc="http://schemas.openxmlformats.org/markup-compatibility/2006">
          <mc:Choice Requires="x14">
            <control shapeId="6194" r:id="rId14" name="Option Button 50">
              <controlPr locked="0" defaultSize="0" autoFill="0" autoLine="0" autoPict="0">
                <anchor moveWithCells="1">
                  <from>
                    <xdr:col>4</xdr:col>
                    <xdr:colOff>68580</xdr:colOff>
                    <xdr:row>12</xdr:row>
                    <xdr:rowOff>190500</xdr:rowOff>
                  </from>
                  <to>
                    <xdr:col>4</xdr:col>
                    <xdr:colOff>1059180</xdr:colOff>
                    <xdr:row>12</xdr:row>
                    <xdr:rowOff>411480</xdr:rowOff>
                  </to>
                </anchor>
              </controlPr>
            </control>
          </mc:Choice>
        </mc:AlternateContent>
        <mc:AlternateContent xmlns:mc="http://schemas.openxmlformats.org/markup-compatibility/2006">
          <mc:Choice Requires="x14">
            <control shapeId="6195" r:id="rId15" name="Option Button 51">
              <controlPr locked="0" defaultSize="0" autoFill="0" autoLine="0" autoPict="0">
                <anchor moveWithCells="1">
                  <from>
                    <xdr:col>4</xdr:col>
                    <xdr:colOff>1249680</xdr:colOff>
                    <xdr:row>12</xdr:row>
                    <xdr:rowOff>167640</xdr:rowOff>
                  </from>
                  <to>
                    <xdr:col>4</xdr:col>
                    <xdr:colOff>2247900</xdr:colOff>
                    <xdr:row>12</xdr:row>
                    <xdr:rowOff>388620</xdr:rowOff>
                  </to>
                </anchor>
              </controlPr>
            </control>
          </mc:Choice>
        </mc:AlternateContent>
        <mc:AlternateContent xmlns:mc="http://schemas.openxmlformats.org/markup-compatibility/2006">
          <mc:Choice Requires="x14">
            <control shapeId="6203" r:id="rId16" name="Group Box 59">
              <controlPr defaultSize="0" autoFill="0" autoPict="0">
                <anchor moveWithCells="1">
                  <from>
                    <xdr:col>4</xdr:col>
                    <xdr:colOff>38100</xdr:colOff>
                    <xdr:row>14</xdr:row>
                    <xdr:rowOff>68580</xdr:rowOff>
                  </from>
                  <to>
                    <xdr:col>4</xdr:col>
                    <xdr:colOff>2301240</xdr:colOff>
                    <xdr:row>14</xdr:row>
                    <xdr:rowOff>365760</xdr:rowOff>
                  </to>
                </anchor>
              </controlPr>
            </control>
          </mc:Choice>
        </mc:AlternateContent>
        <mc:AlternateContent xmlns:mc="http://schemas.openxmlformats.org/markup-compatibility/2006">
          <mc:Choice Requires="x14">
            <control shapeId="6204" r:id="rId17" name="Option Button 60">
              <controlPr defaultSize="0" autoFill="0" autoLine="0" autoPict="0">
                <anchor moveWithCells="1">
                  <from>
                    <xdr:col>4</xdr:col>
                    <xdr:colOff>106680</xdr:colOff>
                    <xdr:row>14</xdr:row>
                    <xdr:rowOff>106680</xdr:rowOff>
                  </from>
                  <to>
                    <xdr:col>4</xdr:col>
                    <xdr:colOff>1005840</xdr:colOff>
                    <xdr:row>14</xdr:row>
                    <xdr:rowOff>327660</xdr:rowOff>
                  </to>
                </anchor>
              </controlPr>
            </control>
          </mc:Choice>
        </mc:AlternateContent>
        <mc:AlternateContent xmlns:mc="http://schemas.openxmlformats.org/markup-compatibility/2006">
          <mc:Choice Requires="x14">
            <control shapeId="6205" r:id="rId18" name="Option Button 61">
              <controlPr defaultSize="0" autoFill="0" autoLine="0" autoPict="0">
                <anchor moveWithCells="1">
                  <from>
                    <xdr:col>4</xdr:col>
                    <xdr:colOff>1287780</xdr:colOff>
                    <xdr:row>14</xdr:row>
                    <xdr:rowOff>121920</xdr:rowOff>
                  </from>
                  <to>
                    <xdr:col>4</xdr:col>
                    <xdr:colOff>2286000</xdr:colOff>
                    <xdr:row>14</xdr:row>
                    <xdr:rowOff>342900</xdr:rowOff>
                  </to>
                </anchor>
              </controlPr>
            </control>
          </mc:Choice>
        </mc:AlternateContent>
        <mc:AlternateContent xmlns:mc="http://schemas.openxmlformats.org/markup-compatibility/2006">
          <mc:Choice Requires="x14">
            <control shapeId="6219" r:id="rId19" name="Group Box 75">
              <controlPr defaultSize="0" autoFill="0" autoPict="0">
                <anchor moveWithCells="1">
                  <from>
                    <xdr:col>4</xdr:col>
                    <xdr:colOff>76200</xdr:colOff>
                    <xdr:row>10</xdr:row>
                    <xdr:rowOff>83820</xdr:rowOff>
                  </from>
                  <to>
                    <xdr:col>4</xdr:col>
                    <xdr:colOff>2339340</xdr:colOff>
                    <xdr:row>10</xdr:row>
                    <xdr:rowOff>449580</xdr:rowOff>
                  </to>
                </anchor>
              </controlPr>
            </control>
          </mc:Choice>
        </mc:AlternateContent>
        <mc:AlternateContent xmlns:mc="http://schemas.openxmlformats.org/markup-compatibility/2006">
          <mc:Choice Requires="x14">
            <control shapeId="6220" r:id="rId20" name="Option Button 76">
              <controlPr defaultSize="0" autoFill="0" autoLine="0" autoPict="0">
                <anchor moveWithCells="1">
                  <from>
                    <xdr:col>4</xdr:col>
                    <xdr:colOff>114300</xdr:colOff>
                    <xdr:row>10</xdr:row>
                    <xdr:rowOff>152400</xdr:rowOff>
                  </from>
                  <to>
                    <xdr:col>4</xdr:col>
                    <xdr:colOff>1021080</xdr:colOff>
                    <xdr:row>10</xdr:row>
                    <xdr:rowOff>373380</xdr:rowOff>
                  </to>
                </anchor>
              </controlPr>
            </control>
          </mc:Choice>
        </mc:AlternateContent>
        <mc:AlternateContent xmlns:mc="http://schemas.openxmlformats.org/markup-compatibility/2006">
          <mc:Choice Requires="x14">
            <control shapeId="6221" r:id="rId21" name="Option Button 77">
              <controlPr defaultSize="0" autoFill="0" autoLine="0" autoPict="0">
                <anchor moveWithCells="1">
                  <from>
                    <xdr:col>4</xdr:col>
                    <xdr:colOff>1287780</xdr:colOff>
                    <xdr:row>10</xdr:row>
                    <xdr:rowOff>137160</xdr:rowOff>
                  </from>
                  <to>
                    <xdr:col>4</xdr:col>
                    <xdr:colOff>2308860</xdr:colOff>
                    <xdr:row>10</xdr:row>
                    <xdr:rowOff>396240</xdr:rowOff>
                  </to>
                </anchor>
              </controlPr>
            </control>
          </mc:Choice>
        </mc:AlternateContent>
        <mc:AlternateContent xmlns:mc="http://schemas.openxmlformats.org/markup-compatibility/2006">
          <mc:Choice Requires="x14">
            <control shapeId="6222" r:id="rId22" name="Group Box 78">
              <controlPr defaultSize="0" autoFill="0" autoPict="0">
                <anchor moveWithCells="1">
                  <from>
                    <xdr:col>4</xdr:col>
                    <xdr:colOff>76200</xdr:colOff>
                    <xdr:row>11</xdr:row>
                    <xdr:rowOff>152400</xdr:rowOff>
                  </from>
                  <to>
                    <xdr:col>4</xdr:col>
                    <xdr:colOff>2346960</xdr:colOff>
                    <xdr:row>11</xdr:row>
                    <xdr:rowOff>556260</xdr:rowOff>
                  </to>
                </anchor>
              </controlPr>
            </control>
          </mc:Choice>
        </mc:AlternateContent>
        <mc:AlternateContent xmlns:mc="http://schemas.openxmlformats.org/markup-compatibility/2006">
          <mc:Choice Requires="x14">
            <control shapeId="6223" r:id="rId23" name="Option Button 79">
              <controlPr defaultSize="0" autoFill="0" autoLine="0" autoPict="0">
                <anchor moveWithCells="1">
                  <from>
                    <xdr:col>4</xdr:col>
                    <xdr:colOff>129540</xdr:colOff>
                    <xdr:row>11</xdr:row>
                    <xdr:rowOff>243840</xdr:rowOff>
                  </from>
                  <to>
                    <xdr:col>4</xdr:col>
                    <xdr:colOff>1066800</xdr:colOff>
                    <xdr:row>11</xdr:row>
                    <xdr:rowOff>464820</xdr:rowOff>
                  </to>
                </anchor>
              </controlPr>
            </control>
          </mc:Choice>
        </mc:AlternateContent>
        <mc:AlternateContent xmlns:mc="http://schemas.openxmlformats.org/markup-compatibility/2006">
          <mc:Choice Requires="x14">
            <control shapeId="6224" r:id="rId24" name="Option Button 80">
              <controlPr defaultSize="0" autoFill="0" autoLine="0" autoPict="0">
                <anchor moveWithCells="1">
                  <from>
                    <xdr:col>4</xdr:col>
                    <xdr:colOff>1303020</xdr:colOff>
                    <xdr:row>11</xdr:row>
                    <xdr:rowOff>228600</xdr:rowOff>
                  </from>
                  <to>
                    <xdr:col>4</xdr:col>
                    <xdr:colOff>2293620</xdr:colOff>
                    <xdr:row>11</xdr:row>
                    <xdr:rowOff>457200</xdr:rowOff>
                  </to>
                </anchor>
              </controlPr>
            </control>
          </mc:Choice>
        </mc:AlternateContent>
        <mc:AlternateContent xmlns:mc="http://schemas.openxmlformats.org/markup-compatibility/2006">
          <mc:Choice Requires="x14">
            <control shapeId="6225" r:id="rId25" name="Group Box 81">
              <controlPr defaultSize="0" autoFill="0" autoPict="0">
                <anchor moveWithCells="1">
                  <from>
                    <xdr:col>4</xdr:col>
                    <xdr:colOff>68580</xdr:colOff>
                    <xdr:row>13</xdr:row>
                    <xdr:rowOff>251460</xdr:rowOff>
                  </from>
                  <to>
                    <xdr:col>4</xdr:col>
                    <xdr:colOff>2301240</xdr:colOff>
                    <xdr:row>13</xdr:row>
                    <xdr:rowOff>693420</xdr:rowOff>
                  </to>
                </anchor>
              </controlPr>
            </control>
          </mc:Choice>
        </mc:AlternateContent>
        <mc:AlternateContent xmlns:mc="http://schemas.openxmlformats.org/markup-compatibility/2006">
          <mc:Choice Requires="x14">
            <control shapeId="6226" r:id="rId26" name="Option Button 82">
              <controlPr defaultSize="0" autoFill="0" autoLine="0" autoPict="0">
                <anchor moveWithCells="1">
                  <from>
                    <xdr:col>4</xdr:col>
                    <xdr:colOff>68580</xdr:colOff>
                    <xdr:row>13</xdr:row>
                    <xdr:rowOff>335280</xdr:rowOff>
                  </from>
                  <to>
                    <xdr:col>4</xdr:col>
                    <xdr:colOff>975360</xdr:colOff>
                    <xdr:row>13</xdr:row>
                    <xdr:rowOff>556260</xdr:rowOff>
                  </to>
                </anchor>
              </controlPr>
            </control>
          </mc:Choice>
        </mc:AlternateContent>
        <mc:AlternateContent xmlns:mc="http://schemas.openxmlformats.org/markup-compatibility/2006">
          <mc:Choice Requires="x14">
            <control shapeId="6227" r:id="rId27" name="Option Button 83">
              <controlPr defaultSize="0" autoFill="0" autoLine="0" autoPict="0">
                <anchor moveWithCells="1">
                  <from>
                    <xdr:col>4</xdr:col>
                    <xdr:colOff>1234440</xdr:colOff>
                    <xdr:row>13</xdr:row>
                    <xdr:rowOff>335280</xdr:rowOff>
                  </from>
                  <to>
                    <xdr:col>4</xdr:col>
                    <xdr:colOff>2240280</xdr:colOff>
                    <xdr:row>13</xdr:row>
                    <xdr:rowOff>586740</xdr:rowOff>
                  </to>
                </anchor>
              </controlPr>
            </control>
          </mc:Choice>
        </mc:AlternateContent>
        <mc:AlternateContent xmlns:mc="http://schemas.openxmlformats.org/markup-compatibility/2006">
          <mc:Choice Requires="x14">
            <control shapeId="6228" r:id="rId28" name="Group Box 84">
              <controlPr defaultSize="0" autoFill="0" autoPict="0">
                <anchor moveWithCells="1">
                  <from>
                    <xdr:col>4</xdr:col>
                    <xdr:colOff>76200</xdr:colOff>
                    <xdr:row>15</xdr:row>
                    <xdr:rowOff>114300</xdr:rowOff>
                  </from>
                  <to>
                    <xdr:col>4</xdr:col>
                    <xdr:colOff>2301240</xdr:colOff>
                    <xdr:row>15</xdr:row>
                    <xdr:rowOff>434340</xdr:rowOff>
                  </to>
                </anchor>
              </controlPr>
            </control>
          </mc:Choice>
        </mc:AlternateContent>
        <mc:AlternateContent xmlns:mc="http://schemas.openxmlformats.org/markup-compatibility/2006">
          <mc:Choice Requires="x14">
            <control shapeId="6229" r:id="rId29" name="Option Button 85">
              <controlPr defaultSize="0" autoFill="0" autoLine="0" autoPict="0">
                <anchor moveWithCells="1">
                  <from>
                    <xdr:col>4</xdr:col>
                    <xdr:colOff>106680</xdr:colOff>
                    <xdr:row>15</xdr:row>
                    <xdr:rowOff>152400</xdr:rowOff>
                  </from>
                  <to>
                    <xdr:col>4</xdr:col>
                    <xdr:colOff>1013460</xdr:colOff>
                    <xdr:row>15</xdr:row>
                    <xdr:rowOff>381000</xdr:rowOff>
                  </to>
                </anchor>
              </controlPr>
            </control>
          </mc:Choice>
        </mc:AlternateContent>
        <mc:AlternateContent xmlns:mc="http://schemas.openxmlformats.org/markup-compatibility/2006">
          <mc:Choice Requires="x14">
            <control shapeId="6230" r:id="rId30" name="Option Button 86">
              <controlPr defaultSize="0" autoFill="0" autoLine="0" autoPict="0">
                <anchor moveWithCells="1">
                  <from>
                    <xdr:col>4</xdr:col>
                    <xdr:colOff>1287780</xdr:colOff>
                    <xdr:row>15</xdr:row>
                    <xdr:rowOff>129540</xdr:rowOff>
                  </from>
                  <to>
                    <xdr:col>4</xdr:col>
                    <xdr:colOff>2278380</xdr:colOff>
                    <xdr:row>15</xdr:row>
                    <xdr:rowOff>358140</xdr:rowOff>
                  </to>
                </anchor>
              </controlPr>
            </control>
          </mc:Choice>
        </mc:AlternateContent>
        <mc:AlternateContent xmlns:mc="http://schemas.openxmlformats.org/markup-compatibility/2006">
          <mc:Choice Requires="x14">
            <control shapeId="6231" r:id="rId31" name="Option Button 87">
              <controlPr defaultSize="0" autoFill="0" autoLine="0" autoPict="0">
                <anchor moveWithCells="1">
                  <from>
                    <xdr:col>4</xdr:col>
                    <xdr:colOff>114300</xdr:colOff>
                    <xdr:row>7</xdr:row>
                    <xdr:rowOff>129540</xdr:rowOff>
                  </from>
                  <to>
                    <xdr:col>4</xdr:col>
                    <xdr:colOff>1021080</xdr:colOff>
                    <xdr:row>7</xdr:row>
                    <xdr:rowOff>388620</xdr:rowOff>
                  </to>
                </anchor>
              </controlPr>
            </control>
          </mc:Choice>
        </mc:AlternateContent>
        <mc:AlternateContent xmlns:mc="http://schemas.openxmlformats.org/markup-compatibility/2006">
          <mc:Choice Requires="x14">
            <control shapeId="6232" r:id="rId32" name="Option Button 88">
              <controlPr defaultSize="0" autoFill="0" autoLine="0" autoPict="0">
                <anchor moveWithCells="1">
                  <from>
                    <xdr:col>4</xdr:col>
                    <xdr:colOff>1249680</xdr:colOff>
                    <xdr:row>7</xdr:row>
                    <xdr:rowOff>152400</xdr:rowOff>
                  </from>
                  <to>
                    <xdr:col>4</xdr:col>
                    <xdr:colOff>2225040</xdr:colOff>
                    <xdr:row>7</xdr:row>
                    <xdr:rowOff>373380</xdr:rowOff>
                  </to>
                </anchor>
              </controlPr>
            </control>
          </mc:Choice>
        </mc:AlternateContent>
        <mc:AlternateContent xmlns:mc="http://schemas.openxmlformats.org/markup-compatibility/2006">
          <mc:Choice Requires="x14">
            <control shapeId="6233" r:id="rId33" name="Button 89">
              <controlPr defaultSize="0" print="0" autoFill="0" autoPict="0" macro="[0]!ToCostAssumptions">
                <anchor moveWithCells="1" sizeWithCells="1">
                  <from>
                    <xdr:col>1</xdr:col>
                    <xdr:colOff>2865120</xdr:colOff>
                    <xdr:row>17</xdr:row>
                    <xdr:rowOff>106680</xdr:rowOff>
                  </from>
                  <to>
                    <xdr:col>4</xdr:col>
                    <xdr:colOff>1501140</xdr:colOff>
                    <xdr:row>20</xdr:row>
                    <xdr:rowOff>22860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5:D57"/>
  <sheetViews>
    <sheetView topLeftCell="A46" zoomScale="80" zoomScaleNormal="80" workbookViewId="0"/>
  </sheetViews>
  <sheetFormatPr defaultColWidth="9.109375" defaultRowHeight="15" x14ac:dyDescent="0.25"/>
  <cols>
    <col min="1" max="1" width="9.109375" style="120" customWidth="1"/>
    <col min="2" max="2" width="41.88671875" style="119" customWidth="1"/>
    <col min="3" max="4" width="22.44140625" style="120" customWidth="1"/>
    <col min="5" max="5" width="29.5546875" style="120" customWidth="1"/>
    <col min="6" max="6" width="22.109375" style="120" customWidth="1"/>
    <col min="7" max="7" width="32.44140625" style="120" customWidth="1"/>
    <col min="8" max="16384" width="9.109375" style="120"/>
  </cols>
  <sheetData>
    <row r="5" spans="1:4" ht="19.5" customHeight="1" x14ac:dyDescent="0.3">
      <c r="B5" s="378" t="s">
        <v>260</v>
      </c>
      <c r="C5" s="377"/>
      <c r="D5" s="377"/>
    </row>
    <row r="6" spans="1:4" ht="16.5" customHeight="1" x14ac:dyDescent="0.3">
      <c r="B6" s="378"/>
      <c r="C6" s="377"/>
      <c r="D6" s="377"/>
    </row>
    <row r="7" spans="1:4" ht="24" customHeight="1" thickBot="1" x14ac:dyDescent="0.35">
      <c r="B7" s="472" t="s">
        <v>412</v>
      </c>
      <c r="C7" s="473"/>
      <c r="D7" s="473"/>
    </row>
    <row r="8" spans="1:4" ht="55.5" customHeight="1" x14ac:dyDescent="0.25">
      <c r="A8" s="193"/>
      <c r="B8" s="454" t="s">
        <v>444</v>
      </c>
      <c r="C8" s="455"/>
      <c r="D8" s="456"/>
    </row>
    <row r="9" spans="1:4" ht="73.5" customHeight="1" x14ac:dyDescent="0.3">
      <c r="B9" s="215"/>
      <c r="C9" s="374" t="s">
        <v>445</v>
      </c>
      <c r="D9" s="375" t="s">
        <v>448</v>
      </c>
    </row>
    <row r="10" spans="1:4" ht="32.4" x14ac:dyDescent="0.25">
      <c r="B10" s="305" t="s">
        <v>400</v>
      </c>
      <c r="C10" s="365">
        <v>465000</v>
      </c>
      <c r="D10" s="371">
        <f>C10</f>
        <v>465000</v>
      </c>
    </row>
    <row r="11" spans="1:4" ht="38.25" customHeight="1" x14ac:dyDescent="0.25">
      <c r="B11" s="340" t="s">
        <v>401</v>
      </c>
      <c r="C11" s="365">
        <v>1237800</v>
      </c>
      <c r="D11" s="371">
        <f t="shared" ref="D11:D27" si="0">C11</f>
        <v>1237800</v>
      </c>
    </row>
    <row r="12" spans="1:4" ht="30" customHeight="1" x14ac:dyDescent="0.25">
      <c r="B12" s="305" t="s">
        <v>5</v>
      </c>
      <c r="C12" s="365">
        <v>250000</v>
      </c>
      <c r="D12" s="371">
        <f t="shared" si="0"/>
        <v>250000</v>
      </c>
    </row>
    <row r="13" spans="1:4" x14ac:dyDescent="0.25">
      <c r="B13" s="305" t="s">
        <v>4</v>
      </c>
      <c r="C13" s="365">
        <v>250000</v>
      </c>
      <c r="D13" s="371">
        <f t="shared" si="0"/>
        <v>250000</v>
      </c>
    </row>
    <row r="14" spans="1:4" x14ac:dyDescent="0.25">
      <c r="B14" s="305" t="s">
        <v>422</v>
      </c>
      <c r="C14" s="365"/>
      <c r="D14" s="371">
        <f t="shared" si="0"/>
        <v>0</v>
      </c>
    </row>
    <row r="15" spans="1:4" x14ac:dyDescent="0.25">
      <c r="B15" s="305" t="s">
        <v>11</v>
      </c>
      <c r="C15" s="365">
        <v>200</v>
      </c>
      <c r="D15" s="371">
        <f t="shared" si="0"/>
        <v>200</v>
      </c>
    </row>
    <row r="16" spans="1:4" ht="30" x14ac:dyDescent="0.25">
      <c r="B16" s="305" t="s">
        <v>357</v>
      </c>
      <c r="C16" s="365"/>
      <c r="D16" s="371">
        <f t="shared" si="0"/>
        <v>0</v>
      </c>
    </row>
    <row r="17" spans="1:4" x14ac:dyDescent="0.25">
      <c r="B17" s="305" t="s">
        <v>27</v>
      </c>
      <c r="C17" s="365"/>
      <c r="D17" s="371">
        <f t="shared" si="0"/>
        <v>0</v>
      </c>
    </row>
    <row r="18" spans="1:4" ht="30" x14ac:dyDescent="0.25">
      <c r="B18" s="305" t="s">
        <v>356</v>
      </c>
      <c r="C18" s="365">
        <f>3000*12</f>
        <v>36000</v>
      </c>
      <c r="D18" s="371">
        <f t="shared" si="0"/>
        <v>36000</v>
      </c>
    </row>
    <row r="19" spans="1:4" x14ac:dyDescent="0.25">
      <c r="B19" s="305" t="s">
        <v>12</v>
      </c>
      <c r="C19" s="365">
        <v>200</v>
      </c>
      <c r="D19" s="371">
        <f t="shared" si="0"/>
        <v>200</v>
      </c>
    </row>
    <row r="20" spans="1:4" x14ac:dyDescent="0.25">
      <c r="B20" s="305" t="s">
        <v>330</v>
      </c>
      <c r="C20" s="365">
        <v>800</v>
      </c>
      <c r="D20" s="371">
        <f t="shared" si="0"/>
        <v>800</v>
      </c>
    </row>
    <row r="21" spans="1:4" x14ac:dyDescent="0.25">
      <c r="B21" s="305" t="s">
        <v>2</v>
      </c>
      <c r="C21" s="365">
        <v>40000</v>
      </c>
      <c r="D21" s="371">
        <f t="shared" si="0"/>
        <v>40000</v>
      </c>
    </row>
    <row r="22" spans="1:4" x14ac:dyDescent="0.25">
      <c r="B22" s="305" t="s">
        <v>14</v>
      </c>
      <c r="C22" s="365">
        <v>35000</v>
      </c>
      <c r="D22" s="371">
        <f t="shared" si="0"/>
        <v>35000</v>
      </c>
    </row>
    <row r="23" spans="1:4" x14ac:dyDescent="0.25">
      <c r="B23" s="305" t="s">
        <v>28</v>
      </c>
      <c r="C23" s="365">
        <v>20000</v>
      </c>
      <c r="D23" s="371">
        <f t="shared" si="0"/>
        <v>20000</v>
      </c>
    </row>
    <row r="24" spans="1:4" ht="15" customHeight="1" x14ac:dyDescent="0.25">
      <c r="B24" s="305" t="s">
        <v>6</v>
      </c>
      <c r="C24" s="365">
        <v>1900</v>
      </c>
      <c r="D24" s="371">
        <v>1900</v>
      </c>
    </row>
    <row r="25" spans="1:4" ht="21" customHeight="1" thickBot="1" x14ac:dyDescent="0.3">
      <c r="B25" s="326" t="s">
        <v>375</v>
      </c>
      <c r="C25" s="366">
        <v>17500</v>
      </c>
      <c r="D25" s="373">
        <f t="shared" si="0"/>
        <v>17500</v>
      </c>
    </row>
    <row r="26" spans="1:4" ht="47.25" customHeight="1" x14ac:dyDescent="0.25">
      <c r="B26" s="305" t="s">
        <v>425</v>
      </c>
      <c r="C26" s="367">
        <v>0.11</v>
      </c>
      <c r="D26" s="372">
        <f t="shared" si="0"/>
        <v>0.11</v>
      </c>
    </row>
    <row r="27" spans="1:4" ht="48.75" customHeight="1" thickBot="1" x14ac:dyDescent="0.3">
      <c r="B27" s="305" t="s">
        <v>426</v>
      </c>
      <c r="C27" s="368">
        <v>0.05</v>
      </c>
      <c r="D27" s="371">
        <f t="shared" si="0"/>
        <v>0.05</v>
      </c>
    </row>
    <row r="28" spans="1:4" ht="17.25" customHeight="1" thickBot="1" x14ac:dyDescent="0.35">
      <c r="B28" s="395" t="s">
        <v>384</v>
      </c>
      <c r="C28" s="396"/>
      <c r="D28" s="397"/>
    </row>
    <row r="29" spans="1:4" ht="30" x14ac:dyDescent="0.25">
      <c r="B29" s="364" t="s">
        <v>186</v>
      </c>
      <c r="C29" s="369">
        <v>0</v>
      </c>
      <c r="D29" s="371">
        <f>C29</f>
        <v>0</v>
      </c>
    </row>
    <row r="30" spans="1:4" ht="15.6" thickBot="1" x14ac:dyDescent="0.3">
      <c r="B30" s="327" t="s">
        <v>434</v>
      </c>
      <c r="C30" s="370">
        <v>100</v>
      </c>
      <c r="D30" s="373">
        <f>C30</f>
        <v>100</v>
      </c>
    </row>
    <row r="31" spans="1:4" x14ac:dyDescent="0.25">
      <c r="A31" s="193"/>
      <c r="B31" s="363"/>
      <c r="C31" s="362"/>
    </row>
    <row r="32" spans="1:4" ht="15.6" thickBot="1" x14ac:dyDescent="0.3">
      <c r="A32" s="193"/>
      <c r="B32" s="363"/>
      <c r="C32" s="362"/>
    </row>
    <row r="33" spans="2:4" x14ac:dyDescent="0.25">
      <c r="B33" s="428" t="s">
        <v>261</v>
      </c>
      <c r="C33" s="474"/>
      <c r="D33" s="475"/>
    </row>
    <row r="34" spans="2:4" x14ac:dyDescent="0.25">
      <c r="B34" s="476"/>
      <c r="C34" s="477"/>
      <c r="D34" s="478"/>
    </row>
    <row r="35" spans="2:4" ht="34.5" customHeight="1" thickBot="1" x14ac:dyDescent="0.35">
      <c r="B35" s="479" t="s">
        <v>281</v>
      </c>
      <c r="C35" s="480"/>
      <c r="D35" s="481"/>
    </row>
    <row r="36" spans="2:4" ht="52.5" customHeight="1" thickTop="1" x14ac:dyDescent="0.25">
      <c r="B36" s="469" t="s">
        <v>417</v>
      </c>
      <c r="C36" s="470"/>
      <c r="D36" s="471"/>
    </row>
    <row r="37" spans="2:4" ht="39.75" customHeight="1" x14ac:dyDescent="0.3">
      <c r="B37" s="141" t="s">
        <v>237</v>
      </c>
      <c r="C37" s="131" t="s">
        <v>418</v>
      </c>
      <c r="D37" s="142" t="s">
        <v>435</v>
      </c>
    </row>
    <row r="38" spans="2:4" ht="30" x14ac:dyDescent="0.25">
      <c r="B38" s="350" t="s">
        <v>358</v>
      </c>
      <c r="C38" s="328">
        <v>29000</v>
      </c>
      <c r="D38" s="288" t="s">
        <v>219</v>
      </c>
    </row>
    <row r="39" spans="2:4" ht="30" x14ac:dyDescent="0.25">
      <c r="B39" s="350" t="s">
        <v>352</v>
      </c>
      <c r="C39" s="328">
        <v>50000</v>
      </c>
      <c r="D39" s="288" t="s">
        <v>219</v>
      </c>
    </row>
    <row r="40" spans="2:4" ht="30" x14ac:dyDescent="0.25">
      <c r="B40" s="350" t="s">
        <v>262</v>
      </c>
      <c r="C40" s="351">
        <f>36000</f>
        <v>36000</v>
      </c>
      <c r="D40" s="349" t="s">
        <v>219</v>
      </c>
    </row>
    <row r="41" spans="2:4" x14ac:dyDescent="0.25">
      <c r="B41" s="350" t="s">
        <v>7</v>
      </c>
      <c r="C41" s="328">
        <v>43000</v>
      </c>
      <c r="D41" s="329">
        <v>0.2</v>
      </c>
    </row>
    <row r="42" spans="2:4" x14ac:dyDescent="0.25">
      <c r="B42" s="350" t="s">
        <v>243</v>
      </c>
      <c r="C42" s="328">
        <v>38000</v>
      </c>
      <c r="D42" s="329">
        <v>0.1</v>
      </c>
    </row>
    <row r="43" spans="2:4" x14ac:dyDescent="0.25">
      <c r="B43" s="350" t="s">
        <v>210</v>
      </c>
      <c r="C43" s="328">
        <v>31000</v>
      </c>
      <c r="D43" s="329">
        <v>0.1</v>
      </c>
    </row>
    <row r="44" spans="2:4" x14ac:dyDescent="0.25">
      <c r="B44" s="350" t="s">
        <v>318</v>
      </c>
      <c r="C44" s="351">
        <f>45000</f>
        <v>45000</v>
      </c>
      <c r="D44" s="329">
        <v>0.4</v>
      </c>
    </row>
    <row r="45" spans="2:4" x14ac:dyDescent="0.25">
      <c r="B45" s="350" t="s">
        <v>248</v>
      </c>
      <c r="C45" s="351">
        <f>88000</f>
        <v>88000</v>
      </c>
      <c r="D45" s="329">
        <v>0.4</v>
      </c>
    </row>
    <row r="46" spans="2:4" ht="30" x14ac:dyDescent="0.25">
      <c r="B46" s="305" t="s">
        <v>449</v>
      </c>
      <c r="C46" s="328">
        <v>0</v>
      </c>
      <c r="D46" s="329">
        <v>1</v>
      </c>
    </row>
    <row r="47" spans="2:4" x14ac:dyDescent="0.25">
      <c r="B47" s="482" t="s">
        <v>409</v>
      </c>
      <c r="C47" s="483"/>
      <c r="D47" s="484"/>
    </row>
    <row r="48" spans="2:4" x14ac:dyDescent="0.25">
      <c r="B48" s="457"/>
      <c r="C48" s="404"/>
      <c r="D48" s="485"/>
    </row>
    <row r="49" spans="2:4" x14ac:dyDescent="0.25">
      <c r="B49" s="457"/>
      <c r="C49" s="404"/>
      <c r="D49" s="485"/>
    </row>
    <row r="50" spans="2:4" x14ac:dyDescent="0.25">
      <c r="B50" s="457"/>
      <c r="C50" s="404"/>
      <c r="D50" s="485"/>
    </row>
    <row r="51" spans="2:4" x14ac:dyDescent="0.25">
      <c r="B51" s="457"/>
      <c r="C51" s="404"/>
      <c r="D51" s="485"/>
    </row>
    <row r="52" spans="2:4" ht="46.5" customHeight="1" x14ac:dyDescent="0.25">
      <c r="B52" s="486"/>
      <c r="C52" s="487"/>
      <c r="D52" s="488"/>
    </row>
    <row r="53" spans="2:4" ht="15.6" x14ac:dyDescent="0.3">
      <c r="B53" s="466" t="s">
        <v>236</v>
      </c>
      <c r="C53" s="467"/>
      <c r="D53" s="468"/>
    </row>
    <row r="54" spans="2:4" x14ac:dyDescent="0.25">
      <c r="B54" s="457" t="s">
        <v>376</v>
      </c>
      <c r="C54" s="404"/>
      <c r="D54" s="155"/>
    </row>
    <row r="55" spans="2:4" ht="70.5" customHeight="1" thickBot="1" x14ac:dyDescent="0.3">
      <c r="B55" s="458"/>
      <c r="C55" s="459"/>
      <c r="D55" s="355">
        <v>0.8</v>
      </c>
    </row>
    <row r="56" spans="2:4" x14ac:dyDescent="0.25">
      <c r="B56" s="460" t="s">
        <v>436</v>
      </c>
      <c r="C56" s="461"/>
      <c r="D56" s="462"/>
    </row>
    <row r="57" spans="2:4" ht="15.6" thickBot="1" x14ac:dyDescent="0.3">
      <c r="B57" s="463"/>
      <c r="C57" s="464"/>
      <c r="D57" s="465"/>
    </row>
  </sheetData>
  <sheetProtection sheet="1"/>
  <mergeCells count="12">
    <mergeCell ref="B35:D35"/>
    <mergeCell ref="B47:D52"/>
    <mergeCell ref="B8:D8"/>
    <mergeCell ref="B28:D28"/>
    <mergeCell ref="B54:C55"/>
    <mergeCell ref="B56:D57"/>
    <mergeCell ref="B5:D5"/>
    <mergeCell ref="B6:D6"/>
    <mergeCell ref="B53:D53"/>
    <mergeCell ref="B36:D36"/>
    <mergeCell ref="B7:D7"/>
    <mergeCell ref="B33:D34"/>
  </mergeCells>
  <phoneticPr fontId="0" type="noConversion"/>
  <pageMargins left="1.25" right="0.75" top="0.5" bottom="0.15" header="0.5" footer="0.5"/>
  <pageSetup scale="80" orientation="portrait" r:id="rId1"/>
  <headerFooter alignWithMargins="0"/>
  <rowBreaks count="1" manualBreakCount="1">
    <brk id="32" min="1" max="3" man="1"/>
  </rowBreaks>
  <drawing r:id="rId2"/>
  <legacyDrawing r:id="rId3"/>
  <mc:AlternateContent xmlns:mc="http://schemas.openxmlformats.org/markup-compatibility/2006">
    <mc:Choice Requires="x14">
      <controls>
        <mc:AlternateContent xmlns:mc="http://schemas.openxmlformats.org/markup-compatibility/2006">
          <mc:Choice Requires="x14">
            <control shapeId="12289" r:id="rId4" name="Button 1">
              <controlPr defaultSize="0" print="0" autoFill="0" autoPict="0" macro="[0]!CostToMap">
                <anchor moveWithCells="1" sizeWithCells="1">
                  <from>
                    <xdr:col>1</xdr:col>
                    <xdr:colOff>1348740</xdr:colOff>
                    <xdr:row>0</xdr:row>
                    <xdr:rowOff>83820</xdr:rowOff>
                  </from>
                  <to>
                    <xdr:col>2</xdr:col>
                    <xdr:colOff>1173480</xdr:colOff>
                    <xdr:row>3</xdr:row>
                    <xdr:rowOff>30480</xdr:rowOff>
                  </to>
                </anchor>
              </controlPr>
            </control>
          </mc:Choice>
        </mc:AlternateContent>
        <mc:AlternateContent xmlns:mc="http://schemas.openxmlformats.org/markup-compatibility/2006">
          <mc:Choice Requires="x14">
            <control shapeId="12292" r:id="rId5" name="Button 4">
              <controlPr defaultSize="0" print="0" autoFill="0" autoPict="0" macro="[0]!ExitCostModel">
                <anchor moveWithCells="1" sizeWithCells="1">
                  <from>
                    <xdr:col>4</xdr:col>
                    <xdr:colOff>579120</xdr:colOff>
                    <xdr:row>0</xdr:row>
                    <xdr:rowOff>76200</xdr:rowOff>
                  </from>
                  <to>
                    <xdr:col>5</xdr:col>
                    <xdr:colOff>160020</xdr:colOff>
                    <xdr:row>3</xdr:row>
                    <xdr:rowOff>68580</xdr:rowOff>
                  </to>
                </anchor>
              </controlPr>
            </control>
          </mc:Choice>
        </mc:AlternateContent>
        <mc:AlternateContent xmlns:mc="http://schemas.openxmlformats.org/markup-compatibility/2006">
          <mc:Choice Requires="x14">
            <control shapeId="12308" r:id="rId6" name="Button 20">
              <controlPr defaultSize="0" print="0" autoFill="0" autoPict="0" macro="[0]!ToResultsSummary">
                <anchor moveWithCells="1" sizeWithCells="1">
                  <from>
                    <xdr:col>1</xdr:col>
                    <xdr:colOff>1173480</xdr:colOff>
                    <xdr:row>58</xdr:row>
                    <xdr:rowOff>38100</xdr:rowOff>
                  </from>
                  <to>
                    <xdr:col>3</xdr:col>
                    <xdr:colOff>175260</xdr:colOff>
                    <xdr:row>60</xdr:row>
                    <xdr:rowOff>60960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TITLE</vt:lpstr>
      <vt:lpstr>Welcome</vt:lpstr>
      <vt:lpstr>Map of the Model</vt:lpstr>
      <vt:lpstr>Read Me First</vt:lpstr>
      <vt:lpstr>Comments</vt:lpstr>
      <vt:lpstr>Background State Information</vt:lpstr>
      <vt:lpstr>Performance Assumptions</vt:lpstr>
      <vt:lpstr>Misc Parameters</vt:lpstr>
      <vt:lpstr>Cost Assumptions</vt:lpstr>
      <vt:lpstr>Results Summary</vt:lpstr>
      <vt:lpstr>Results Detail</vt:lpstr>
      <vt:lpstr>Calculations</vt:lpstr>
      <vt:lpstr>State Square Miles</vt:lpstr>
      <vt:lpstr>Status</vt:lpstr>
      <vt:lpstr>'Background State Information'!Print_Area</vt:lpstr>
      <vt:lpstr>Calculations!Print_Area</vt:lpstr>
      <vt:lpstr>'Cost Assumptions'!Print_Area</vt:lpstr>
      <vt:lpstr>'Misc Parameters'!Print_Area</vt:lpstr>
      <vt:lpstr>'Performance Assumptions'!Print_Area</vt:lpstr>
      <vt:lpstr>'Read Me First'!Print_Area</vt:lpstr>
      <vt:lpstr>'Results Detail'!Print_Area</vt:lpstr>
      <vt:lpstr>'Results Summary'!Print_Area</vt:lpstr>
      <vt:lpstr>Status!Print_Area</vt:lpstr>
    </vt:vector>
  </TitlesOfParts>
  <Company>Mitretek Systems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Wolfgang Scherer</dc:creator>
  <cp:lastModifiedBy>Aniket Gupta</cp:lastModifiedBy>
  <cp:lastPrinted>2002-03-08T18:33:49Z</cp:lastPrinted>
  <dcterms:created xsi:type="dcterms:W3CDTF">2001-07-30T15:04:33Z</dcterms:created>
  <dcterms:modified xsi:type="dcterms:W3CDTF">2024-01-29T04:52:13Z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927484270</vt:i4>
  </property>
  <property fmtid="{D5CDD505-2E9C-101B-9397-08002B2CF9AE}" pid="3" name="_EmailSubject">
    <vt:lpwstr>CCJT Year One Products for Ballistic Imaging System</vt:lpwstr>
  </property>
  <property fmtid="{D5CDD505-2E9C-101B-9397-08002B2CF9AE}" pid="4" name="_AuthorEmail">
    <vt:lpwstr>ldargis@mitretek.org</vt:lpwstr>
  </property>
  <property fmtid="{D5CDD505-2E9C-101B-9397-08002B2CF9AE}" pid="5" name="_AuthorEmailDisplayName">
    <vt:lpwstr>Dargis, Lynn D.</vt:lpwstr>
  </property>
  <property fmtid="{D5CDD505-2E9C-101B-9397-08002B2CF9AE}" pid="6" name="_ReviewingToolsShownOnce">
    <vt:lpwstr/>
  </property>
</Properties>
</file>