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0EA0E53-A06C-4191-B527-FD090C5FEB3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40" r:id="rId2"/>
    <sheet name="Sheet3" sheetId="20196" r:id="rId3"/>
    <sheet name="Sheet4" sheetId="124" r:id="rId4"/>
    <sheet name="Sheet5" sheetId="111" r:id="rId5"/>
    <sheet name="Sheet6" sheetId="109" r:id="rId6"/>
  </sheets>
  <definedNames>
    <definedName name="_xlnm._FilterDatabase" localSheetId="0" hidden="1">Sheet1!$A$3:$AR$6</definedName>
    <definedName name="_xlnm.Print_Titles" localSheetId="0">Sheet1!$A:$D,Sheet1!$3:$7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4" i="1"/>
  <c r="D15" i="1"/>
  <c r="D17" i="1"/>
  <c r="D18" i="1"/>
  <c r="D19" i="1"/>
  <c r="D21" i="1"/>
  <c r="D23" i="1"/>
  <c r="D24" i="1"/>
  <c r="D26" i="1"/>
  <c r="D28" i="1"/>
  <c r="D29" i="1"/>
  <c r="D31" i="1"/>
  <c r="D32" i="1"/>
  <c r="D34" i="1"/>
  <c r="D36" i="1"/>
  <c r="D38" i="1"/>
  <c r="D39" i="1"/>
  <c r="D40" i="1"/>
  <c r="D41" i="1"/>
  <c r="D42" i="1"/>
  <c r="D44" i="1"/>
  <c r="D45" i="1"/>
  <c r="D47" i="1"/>
  <c r="D48" i="1"/>
  <c r="D50" i="1"/>
  <c r="D52" i="1"/>
  <c r="D54" i="1"/>
  <c r="D56" i="1"/>
  <c r="D58" i="1"/>
  <c r="D60" i="1"/>
  <c r="D62" i="1"/>
  <c r="D63" i="1"/>
  <c r="D64" i="1"/>
  <c r="D65" i="1"/>
  <c r="D67" i="1"/>
  <c r="D71" i="1"/>
  <c r="D73" i="1"/>
  <c r="D74" i="1"/>
  <c r="D76" i="1"/>
  <c r="D78" i="1"/>
  <c r="D79" i="1"/>
  <c r="D81" i="1"/>
  <c r="D83" i="1"/>
  <c r="D85" i="1"/>
  <c r="D86" i="1"/>
  <c r="D88" i="1"/>
  <c r="D90" i="1"/>
  <c r="D94" i="1"/>
  <c r="D95" i="1"/>
  <c r="D96" i="1"/>
  <c r="D98" i="1"/>
  <c r="D100" i="1"/>
  <c r="D102" i="1"/>
  <c r="D103" i="1"/>
  <c r="D105" i="1"/>
  <c r="D106" i="1"/>
  <c r="D108" i="1"/>
  <c r="D109" i="1"/>
  <c r="D110" i="1"/>
  <c r="D112" i="1"/>
  <c r="D113" i="1"/>
  <c r="D114" i="1"/>
  <c r="D116" i="1"/>
  <c r="D117" i="1"/>
  <c r="D118" i="1"/>
  <c r="D119" i="1"/>
  <c r="D121" i="1"/>
  <c r="D123" i="1"/>
  <c r="D125" i="1"/>
  <c r="D127" i="1"/>
  <c r="D129" i="1"/>
  <c r="D130" i="1"/>
  <c r="D131" i="1"/>
  <c r="D133" i="1"/>
  <c r="D134" i="1"/>
  <c r="D136" i="1"/>
  <c r="D137" i="1"/>
  <c r="D138" i="1"/>
  <c r="D139" i="1"/>
  <c r="D141" i="1"/>
  <c r="D142" i="1"/>
  <c r="D143" i="1"/>
  <c r="D147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2" i="1"/>
  <c r="D164" i="1"/>
  <c r="D165" i="1"/>
  <c r="D167" i="1"/>
  <c r="D169" i="1"/>
  <c r="D170" i="1"/>
  <c r="D172" i="1"/>
  <c r="D174" i="1"/>
  <c r="D178" i="1"/>
  <c r="D179" i="1"/>
  <c r="D181" i="1"/>
  <c r="D182" i="1"/>
  <c r="D184" i="1"/>
  <c r="D185" i="1"/>
  <c r="D186" i="1"/>
  <c r="D188" i="1"/>
  <c r="D190" i="1"/>
  <c r="D192" i="1"/>
  <c r="D193" i="1"/>
  <c r="D195" i="1"/>
  <c r="D196" i="1"/>
  <c r="D197" i="1"/>
  <c r="D201" i="1"/>
  <c r="D203" i="1"/>
  <c r="D204" i="1"/>
  <c r="D205" i="1"/>
  <c r="D206" i="1"/>
</calcChain>
</file>

<file path=xl/sharedStrings.xml><?xml version="1.0" encoding="utf-8"?>
<sst xmlns="http://schemas.openxmlformats.org/spreadsheetml/2006/main" count="1427" uniqueCount="325">
  <si>
    <t>Date Approved</t>
  </si>
  <si>
    <t>Closing Date</t>
  </si>
  <si>
    <t>Types of Safety Nets Intervention</t>
  </si>
  <si>
    <t>Cash Transfers</t>
  </si>
  <si>
    <t>Child / Family Allowance</t>
  </si>
  <si>
    <t>Non-Contributory Pensions</t>
  </si>
  <si>
    <t>Disability Benefits</t>
  </si>
  <si>
    <t>Unemployment Benefits</t>
  </si>
  <si>
    <t>In-Kind Transfers</t>
  </si>
  <si>
    <t>Food Subsidy</t>
  </si>
  <si>
    <t>Food Aid Assistance / Programs</t>
  </si>
  <si>
    <t>Free Basic Health Care</t>
  </si>
  <si>
    <t>Fee Waivers / Vouchers</t>
  </si>
  <si>
    <t>Fee Waivers for Heating</t>
  </si>
  <si>
    <t>Housing</t>
  </si>
  <si>
    <t>Public Works</t>
  </si>
  <si>
    <t>Training for Unemployed</t>
  </si>
  <si>
    <t>Settings</t>
  </si>
  <si>
    <t>Normal Times</t>
  </si>
  <si>
    <t>Post-Conflict</t>
  </si>
  <si>
    <t>Post Natural Disaster</t>
  </si>
  <si>
    <t>Crisis</t>
  </si>
  <si>
    <t>Decentralization</t>
  </si>
  <si>
    <t>Role of Private or NGOs</t>
  </si>
  <si>
    <t>Financial Issues</t>
  </si>
  <si>
    <t>Safety Nets Projects</t>
  </si>
  <si>
    <t>Institutions</t>
  </si>
  <si>
    <t xml:space="preserve">Food-Related </t>
  </si>
  <si>
    <t xml:space="preserve">Education/ Training </t>
  </si>
  <si>
    <t xml:space="preserve">Health </t>
  </si>
  <si>
    <t>Project Information</t>
  </si>
  <si>
    <t>Others</t>
  </si>
  <si>
    <t>Country and Project</t>
  </si>
  <si>
    <t>Republic of Korea</t>
  </si>
  <si>
    <t>Social Assistance / Transfers; Income Support</t>
  </si>
  <si>
    <t>Latin America &amp; Carribean</t>
  </si>
  <si>
    <t>Africa</t>
  </si>
  <si>
    <t>Uganda</t>
  </si>
  <si>
    <t>Reform / Policy Development</t>
  </si>
  <si>
    <t>Loan Amount (US$ mill)</t>
  </si>
  <si>
    <t>IBRD/IDA</t>
  </si>
  <si>
    <t>Fee waivers/ Scholarships to cover school costs</t>
  </si>
  <si>
    <t>Conditional Costs</t>
  </si>
  <si>
    <t>Transfers to Schools</t>
  </si>
  <si>
    <t>School Materials</t>
  </si>
  <si>
    <t>Role of Communities</t>
  </si>
  <si>
    <t>Angola</t>
  </si>
  <si>
    <t>Burundi</t>
  </si>
  <si>
    <t>Eritrea</t>
  </si>
  <si>
    <t>Ethiopia</t>
  </si>
  <si>
    <t>Ghana</t>
  </si>
  <si>
    <t>Madagascar</t>
  </si>
  <si>
    <t>Malawi</t>
  </si>
  <si>
    <t>Rwanda</t>
  </si>
  <si>
    <t>Tanzania</t>
  </si>
  <si>
    <t>Zambia</t>
  </si>
  <si>
    <t>East Asia &amp; Pacific</t>
  </si>
  <si>
    <t>Cambodia</t>
  </si>
  <si>
    <t>China</t>
  </si>
  <si>
    <t>Mongolia</t>
  </si>
  <si>
    <t>Philippines</t>
  </si>
  <si>
    <t>Europe and Central Asia</t>
  </si>
  <si>
    <t>Albania</t>
  </si>
  <si>
    <t>Georgia</t>
  </si>
  <si>
    <t>Latvia</t>
  </si>
  <si>
    <t>Moldova</t>
  </si>
  <si>
    <t>Romania</t>
  </si>
  <si>
    <t>Russian Federation</t>
  </si>
  <si>
    <t>Colombia</t>
  </si>
  <si>
    <t>Honduras</t>
  </si>
  <si>
    <t>St. Lucia</t>
  </si>
  <si>
    <t>Middle East and North Africa</t>
  </si>
  <si>
    <t>Djibouti</t>
  </si>
  <si>
    <t>Egypt, Arab Republic of</t>
  </si>
  <si>
    <t>West Bank and Gaza</t>
  </si>
  <si>
    <t>South Asia Region</t>
  </si>
  <si>
    <t>India</t>
  </si>
  <si>
    <t>IDA</t>
  </si>
  <si>
    <t>IBRD</t>
  </si>
  <si>
    <t>GRANT</t>
  </si>
  <si>
    <t>Micro-Credit / income generation</t>
  </si>
  <si>
    <t>Capacity Building / Training</t>
  </si>
  <si>
    <t>***</t>
  </si>
  <si>
    <t>Others (specify)*</t>
  </si>
  <si>
    <t>Instruments</t>
  </si>
  <si>
    <t>Targeting**</t>
  </si>
  <si>
    <t>***y</t>
  </si>
  <si>
    <t>C</t>
  </si>
  <si>
    <t>C,E</t>
  </si>
  <si>
    <t>m,y</t>
  </si>
  <si>
    <t>infra</t>
  </si>
  <si>
    <t>CH</t>
  </si>
  <si>
    <t>G,CT</t>
  </si>
  <si>
    <t>G</t>
  </si>
  <si>
    <t>G.CT,CH</t>
  </si>
  <si>
    <t>C,CT,CH,I</t>
  </si>
  <si>
    <t>CT</t>
  </si>
  <si>
    <t>CT, G</t>
  </si>
  <si>
    <t>Monitoring &amp; Evaluation, MIS</t>
  </si>
  <si>
    <t>***m</t>
  </si>
  <si>
    <t>Benin</t>
  </si>
  <si>
    <t>Cameroon</t>
  </si>
  <si>
    <t>Cape Verde</t>
  </si>
  <si>
    <t>Lesotho</t>
  </si>
  <si>
    <t>Mali</t>
  </si>
  <si>
    <t>Mauritania</t>
  </si>
  <si>
    <t>Senegal</t>
  </si>
  <si>
    <t>Zimbabwe</t>
  </si>
  <si>
    <t>Malaysia</t>
  </si>
  <si>
    <t>Thailand</t>
  </si>
  <si>
    <t>Armenia</t>
  </si>
  <si>
    <t>Bosnia-Herzegovenia</t>
  </si>
  <si>
    <t>Bulgaria</t>
  </si>
  <si>
    <t>Argentina</t>
  </si>
  <si>
    <t>Brazil</t>
  </si>
  <si>
    <t>Peru</t>
  </si>
  <si>
    <t>Algeria</t>
  </si>
  <si>
    <t>5/200</t>
  </si>
  <si>
    <t>Yemen</t>
  </si>
  <si>
    <t>Bangladesh</t>
  </si>
  <si>
    <t>**</t>
  </si>
  <si>
    <t>****</t>
  </si>
  <si>
    <t>C,G</t>
  </si>
  <si>
    <t>Iran</t>
  </si>
  <si>
    <t>ECD</t>
  </si>
  <si>
    <t>Macedonia, Former Yugoslav Republic of</t>
  </si>
  <si>
    <t>Project ID</t>
  </si>
  <si>
    <t>P056393</t>
  </si>
  <si>
    <t>P070204</t>
  </si>
  <si>
    <t>P064510</t>
  </si>
  <si>
    <t>P048204</t>
  </si>
  <si>
    <t>P000432</t>
  </si>
  <si>
    <t>P040990</t>
  </si>
  <si>
    <t>P039264</t>
  </si>
  <si>
    <t>P068463</t>
  </si>
  <si>
    <t>P000771</t>
  </si>
  <si>
    <t>P050342</t>
  </si>
  <si>
    <t>P040659</t>
  </si>
  <si>
    <t>P058050</t>
  </si>
  <si>
    <t>P064305</t>
  </si>
  <si>
    <t>P001568</t>
  </si>
  <si>
    <t>P055166</t>
  </si>
  <si>
    <t>P052208</t>
  </si>
  <si>
    <t>P049599</t>
  </si>
  <si>
    <t>P001668</t>
  </si>
  <si>
    <t>P035617</t>
  </si>
  <si>
    <t>P041723</t>
  </si>
  <si>
    <t>P055003</t>
  </si>
  <si>
    <t>P051931</t>
  </si>
  <si>
    <t>P041566</t>
  </si>
  <si>
    <t>P065372</t>
  </si>
  <si>
    <t>P040551</t>
  </si>
  <si>
    <t>P063584</t>
  </si>
  <si>
    <t>P045031</t>
  </si>
  <si>
    <t>P050601</t>
  </si>
  <si>
    <t>P004207</t>
  </si>
  <si>
    <t>P065884</t>
  </si>
  <si>
    <t>P000061</t>
  </si>
  <si>
    <t>P035669</t>
  </si>
  <si>
    <t>P003210</t>
  </si>
  <si>
    <t>P056521</t>
  </si>
  <si>
    <t>P060943</t>
  </si>
  <si>
    <t>P036417</t>
  </si>
  <si>
    <t>P051386</t>
  </si>
  <si>
    <t>P065113</t>
  </si>
  <si>
    <t>P056269</t>
  </si>
  <si>
    <t>P051309</t>
  </si>
  <si>
    <t>P057952</t>
  </si>
  <si>
    <t>P070146</t>
  </si>
  <si>
    <t>P069058</t>
  </si>
  <si>
    <t>P064536</t>
  </si>
  <si>
    <t>P055156</t>
  </si>
  <si>
    <t>P008417</t>
  </si>
  <si>
    <t>P039929</t>
  </si>
  <si>
    <t>P052154</t>
  </si>
  <si>
    <t>Kyrgyz Republic</t>
  </si>
  <si>
    <t>P038569</t>
  </si>
  <si>
    <t>P035807</t>
  </si>
  <si>
    <t>P066221</t>
  </si>
  <si>
    <t>P044840</t>
  </si>
  <si>
    <t>P049200</t>
  </si>
  <si>
    <t>P035761</t>
  </si>
  <si>
    <t>P049268</t>
  </si>
  <si>
    <t>P006058</t>
  </si>
  <si>
    <t>P059566</t>
  </si>
  <si>
    <t>P039199</t>
  </si>
  <si>
    <t>P050763</t>
  </si>
  <si>
    <t>P057910</t>
  </si>
  <si>
    <t>P068762</t>
  </si>
  <si>
    <t>P065263</t>
  </si>
  <si>
    <t>P050578</t>
  </si>
  <si>
    <t>P050576</t>
  </si>
  <si>
    <t>P069964</t>
  </si>
  <si>
    <t>P048651</t>
  </si>
  <si>
    <t>P060499</t>
  </si>
  <si>
    <t>P054939</t>
  </si>
  <si>
    <t>P069947</t>
  </si>
  <si>
    <t>P056419</t>
  </si>
  <si>
    <t>P044584</t>
  </si>
  <si>
    <t>P052705</t>
  </si>
  <si>
    <t>P066336</t>
  </si>
  <si>
    <t>P040858</t>
  </si>
  <si>
    <t>P069943</t>
  </si>
  <si>
    <t>P047067</t>
  </si>
  <si>
    <t>P050483</t>
  </si>
  <si>
    <t>P068830</t>
  </si>
  <si>
    <t>P038021</t>
  </si>
  <si>
    <t>P059242</t>
  </si>
  <si>
    <t>P044449</t>
  </si>
  <si>
    <t>P045644</t>
  </si>
  <si>
    <t>P008530</t>
  </si>
  <si>
    <t>Heat</t>
  </si>
  <si>
    <t>Transitory/ Reforming</t>
  </si>
  <si>
    <t>P050400</t>
  </si>
  <si>
    <t>Civil Servants</t>
  </si>
  <si>
    <t>CH, M</t>
  </si>
  <si>
    <t>P071040</t>
  </si>
  <si>
    <t>N/A</t>
  </si>
  <si>
    <t>NGO</t>
  </si>
  <si>
    <t>G, CT, I</t>
  </si>
  <si>
    <t>Chad</t>
  </si>
  <si>
    <t>P048202</t>
  </si>
  <si>
    <t>P069814</t>
  </si>
  <si>
    <t>G, M(?)</t>
  </si>
  <si>
    <r>
      <t xml:space="preserve">G, </t>
    </r>
    <r>
      <rPr>
        <b/>
        <sz val="7"/>
        <rFont val="Arial"/>
        <family val="2"/>
      </rPr>
      <t>n/sp.</t>
    </r>
  </si>
  <si>
    <t>P003227</t>
  </si>
  <si>
    <t>retr.emp.</t>
  </si>
  <si>
    <t>P057473</t>
  </si>
  <si>
    <t>CBO</t>
  </si>
  <si>
    <t>P055739</t>
  </si>
  <si>
    <t>Ukraine</t>
  </si>
  <si>
    <t>Energy</t>
  </si>
  <si>
    <t>M</t>
  </si>
  <si>
    <t>P003603</t>
  </si>
  <si>
    <t>IBRD/ IDA</t>
  </si>
  <si>
    <t>pen.hlth ins.</t>
  </si>
  <si>
    <t>P043310</t>
  </si>
  <si>
    <t>resettle, rehab, Mine</t>
  </si>
  <si>
    <t>Morocco</t>
  </si>
  <si>
    <t>P005501</t>
  </si>
  <si>
    <r>
      <t xml:space="preserve">G, CT </t>
    </r>
    <r>
      <rPr>
        <b/>
        <sz val="8"/>
        <rFont val="Arial"/>
        <family val="2"/>
      </rPr>
      <t>(girl)</t>
    </r>
  </si>
  <si>
    <t>NGO, comm. Based</t>
  </si>
  <si>
    <t>P041199</t>
  </si>
  <si>
    <t>G, I</t>
  </si>
  <si>
    <t>Vietnam</t>
  </si>
  <si>
    <t>P042568</t>
  </si>
  <si>
    <t>Comp. For resettlement</t>
  </si>
  <si>
    <t>G, CT</t>
  </si>
  <si>
    <t>Nicaragua</t>
  </si>
  <si>
    <t>P056087</t>
  </si>
  <si>
    <t>Top-up pension for poor</t>
  </si>
  <si>
    <t>Pension contributors</t>
  </si>
  <si>
    <t>Poland</t>
  </si>
  <si>
    <t>P058202</t>
  </si>
  <si>
    <t>P064238</t>
  </si>
  <si>
    <t>migrants</t>
  </si>
  <si>
    <t>Lithuania</t>
  </si>
  <si>
    <t>P008539</t>
  </si>
  <si>
    <t>CH, CT</t>
  </si>
  <si>
    <t>Turkey</t>
  </si>
  <si>
    <t>P009102</t>
  </si>
  <si>
    <t>displaced employees</t>
  </si>
  <si>
    <t>P044110</t>
  </si>
  <si>
    <t>heating</t>
  </si>
  <si>
    <t>P064895</t>
  </si>
  <si>
    <t>C, emp</t>
  </si>
  <si>
    <t>CT, CH</t>
  </si>
  <si>
    <r>
      <t xml:space="preserve">*** </t>
    </r>
    <r>
      <rPr>
        <b/>
        <sz val="8"/>
        <rFont val="Arial"/>
        <family val="2"/>
      </rPr>
      <t>Grant for self-emp</t>
    </r>
  </si>
  <si>
    <t>Com. Based social service</t>
  </si>
  <si>
    <t>P004978</t>
  </si>
  <si>
    <t>CT, M</t>
  </si>
  <si>
    <t>Azerbaijan</t>
  </si>
  <si>
    <t>P065504</t>
  </si>
  <si>
    <t>internally Displaced</t>
  </si>
  <si>
    <t>P003639</t>
  </si>
  <si>
    <t>P049269</t>
  </si>
  <si>
    <t>I, G</t>
  </si>
  <si>
    <t>P064961</t>
  </si>
  <si>
    <t>HIV/ AIDS</t>
  </si>
  <si>
    <t>P055738</t>
  </si>
  <si>
    <t>P057459</t>
  </si>
  <si>
    <t xml:space="preserve">CT </t>
  </si>
  <si>
    <t>P000117</t>
  </si>
  <si>
    <t>P009518</t>
  </si>
  <si>
    <t>enterprises, G</t>
  </si>
  <si>
    <t>micr proj, C</t>
  </si>
  <si>
    <t>Jun-03, closed?</t>
  </si>
  <si>
    <t>Sierra Leone</t>
  </si>
  <si>
    <t>P040649</t>
  </si>
  <si>
    <t>IDA / IBRD</t>
  </si>
  <si>
    <t>Lao People's Dem. Rep.</t>
  </si>
  <si>
    <t>de-inst.</t>
  </si>
  <si>
    <t xml:space="preserve">*** </t>
  </si>
  <si>
    <t>Search Key Word***</t>
  </si>
  <si>
    <t>CL = Classified as Social Assistance in Database  SN=Safety Nets Keyword  SA=Social Assistance Keyword                      SP=Social Assistance Keyword</t>
  </si>
  <si>
    <t>CL, SA, SP</t>
  </si>
  <si>
    <t>SA, SP</t>
  </si>
  <si>
    <t>SN</t>
  </si>
  <si>
    <t xml:space="preserve">SA </t>
  </si>
  <si>
    <t>SP</t>
  </si>
  <si>
    <t>SN, SP</t>
  </si>
  <si>
    <t>CL</t>
  </si>
  <si>
    <t>CL, SN, SA, SP</t>
  </si>
  <si>
    <t>SN, SA, SP</t>
  </si>
  <si>
    <t>SA SP</t>
  </si>
  <si>
    <t>CL, SP</t>
  </si>
  <si>
    <t>P071371</t>
  </si>
  <si>
    <t>Feeding</t>
  </si>
  <si>
    <t>P066153</t>
  </si>
  <si>
    <t>P074410</t>
  </si>
  <si>
    <t>P008783</t>
  </si>
  <si>
    <t>P055495</t>
  </si>
  <si>
    <t>P074408</t>
  </si>
  <si>
    <t>P069894</t>
  </si>
  <si>
    <t>Staff Directed</t>
  </si>
  <si>
    <t>P055383</t>
  </si>
  <si>
    <t>P069935</t>
  </si>
  <si>
    <t>P035810</t>
  </si>
  <si>
    <t>Jamaica</t>
  </si>
  <si>
    <t>P067774</t>
  </si>
  <si>
    <t>P064906</t>
  </si>
  <si>
    <t xml:space="preserve">Note: </t>
  </si>
  <si>
    <t>* Category of Others include: C=Community-based development, E=ECD, emp=employment</t>
  </si>
  <si>
    <t>** Category of targeting include: I=Individual / Self, C=Community, CT=Categorical, CH=Children</t>
  </si>
  <si>
    <t>G=Geographic, M=Means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</si>
</sst>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53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color indexed="59"/>
      <name val="Arial"/>
      <family val="2"/>
    </font>
    <font>
      <sz val="9"/>
      <color indexed="53"/>
      <name val="Arial"/>
      <family val="2"/>
    </font>
    <font>
      <sz val="9"/>
      <color indexed="59"/>
      <name val="Arial"/>
      <family val="2"/>
    </font>
    <font>
      <b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horizontal="left" textRotation="90" wrapText="1"/>
    </xf>
    <xf numFmtId="0" fontId="2" fillId="0" borderId="18" xfId="0" applyFont="1" applyBorder="1" applyAlignment="1">
      <alignment horizontal="left" textRotation="90" wrapText="1"/>
    </xf>
    <xf numFmtId="0" fontId="2" fillId="0" borderId="19" xfId="0" applyFont="1" applyBorder="1" applyAlignment="1">
      <alignment horizontal="left" textRotation="90" wrapText="1"/>
    </xf>
    <xf numFmtId="0" fontId="2" fillId="0" borderId="0" xfId="0" applyFont="1" applyAlignment="1">
      <alignment horizontal="left" textRotation="90" wrapText="1"/>
    </xf>
    <xf numFmtId="0" fontId="2" fillId="0" borderId="20" xfId="0" applyFont="1" applyBorder="1" applyAlignment="1">
      <alignment textRotation="90" wrapText="1"/>
    </xf>
    <xf numFmtId="0" fontId="1" fillId="0" borderId="15" xfId="0" applyFont="1" applyBorder="1"/>
    <xf numFmtId="0" fontId="1" fillId="0" borderId="9" xfId="0" applyFont="1" applyBorder="1" applyAlignment="1">
      <alignment horizontal="center"/>
    </xf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1" fillId="0" borderId="23" xfId="0" applyFont="1" applyBorder="1"/>
    <xf numFmtId="0" fontId="0" fillId="0" borderId="8" xfId="0" applyBorder="1"/>
    <xf numFmtId="0" fontId="0" fillId="0" borderId="11" xfId="0" applyBorder="1"/>
    <xf numFmtId="0" fontId="0" fillId="0" borderId="24" xfId="0" applyBorder="1"/>
    <xf numFmtId="0" fontId="0" fillId="0" borderId="14" xfId="0" applyBorder="1"/>
    <xf numFmtId="0" fontId="2" fillId="0" borderId="15" xfId="0" applyFont="1" applyBorder="1" applyAlignment="1">
      <alignment textRotation="90" wrapText="1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1" fillId="0" borderId="16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7" xfId="0" applyBorder="1" applyAlignment="1">
      <alignment vertical="top"/>
    </xf>
    <xf numFmtId="0" fontId="1" fillId="0" borderId="27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5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15" xfId="0" applyFont="1" applyBorder="1"/>
    <xf numFmtId="17" fontId="2" fillId="0" borderId="23" xfId="0" applyNumberFormat="1" applyFont="1" applyBorder="1"/>
    <xf numFmtId="17" fontId="5" fillId="0" borderId="23" xfId="0" applyNumberFormat="1" applyFont="1" applyBorder="1"/>
    <xf numFmtId="17" fontId="5" fillId="0" borderId="30" xfId="0" applyNumberFormat="1" applyFont="1" applyBorder="1"/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23" xfId="0" applyFont="1" applyBorder="1" applyAlignment="1">
      <alignment wrapText="1"/>
    </xf>
    <xf numFmtId="164" fontId="2" fillId="0" borderId="18" xfId="0" applyNumberFormat="1" applyFont="1" applyBorder="1" applyAlignment="1">
      <alignment horizontal="left" textRotation="90" wrapText="1"/>
    </xf>
    <xf numFmtId="0" fontId="6" fillId="0" borderId="27" xfId="0" applyFont="1" applyBorder="1" applyAlignment="1">
      <alignment vertical="top"/>
    </xf>
    <xf numFmtId="0" fontId="6" fillId="0" borderId="11" xfId="0" applyFont="1" applyBorder="1"/>
    <xf numFmtId="0" fontId="1" fillId="0" borderId="30" xfId="0" applyFont="1" applyBorder="1"/>
    <xf numFmtId="0" fontId="1" fillId="0" borderId="30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28" xfId="0" applyFont="1" applyBorder="1" applyAlignment="1">
      <alignment vertical="top"/>
    </xf>
    <xf numFmtId="0" fontId="2" fillId="0" borderId="31" xfId="0" applyFont="1" applyBorder="1" applyAlignment="1">
      <alignment horizontal="center" textRotation="90" wrapText="1"/>
    </xf>
    <xf numFmtId="0" fontId="5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11" xfId="0" applyBorder="1" applyAlignment="1"/>
    <xf numFmtId="0" fontId="0" fillId="0" borderId="0" xfId="0" applyAlignment="1"/>
    <xf numFmtId="0" fontId="1" fillId="0" borderId="15" xfId="0" applyFont="1" applyBorder="1" applyAlignment="1"/>
    <xf numFmtId="0" fontId="0" fillId="0" borderId="16" xfId="0" applyBorder="1" applyAlignment="1"/>
    <xf numFmtId="0" fontId="11" fillId="0" borderId="15" xfId="0" applyFont="1" applyBorder="1" applyAlignment="1">
      <alignment wrapText="1"/>
    </xf>
    <xf numFmtId="0" fontId="9" fillId="2" borderId="28" xfId="0" applyFont="1" applyFill="1" applyBorder="1" applyAlignment="1">
      <alignment vertical="top"/>
    </xf>
    <xf numFmtId="0" fontId="11" fillId="0" borderId="15" xfId="0" applyFont="1" applyBorder="1"/>
    <xf numFmtId="0" fontId="0" fillId="0" borderId="28" xfId="0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7" fontId="5" fillId="0" borderId="23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17" fontId="6" fillId="0" borderId="23" xfId="0" applyNumberFormat="1" applyFont="1" applyBorder="1" applyAlignment="1">
      <alignment horizontal="left" wrapText="1"/>
    </xf>
    <xf numFmtId="0" fontId="0" fillId="0" borderId="27" xfId="0" applyBorder="1" applyAlignment="1">
      <alignment vertical="top" wrapText="1"/>
    </xf>
    <xf numFmtId="0" fontId="0" fillId="0" borderId="16" xfId="0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33" xfId="0" applyFont="1" applyBorder="1" applyAlignment="1">
      <alignment wrapText="1"/>
    </xf>
    <xf numFmtId="0" fontId="7" fillId="0" borderId="33" xfId="0" applyFont="1" applyBorder="1" applyAlignment="1">
      <alignment horizontal="left" wrapText="1"/>
    </xf>
    <xf numFmtId="0" fontId="2" fillId="0" borderId="33" xfId="0" applyFont="1" applyBorder="1" applyAlignment="1">
      <alignment wrapText="1"/>
    </xf>
    <xf numFmtId="0" fontId="7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wrapText="1"/>
    </xf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0" borderId="20" xfId="0" applyFont="1" applyBorder="1"/>
    <xf numFmtId="0" fontId="1" fillId="0" borderId="15" xfId="0" applyFont="1" applyFill="1" applyBorder="1" applyAlignment="1">
      <alignment wrapText="1"/>
    </xf>
    <xf numFmtId="0" fontId="7" fillId="0" borderId="33" xfId="0" applyFont="1" applyBorder="1" applyAlignment="1">
      <alignment wrapText="1"/>
    </xf>
    <xf numFmtId="164" fontId="0" fillId="0" borderId="33" xfId="0" applyNumberFormat="1" applyBorder="1" applyAlignment="1">
      <alignment wrapText="1"/>
    </xf>
    <xf numFmtId="0" fontId="0" fillId="0" borderId="10" xfId="0" applyBorder="1" applyAlignment="1"/>
    <xf numFmtId="0" fontId="6" fillId="0" borderId="11" xfId="0" applyFont="1" applyFill="1" applyBorder="1"/>
    <xf numFmtId="0" fontId="1" fillId="3" borderId="15" xfId="0" applyFont="1" applyFill="1" applyBorder="1"/>
    <xf numFmtId="0" fontId="1" fillId="3" borderId="23" xfId="0" applyFont="1" applyFill="1" applyBorder="1"/>
    <xf numFmtId="0" fontId="1" fillId="3" borderId="15" xfId="0" applyFont="1" applyFill="1" applyBorder="1" applyAlignment="1">
      <alignment wrapText="1"/>
    </xf>
    <xf numFmtId="0" fontId="1" fillId="3" borderId="15" xfId="0" applyFont="1" applyFill="1" applyBorder="1" applyAlignment="1"/>
    <xf numFmtId="0" fontId="2" fillId="3" borderId="15" xfId="0" applyFont="1" applyFill="1" applyBorder="1" applyAlignment="1">
      <alignment wrapText="1"/>
    </xf>
    <xf numFmtId="0" fontId="11" fillId="3" borderId="15" xfId="0" applyFont="1" applyFill="1" applyBorder="1" applyAlignment="1">
      <alignment wrapText="1"/>
    </xf>
    <xf numFmtId="0" fontId="0" fillId="0" borderId="23" xfId="0" applyBorder="1"/>
    <xf numFmtId="0" fontId="1" fillId="3" borderId="23" xfId="0" applyFont="1" applyFill="1" applyBorder="1" applyAlignment="1">
      <alignment wrapText="1"/>
    </xf>
    <xf numFmtId="0" fontId="1" fillId="3" borderId="10" xfId="0" applyFont="1" applyFill="1" applyBorder="1"/>
    <xf numFmtId="0" fontId="1" fillId="0" borderId="10" xfId="0" applyFont="1" applyBorder="1" applyAlignment="1"/>
    <xf numFmtId="0" fontId="1" fillId="0" borderId="23" xfId="0" applyFont="1" applyBorder="1" applyAlignment="1"/>
    <xf numFmtId="0" fontId="1" fillId="0" borderId="15" xfId="0" applyFont="1" applyFill="1" applyBorder="1"/>
    <xf numFmtId="0" fontId="11" fillId="3" borderId="15" xfId="0" applyFont="1" applyFill="1" applyBorder="1"/>
    <xf numFmtId="0" fontId="12" fillId="3" borderId="15" xfId="0" applyFont="1" applyFill="1" applyBorder="1" applyAlignment="1">
      <alignment wrapText="1"/>
    </xf>
    <xf numFmtId="0" fontId="2" fillId="3" borderId="15" xfId="0" applyFont="1" applyFill="1" applyBorder="1"/>
    <xf numFmtId="0" fontId="11" fillId="3" borderId="23" xfId="0" applyFont="1" applyFill="1" applyBorder="1" applyAlignment="1">
      <alignment wrapText="1"/>
    </xf>
    <xf numFmtId="0" fontId="1" fillId="0" borderId="23" xfId="0" applyFont="1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15" xfId="0" applyFont="1" applyFill="1" applyBorder="1" applyAlignment="1">
      <alignment textRotation="90" wrapText="1"/>
    </xf>
    <xf numFmtId="0" fontId="1" fillId="0" borderId="16" xfId="0" applyFont="1" applyFill="1" applyBorder="1"/>
    <xf numFmtId="0" fontId="0" fillId="0" borderId="27" xfId="0" applyFill="1" applyBorder="1" applyAlignment="1">
      <alignment vertical="top"/>
    </xf>
    <xf numFmtId="0" fontId="0" fillId="0" borderId="0" xfId="0" applyFill="1"/>
    <xf numFmtId="0" fontId="0" fillId="0" borderId="33" xfId="0" applyBorder="1" applyAlignment="1">
      <alignment wrapText="1"/>
    </xf>
    <xf numFmtId="0" fontId="6" fillId="0" borderId="27" xfId="0" applyFont="1" applyFill="1" applyBorder="1" applyAlignment="1">
      <alignment vertical="top"/>
    </xf>
    <xf numFmtId="0" fontId="0" fillId="0" borderId="33" xfId="0" applyFill="1" applyBorder="1" applyAlignment="1">
      <alignment wrapText="1"/>
    </xf>
    <xf numFmtId="0" fontId="1" fillId="0" borderId="10" xfId="0" applyFont="1" applyFill="1" applyBorder="1"/>
    <xf numFmtId="0" fontId="1" fillId="0" borderId="0" xfId="0" applyFont="1" applyFill="1"/>
    <xf numFmtId="0" fontId="0" fillId="0" borderId="14" xfId="0" applyFill="1" applyBorder="1"/>
    <xf numFmtId="0" fontId="0" fillId="0" borderId="28" xfId="0" applyFill="1" applyBorder="1" applyAlignment="1">
      <alignment vertical="top"/>
    </xf>
    <xf numFmtId="17" fontId="5" fillId="0" borderId="23" xfId="0" applyNumberFormat="1" applyFont="1" applyFill="1" applyBorder="1"/>
    <xf numFmtId="0" fontId="0" fillId="0" borderId="2" xfId="0" applyFill="1" applyBorder="1"/>
    <xf numFmtId="0" fontId="2" fillId="0" borderId="0" xfId="0" applyFont="1"/>
    <xf numFmtId="0" fontId="2" fillId="0" borderId="20" xfId="0" applyFont="1" applyBorder="1"/>
    <xf numFmtId="0" fontId="2" fillId="0" borderId="23" xfId="0" applyFont="1" applyBorder="1"/>
    <xf numFmtId="0" fontId="5" fillId="0" borderId="23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left"/>
    </xf>
    <xf numFmtId="0" fontId="2" fillId="0" borderId="23" xfId="0" applyFont="1" applyFill="1" applyBorder="1"/>
    <xf numFmtId="0" fontId="2" fillId="0" borderId="30" xfId="0" applyFont="1" applyBorder="1"/>
    <xf numFmtId="164" fontId="5" fillId="0" borderId="0" xfId="0" applyNumberFormat="1" applyFont="1"/>
    <xf numFmtId="164" fontId="2" fillId="0" borderId="5" xfId="0" applyNumberFormat="1" applyFont="1" applyBorder="1"/>
    <xf numFmtId="164" fontId="2" fillId="0" borderId="8" xfId="0" applyNumberFormat="1" applyFont="1" applyBorder="1"/>
    <xf numFmtId="164" fontId="5" fillId="0" borderId="20" xfId="0" applyNumberFormat="1" applyFont="1" applyBorder="1"/>
    <xf numFmtId="164" fontId="2" fillId="0" borderId="15" xfId="0" applyNumberFormat="1" applyFont="1" applyBorder="1"/>
    <xf numFmtId="164" fontId="5" fillId="0" borderId="23" xfId="0" applyNumberFormat="1" applyFont="1" applyBorder="1"/>
    <xf numFmtId="164" fontId="5" fillId="0" borderId="23" xfId="0" applyNumberFormat="1" applyFont="1" applyFill="1" applyBorder="1"/>
    <xf numFmtId="0" fontId="8" fillId="0" borderId="23" xfId="0" applyFont="1" applyBorder="1" applyAlignment="1">
      <alignment horizontal="left" wrapText="1"/>
    </xf>
    <xf numFmtId="164" fontId="2" fillId="0" borderId="23" xfId="0" applyNumberFormat="1" applyFont="1" applyBorder="1"/>
    <xf numFmtId="0" fontId="5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/>
    </xf>
    <xf numFmtId="3" fontId="5" fillId="0" borderId="23" xfId="0" applyNumberFormat="1" applyFont="1" applyBorder="1"/>
    <xf numFmtId="164" fontId="5" fillId="0" borderId="23" xfId="0" applyNumberFormat="1" applyFont="1" applyBorder="1" applyAlignment="1"/>
    <xf numFmtId="0" fontId="5" fillId="0" borderId="23" xfId="0" applyFont="1" applyFill="1" applyBorder="1" applyAlignment="1">
      <alignment horizontal="center"/>
    </xf>
    <xf numFmtId="0" fontId="15" fillId="0" borderId="23" xfId="0" applyFont="1" applyBorder="1" applyAlignment="1">
      <alignment horizontal="left" wrapText="1"/>
    </xf>
    <xf numFmtId="0" fontId="5" fillId="0" borderId="23" xfId="0" applyFont="1" applyFill="1" applyBorder="1" applyAlignment="1">
      <alignment horizontal="left" wrapText="1"/>
    </xf>
    <xf numFmtId="164" fontId="5" fillId="0" borderId="23" xfId="0" applyNumberFormat="1" applyFont="1" applyBorder="1" applyAlignment="1">
      <alignment horizontal="left"/>
    </xf>
    <xf numFmtId="164" fontId="5" fillId="0" borderId="23" xfId="0" applyNumberFormat="1" applyFont="1" applyBorder="1" applyAlignment="1">
      <alignment wrapText="1"/>
    </xf>
    <xf numFmtId="164" fontId="5" fillId="0" borderId="30" xfId="0" applyNumberFormat="1" applyFont="1" applyBorder="1"/>
    <xf numFmtId="0" fontId="1" fillId="0" borderId="33" xfId="0" applyFont="1" applyBorder="1"/>
    <xf numFmtId="0" fontId="16" fillId="0" borderId="23" xfId="0" applyFont="1" applyBorder="1"/>
    <xf numFmtId="0" fontId="16" fillId="0" borderId="23" xfId="0" applyFont="1" applyBorder="1" applyAlignment="1"/>
    <xf numFmtId="0" fontId="6" fillId="0" borderId="23" xfId="0" applyFont="1" applyFill="1" applyBorder="1" applyAlignment="1">
      <alignment horizontal="center"/>
    </xf>
    <xf numFmtId="0" fontId="2" fillId="0" borderId="23" xfId="0" applyFont="1" applyBorder="1" applyAlignment="1">
      <alignment wrapText="1"/>
    </xf>
    <xf numFmtId="0" fontId="3" fillId="0" borderId="36" xfId="0" applyFont="1" applyBorder="1" applyAlignment="1">
      <alignment horizontal="center"/>
    </xf>
    <xf numFmtId="0" fontId="5" fillId="0" borderId="37" xfId="0" applyFont="1" applyBorder="1" applyAlignment="1">
      <alignment wrapText="1"/>
    </xf>
    <xf numFmtId="0" fontId="5" fillId="0" borderId="23" xfId="0" applyFont="1" applyBorder="1"/>
    <xf numFmtId="0" fontId="1" fillId="0" borderId="14" xfId="0" applyFont="1" applyFill="1" applyBorder="1"/>
    <xf numFmtId="0" fontId="1" fillId="0" borderId="14" xfId="0" applyFont="1" applyBorder="1" applyAlignment="1"/>
    <xf numFmtId="0" fontId="1" fillId="0" borderId="22" xfId="0" applyFont="1" applyBorder="1"/>
    <xf numFmtId="0" fontId="2" fillId="0" borderId="38" xfId="0" applyFont="1" applyBorder="1" applyAlignment="1">
      <alignment horizontal="left" wrapText="1"/>
    </xf>
    <xf numFmtId="0" fontId="1" fillId="0" borderId="10" xfId="0" applyFont="1" applyFill="1" applyBorder="1" applyAlignment="1">
      <alignment wrapText="1"/>
    </xf>
    <xf numFmtId="0" fontId="1" fillId="0" borderId="15" xfId="0" applyFont="1" applyFill="1" applyBorder="1" applyAlignment="1"/>
    <xf numFmtId="0" fontId="1" fillId="4" borderId="10" xfId="0" applyFont="1" applyFill="1" applyBorder="1"/>
    <xf numFmtId="0" fontId="1" fillId="4" borderId="15" xfId="0" applyFont="1" applyFill="1" applyBorder="1"/>
    <xf numFmtId="0" fontId="1" fillId="4" borderId="23" xfId="0" applyFont="1" applyFill="1" applyBorder="1"/>
    <xf numFmtId="0" fontId="2" fillId="4" borderId="15" xfId="0" applyFont="1" applyFill="1" applyBorder="1"/>
    <xf numFmtId="0" fontId="1" fillId="4" borderId="15" xfId="0" applyFont="1" applyFill="1" applyBorder="1" applyAlignment="1">
      <alignment wrapText="1"/>
    </xf>
    <xf numFmtId="0" fontId="1" fillId="4" borderId="14" xfId="0" applyFont="1" applyFill="1" applyBorder="1"/>
    <xf numFmtId="0" fontId="0" fillId="4" borderId="16" xfId="0" applyFill="1" applyBorder="1"/>
    <xf numFmtId="0" fontId="0" fillId="4" borderId="27" xfId="0" applyFill="1" applyBorder="1" applyAlignment="1">
      <alignment vertical="top"/>
    </xf>
    <xf numFmtId="0" fontId="0" fillId="4" borderId="10" xfId="0" applyFill="1" applyBorder="1"/>
    <xf numFmtId="0" fontId="0" fillId="4" borderId="11" xfId="0" applyFill="1" applyBorder="1"/>
    <xf numFmtId="164" fontId="5" fillId="4" borderId="23" xfId="0" applyNumberFormat="1" applyFont="1" applyFill="1" applyBorder="1"/>
    <xf numFmtId="0" fontId="0" fillId="4" borderId="0" xfId="0" applyFill="1"/>
    <xf numFmtId="0" fontId="7" fillId="4" borderId="33" xfId="0" applyFont="1" applyFill="1" applyBorder="1" applyAlignment="1">
      <alignment horizontal="left" wrapText="1"/>
    </xf>
    <xf numFmtId="0" fontId="0" fillId="4" borderId="10" xfId="0" applyFill="1" applyBorder="1" applyAlignment="1"/>
    <xf numFmtId="0" fontId="0" fillId="4" borderId="11" xfId="0" applyFill="1" applyBorder="1" applyAlignment="1"/>
    <xf numFmtId="0" fontId="5" fillId="4" borderId="23" xfId="0" applyFont="1" applyFill="1" applyBorder="1" applyAlignment="1">
      <alignment horizontal="left"/>
    </xf>
    <xf numFmtId="0" fontId="1" fillId="4" borderId="15" xfId="0" applyFont="1" applyFill="1" applyBorder="1" applyAlignment="1"/>
    <xf numFmtId="0" fontId="1" fillId="4" borderId="10" xfId="0" applyFont="1" applyFill="1" applyBorder="1" applyAlignment="1"/>
    <xf numFmtId="0" fontId="1" fillId="4" borderId="23" xfId="0" applyFont="1" applyFill="1" applyBorder="1" applyAlignment="1"/>
    <xf numFmtId="0" fontId="12" fillId="4" borderId="15" xfId="0" applyFont="1" applyFill="1" applyBorder="1" applyAlignment="1"/>
    <xf numFmtId="0" fontId="1" fillId="4" borderId="14" xfId="0" applyFont="1" applyFill="1" applyBorder="1" applyAlignment="1"/>
    <xf numFmtId="0" fontId="0" fillId="4" borderId="16" xfId="0" applyFill="1" applyBorder="1" applyAlignment="1"/>
    <xf numFmtId="0" fontId="0" fillId="4" borderId="0" xfId="0" applyFill="1" applyAlignment="1"/>
    <xf numFmtId="0" fontId="1" fillId="3" borderId="23" xfId="0" applyFont="1" applyFill="1" applyBorder="1" applyAlignment="1"/>
    <xf numFmtId="0" fontId="11" fillId="4" borderId="15" xfId="0" applyFont="1" applyFill="1" applyBorder="1"/>
    <xf numFmtId="0" fontId="0" fillId="4" borderId="28" xfId="0" applyFill="1" applyBorder="1" applyAlignment="1">
      <alignment vertical="top"/>
    </xf>
    <xf numFmtId="17" fontId="2" fillId="4" borderId="23" xfId="0" applyNumberFormat="1" applyFont="1" applyFill="1" applyBorder="1"/>
    <xf numFmtId="17" fontId="5" fillId="4" borderId="23" xfId="0" applyNumberFormat="1" applyFont="1" applyFill="1" applyBorder="1"/>
    <xf numFmtId="0" fontId="1" fillId="4" borderId="23" xfId="0" applyFont="1" applyFill="1" applyBorder="1" applyAlignment="1">
      <alignment wrapText="1"/>
    </xf>
    <xf numFmtId="0" fontId="0" fillId="4" borderId="2" xfId="0" applyFill="1" applyBorder="1"/>
    <xf numFmtId="0" fontId="5" fillId="4" borderId="23" xfId="0" applyFont="1" applyFill="1" applyBorder="1" applyAlignment="1">
      <alignment horizontal="center" wrapText="1"/>
    </xf>
    <xf numFmtId="0" fontId="11" fillId="4" borderId="15" xfId="0" applyFont="1" applyFill="1" applyBorder="1" applyAlignment="1">
      <alignment wrapText="1"/>
    </xf>
    <xf numFmtId="0" fontId="11" fillId="4" borderId="23" xfId="0" applyFont="1" applyFill="1" applyBorder="1" applyAlignment="1">
      <alignment wrapText="1"/>
    </xf>
    <xf numFmtId="0" fontId="0" fillId="0" borderId="33" xfId="0" applyBorder="1"/>
    <xf numFmtId="0" fontId="0" fillId="4" borderId="33" xfId="0" applyFill="1" applyBorder="1" applyAlignment="1">
      <alignment wrapText="1"/>
    </xf>
    <xf numFmtId="0" fontId="9" fillId="0" borderId="37" xfId="0" applyFont="1" applyFill="1" applyBorder="1"/>
    <xf numFmtId="0" fontId="0" fillId="0" borderId="37" xfId="0" applyBorder="1"/>
    <xf numFmtId="0" fontId="0" fillId="0" borderId="37" xfId="0" applyFill="1" applyBorder="1"/>
    <xf numFmtId="0" fontId="6" fillId="0" borderId="37" xfId="0" applyFont="1" applyFill="1" applyBorder="1"/>
    <xf numFmtId="0" fontId="5" fillId="0" borderId="37" xfId="0" applyFont="1" applyBorder="1"/>
    <xf numFmtId="0" fontId="6" fillId="0" borderId="37" xfId="0" applyFont="1" applyBorder="1" applyAlignment="1">
      <alignment horizontal="left" wrapText="1"/>
    </xf>
    <xf numFmtId="0" fontId="0" fillId="0" borderId="37" xfId="0" applyBorder="1" applyAlignment="1">
      <alignment wrapText="1"/>
    </xf>
    <xf numFmtId="0" fontId="2" fillId="0" borderId="37" xfId="0" applyFont="1" applyBorder="1"/>
    <xf numFmtId="17" fontId="2" fillId="0" borderId="23" xfId="0" applyNumberFormat="1" applyFont="1" applyBorder="1" applyAlignment="1">
      <alignment wrapText="1"/>
    </xf>
    <xf numFmtId="0" fontId="6" fillId="0" borderId="37" xfId="0" applyFont="1" applyBorder="1" applyAlignment="1">
      <alignment horizontal="left"/>
    </xf>
    <xf numFmtId="0" fontId="6" fillId="0" borderId="37" xfId="0" applyFont="1" applyFill="1" applyBorder="1" applyAlignment="1">
      <alignment wrapText="1"/>
    </xf>
    <xf numFmtId="0" fontId="2" fillId="0" borderId="37" xfId="0" applyFont="1" applyBorder="1" applyAlignment="1">
      <alignment wrapText="1"/>
    </xf>
    <xf numFmtId="0" fontId="0" fillId="4" borderId="37" xfId="0" applyFill="1" applyBorder="1"/>
    <xf numFmtId="0" fontId="10" fillId="0" borderId="37" xfId="0" applyFont="1" applyFill="1" applyBorder="1" applyAlignment="1">
      <alignment wrapText="1"/>
    </xf>
    <xf numFmtId="0" fontId="14" fillId="0" borderId="23" xfId="0" applyFont="1" applyFill="1" applyBorder="1" applyAlignment="1">
      <alignment horizontal="center" wrapText="1"/>
    </xf>
    <xf numFmtId="164" fontId="0" fillId="0" borderId="37" xfId="0" applyNumberFormat="1" applyBorder="1" applyAlignment="1">
      <alignment wrapText="1"/>
    </xf>
    <xf numFmtId="0" fontId="0" fillId="0" borderId="37" xfId="0" applyBorder="1" applyAlignment="1"/>
    <xf numFmtId="17" fontId="2" fillId="0" borderId="23" xfId="0" applyNumberFormat="1" applyFont="1" applyBorder="1" applyAlignment="1"/>
    <xf numFmtId="17" fontId="5" fillId="0" borderId="23" xfId="0" applyNumberFormat="1" applyFont="1" applyBorder="1" applyAlignment="1"/>
    <xf numFmtId="17" fontId="0" fillId="0" borderId="23" xfId="0" applyNumberFormat="1" applyBorder="1"/>
    <xf numFmtId="0" fontId="6" fillId="4" borderId="37" xfId="0" applyFont="1" applyFill="1" applyBorder="1" applyAlignment="1">
      <alignment horizontal="left"/>
    </xf>
    <xf numFmtId="17" fontId="5" fillId="4" borderId="23" xfId="0" applyNumberFormat="1" applyFont="1" applyFill="1" applyBorder="1" applyAlignment="1"/>
    <xf numFmtId="0" fontId="13" fillId="0" borderId="37" xfId="0" applyFont="1" applyBorder="1" applyAlignment="1">
      <alignment horizontal="left" wrapText="1"/>
    </xf>
    <xf numFmtId="17" fontId="2" fillId="0" borderId="23" xfId="0" applyNumberFormat="1" applyFont="1" applyFill="1" applyBorder="1"/>
    <xf numFmtId="0" fontId="13" fillId="0" borderId="37" xfId="0" applyFont="1" applyBorder="1" applyAlignment="1">
      <alignment horizontal="left"/>
    </xf>
    <xf numFmtId="0" fontId="6" fillId="4" borderId="37" xfId="0" applyFont="1" applyFill="1" applyBorder="1" applyAlignment="1">
      <alignment wrapText="1"/>
    </xf>
    <xf numFmtId="0" fontId="5" fillId="0" borderId="39" xfId="0" applyFont="1" applyBorder="1"/>
    <xf numFmtId="0" fontId="3" fillId="0" borderId="4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38" xfId="0" applyFont="1" applyBorder="1" applyAlignment="1">
      <alignment horizontal="center" textRotation="90" wrapText="1"/>
    </xf>
    <xf numFmtId="0" fontId="0" fillId="0" borderId="40" xfId="0" applyBorder="1"/>
    <xf numFmtId="0" fontId="0" fillId="0" borderId="31" xfId="0" applyBorder="1"/>
    <xf numFmtId="0" fontId="1" fillId="0" borderId="23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41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164" fontId="2" fillId="0" borderId="42" xfId="0" applyNumberFormat="1" applyFont="1" applyBorder="1" applyAlignment="1">
      <alignment horizontal="left"/>
    </xf>
    <xf numFmtId="164" fontId="2" fillId="0" borderId="41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5</xdr:row>
      <xdr:rowOff>106680</xdr:rowOff>
    </xdr:from>
    <xdr:to>
      <xdr:col>17</xdr:col>
      <xdr:colOff>144780</xdr:colOff>
      <xdr:row>5</xdr:row>
      <xdr:rowOff>281940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7D9A04D-D2E7-B4E5-C6FB-6743420ED5FC}"/>
            </a:ext>
          </a:extLst>
        </xdr:cNvPr>
        <xdr:cNvSpPr>
          <a:spLocks noChangeShapeType="1"/>
        </xdr:cNvSpPr>
      </xdr:nvSpPr>
      <xdr:spPr bwMode="auto">
        <a:xfrm flipV="1">
          <a:off x="6827520" y="982980"/>
          <a:ext cx="22098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220980</xdr:colOff>
      <xdr:row>5</xdr:row>
      <xdr:rowOff>106680</xdr:rowOff>
    </xdr:from>
    <xdr:to>
      <xdr:col>16</xdr:col>
      <xdr:colOff>106680</xdr:colOff>
      <xdr:row>5</xdr:row>
      <xdr:rowOff>266700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A05E8DA4-4A36-A89D-1FD0-C5094FABA1B1}"/>
            </a:ext>
          </a:extLst>
        </xdr:cNvPr>
        <xdr:cNvSpPr>
          <a:spLocks noChangeShapeType="1"/>
        </xdr:cNvSpPr>
      </xdr:nvSpPr>
      <xdr:spPr bwMode="auto">
        <a:xfrm flipH="1" flipV="1">
          <a:off x="6515100" y="982980"/>
          <a:ext cx="2667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121920</xdr:colOff>
      <xdr:row>164</xdr:row>
      <xdr:rowOff>0</xdr:rowOff>
    </xdr:from>
    <xdr:to>
      <xdr:col>13</xdr:col>
      <xdr:colOff>167640</xdr:colOff>
      <xdr:row>164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E206C66-2F0E-F623-8BB4-046C541B0C3B}"/>
            </a:ext>
          </a:extLst>
        </xdr:cNvPr>
        <xdr:cNvSpPr>
          <a:spLocks noChangeShapeType="1"/>
        </xdr:cNvSpPr>
      </xdr:nvSpPr>
      <xdr:spPr bwMode="auto">
        <a:xfrm>
          <a:off x="580644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175260</xdr:colOff>
      <xdr:row>164</xdr:row>
      <xdr:rowOff>0</xdr:rowOff>
    </xdr:from>
    <xdr:to>
      <xdr:col>13</xdr:col>
      <xdr:colOff>251460</xdr:colOff>
      <xdr:row>164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88829193-FD33-317D-0408-FB22AAB52977}"/>
            </a:ext>
          </a:extLst>
        </xdr:cNvPr>
        <xdr:cNvSpPr>
          <a:spLocks noChangeShapeType="1"/>
        </xdr:cNvSpPr>
      </xdr:nvSpPr>
      <xdr:spPr bwMode="auto">
        <a:xfrm flipV="1">
          <a:off x="5859780" y="525399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121920</xdr:colOff>
      <xdr:row>164</xdr:row>
      <xdr:rowOff>0</xdr:rowOff>
    </xdr:from>
    <xdr:to>
      <xdr:col>26</xdr:col>
      <xdr:colOff>167640</xdr:colOff>
      <xdr:row>164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733E6DF2-CEFF-25B1-09F7-16881CA64867}"/>
            </a:ext>
          </a:extLst>
        </xdr:cNvPr>
        <xdr:cNvSpPr>
          <a:spLocks noChangeShapeType="1"/>
        </xdr:cNvSpPr>
      </xdr:nvSpPr>
      <xdr:spPr bwMode="auto">
        <a:xfrm>
          <a:off x="962406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175260</xdr:colOff>
      <xdr:row>164</xdr:row>
      <xdr:rowOff>0</xdr:rowOff>
    </xdr:from>
    <xdr:to>
      <xdr:col>26</xdr:col>
      <xdr:colOff>236220</xdr:colOff>
      <xdr:row>164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3706D5B8-9FA7-2D72-17D9-41B30AF362CF}"/>
            </a:ext>
          </a:extLst>
        </xdr:cNvPr>
        <xdr:cNvSpPr>
          <a:spLocks noChangeShapeType="1"/>
        </xdr:cNvSpPr>
      </xdr:nvSpPr>
      <xdr:spPr bwMode="auto">
        <a:xfrm flipV="1">
          <a:off x="9677400" y="52539900"/>
          <a:ext cx="60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164</xdr:row>
      <xdr:rowOff>0</xdr:rowOff>
    </xdr:from>
    <xdr:to>
      <xdr:col>9</xdr:col>
      <xdr:colOff>160020</xdr:colOff>
      <xdr:row>164</xdr:row>
      <xdr:rowOff>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5F30864D-F37D-C7D5-54E0-C5A20EE4154B}"/>
            </a:ext>
          </a:extLst>
        </xdr:cNvPr>
        <xdr:cNvSpPr>
          <a:spLocks noChangeShapeType="1"/>
        </xdr:cNvSpPr>
      </xdr:nvSpPr>
      <xdr:spPr bwMode="auto">
        <a:xfrm>
          <a:off x="435102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175260</xdr:colOff>
      <xdr:row>164</xdr:row>
      <xdr:rowOff>0</xdr:rowOff>
    </xdr:from>
    <xdr:to>
      <xdr:col>9</xdr:col>
      <xdr:colOff>251460</xdr:colOff>
      <xdr:row>164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A53E6A0B-236A-92A4-3063-7AEBB799FB4C}"/>
            </a:ext>
          </a:extLst>
        </xdr:cNvPr>
        <xdr:cNvSpPr>
          <a:spLocks noChangeShapeType="1"/>
        </xdr:cNvSpPr>
      </xdr:nvSpPr>
      <xdr:spPr bwMode="auto">
        <a:xfrm flipV="1">
          <a:off x="4411980" y="525399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121920</xdr:colOff>
      <xdr:row>164</xdr:row>
      <xdr:rowOff>0</xdr:rowOff>
    </xdr:from>
    <xdr:to>
      <xdr:col>29</xdr:col>
      <xdr:colOff>167640</xdr:colOff>
      <xdr:row>164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BA0D47E3-A443-1883-5F8B-C3C07FE9CA44}"/>
            </a:ext>
          </a:extLst>
        </xdr:cNvPr>
        <xdr:cNvSpPr>
          <a:spLocks noChangeShapeType="1"/>
        </xdr:cNvSpPr>
      </xdr:nvSpPr>
      <xdr:spPr bwMode="auto">
        <a:xfrm>
          <a:off x="1054608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175260</xdr:colOff>
      <xdr:row>164</xdr:row>
      <xdr:rowOff>0</xdr:rowOff>
    </xdr:from>
    <xdr:to>
      <xdr:col>30</xdr:col>
      <xdr:colOff>0</xdr:colOff>
      <xdr:row>164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5D6067D1-CB86-EDBF-797E-DB754E16EE6D}"/>
            </a:ext>
          </a:extLst>
        </xdr:cNvPr>
        <xdr:cNvSpPr>
          <a:spLocks noChangeShapeType="1"/>
        </xdr:cNvSpPr>
      </xdr:nvSpPr>
      <xdr:spPr bwMode="auto">
        <a:xfrm flipV="1">
          <a:off x="10599420" y="52539900"/>
          <a:ext cx="160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164</xdr:row>
      <xdr:rowOff>0</xdr:rowOff>
    </xdr:from>
    <xdr:to>
      <xdr:col>31</xdr:col>
      <xdr:colOff>160020</xdr:colOff>
      <xdr:row>164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B4A3D9EC-2E48-A49B-EE8F-056BD4CC4C6D}"/>
            </a:ext>
          </a:extLst>
        </xdr:cNvPr>
        <xdr:cNvSpPr>
          <a:spLocks noChangeShapeType="1"/>
        </xdr:cNvSpPr>
      </xdr:nvSpPr>
      <xdr:spPr bwMode="auto">
        <a:xfrm>
          <a:off x="1115568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175260</xdr:colOff>
      <xdr:row>164</xdr:row>
      <xdr:rowOff>0</xdr:rowOff>
    </xdr:from>
    <xdr:to>
      <xdr:col>31</xdr:col>
      <xdr:colOff>251460</xdr:colOff>
      <xdr:row>164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B8E869E-98AB-D46B-65BE-FD133F645BCF}"/>
            </a:ext>
          </a:extLst>
        </xdr:cNvPr>
        <xdr:cNvSpPr>
          <a:spLocks noChangeShapeType="1"/>
        </xdr:cNvSpPr>
      </xdr:nvSpPr>
      <xdr:spPr bwMode="auto">
        <a:xfrm flipV="1">
          <a:off x="11216640" y="525399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114300</xdr:colOff>
      <xdr:row>164</xdr:row>
      <xdr:rowOff>0</xdr:rowOff>
    </xdr:from>
    <xdr:to>
      <xdr:col>36</xdr:col>
      <xdr:colOff>160020</xdr:colOff>
      <xdr:row>164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ACF9CA03-22C1-60EE-490D-B3A890DDEA74}"/>
            </a:ext>
          </a:extLst>
        </xdr:cNvPr>
        <xdr:cNvSpPr>
          <a:spLocks noChangeShapeType="1"/>
        </xdr:cNvSpPr>
      </xdr:nvSpPr>
      <xdr:spPr bwMode="auto">
        <a:xfrm>
          <a:off x="12816840" y="5253990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175260</xdr:colOff>
      <xdr:row>164</xdr:row>
      <xdr:rowOff>0</xdr:rowOff>
    </xdr:from>
    <xdr:to>
      <xdr:col>36</xdr:col>
      <xdr:colOff>251460</xdr:colOff>
      <xdr:row>164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ADBB4650-992F-9192-00D2-9377735D9BAF}"/>
            </a:ext>
          </a:extLst>
        </xdr:cNvPr>
        <xdr:cNvSpPr>
          <a:spLocks noChangeShapeType="1"/>
        </xdr:cNvSpPr>
      </xdr:nvSpPr>
      <xdr:spPr bwMode="auto">
        <a:xfrm flipV="1">
          <a:off x="12877800" y="525399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121920</xdr:colOff>
      <xdr:row>68</xdr:row>
      <xdr:rowOff>0</xdr:rowOff>
    </xdr:from>
    <xdr:to>
      <xdr:col>26</xdr:col>
      <xdr:colOff>167640</xdr:colOff>
      <xdr:row>68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F872954F-301F-51B8-F4A2-F37C7579D7DC}"/>
            </a:ext>
          </a:extLst>
        </xdr:cNvPr>
        <xdr:cNvSpPr>
          <a:spLocks noChangeShapeType="1"/>
        </xdr:cNvSpPr>
      </xdr:nvSpPr>
      <xdr:spPr bwMode="auto">
        <a:xfrm>
          <a:off x="9624060" y="2126742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175260</xdr:colOff>
      <xdr:row>68</xdr:row>
      <xdr:rowOff>0</xdr:rowOff>
    </xdr:from>
    <xdr:to>
      <xdr:col>26</xdr:col>
      <xdr:colOff>236220</xdr:colOff>
      <xdr:row>68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D0CC7C78-8515-635B-6D22-961F3BF0FC11}"/>
            </a:ext>
          </a:extLst>
        </xdr:cNvPr>
        <xdr:cNvSpPr>
          <a:spLocks noChangeShapeType="1"/>
        </xdr:cNvSpPr>
      </xdr:nvSpPr>
      <xdr:spPr bwMode="auto">
        <a:xfrm flipV="1">
          <a:off x="9677400" y="21267420"/>
          <a:ext cx="60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121920</xdr:colOff>
      <xdr:row>68</xdr:row>
      <xdr:rowOff>0</xdr:rowOff>
    </xdr:from>
    <xdr:to>
      <xdr:col>29</xdr:col>
      <xdr:colOff>167640</xdr:colOff>
      <xdr:row>68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8159C6F6-6BDC-A6BB-3AFB-81C4A3E8DCF5}"/>
            </a:ext>
          </a:extLst>
        </xdr:cNvPr>
        <xdr:cNvSpPr>
          <a:spLocks noChangeShapeType="1"/>
        </xdr:cNvSpPr>
      </xdr:nvSpPr>
      <xdr:spPr bwMode="auto">
        <a:xfrm>
          <a:off x="10546080" y="2126742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175260</xdr:colOff>
      <xdr:row>68</xdr:row>
      <xdr:rowOff>0</xdr:rowOff>
    </xdr:from>
    <xdr:to>
      <xdr:col>30</xdr:col>
      <xdr:colOff>0</xdr:colOff>
      <xdr:row>68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D605F08D-4327-88F6-E110-F2962C54EC65}"/>
            </a:ext>
          </a:extLst>
        </xdr:cNvPr>
        <xdr:cNvSpPr>
          <a:spLocks noChangeShapeType="1"/>
        </xdr:cNvSpPr>
      </xdr:nvSpPr>
      <xdr:spPr bwMode="auto">
        <a:xfrm flipV="1">
          <a:off x="10599420" y="21267420"/>
          <a:ext cx="160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68</xdr:row>
      <xdr:rowOff>0</xdr:rowOff>
    </xdr:from>
    <xdr:to>
      <xdr:col>31</xdr:col>
      <xdr:colOff>160020</xdr:colOff>
      <xdr:row>68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12020D9A-9CE3-D3F6-DFD7-2C8D00EC95B7}"/>
            </a:ext>
          </a:extLst>
        </xdr:cNvPr>
        <xdr:cNvSpPr>
          <a:spLocks noChangeShapeType="1"/>
        </xdr:cNvSpPr>
      </xdr:nvSpPr>
      <xdr:spPr bwMode="auto">
        <a:xfrm>
          <a:off x="11155680" y="2126742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175260</xdr:colOff>
      <xdr:row>68</xdr:row>
      <xdr:rowOff>0</xdr:rowOff>
    </xdr:from>
    <xdr:to>
      <xdr:col>31</xdr:col>
      <xdr:colOff>251460</xdr:colOff>
      <xdr:row>68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416D2D65-AF4D-17B7-9DA5-A4D38FD79048}"/>
            </a:ext>
          </a:extLst>
        </xdr:cNvPr>
        <xdr:cNvSpPr>
          <a:spLocks noChangeShapeType="1"/>
        </xdr:cNvSpPr>
      </xdr:nvSpPr>
      <xdr:spPr bwMode="auto">
        <a:xfrm flipV="1">
          <a:off x="11216640" y="2126742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114300</xdr:colOff>
      <xdr:row>68</xdr:row>
      <xdr:rowOff>0</xdr:rowOff>
    </xdr:from>
    <xdr:to>
      <xdr:col>36</xdr:col>
      <xdr:colOff>160020</xdr:colOff>
      <xdr:row>68</xdr:row>
      <xdr:rowOff>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1FB1699E-B0E0-6D06-FD7C-4EB1DBABB349}"/>
            </a:ext>
          </a:extLst>
        </xdr:cNvPr>
        <xdr:cNvSpPr>
          <a:spLocks noChangeShapeType="1"/>
        </xdr:cNvSpPr>
      </xdr:nvSpPr>
      <xdr:spPr bwMode="auto">
        <a:xfrm>
          <a:off x="12816840" y="2126742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175260</xdr:colOff>
      <xdr:row>68</xdr:row>
      <xdr:rowOff>0</xdr:rowOff>
    </xdr:from>
    <xdr:to>
      <xdr:col>36</xdr:col>
      <xdr:colOff>251460</xdr:colOff>
      <xdr:row>68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D06A03DA-4035-81D3-42BF-C846FA4C9531}"/>
            </a:ext>
          </a:extLst>
        </xdr:cNvPr>
        <xdr:cNvSpPr>
          <a:spLocks noChangeShapeType="1"/>
        </xdr:cNvSpPr>
      </xdr:nvSpPr>
      <xdr:spPr bwMode="auto">
        <a:xfrm flipV="1">
          <a:off x="12877800" y="2126742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8</xdr:row>
      <xdr:rowOff>0</xdr:rowOff>
    </xdr:from>
    <xdr:to>
      <xdr:col>9</xdr:col>
      <xdr:colOff>160020</xdr:colOff>
      <xdr:row>8</xdr:row>
      <xdr:rowOff>0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C52896DD-C8C9-220D-1B6B-09F78D0FFCEE}"/>
            </a:ext>
          </a:extLst>
        </xdr:cNvPr>
        <xdr:cNvSpPr>
          <a:spLocks noChangeShapeType="1"/>
        </xdr:cNvSpPr>
      </xdr:nvSpPr>
      <xdr:spPr bwMode="auto">
        <a:xfrm>
          <a:off x="435102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175260</xdr:colOff>
      <xdr:row>8</xdr:row>
      <xdr:rowOff>0</xdr:rowOff>
    </xdr:from>
    <xdr:to>
      <xdr:col>9</xdr:col>
      <xdr:colOff>251460</xdr:colOff>
      <xdr:row>8</xdr:row>
      <xdr:rowOff>0</xdr:rowOff>
    </xdr:to>
    <xdr:sp macro="" textlink="">
      <xdr:nvSpPr>
        <xdr:cNvPr id="1053" name="Line 29">
          <a:extLst>
            <a:ext uri="{FF2B5EF4-FFF2-40B4-BE49-F238E27FC236}">
              <a16:creationId xmlns:a16="http://schemas.microsoft.com/office/drawing/2014/main" id="{EDBABEBA-5FD1-BB07-62BA-09B4B6E8AAB7}"/>
            </a:ext>
          </a:extLst>
        </xdr:cNvPr>
        <xdr:cNvSpPr>
          <a:spLocks noChangeShapeType="1"/>
        </xdr:cNvSpPr>
      </xdr:nvSpPr>
      <xdr:spPr bwMode="auto">
        <a:xfrm flipV="1">
          <a:off x="441198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121920</xdr:colOff>
      <xdr:row>8</xdr:row>
      <xdr:rowOff>0</xdr:rowOff>
    </xdr:from>
    <xdr:to>
      <xdr:col>29</xdr:col>
      <xdr:colOff>167640</xdr:colOff>
      <xdr:row>8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4ECFC6BE-99C9-6975-39F1-0D72B0D18460}"/>
            </a:ext>
          </a:extLst>
        </xdr:cNvPr>
        <xdr:cNvSpPr>
          <a:spLocks noChangeShapeType="1"/>
        </xdr:cNvSpPr>
      </xdr:nvSpPr>
      <xdr:spPr bwMode="auto">
        <a:xfrm>
          <a:off x="1054608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175260</xdr:colOff>
      <xdr:row>8</xdr:row>
      <xdr:rowOff>0</xdr:rowOff>
    </xdr:from>
    <xdr:to>
      <xdr:col>29</xdr:col>
      <xdr:colOff>251460</xdr:colOff>
      <xdr:row>8</xdr:row>
      <xdr:rowOff>0</xdr:rowOff>
    </xdr:to>
    <xdr:sp macro="" textlink="">
      <xdr:nvSpPr>
        <xdr:cNvPr id="1057" name="Line 33">
          <a:extLst>
            <a:ext uri="{FF2B5EF4-FFF2-40B4-BE49-F238E27FC236}">
              <a16:creationId xmlns:a16="http://schemas.microsoft.com/office/drawing/2014/main" id="{CCED5D7E-946D-DB55-6521-FF640C38E11A}"/>
            </a:ext>
          </a:extLst>
        </xdr:cNvPr>
        <xdr:cNvSpPr>
          <a:spLocks noChangeShapeType="1"/>
        </xdr:cNvSpPr>
      </xdr:nvSpPr>
      <xdr:spPr bwMode="auto">
        <a:xfrm flipV="1">
          <a:off x="1059942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114300</xdr:colOff>
      <xdr:row>8</xdr:row>
      <xdr:rowOff>0</xdr:rowOff>
    </xdr:from>
    <xdr:to>
      <xdr:col>30</xdr:col>
      <xdr:colOff>160020</xdr:colOff>
      <xdr:row>8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387630F0-5F37-C4B7-19B2-DE5D82FFF7F4}"/>
            </a:ext>
          </a:extLst>
        </xdr:cNvPr>
        <xdr:cNvSpPr>
          <a:spLocks noChangeShapeType="1"/>
        </xdr:cNvSpPr>
      </xdr:nvSpPr>
      <xdr:spPr bwMode="auto">
        <a:xfrm>
          <a:off x="1087374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175260</xdr:colOff>
      <xdr:row>8</xdr:row>
      <xdr:rowOff>0</xdr:rowOff>
    </xdr:from>
    <xdr:to>
      <xdr:col>30</xdr:col>
      <xdr:colOff>251460</xdr:colOff>
      <xdr:row>8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6BACC57C-490D-03C2-3FB9-DF48C3E8B762}"/>
            </a:ext>
          </a:extLst>
        </xdr:cNvPr>
        <xdr:cNvSpPr>
          <a:spLocks noChangeShapeType="1"/>
        </xdr:cNvSpPr>
      </xdr:nvSpPr>
      <xdr:spPr bwMode="auto">
        <a:xfrm flipV="1">
          <a:off x="1093470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114300</xdr:colOff>
      <xdr:row>8</xdr:row>
      <xdr:rowOff>0</xdr:rowOff>
    </xdr:from>
    <xdr:to>
      <xdr:col>35</xdr:col>
      <xdr:colOff>160020</xdr:colOff>
      <xdr:row>8</xdr:row>
      <xdr:rowOff>0</xdr:rowOff>
    </xdr:to>
    <xdr:sp macro="" textlink="">
      <xdr:nvSpPr>
        <xdr:cNvPr id="1060" name="Line 36">
          <a:extLst>
            <a:ext uri="{FF2B5EF4-FFF2-40B4-BE49-F238E27FC236}">
              <a16:creationId xmlns:a16="http://schemas.microsoft.com/office/drawing/2014/main" id="{B0CB46B1-607C-FCC9-8B89-13F1BDE2F791}"/>
            </a:ext>
          </a:extLst>
        </xdr:cNvPr>
        <xdr:cNvSpPr>
          <a:spLocks noChangeShapeType="1"/>
        </xdr:cNvSpPr>
      </xdr:nvSpPr>
      <xdr:spPr bwMode="auto">
        <a:xfrm>
          <a:off x="1243584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175260</xdr:colOff>
      <xdr:row>8</xdr:row>
      <xdr:rowOff>0</xdr:rowOff>
    </xdr:from>
    <xdr:to>
      <xdr:col>35</xdr:col>
      <xdr:colOff>251460</xdr:colOff>
      <xdr:row>8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4C188E96-E17F-6673-1A0C-7157A9D7964F}"/>
            </a:ext>
          </a:extLst>
        </xdr:cNvPr>
        <xdr:cNvSpPr>
          <a:spLocks noChangeShapeType="1"/>
        </xdr:cNvSpPr>
      </xdr:nvSpPr>
      <xdr:spPr bwMode="auto">
        <a:xfrm flipV="1">
          <a:off x="1249680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114300</xdr:colOff>
      <xdr:row>8</xdr:row>
      <xdr:rowOff>0</xdr:rowOff>
    </xdr:from>
    <xdr:to>
      <xdr:col>36</xdr:col>
      <xdr:colOff>160020</xdr:colOff>
      <xdr:row>8</xdr:row>
      <xdr:rowOff>0</xdr:rowOff>
    </xdr:to>
    <xdr:sp macro="" textlink="">
      <xdr:nvSpPr>
        <xdr:cNvPr id="1062" name="Line 38">
          <a:extLst>
            <a:ext uri="{FF2B5EF4-FFF2-40B4-BE49-F238E27FC236}">
              <a16:creationId xmlns:a16="http://schemas.microsoft.com/office/drawing/2014/main" id="{BFC11618-9146-0C22-B0F0-3EB92B1053C5}"/>
            </a:ext>
          </a:extLst>
        </xdr:cNvPr>
        <xdr:cNvSpPr>
          <a:spLocks noChangeShapeType="1"/>
        </xdr:cNvSpPr>
      </xdr:nvSpPr>
      <xdr:spPr bwMode="auto">
        <a:xfrm>
          <a:off x="1281684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175260</xdr:colOff>
      <xdr:row>8</xdr:row>
      <xdr:rowOff>0</xdr:rowOff>
    </xdr:from>
    <xdr:to>
      <xdr:col>36</xdr:col>
      <xdr:colOff>251460</xdr:colOff>
      <xdr:row>8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FB1A7447-3E74-1ACC-AEA0-5B067BB40068}"/>
            </a:ext>
          </a:extLst>
        </xdr:cNvPr>
        <xdr:cNvSpPr>
          <a:spLocks noChangeShapeType="1"/>
        </xdr:cNvSpPr>
      </xdr:nvSpPr>
      <xdr:spPr bwMode="auto">
        <a:xfrm flipV="1">
          <a:off x="1287780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114300</xdr:colOff>
      <xdr:row>8</xdr:row>
      <xdr:rowOff>0</xdr:rowOff>
    </xdr:from>
    <xdr:to>
      <xdr:col>37</xdr:col>
      <xdr:colOff>160020</xdr:colOff>
      <xdr:row>8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618FAE25-EC90-4110-9513-3DB5DD48D583}"/>
            </a:ext>
          </a:extLst>
        </xdr:cNvPr>
        <xdr:cNvSpPr>
          <a:spLocks noChangeShapeType="1"/>
        </xdr:cNvSpPr>
      </xdr:nvSpPr>
      <xdr:spPr bwMode="auto">
        <a:xfrm>
          <a:off x="1309116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175260</xdr:colOff>
      <xdr:row>8</xdr:row>
      <xdr:rowOff>0</xdr:rowOff>
    </xdr:from>
    <xdr:to>
      <xdr:col>37</xdr:col>
      <xdr:colOff>251460</xdr:colOff>
      <xdr:row>8</xdr:row>
      <xdr:rowOff>0</xdr:rowOff>
    </xdr:to>
    <xdr:sp macro="" textlink="">
      <xdr:nvSpPr>
        <xdr:cNvPr id="1065" name="Line 41">
          <a:extLst>
            <a:ext uri="{FF2B5EF4-FFF2-40B4-BE49-F238E27FC236}">
              <a16:creationId xmlns:a16="http://schemas.microsoft.com/office/drawing/2014/main" id="{6B8D55B0-7238-1816-5FED-4146320691B2}"/>
            </a:ext>
          </a:extLst>
        </xdr:cNvPr>
        <xdr:cNvSpPr>
          <a:spLocks noChangeShapeType="1"/>
        </xdr:cNvSpPr>
      </xdr:nvSpPr>
      <xdr:spPr bwMode="auto">
        <a:xfrm flipV="1">
          <a:off x="1315212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114300</xdr:colOff>
      <xdr:row>8</xdr:row>
      <xdr:rowOff>0</xdr:rowOff>
    </xdr:from>
    <xdr:to>
      <xdr:col>27</xdr:col>
      <xdr:colOff>160020</xdr:colOff>
      <xdr:row>8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B432D590-3AA0-DB52-0A31-662A3F0E5C81}"/>
            </a:ext>
          </a:extLst>
        </xdr:cNvPr>
        <xdr:cNvSpPr>
          <a:spLocks noChangeShapeType="1"/>
        </xdr:cNvSpPr>
      </xdr:nvSpPr>
      <xdr:spPr bwMode="auto">
        <a:xfrm>
          <a:off x="9852660" y="2583180"/>
          <a:ext cx="4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175260</xdr:colOff>
      <xdr:row>8</xdr:row>
      <xdr:rowOff>0</xdr:rowOff>
    </xdr:from>
    <xdr:to>
      <xdr:col>27</xdr:col>
      <xdr:colOff>251460</xdr:colOff>
      <xdr:row>8</xdr:row>
      <xdr:rowOff>0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1FF8E377-9835-4C03-CBF5-4D7EFE45DEE7}"/>
            </a:ext>
          </a:extLst>
        </xdr:cNvPr>
        <xdr:cNvSpPr>
          <a:spLocks noChangeShapeType="1"/>
        </xdr:cNvSpPr>
      </xdr:nvSpPr>
      <xdr:spPr bwMode="auto">
        <a:xfrm flipV="1">
          <a:off x="9913620" y="258318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1"/>
  <sheetViews>
    <sheetView tabSelected="1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E1" sqref="E1"/>
    </sheetView>
  </sheetViews>
  <sheetFormatPr defaultRowHeight="13.2" x14ac:dyDescent="0.25"/>
  <cols>
    <col min="1" max="1" width="4.33203125" customWidth="1"/>
    <col min="2" max="2" width="2.6640625" customWidth="1"/>
    <col min="3" max="3" width="2.109375" customWidth="1"/>
    <col min="4" max="4" width="19.6640625" style="70" customWidth="1"/>
    <col min="5" max="5" width="8.44140625" style="47" customWidth="1"/>
    <col min="6" max="6" width="5.109375" style="142" customWidth="1"/>
    <col min="7" max="7" width="5.109375" style="135" customWidth="1"/>
    <col min="8" max="8" width="7" style="47" customWidth="1"/>
    <col min="9" max="9" width="7.33203125" style="47" customWidth="1"/>
    <col min="10" max="10" width="7.6640625" customWidth="1"/>
    <col min="11" max="11" width="4.33203125" customWidth="1"/>
    <col min="12" max="12" width="5.5546875" customWidth="1"/>
    <col min="13" max="13" width="3.5546875" customWidth="1"/>
    <col min="14" max="14" width="4.88671875" customWidth="1"/>
    <col min="15" max="15" width="4" customWidth="1"/>
    <col min="16" max="16" width="5.5546875" customWidth="1"/>
    <col min="17" max="17" width="3.33203125" customWidth="1"/>
    <col min="18" max="18" width="7.109375" customWidth="1"/>
    <col min="19" max="19" width="3.44140625" customWidth="1"/>
    <col min="20" max="20" width="4" customWidth="1"/>
    <col min="21" max="21" width="3.6640625" customWidth="1"/>
    <col min="22" max="22" width="4.44140625" customWidth="1"/>
    <col min="23" max="23" width="3.5546875" customWidth="1"/>
    <col min="24" max="24" width="4.6640625" customWidth="1"/>
    <col min="25" max="25" width="3.33203125" customWidth="1"/>
    <col min="26" max="26" width="3.6640625" customWidth="1"/>
    <col min="27" max="27" width="3.44140625" customWidth="1"/>
    <col min="28" max="29" width="5" customWidth="1"/>
    <col min="30" max="30" width="4.88671875" style="57" customWidth="1"/>
    <col min="31" max="31" width="4.109375" customWidth="1"/>
    <col min="32" max="33" width="5" customWidth="1"/>
    <col min="34" max="34" width="5.33203125" customWidth="1"/>
    <col min="35" max="35" width="3.33203125" customWidth="1"/>
    <col min="36" max="36" width="5.5546875" customWidth="1"/>
    <col min="37" max="37" width="4" customWidth="1"/>
    <col min="38" max="38" width="6" customWidth="1"/>
    <col min="39" max="39" width="4.44140625" customWidth="1"/>
    <col min="40" max="40" width="4.109375" customWidth="1"/>
    <col min="41" max="41" width="6.33203125" customWidth="1"/>
    <col min="42" max="42" width="5.44140625" customWidth="1"/>
    <col min="43" max="43" width="4" customWidth="1"/>
    <col min="44" max="44" width="22.109375" customWidth="1"/>
    <col min="45" max="45" width="6.44140625" customWidth="1"/>
  </cols>
  <sheetData>
    <row r="1" spans="1:45" ht="15.6" x14ac:dyDescent="0.3">
      <c r="A1" s="3" t="s">
        <v>25</v>
      </c>
      <c r="B1" s="3"/>
    </row>
    <row r="2" spans="1:45" ht="13.8" thickBot="1" x14ac:dyDescent="0.3"/>
    <row r="3" spans="1:45" s="2" customFormat="1" ht="14.4" thickTop="1" x14ac:dyDescent="0.25">
      <c r="A3" s="248" t="s">
        <v>30</v>
      </c>
      <c r="B3" s="249"/>
      <c r="C3" s="249"/>
      <c r="D3" s="249"/>
      <c r="E3" s="249"/>
      <c r="F3" s="249"/>
      <c r="G3" s="249"/>
      <c r="H3" s="249"/>
      <c r="I3" s="250"/>
      <c r="J3" s="257" t="s">
        <v>2</v>
      </c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38"/>
      <c r="AD3" s="245" t="s">
        <v>84</v>
      </c>
      <c r="AE3" s="246"/>
      <c r="AF3" s="246"/>
      <c r="AG3" s="246"/>
      <c r="AH3" s="246"/>
      <c r="AI3" s="246"/>
      <c r="AJ3" s="246"/>
      <c r="AK3" s="246"/>
      <c r="AL3" s="247"/>
      <c r="AM3" s="237" t="s">
        <v>17</v>
      </c>
      <c r="AN3" s="237"/>
      <c r="AO3" s="237"/>
      <c r="AP3" s="237"/>
      <c r="AQ3" s="237"/>
      <c r="AR3" s="166" t="s">
        <v>293</v>
      </c>
      <c r="AS3" s="4"/>
    </row>
    <row r="4" spans="1:45" s="1" customFormat="1" ht="12.6" customHeight="1" x14ac:dyDescent="0.25">
      <c r="A4" s="8"/>
      <c r="B4" s="9"/>
      <c r="C4" s="9"/>
      <c r="D4" s="71"/>
      <c r="E4" s="48"/>
      <c r="F4" s="143"/>
      <c r="G4" s="48"/>
      <c r="H4" s="48"/>
      <c r="I4" s="51"/>
      <c r="J4" s="244" t="s">
        <v>3</v>
      </c>
      <c r="K4" s="244"/>
      <c r="L4" s="244"/>
      <c r="M4" s="244"/>
      <c r="N4" s="244"/>
      <c r="O4" s="251" t="s">
        <v>8</v>
      </c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3"/>
      <c r="AA4" s="254" t="s">
        <v>31</v>
      </c>
      <c r="AB4" s="255"/>
      <c r="AC4" s="256"/>
      <c r="AD4" s="58"/>
      <c r="AE4" s="9"/>
      <c r="AF4" s="9"/>
      <c r="AG4" s="9"/>
      <c r="AH4" s="9"/>
      <c r="AI4" s="9"/>
      <c r="AJ4" s="9"/>
      <c r="AK4" s="9"/>
      <c r="AL4" s="10"/>
      <c r="AM4" s="17"/>
      <c r="AN4" s="9"/>
      <c r="AO4" s="9"/>
      <c r="AP4" s="9"/>
      <c r="AQ4" s="10"/>
      <c r="AR4" s="9"/>
      <c r="AS4" s="5"/>
    </row>
    <row r="5" spans="1:45" s="1" customFormat="1" ht="12.6" customHeight="1" x14ac:dyDescent="0.25">
      <c r="A5" s="11"/>
      <c r="B5" s="12"/>
      <c r="C5" s="12"/>
      <c r="D5" s="72"/>
      <c r="E5" s="49"/>
      <c r="F5" s="144"/>
      <c r="G5" s="49"/>
      <c r="H5" s="49"/>
      <c r="I5" s="50"/>
      <c r="J5" s="14"/>
      <c r="K5" s="15"/>
      <c r="L5" s="15"/>
      <c r="M5" s="15"/>
      <c r="N5" s="16"/>
      <c r="O5" s="238" t="s">
        <v>27</v>
      </c>
      <c r="P5" s="239"/>
      <c r="Q5" s="240"/>
      <c r="R5" s="251" t="s">
        <v>28</v>
      </c>
      <c r="S5" s="252"/>
      <c r="T5" s="252"/>
      <c r="U5" s="252"/>
      <c r="V5" s="253"/>
      <c r="W5" s="238" t="s">
        <v>29</v>
      </c>
      <c r="X5" s="240"/>
      <c r="Y5" s="27"/>
      <c r="Z5" s="26"/>
      <c r="AA5" s="18"/>
      <c r="AB5" s="12"/>
      <c r="AC5" s="13"/>
      <c r="AD5" s="59"/>
      <c r="AE5" s="12"/>
      <c r="AF5" s="12"/>
      <c r="AG5" s="12"/>
      <c r="AH5" s="12"/>
      <c r="AI5" s="12"/>
      <c r="AJ5" s="12"/>
      <c r="AK5" s="12"/>
      <c r="AL5" s="13"/>
      <c r="AM5" s="18"/>
      <c r="AN5" s="12"/>
      <c r="AO5" s="12"/>
      <c r="AP5" s="12"/>
      <c r="AQ5" s="13"/>
      <c r="AR5" s="12"/>
      <c r="AS5" s="5"/>
    </row>
    <row r="6" spans="1:45" s="24" customFormat="1" ht="108" customHeight="1" thickBot="1" x14ac:dyDescent="0.3">
      <c r="A6" s="21"/>
      <c r="B6" s="241" t="s">
        <v>32</v>
      </c>
      <c r="C6" s="242"/>
      <c r="D6" s="243"/>
      <c r="E6" s="69" t="s">
        <v>126</v>
      </c>
      <c r="F6" s="62" t="s">
        <v>39</v>
      </c>
      <c r="G6" s="22" t="s">
        <v>40</v>
      </c>
      <c r="H6" s="22" t="s">
        <v>0</v>
      </c>
      <c r="I6" s="22" t="s">
        <v>1</v>
      </c>
      <c r="J6" s="22" t="s">
        <v>34</v>
      </c>
      <c r="K6" s="22" t="s">
        <v>4</v>
      </c>
      <c r="L6" s="22" t="s">
        <v>5</v>
      </c>
      <c r="M6" s="22" t="s">
        <v>6</v>
      </c>
      <c r="N6" s="22" t="s">
        <v>7</v>
      </c>
      <c r="O6" s="22" t="s">
        <v>9</v>
      </c>
      <c r="P6" s="22" t="s">
        <v>10</v>
      </c>
      <c r="Q6" s="22" t="s">
        <v>307</v>
      </c>
      <c r="R6" s="22" t="s">
        <v>41</v>
      </c>
      <c r="S6" s="22" t="s">
        <v>42</v>
      </c>
      <c r="T6" s="22" t="s">
        <v>43</v>
      </c>
      <c r="U6" s="22" t="s">
        <v>44</v>
      </c>
      <c r="V6" s="22" t="s">
        <v>16</v>
      </c>
      <c r="W6" s="22" t="s">
        <v>12</v>
      </c>
      <c r="X6" s="22" t="s">
        <v>11</v>
      </c>
      <c r="Y6" s="22" t="s">
        <v>13</v>
      </c>
      <c r="Z6" s="22" t="s">
        <v>14</v>
      </c>
      <c r="AA6" s="22" t="s">
        <v>15</v>
      </c>
      <c r="AB6" s="22" t="s">
        <v>80</v>
      </c>
      <c r="AC6" s="22" t="s">
        <v>83</v>
      </c>
      <c r="AD6" s="22" t="s">
        <v>85</v>
      </c>
      <c r="AE6" s="22" t="s">
        <v>22</v>
      </c>
      <c r="AF6" s="22" t="s">
        <v>38</v>
      </c>
      <c r="AG6" s="22" t="s">
        <v>45</v>
      </c>
      <c r="AH6" s="22" t="s">
        <v>23</v>
      </c>
      <c r="AI6" s="22" t="s">
        <v>24</v>
      </c>
      <c r="AJ6" s="22" t="s">
        <v>81</v>
      </c>
      <c r="AK6" s="22" t="s">
        <v>26</v>
      </c>
      <c r="AL6" s="22" t="s">
        <v>98</v>
      </c>
      <c r="AM6" s="22" t="s">
        <v>18</v>
      </c>
      <c r="AN6" s="22" t="s">
        <v>19</v>
      </c>
      <c r="AO6" s="22" t="s">
        <v>20</v>
      </c>
      <c r="AP6" s="22" t="s">
        <v>212</v>
      </c>
      <c r="AQ6" s="22" t="s">
        <v>21</v>
      </c>
      <c r="AR6" s="172" t="s">
        <v>294</v>
      </c>
      <c r="AS6" s="23"/>
    </row>
    <row r="7" spans="1:45" x14ac:dyDescent="0.25">
      <c r="A7" s="42"/>
      <c r="B7" s="28"/>
      <c r="C7" s="37"/>
      <c r="D7" s="88"/>
      <c r="E7" s="95"/>
      <c r="F7" s="145"/>
      <c r="G7" s="136"/>
      <c r="H7" s="96"/>
      <c r="I7" s="96"/>
      <c r="J7" s="19"/>
      <c r="K7" s="19"/>
      <c r="L7" s="2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56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35"/>
      <c r="AS7" s="20"/>
    </row>
    <row r="8" spans="1:45" s="1" customFormat="1" x14ac:dyDescent="0.25">
      <c r="A8" s="43"/>
      <c r="B8" s="18" t="s">
        <v>36</v>
      </c>
      <c r="C8" s="12"/>
      <c r="D8" s="91"/>
      <c r="E8" s="50"/>
      <c r="F8" s="146"/>
      <c r="G8" s="52"/>
      <c r="H8" s="52"/>
      <c r="I8" s="52"/>
      <c r="J8" s="26"/>
      <c r="K8" s="26"/>
      <c r="L8" s="36"/>
      <c r="M8" s="31"/>
      <c r="N8" s="31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60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18"/>
      <c r="AS8" s="39"/>
    </row>
    <row r="9" spans="1:45" x14ac:dyDescent="0.25">
      <c r="A9" s="45"/>
      <c r="B9" s="29"/>
      <c r="C9" s="33" t="s">
        <v>46</v>
      </c>
      <c r="D9" s="89"/>
      <c r="E9" s="167"/>
      <c r="F9" s="147"/>
      <c r="G9" s="137"/>
      <c r="H9" s="54"/>
      <c r="I9" s="54"/>
      <c r="J9" s="26"/>
      <c r="K9" s="19"/>
      <c r="L9" s="36"/>
      <c r="M9" s="108"/>
      <c r="N9" s="108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6"/>
      <c r="AC9" s="26"/>
      <c r="AD9" s="60"/>
      <c r="AE9" s="26"/>
      <c r="AF9" s="19"/>
      <c r="AG9" s="19"/>
      <c r="AH9" s="19"/>
      <c r="AI9" s="19"/>
      <c r="AJ9" s="26"/>
      <c r="AK9" s="26"/>
      <c r="AL9" s="26"/>
      <c r="AM9" s="19"/>
      <c r="AN9" s="19"/>
      <c r="AO9" s="19"/>
      <c r="AP9" s="19"/>
      <c r="AQ9" s="19"/>
      <c r="AR9" s="35"/>
      <c r="AS9" s="20"/>
    </row>
    <row r="10" spans="1:45" ht="26.4" x14ac:dyDescent="0.25">
      <c r="A10" s="42">
        <v>1</v>
      </c>
      <c r="B10" s="35"/>
      <c r="C10" s="32"/>
      <c r="D10" s="92" t="str">
        <f>HYPERLINK("http://www4.worldbank.org/sprojects/Project.asp?pid=P045644","Post Conflict Social Recovery Project")</f>
        <v>Post Conflict Social Recovery Project</v>
      </c>
      <c r="E10" s="210" t="s">
        <v>209</v>
      </c>
      <c r="F10" s="147">
        <v>5</v>
      </c>
      <c r="G10" s="137" t="s">
        <v>77</v>
      </c>
      <c r="H10" s="54">
        <v>35900</v>
      </c>
      <c r="I10" s="54">
        <v>36951</v>
      </c>
      <c r="J10" s="26"/>
      <c r="K10" s="26"/>
      <c r="L10" s="36"/>
      <c r="M10" s="31"/>
      <c r="N10" s="31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02" t="s">
        <v>82</v>
      </c>
      <c r="AB10" s="26"/>
      <c r="AC10" s="102" t="s">
        <v>87</v>
      </c>
      <c r="AD10" s="104" t="s">
        <v>92</v>
      </c>
      <c r="AE10" s="102" t="s">
        <v>82</v>
      </c>
      <c r="AF10" s="102" t="s">
        <v>82</v>
      </c>
      <c r="AG10" s="102" t="s">
        <v>82</v>
      </c>
      <c r="AH10" s="26"/>
      <c r="AI10" s="26"/>
      <c r="AJ10" s="102" t="s">
        <v>82</v>
      </c>
      <c r="AK10" s="102" t="s">
        <v>82</v>
      </c>
      <c r="AL10" s="26"/>
      <c r="AM10" s="26"/>
      <c r="AN10" s="102" t="s">
        <v>82</v>
      </c>
      <c r="AO10" s="26"/>
      <c r="AP10" s="26"/>
      <c r="AQ10" s="26"/>
      <c r="AR10" s="18" t="s">
        <v>295</v>
      </c>
      <c r="AS10" s="20"/>
    </row>
    <row r="11" spans="1:45" ht="26.4" x14ac:dyDescent="0.25">
      <c r="A11" s="42">
        <v>2</v>
      </c>
      <c r="B11" s="35"/>
      <c r="C11" s="33"/>
      <c r="D11" s="92" t="str">
        <f>HYPERLINK("http://www4.worldbank.org/sprojects/Project.asp?pid=P056393","Social Action Fund Project (02)")</f>
        <v>Social Action Fund Project (02)</v>
      </c>
      <c r="E11" s="211" t="s">
        <v>127</v>
      </c>
      <c r="F11" s="147">
        <v>33</v>
      </c>
      <c r="G11" s="137" t="s">
        <v>77</v>
      </c>
      <c r="H11" s="54">
        <v>36586</v>
      </c>
      <c r="I11" s="54">
        <v>38046</v>
      </c>
      <c r="J11" s="26"/>
      <c r="K11" s="26"/>
      <c r="L11" s="36"/>
      <c r="M11" s="31"/>
      <c r="N11" s="31"/>
      <c r="O11" s="26"/>
      <c r="P11" s="113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02" t="s">
        <v>82</v>
      </c>
      <c r="AB11" s="26"/>
      <c r="AC11" s="102" t="s">
        <v>87</v>
      </c>
      <c r="AD11" s="104" t="s">
        <v>92</v>
      </c>
      <c r="AE11" s="102" t="s">
        <v>82</v>
      </c>
      <c r="AF11" s="102" t="s">
        <v>82</v>
      </c>
      <c r="AG11" s="102" t="s">
        <v>82</v>
      </c>
      <c r="AH11" s="26"/>
      <c r="AI11" s="26"/>
      <c r="AJ11" s="102" t="s">
        <v>82</v>
      </c>
      <c r="AK11" s="26"/>
      <c r="AL11" s="102" t="s">
        <v>82</v>
      </c>
      <c r="AM11" s="26"/>
      <c r="AN11" s="102" t="s">
        <v>82</v>
      </c>
      <c r="AO11" s="26"/>
      <c r="AP11" s="26"/>
      <c r="AQ11" s="26"/>
      <c r="AR11" s="18" t="s">
        <v>295</v>
      </c>
      <c r="AS11" s="20"/>
    </row>
    <row r="12" spans="1:45" x14ac:dyDescent="0.25">
      <c r="A12" s="42">
        <v>3</v>
      </c>
      <c r="B12" s="35"/>
      <c r="C12" s="33"/>
      <c r="D12" s="92" t="str">
        <f>HYPERLINK("http://www4.worldbank.org/sprojects/Project.asp?pid=P000061","Social Action Project")</f>
        <v>Social Action Project</v>
      </c>
      <c r="E12" s="211" t="s">
        <v>157</v>
      </c>
      <c r="F12" s="147">
        <v>24</v>
      </c>
      <c r="G12" s="137" t="s">
        <v>77</v>
      </c>
      <c r="H12" s="54">
        <v>35125</v>
      </c>
      <c r="I12" s="54">
        <v>36951</v>
      </c>
      <c r="J12" s="26"/>
      <c r="K12" s="26"/>
      <c r="L12" s="36"/>
      <c r="M12" s="31"/>
      <c r="N12" s="31"/>
      <c r="O12" s="26"/>
      <c r="P12" s="26"/>
      <c r="Q12" s="26"/>
      <c r="R12" s="26"/>
      <c r="S12" s="26"/>
      <c r="T12" s="26"/>
      <c r="U12" s="26"/>
      <c r="V12" s="102" t="s">
        <v>82</v>
      </c>
      <c r="W12" s="26"/>
      <c r="X12" s="26"/>
      <c r="Y12" s="26"/>
      <c r="Z12" s="26"/>
      <c r="AA12" s="102" t="s">
        <v>82</v>
      </c>
      <c r="AB12" s="102" t="s">
        <v>86</v>
      </c>
      <c r="AC12" s="102" t="s">
        <v>87</v>
      </c>
      <c r="AD12" s="60"/>
      <c r="AE12" s="102" t="s">
        <v>82</v>
      </c>
      <c r="AF12" s="26"/>
      <c r="AG12" s="102" t="s">
        <v>82</v>
      </c>
      <c r="AH12" s="26"/>
      <c r="AI12" s="26"/>
      <c r="AJ12" s="102" t="s">
        <v>82</v>
      </c>
      <c r="AK12" s="102" t="s">
        <v>82</v>
      </c>
      <c r="AL12" s="102" t="s">
        <v>82</v>
      </c>
      <c r="AM12" s="26"/>
      <c r="AN12" s="102" t="s">
        <v>82</v>
      </c>
      <c r="AO12" s="26"/>
      <c r="AP12" s="26"/>
      <c r="AQ12" s="26"/>
      <c r="AR12" s="18" t="s">
        <v>295</v>
      </c>
      <c r="AS12" s="20"/>
    </row>
    <row r="13" spans="1:45" x14ac:dyDescent="0.25">
      <c r="A13" s="42"/>
      <c r="B13" s="35"/>
      <c r="C13" s="33" t="s">
        <v>100</v>
      </c>
      <c r="D13" s="89"/>
      <c r="E13" s="167"/>
      <c r="F13" s="147"/>
      <c r="G13" s="137"/>
      <c r="H13" s="54"/>
      <c r="I13" s="54"/>
      <c r="J13" s="26"/>
      <c r="K13" s="26"/>
      <c r="L13" s="36"/>
      <c r="M13" s="31"/>
      <c r="N13" s="31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60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18"/>
      <c r="AS13" s="20"/>
    </row>
    <row r="14" spans="1:45" ht="26.4" x14ac:dyDescent="0.25">
      <c r="A14" s="42">
        <v>4</v>
      </c>
      <c r="B14" s="35"/>
      <c r="C14" s="33"/>
      <c r="D14" s="92" t="str">
        <f>HYPERLINK("http://www4.worldbank.org/sprojects/Project.asp?pid=P070204","Labor Force Development Project")</f>
        <v>Labor Force Development Project</v>
      </c>
      <c r="E14" s="211" t="s">
        <v>128</v>
      </c>
      <c r="F14" s="147">
        <v>5</v>
      </c>
      <c r="G14" s="137" t="s">
        <v>77</v>
      </c>
      <c r="H14" s="54">
        <v>36800</v>
      </c>
      <c r="I14" s="54">
        <v>38139</v>
      </c>
      <c r="J14" s="26"/>
      <c r="K14" s="26"/>
      <c r="L14" s="36"/>
      <c r="M14" s="31"/>
      <c r="N14" s="31"/>
      <c r="O14" s="26"/>
      <c r="P14" s="26"/>
      <c r="Q14" s="26"/>
      <c r="R14" s="26"/>
      <c r="S14" s="26"/>
      <c r="T14" s="26"/>
      <c r="U14" s="26"/>
      <c r="V14" s="102" t="s">
        <v>82</v>
      </c>
      <c r="W14" s="26"/>
      <c r="X14" s="26"/>
      <c r="Y14" s="26"/>
      <c r="Z14" s="26"/>
      <c r="AA14" s="26"/>
      <c r="AB14" s="26"/>
      <c r="AC14" s="26"/>
      <c r="AD14" s="104" t="s">
        <v>96</v>
      </c>
      <c r="AE14" s="26"/>
      <c r="AF14" s="26"/>
      <c r="AG14" s="26"/>
      <c r="AH14" s="102" t="s">
        <v>82</v>
      </c>
      <c r="AI14" s="26"/>
      <c r="AJ14" s="102" t="s">
        <v>82</v>
      </c>
      <c r="AK14" s="102" t="s">
        <v>82</v>
      </c>
      <c r="AL14" s="102" t="s">
        <v>82</v>
      </c>
      <c r="AM14" s="102" t="s">
        <v>82</v>
      </c>
      <c r="AN14" s="26"/>
      <c r="AO14" s="26"/>
      <c r="AP14" s="26"/>
      <c r="AQ14" s="26"/>
      <c r="AR14" s="18" t="s">
        <v>296</v>
      </c>
      <c r="AS14" s="20"/>
    </row>
    <row r="15" spans="1:45" s="125" customFormat="1" ht="39.6" x14ac:dyDescent="0.25">
      <c r="A15" s="124">
        <v>5</v>
      </c>
      <c r="B15" s="131"/>
      <c r="C15" s="121"/>
      <c r="D15" s="126" t="str">
        <f>HYPERLINK("http://www4.worldbank.org/sprojects/Project.asp?pid=P000117","Transport Sector Investment Program Project")</f>
        <v>Transport Sector Investment Program Project</v>
      </c>
      <c r="E15" s="211" t="s">
        <v>282</v>
      </c>
      <c r="F15" s="148">
        <v>40</v>
      </c>
      <c r="G15" s="140" t="s">
        <v>77</v>
      </c>
      <c r="H15" s="133">
        <v>35369</v>
      </c>
      <c r="I15" s="133">
        <v>37256</v>
      </c>
      <c r="J15" s="113"/>
      <c r="K15" s="113"/>
      <c r="L15" s="122"/>
      <c r="M15" s="118"/>
      <c r="N15" s="118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02" t="s">
        <v>82</v>
      </c>
      <c r="AB15" s="113"/>
      <c r="AC15" s="113"/>
      <c r="AD15" s="97"/>
      <c r="AE15" s="113"/>
      <c r="AF15" s="113"/>
      <c r="AG15" s="113"/>
      <c r="AH15" s="102" t="s">
        <v>82</v>
      </c>
      <c r="AI15" s="113"/>
      <c r="AJ15" s="102" t="s">
        <v>82</v>
      </c>
      <c r="AK15" s="102" t="s">
        <v>82</v>
      </c>
      <c r="AL15" s="113"/>
      <c r="AM15" s="102" t="s">
        <v>82</v>
      </c>
      <c r="AN15" s="113"/>
      <c r="AO15" s="113"/>
      <c r="AP15" s="113"/>
      <c r="AQ15" s="113"/>
      <c r="AR15" s="169" t="s">
        <v>297</v>
      </c>
      <c r="AS15" s="119"/>
    </row>
    <row r="16" spans="1:45" x14ac:dyDescent="0.25">
      <c r="A16" s="42"/>
      <c r="B16" s="35"/>
      <c r="C16" s="33" t="s">
        <v>47</v>
      </c>
      <c r="D16" s="89"/>
      <c r="E16" s="167"/>
      <c r="F16" s="147"/>
      <c r="G16" s="137"/>
      <c r="H16" s="54"/>
      <c r="I16" s="54"/>
      <c r="J16" s="26"/>
      <c r="K16" s="26"/>
      <c r="L16" s="36"/>
      <c r="M16" s="31"/>
      <c r="N16" s="31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60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18"/>
      <c r="AS16" s="20"/>
    </row>
    <row r="17" spans="1:45" ht="26.4" x14ac:dyDescent="0.25">
      <c r="A17" s="42">
        <v>6</v>
      </c>
      <c r="B17" s="29"/>
      <c r="C17" s="33"/>
      <c r="D17" s="92" t="str">
        <f>HYPERLINK("http://www4.worldbank.org/sprojects/Project.asp?pid=P064510","Social Action Project (02)")</f>
        <v>Social Action Project (02)</v>
      </c>
      <c r="E17" s="211" t="s">
        <v>129</v>
      </c>
      <c r="F17" s="147">
        <v>12</v>
      </c>
      <c r="G17" s="137" t="s">
        <v>77</v>
      </c>
      <c r="H17" s="54">
        <v>36161</v>
      </c>
      <c r="I17" s="54">
        <v>37986</v>
      </c>
      <c r="J17" s="26"/>
      <c r="K17" s="26"/>
      <c r="L17" s="36"/>
      <c r="M17" s="31"/>
      <c r="N17" s="31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02" t="s">
        <v>82</v>
      </c>
      <c r="AB17" s="26"/>
      <c r="AC17" s="102" t="s">
        <v>88</v>
      </c>
      <c r="AD17" s="104" t="s">
        <v>92</v>
      </c>
      <c r="AE17" s="102" t="s">
        <v>82</v>
      </c>
      <c r="AF17" s="26"/>
      <c r="AG17" s="102" t="s">
        <v>82</v>
      </c>
      <c r="AH17" s="26"/>
      <c r="AI17" s="26"/>
      <c r="AJ17" s="102" t="s">
        <v>82</v>
      </c>
      <c r="AK17" s="26"/>
      <c r="AL17" s="102" t="s">
        <v>82</v>
      </c>
      <c r="AM17" s="26"/>
      <c r="AN17" s="102" t="s">
        <v>82</v>
      </c>
      <c r="AO17" s="26"/>
      <c r="AP17" s="26"/>
      <c r="AQ17" s="26"/>
      <c r="AR17" s="18" t="s">
        <v>295</v>
      </c>
      <c r="AS17" s="20"/>
    </row>
    <row r="18" spans="1:45" x14ac:dyDescent="0.25">
      <c r="A18" s="42">
        <v>7</v>
      </c>
      <c r="B18" s="29"/>
      <c r="C18" s="33"/>
      <c r="D18" s="208" t="str">
        <f>HYPERLINK("http://www4.worldbank.org/sprojects/Project.asp?pid=P071371","Multisectoral HIV/AIDS Control and Orphans Project")</f>
        <v>Multisectoral HIV/AIDS Control and Orphans Project</v>
      </c>
      <c r="E18" s="211" t="s">
        <v>306</v>
      </c>
      <c r="F18" s="108">
        <v>36</v>
      </c>
      <c r="G18" s="137" t="s">
        <v>77</v>
      </c>
      <c r="H18" s="54" t="s">
        <v>217</v>
      </c>
      <c r="I18" s="54" t="s">
        <v>217</v>
      </c>
      <c r="J18" s="26"/>
      <c r="K18" s="102" t="s">
        <v>82</v>
      </c>
      <c r="L18" s="36"/>
      <c r="M18" s="31"/>
      <c r="N18" s="31"/>
      <c r="O18" s="26"/>
      <c r="P18" s="102" t="s">
        <v>82</v>
      </c>
      <c r="Q18" s="26"/>
      <c r="R18" s="102" t="s">
        <v>82</v>
      </c>
      <c r="S18" s="26"/>
      <c r="T18" s="102" t="s">
        <v>82</v>
      </c>
      <c r="U18" s="102" t="s">
        <v>82</v>
      </c>
      <c r="V18" s="102" t="s">
        <v>82</v>
      </c>
      <c r="W18" s="26"/>
      <c r="X18" s="26"/>
      <c r="Y18" s="26"/>
      <c r="Z18" s="26"/>
      <c r="AA18" s="26"/>
      <c r="AB18" s="102" t="s">
        <v>82</v>
      </c>
      <c r="AC18" s="26"/>
      <c r="AD18" s="60"/>
      <c r="AE18" s="26"/>
      <c r="AF18" s="26"/>
      <c r="AG18" s="102" t="s">
        <v>82</v>
      </c>
      <c r="AH18" s="102" t="s">
        <v>82</v>
      </c>
      <c r="AI18" s="26"/>
      <c r="AJ18" s="26"/>
      <c r="AK18" s="26"/>
      <c r="AL18" s="102" t="s">
        <v>82</v>
      </c>
      <c r="AM18" s="26"/>
      <c r="AN18" s="102" t="s">
        <v>82</v>
      </c>
      <c r="AO18" s="26"/>
      <c r="AP18" s="26"/>
      <c r="AQ18" s="26"/>
      <c r="AR18" s="18" t="s">
        <v>296</v>
      </c>
      <c r="AS18" s="20"/>
    </row>
    <row r="19" spans="1:45" s="125" customFormat="1" ht="26.4" x14ac:dyDescent="0.25">
      <c r="A19" s="124">
        <v>8</v>
      </c>
      <c r="B19" s="120"/>
      <c r="C19" s="121"/>
      <c r="D19" s="126" t="str">
        <f>HYPERLINK("http://www4.worldbank.org/sprojects/Project.asp?pid=P064961","Public Works and Employment Project")</f>
        <v>Public Works and Employment Project</v>
      </c>
      <c r="E19" s="211" t="s">
        <v>277</v>
      </c>
      <c r="F19" s="148">
        <v>40</v>
      </c>
      <c r="G19" s="140" t="s">
        <v>77</v>
      </c>
      <c r="H19" s="133">
        <v>36914</v>
      </c>
      <c r="I19" s="133">
        <v>39082</v>
      </c>
      <c r="J19" s="113"/>
      <c r="K19" s="113"/>
      <c r="L19" s="122"/>
      <c r="M19" s="118"/>
      <c r="N19" s="118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02" t="s">
        <v>82</v>
      </c>
      <c r="AB19" s="113"/>
      <c r="AC19" s="106" t="s">
        <v>278</v>
      </c>
      <c r="AD19" s="97"/>
      <c r="AE19" s="113"/>
      <c r="AF19" s="113"/>
      <c r="AG19" s="113"/>
      <c r="AH19" s="102" t="s">
        <v>82</v>
      </c>
      <c r="AI19" s="113"/>
      <c r="AJ19" s="102" t="s">
        <v>82</v>
      </c>
      <c r="AK19" s="113"/>
      <c r="AL19" s="113"/>
      <c r="AM19" s="102" t="s">
        <v>82</v>
      </c>
      <c r="AN19" s="113"/>
      <c r="AO19" s="113"/>
      <c r="AP19" s="113"/>
      <c r="AQ19" s="113"/>
      <c r="AR19" s="169" t="s">
        <v>298</v>
      </c>
      <c r="AS19" s="119"/>
    </row>
    <row r="20" spans="1:45" x14ac:dyDescent="0.25">
      <c r="A20" s="42"/>
      <c r="B20" s="29"/>
      <c r="C20" s="33" t="s">
        <v>101</v>
      </c>
      <c r="D20" s="89"/>
      <c r="E20" s="167"/>
      <c r="F20" s="147"/>
      <c r="G20" s="137"/>
      <c r="H20" s="54"/>
      <c r="I20" s="54"/>
      <c r="J20" s="26"/>
      <c r="K20" s="26"/>
      <c r="L20" s="36"/>
      <c r="M20" s="31"/>
      <c r="N20" s="31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60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18"/>
      <c r="AS20" s="20"/>
    </row>
    <row r="21" spans="1:45" ht="39.6" x14ac:dyDescent="0.25">
      <c r="A21" s="42">
        <v>9</v>
      </c>
      <c r="B21" s="29"/>
      <c r="C21" s="33"/>
      <c r="D21" s="98" t="str">
        <f>HYPERLINK("http://www4.worldbank.org/sprojects/Project.asp?pid=P048204","Petroleum Environment Capacity Enhancement Project")</f>
        <v>Petroleum Environment Capacity Enhancement Project</v>
      </c>
      <c r="E21" s="211" t="s">
        <v>130</v>
      </c>
      <c r="F21" s="147">
        <v>5.7</v>
      </c>
      <c r="G21" s="137" t="s">
        <v>77</v>
      </c>
      <c r="H21" s="54">
        <v>36678</v>
      </c>
      <c r="I21" s="54">
        <v>37230</v>
      </c>
      <c r="J21" s="26"/>
      <c r="K21" s="26"/>
      <c r="L21" s="36"/>
      <c r="M21" s="31"/>
      <c r="N21" s="31"/>
      <c r="O21" s="26"/>
      <c r="P21" s="26"/>
      <c r="Q21" s="26"/>
      <c r="R21" s="26"/>
      <c r="S21" s="26"/>
      <c r="T21" s="26"/>
      <c r="U21" s="26"/>
      <c r="V21" s="102" t="s">
        <v>82</v>
      </c>
      <c r="W21" s="26"/>
      <c r="X21" s="26"/>
      <c r="Y21" s="26"/>
      <c r="Z21" s="26"/>
      <c r="AA21" s="26"/>
      <c r="AB21" s="26"/>
      <c r="AC21" s="26"/>
      <c r="AD21" s="60"/>
      <c r="AE21" s="26"/>
      <c r="AF21" s="26"/>
      <c r="AG21" s="26"/>
      <c r="AH21" s="102" t="s">
        <v>82</v>
      </c>
      <c r="AI21" s="26"/>
      <c r="AJ21" s="102" t="s">
        <v>82</v>
      </c>
      <c r="AK21" s="102" t="s">
        <v>82</v>
      </c>
      <c r="AL21" s="26"/>
      <c r="AM21" s="102" t="s">
        <v>82</v>
      </c>
      <c r="AN21" s="26"/>
      <c r="AO21" s="26"/>
      <c r="AP21" s="26"/>
      <c r="AQ21" s="26"/>
      <c r="AR21" s="18" t="s">
        <v>299</v>
      </c>
      <c r="AS21" s="20"/>
    </row>
    <row r="22" spans="1:45" x14ac:dyDescent="0.25">
      <c r="A22" s="42"/>
      <c r="B22" s="29"/>
      <c r="C22" s="33" t="s">
        <v>102</v>
      </c>
      <c r="D22" s="89"/>
      <c r="E22" s="167"/>
      <c r="F22" s="147"/>
      <c r="G22" s="137"/>
      <c r="H22" s="54"/>
      <c r="I22" s="54"/>
      <c r="J22" s="26"/>
      <c r="K22" s="26"/>
      <c r="L22" s="36"/>
      <c r="M22" s="31"/>
      <c r="N22" s="31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60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18"/>
      <c r="AS22" s="20"/>
    </row>
    <row r="23" spans="1:45" ht="26.4" x14ac:dyDescent="0.25">
      <c r="A23" s="42">
        <v>10</v>
      </c>
      <c r="B23" s="29"/>
      <c r="C23" s="33"/>
      <c r="D23" s="92" t="str">
        <f>HYPERLINK("http://www4.worldbank.org/sprojects/Project.asp?pid=P000432","Social Sector Development Project")</f>
        <v>Social Sector Development Project</v>
      </c>
      <c r="E23" s="211" t="s">
        <v>131</v>
      </c>
      <c r="F23" s="147">
        <v>16.100000000000001</v>
      </c>
      <c r="G23" s="137" t="s">
        <v>77</v>
      </c>
      <c r="H23" s="54">
        <v>36404</v>
      </c>
      <c r="I23" s="54">
        <v>37834</v>
      </c>
      <c r="J23" s="26"/>
      <c r="K23" s="26"/>
      <c r="L23" s="36"/>
      <c r="M23" s="31"/>
      <c r="N23" s="31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102" t="s">
        <v>82</v>
      </c>
      <c r="AB23" s="26"/>
      <c r="AC23" s="26"/>
      <c r="AD23" s="104" t="s">
        <v>82</v>
      </c>
      <c r="AE23" s="102" t="s">
        <v>82</v>
      </c>
      <c r="AF23" s="26"/>
      <c r="AG23" s="102" t="s">
        <v>82</v>
      </c>
      <c r="AH23" s="102" t="s">
        <v>82</v>
      </c>
      <c r="AI23" s="26"/>
      <c r="AJ23" s="102" t="s">
        <v>82</v>
      </c>
      <c r="AK23" s="102" t="s">
        <v>82</v>
      </c>
      <c r="AL23" s="102" t="s">
        <v>82</v>
      </c>
      <c r="AM23" s="102" t="s">
        <v>82</v>
      </c>
      <c r="AN23" s="26"/>
      <c r="AO23" s="26"/>
      <c r="AP23" s="26"/>
      <c r="AQ23" s="26"/>
      <c r="AR23" s="18" t="s">
        <v>296</v>
      </c>
      <c r="AS23" s="20"/>
    </row>
    <row r="24" spans="1:45" ht="35.4" customHeight="1" x14ac:dyDescent="0.25">
      <c r="A24" s="42">
        <v>11</v>
      </c>
      <c r="B24" s="29"/>
      <c r="C24" s="33"/>
      <c r="D24" s="98" t="str">
        <f>HYPERLINK("http://www4.worldbank.org/sprojects/Project.asp?pid=P040990","Energy and Water Project")</f>
        <v>Energy and Water Project</v>
      </c>
      <c r="E24" s="211" t="s">
        <v>132</v>
      </c>
      <c r="F24" s="147">
        <v>17.5</v>
      </c>
      <c r="G24" s="137" t="s">
        <v>77</v>
      </c>
      <c r="H24" s="54">
        <v>36281</v>
      </c>
      <c r="I24" s="54">
        <v>38139</v>
      </c>
      <c r="J24" s="26"/>
      <c r="K24" s="26"/>
      <c r="L24" s="36"/>
      <c r="M24" s="31"/>
      <c r="N24" s="31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102" t="s">
        <v>82</v>
      </c>
      <c r="AB24" s="26"/>
      <c r="AC24" s="26"/>
      <c r="AD24" s="60"/>
      <c r="AE24" s="102" t="s">
        <v>82</v>
      </c>
      <c r="AF24" s="26"/>
      <c r="AG24" s="26"/>
      <c r="AH24" s="102" t="s">
        <v>82</v>
      </c>
      <c r="AI24" s="26"/>
      <c r="AJ24" s="102" t="s">
        <v>82</v>
      </c>
      <c r="AK24" s="26"/>
      <c r="AL24" s="26"/>
      <c r="AM24" s="102" t="s">
        <v>82</v>
      </c>
      <c r="AN24" s="26"/>
      <c r="AO24" s="26"/>
      <c r="AP24" s="26"/>
      <c r="AQ24" s="26"/>
      <c r="AR24" s="18" t="s">
        <v>299</v>
      </c>
      <c r="AS24" s="20"/>
    </row>
    <row r="25" spans="1:45" ht="12.75" customHeight="1" x14ac:dyDescent="0.25">
      <c r="A25" s="42"/>
      <c r="B25" s="29"/>
      <c r="C25" s="33" t="s">
        <v>220</v>
      </c>
      <c r="D25" s="98"/>
      <c r="E25" s="211"/>
      <c r="F25" s="147"/>
      <c r="G25" s="137"/>
      <c r="H25" s="54"/>
      <c r="I25" s="54"/>
      <c r="J25" s="26"/>
      <c r="K25" s="26"/>
      <c r="L25" s="36"/>
      <c r="M25" s="31"/>
      <c r="N25" s="31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60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18"/>
      <c r="AS25" s="20"/>
    </row>
    <row r="26" spans="1:45" ht="24" customHeight="1" x14ac:dyDescent="0.25">
      <c r="A26" s="42">
        <v>12</v>
      </c>
      <c r="B26" s="29"/>
      <c r="C26" s="33"/>
      <c r="D26" s="98" t="str">
        <f>HYPERLINK("http://www4.worldbank.org/sprojects/Project.asp?pid=P048202","Petroleum Sector Management Capacity Building Project")</f>
        <v>Petroleum Sector Management Capacity Building Project</v>
      </c>
      <c r="E26" s="211" t="s">
        <v>221</v>
      </c>
      <c r="F26" s="147">
        <v>23.7</v>
      </c>
      <c r="G26" s="137" t="s">
        <v>77</v>
      </c>
      <c r="H26" s="54">
        <v>36683</v>
      </c>
      <c r="I26" s="54">
        <v>38717</v>
      </c>
      <c r="J26" s="26"/>
      <c r="K26" s="26"/>
      <c r="L26" s="36"/>
      <c r="M26" s="31"/>
      <c r="N26" s="31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102" t="s">
        <v>82</v>
      </c>
      <c r="AC26" s="102" t="s">
        <v>87</v>
      </c>
      <c r="AD26" s="104" t="s">
        <v>224</v>
      </c>
      <c r="AE26" s="26"/>
      <c r="AF26" s="26"/>
      <c r="AG26" s="102" t="s">
        <v>82</v>
      </c>
      <c r="AH26" s="102" t="s">
        <v>82</v>
      </c>
      <c r="AI26" s="102" t="s">
        <v>82</v>
      </c>
      <c r="AJ26" s="102" t="s">
        <v>82</v>
      </c>
      <c r="AK26" s="102" t="s">
        <v>82</v>
      </c>
      <c r="AL26" s="102" t="s">
        <v>82</v>
      </c>
      <c r="AM26" s="102" t="s">
        <v>82</v>
      </c>
      <c r="AN26" s="26"/>
      <c r="AO26" s="26"/>
      <c r="AP26" s="26"/>
      <c r="AQ26" s="26"/>
      <c r="AR26" s="18" t="s">
        <v>296</v>
      </c>
      <c r="AS26" s="20"/>
    </row>
    <row r="27" spans="1:45" x14ac:dyDescent="0.25">
      <c r="A27" s="42"/>
      <c r="B27" s="29"/>
      <c r="C27" s="33" t="s">
        <v>48</v>
      </c>
      <c r="D27" s="89"/>
      <c r="E27" s="167"/>
      <c r="F27" s="147">
        <v>80</v>
      </c>
      <c r="G27" s="137" t="s">
        <v>77</v>
      </c>
      <c r="H27" s="54"/>
      <c r="I27" s="54"/>
      <c r="J27" s="26"/>
      <c r="K27" s="26"/>
      <c r="L27" s="36"/>
      <c r="M27" s="31"/>
      <c r="N27" s="31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60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18"/>
      <c r="AS27" s="20"/>
    </row>
    <row r="28" spans="1:45" ht="39.6" x14ac:dyDescent="0.25">
      <c r="A28" s="42">
        <v>13</v>
      </c>
      <c r="B28" s="29"/>
      <c r="C28" s="33"/>
      <c r="D28" s="92" t="str">
        <f>HYPERLINK("http://www4.worldbank.org/sprojects/Project.asp?pid=P039264","Community Development Fund Project")</f>
        <v>Community Development Fund Project</v>
      </c>
      <c r="E28" s="211" t="s">
        <v>133</v>
      </c>
      <c r="F28" s="147">
        <v>17.5</v>
      </c>
      <c r="G28" s="137" t="s">
        <v>77</v>
      </c>
      <c r="H28" s="54">
        <v>35124</v>
      </c>
      <c r="I28" s="54">
        <v>37256</v>
      </c>
      <c r="J28" s="26"/>
      <c r="K28" s="26"/>
      <c r="L28" s="36"/>
      <c r="M28" s="31"/>
      <c r="N28" s="31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102" t="s">
        <v>82</v>
      </c>
      <c r="AB28" s="102" t="s">
        <v>89</v>
      </c>
      <c r="AC28" s="102" t="s">
        <v>87</v>
      </c>
      <c r="AD28" s="60"/>
      <c r="AE28" s="102" t="s">
        <v>82</v>
      </c>
      <c r="AF28" s="26"/>
      <c r="AG28" s="102" t="s">
        <v>82</v>
      </c>
      <c r="AH28" s="26"/>
      <c r="AI28" s="26"/>
      <c r="AJ28" s="102" t="s">
        <v>82</v>
      </c>
      <c r="AK28" s="26"/>
      <c r="AL28" s="102" t="s">
        <v>82</v>
      </c>
      <c r="AM28" s="102" t="s">
        <v>82</v>
      </c>
      <c r="AN28" s="26"/>
      <c r="AO28" s="26"/>
      <c r="AP28" s="26"/>
      <c r="AQ28" s="26"/>
      <c r="AR28" s="18" t="s">
        <v>295</v>
      </c>
      <c r="AS28" s="20"/>
    </row>
    <row r="29" spans="1:45" ht="39.6" x14ac:dyDescent="0.25">
      <c r="A29" s="42">
        <v>14</v>
      </c>
      <c r="B29" s="29"/>
      <c r="C29" s="33"/>
      <c r="D29" s="98" t="str">
        <f>HYPERLINK("http://www4.worldbank.org/sprojects/Project.asp?pid=P068463","Integrated Early Childhood Development Project")</f>
        <v>Integrated Early Childhood Development Project</v>
      </c>
      <c r="E29" s="211" t="s">
        <v>134</v>
      </c>
      <c r="F29" s="147">
        <v>40</v>
      </c>
      <c r="G29" s="137" t="s">
        <v>77</v>
      </c>
      <c r="H29" s="54">
        <v>36708</v>
      </c>
      <c r="I29" s="54">
        <v>38687</v>
      </c>
      <c r="J29" s="26"/>
      <c r="K29" s="26"/>
      <c r="L29" s="36"/>
      <c r="M29" s="31"/>
      <c r="N29" s="31"/>
      <c r="O29" s="26"/>
      <c r="P29" s="26"/>
      <c r="Q29" s="26"/>
      <c r="R29" s="26"/>
      <c r="S29" s="26"/>
      <c r="T29" s="26"/>
      <c r="U29" s="26"/>
      <c r="V29" s="102" t="s">
        <v>82</v>
      </c>
      <c r="W29" s="26"/>
      <c r="X29" s="26"/>
      <c r="Y29" s="26"/>
      <c r="Z29" s="26"/>
      <c r="AA29" s="26"/>
      <c r="AB29" s="26"/>
      <c r="AC29" s="26"/>
      <c r="AD29" s="104" t="s">
        <v>91</v>
      </c>
      <c r="AE29" s="26"/>
      <c r="AF29" s="26"/>
      <c r="AG29" s="102" t="s">
        <v>82</v>
      </c>
      <c r="AH29" s="26"/>
      <c r="AI29" s="26"/>
      <c r="AJ29" s="102" t="s">
        <v>82</v>
      </c>
      <c r="AK29" s="26"/>
      <c r="AL29" s="102" t="s">
        <v>82</v>
      </c>
      <c r="AM29" s="102" t="s">
        <v>82</v>
      </c>
      <c r="AN29" s="26"/>
      <c r="AO29" s="26"/>
      <c r="AP29" s="26"/>
      <c r="AQ29" s="26"/>
      <c r="AR29" s="18" t="s">
        <v>300</v>
      </c>
      <c r="AS29" s="20"/>
    </row>
    <row r="30" spans="1:45" x14ac:dyDescent="0.25">
      <c r="A30" s="42"/>
      <c r="B30" s="29"/>
      <c r="C30" s="33" t="s">
        <v>49</v>
      </c>
      <c r="D30" s="89"/>
      <c r="E30" s="167"/>
      <c r="F30" s="147"/>
      <c r="G30" s="137"/>
      <c r="H30" s="54"/>
      <c r="I30" s="54"/>
      <c r="J30" s="26"/>
      <c r="K30" s="26"/>
      <c r="L30" s="36"/>
      <c r="M30" s="31"/>
      <c r="N30" s="31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60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18"/>
      <c r="AS30" s="20"/>
    </row>
    <row r="31" spans="1:45" ht="39.6" x14ac:dyDescent="0.25">
      <c r="A31" s="42">
        <v>15</v>
      </c>
      <c r="B31" s="29"/>
      <c r="C31" s="33"/>
      <c r="D31" s="92" t="str">
        <f>HYPERLINK("http://www4.worldbank.org/sprojects/Project.asp?pid=P000771","Social Rehabilitation and Development Fund Project ")</f>
        <v xml:space="preserve">Social Rehabilitation and Development Fund Project </v>
      </c>
      <c r="E31" s="211" t="s">
        <v>135</v>
      </c>
      <c r="F31" s="147">
        <v>138</v>
      </c>
      <c r="G31" s="137" t="s">
        <v>77</v>
      </c>
      <c r="H31" s="54">
        <v>35164</v>
      </c>
      <c r="I31" s="54">
        <v>37256</v>
      </c>
      <c r="J31" s="26"/>
      <c r="K31" s="26"/>
      <c r="L31" s="36"/>
      <c r="M31" s="31"/>
      <c r="N31" s="31"/>
      <c r="O31" s="26"/>
      <c r="P31" s="26"/>
      <c r="Q31" s="26"/>
      <c r="R31" s="26"/>
      <c r="S31" s="26"/>
      <c r="T31" s="26"/>
      <c r="U31" s="26"/>
      <c r="V31" s="102" t="s">
        <v>82</v>
      </c>
      <c r="W31" s="26"/>
      <c r="X31" s="26"/>
      <c r="Y31" s="26"/>
      <c r="Z31" s="26"/>
      <c r="AA31" s="26"/>
      <c r="AB31" s="102" t="s">
        <v>99</v>
      </c>
      <c r="AC31" s="102" t="s">
        <v>87</v>
      </c>
      <c r="AD31" s="104" t="s">
        <v>93</v>
      </c>
      <c r="AE31" s="102" t="s">
        <v>82</v>
      </c>
      <c r="AF31" s="26"/>
      <c r="AG31" s="102" t="s">
        <v>82</v>
      </c>
      <c r="AH31" s="102" t="s">
        <v>82</v>
      </c>
      <c r="AI31" s="26"/>
      <c r="AJ31" s="26"/>
      <c r="AK31" s="102" t="s">
        <v>82</v>
      </c>
      <c r="AL31" s="102" t="s">
        <v>82</v>
      </c>
      <c r="AM31" s="102" t="s">
        <v>82</v>
      </c>
      <c r="AN31" s="26"/>
      <c r="AO31" s="26"/>
      <c r="AP31" s="26"/>
      <c r="AQ31" s="26"/>
      <c r="AR31" s="18" t="s">
        <v>295</v>
      </c>
      <c r="AS31" s="20"/>
    </row>
    <row r="32" spans="1:45" ht="26.4" x14ac:dyDescent="0.25">
      <c r="A32" s="42">
        <v>16</v>
      </c>
      <c r="B32" s="29"/>
      <c r="C32" s="33"/>
      <c r="D32" s="92" t="str">
        <f>HYPERLINK("http://www4.worldbank.org/sprojects/Project.asp?pid=P050342","Women's Development Initiatives Project")</f>
        <v>Women's Development Initiatives Project</v>
      </c>
      <c r="E32" s="211" t="s">
        <v>136</v>
      </c>
      <c r="F32" s="147">
        <v>5</v>
      </c>
      <c r="G32" s="137" t="s">
        <v>77</v>
      </c>
      <c r="H32" s="54">
        <v>36734</v>
      </c>
      <c r="I32" s="54">
        <v>38533</v>
      </c>
      <c r="J32" s="26"/>
      <c r="K32" s="26"/>
      <c r="L32" s="36"/>
      <c r="M32" s="31"/>
      <c r="N32" s="31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102" t="s">
        <v>82</v>
      </c>
      <c r="AC32" s="60"/>
      <c r="AD32" s="104" t="s">
        <v>96</v>
      </c>
      <c r="AE32" s="26"/>
      <c r="AF32" s="26"/>
      <c r="AG32" s="102" t="s">
        <v>82</v>
      </c>
      <c r="AH32" s="26"/>
      <c r="AI32" s="26"/>
      <c r="AJ32" s="102" t="s">
        <v>82</v>
      </c>
      <c r="AK32" s="102" t="s">
        <v>82</v>
      </c>
      <c r="AL32" s="102" t="s">
        <v>82</v>
      </c>
      <c r="AM32" s="102" t="s">
        <v>82</v>
      </c>
      <c r="AN32" s="26"/>
      <c r="AO32" s="26"/>
      <c r="AP32" s="26"/>
      <c r="AQ32" s="26"/>
      <c r="AR32" s="18" t="s">
        <v>296</v>
      </c>
      <c r="AS32" s="20"/>
    </row>
    <row r="33" spans="1:45" x14ac:dyDescent="0.25">
      <c r="A33" s="42"/>
      <c r="B33" s="29"/>
      <c r="C33" s="33" t="s">
        <v>50</v>
      </c>
      <c r="D33" s="89"/>
      <c r="E33" s="167"/>
      <c r="F33" s="147"/>
      <c r="G33" s="137"/>
      <c r="H33" s="54"/>
      <c r="I33" s="54"/>
      <c r="J33" s="26"/>
      <c r="K33" s="26"/>
      <c r="L33" s="36"/>
      <c r="M33" s="31"/>
      <c r="N33" s="31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60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18"/>
      <c r="AS33" s="20"/>
    </row>
    <row r="34" spans="1:45" ht="26.4" x14ac:dyDescent="0.25">
      <c r="A34" s="42">
        <v>17</v>
      </c>
      <c r="B34" s="29"/>
      <c r="C34" s="33"/>
      <c r="D34" s="92" t="str">
        <f>HYPERLINK("http://www4.worldbank.org/sprojects/Project.asp?pid=P040659","Community Development Project")</f>
        <v>Community Development Project</v>
      </c>
      <c r="E34" s="211" t="s">
        <v>137</v>
      </c>
      <c r="F34" s="147">
        <v>5.5</v>
      </c>
      <c r="G34" s="137" t="s">
        <v>77</v>
      </c>
      <c r="H34" s="54">
        <v>36321</v>
      </c>
      <c r="I34" s="54">
        <v>37802</v>
      </c>
      <c r="J34" s="26"/>
      <c r="K34" s="26"/>
      <c r="L34" s="36"/>
      <c r="M34" s="31"/>
      <c r="N34" s="31"/>
      <c r="O34" s="26"/>
      <c r="P34" s="102" t="s">
        <v>82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102" t="s">
        <v>87</v>
      </c>
      <c r="AD34" s="104" t="s">
        <v>266</v>
      </c>
      <c r="AE34" s="102" t="s">
        <v>82</v>
      </c>
      <c r="AF34" s="26"/>
      <c r="AG34" s="26"/>
      <c r="AH34" s="26"/>
      <c r="AI34" s="26"/>
      <c r="AJ34" s="102" t="s">
        <v>82</v>
      </c>
      <c r="AK34" s="26"/>
      <c r="AL34" s="102" t="s">
        <v>82</v>
      </c>
      <c r="AM34" s="102" t="s">
        <v>82</v>
      </c>
      <c r="AN34" s="26"/>
      <c r="AO34" s="26"/>
      <c r="AP34" s="26"/>
      <c r="AQ34" s="26"/>
      <c r="AR34" s="18" t="s">
        <v>295</v>
      </c>
      <c r="AS34" s="20"/>
    </row>
    <row r="35" spans="1:45" x14ac:dyDescent="0.25">
      <c r="A35" s="42"/>
      <c r="B35" s="29"/>
      <c r="C35" s="33" t="s">
        <v>103</v>
      </c>
      <c r="D35" s="89"/>
      <c r="E35" s="167"/>
      <c r="F35" s="147"/>
      <c r="G35" s="137"/>
      <c r="H35" s="54"/>
      <c r="I35" s="54"/>
      <c r="J35" s="26"/>
      <c r="K35" s="26"/>
      <c r="L35" s="36"/>
      <c r="M35" s="31"/>
      <c r="N35" s="31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60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18"/>
      <c r="AS35" s="20"/>
    </row>
    <row r="36" spans="1:45" ht="39.6" x14ac:dyDescent="0.25">
      <c r="A36" s="42">
        <v>18</v>
      </c>
      <c r="B36" s="29"/>
      <c r="C36" s="33"/>
      <c r="D36" s="92" t="str">
        <f>HYPERLINK("http://www4.worldbank.org/sprojects/Project.asp?pid=P058050","Community Development Support Project")</f>
        <v>Community Development Support Project</v>
      </c>
      <c r="E36" s="211" t="s">
        <v>138</v>
      </c>
      <c r="F36" s="147">
        <v>4.7</v>
      </c>
      <c r="G36" s="137" t="s">
        <v>77</v>
      </c>
      <c r="H36" s="54">
        <v>36495</v>
      </c>
      <c r="I36" s="54">
        <v>37681</v>
      </c>
      <c r="J36" s="26"/>
      <c r="K36" s="26"/>
      <c r="L36" s="36"/>
      <c r="M36" s="31"/>
      <c r="N36" s="31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02" t="s">
        <v>87</v>
      </c>
      <c r="AD36" s="60"/>
      <c r="AE36" s="26"/>
      <c r="AF36" s="102" t="s">
        <v>82</v>
      </c>
      <c r="AG36" s="102" t="s">
        <v>82</v>
      </c>
      <c r="AH36" s="102" t="s">
        <v>82</v>
      </c>
      <c r="AI36" s="26"/>
      <c r="AJ36" s="102" t="s">
        <v>82</v>
      </c>
      <c r="AK36" s="102" t="s">
        <v>82</v>
      </c>
      <c r="AL36" s="102" t="s">
        <v>82</v>
      </c>
      <c r="AM36" s="102" t="s">
        <v>82</v>
      </c>
      <c r="AN36" s="26"/>
      <c r="AO36" s="26"/>
      <c r="AP36" s="26"/>
      <c r="AQ36" s="26"/>
      <c r="AR36" s="18" t="s">
        <v>296</v>
      </c>
      <c r="AS36" s="20"/>
    </row>
    <row r="37" spans="1:45" x14ac:dyDescent="0.25">
      <c r="A37" s="42"/>
      <c r="B37" s="29"/>
      <c r="C37" s="33" t="s">
        <v>51</v>
      </c>
      <c r="D37" s="89"/>
      <c r="E37" s="167"/>
      <c r="F37" s="147"/>
      <c r="G37" s="137"/>
      <c r="H37" s="54"/>
      <c r="I37" s="54"/>
      <c r="J37" s="26"/>
      <c r="K37" s="26"/>
      <c r="L37" s="36"/>
      <c r="M37" s="31"/>
      <c r="N37" s="31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60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18"/>
      <c r="AS37" s="20"/>
    </row>
    <row r="38" spans="1:45" ht="26.4" x14ac:dyDescent="0.25">
      <c r="A38" s="42">
        <v>19</v>
      </c>
      <c r="B38" s="29"/>
      <c r="C38" s="33"/>
      <c r="D38" s="92" t="str">
        <f>HYPERLINK("http://www4.worldbank.org/sprojects/Project.asp?pid=P035669","Social Fund Project (02)")</f>
        <v>Social Fund Project (02)</v>
      </c>
      <c r="E38" s="211" t="s">
        <v>158</v>
      </c>
      <c r="F38" s="147">
        <v>40</v>
      </c>
      <c r="G38" s="137" t="s">
        <v>77</v>
      </c>
      <c r="H38" s="54">
        <v>34956</v>
      </c>
      <c r="I38" s="54">
        <v>36891</v>
      </c>
      <c r="J38" s="26"/>
      <c r="K38" s="26"/>
      <c r="L38" s="36"/>
      <c r="M38" s="31"/>
      <c r="N38" s="31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02" t="s">
        <v>82</v>
      </c>
      <c r="AB38" s="26"/>
      <c r="AC38" s="102" t="s">
        <v>87</v>
      </c>
      <c r="AD38" s="60"/>
      <c r="AE38" s="26"/>
      <c r="AF38" s="26"/>
      <c r="AG38" s="102" t="s">
        <v>82</v>
      </c>
      <c r="AH38" s="102" t="s">
        <v>82</v>
      </c>
      <c r="AI38" s="26"/>
      <c r="AJ38" s="26"/>
      <c r="AK38" s="26"/>
      <c r="AL38" s="26"/>
      <c r="AM38" s="102" t="s">
        <v>82</v>
      </c>
      <c r="AN38" s="26"/>
      <c r="AO38" s="26"/>
      <c r="AP38" s="26"/>
      <c r="AQ38" s="26"/>
      <c r="AR38" s="18" t="s">
        <v>301</v>
      </c>
      <c r="AS38" s="20"/>
    </row>
    <row r="39" spans="1:45" ht="26.4" x14ac:dyDescent="0.25">
      <c r="A39" s="42">
        <v>20</v>
      </c>
      <c r="B39" s="29"/>
      <c r="C39" s="33"/>
      <c r="D39" s="92" t="str">
        <f>HYPERLINK("http://www4.worldbank.org/sprojects/Project.asp?pid=P064305","Social Fund Project (03)")</f>
        <v>Social Fund Project (03)</v>
      </c>
      <c r="E39" s="211" t="s">
        <v>139</v>
      </c>
      <c r="F39" s="147">
        <v>15</v>
      </c>
      <c r="G39" s="137" t="s">
        <v>77</v>
      </c>
      <c r="H39" s="54">
        <v>36242</v>
      </c>
      <c r="I39" s="54">
        <v>37620</v>
      </c>
      <c r="J39" s="26"/>
      <c r="K39" s="26"/>
      <c r="L39" s="36"/>
      <c r="M39" s="31"/>
      <c r="N39" s="31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13"/>
      <c r="AB39" s="102" t="s">
        <v>82</v>
      </c>
      <c r="AC39" s="102" t="s">
        <v>87</v>
      </c>
      <c r="AD39" s="60"/>
      <c r="AE39" s="26"/>
      <c r="AF39" s="26"/>
      <c r="AG39" s="102" t="s">
        <v>82</v>
      </c>
      <c r="AH39" s="102" t="s">
        <v>82</v>
      </c>
      <c r="AI39" s="26"/>
      <c r="AJ39" s="102" t="s">
        <v>82</v>
      </c>
      <c r="AK39" s="26"/>
      <c r="AL39" s="26"/>
      <c r="AM39" s="102" t="s">
        <v>82</v>
      </c>
      <c r="AN39" s="26"/>
      <c r="AO39" s="26"/>
      <c r="AP39" s="26"/>
      <c r="AQ39" s="26"/>
      <c r="AR39" s="18" t="s">
        <v>295</v>
      </c>
      <c r="AS39" s="20"/>
    </row>
    <row r="40" spans="1:45" ht="26.4" x14ac:dyDescent="0.25">
      <c r="A40" s="42">
        <v>21</v>
      </c>
      <c r="B40" s="29"/>
      <c r="C40" s="33"/>
      <c r="D40" s="98" t="str">
        <f>HYPERLINK("http://www4.worldbank.org/sprojects/Project.asp?pid=P001568","Community Nutrition Project (02)")</f>
        <v>Community Nutrition Project (02)</v>
      </c>
      <c r="E40" s="211" t="s">
        <v>140</v>
      </c>
      <c r="F40" s="147">
        <v>27.6</v>
      </c>
      <c r="G40" s="137" t="s">
        <v>77</v>
      </c>
      <c r="H40" s="54">
        <v>35886</v>
      </c>
      <c r="I40" s="54">
        <v>37987</v>
      </c>
      <c r="J40" s="26"/>
      <c r="K40" s="26"/>
      <c r="L40" s="36"/>
      <c r="M40" s="31"/>
      <c r="N40" s="31"/>
      <c r="O40" s="26"/>
      <c r="P40" s="102" t="s">
        <v>82</v>
      </c>
      <c r="Q40" s="102" t="s">
        <v>82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102"/>
      <c r="AC40" s="26"/>
      <c r="AD40" s="104" t="s">
        <v>91</v>
      </c>
      <c r="AE40" s="26"/>
      <c r="AF40" s="26"/>
      <c r="AG40" s="102" t="s">
        <v>82</v>
      </c>
      <c r="AH40" s="26"/>
      <c r="AI40" s="26"/>
      <c r="AJ40" s="26"/>
      <c r="AK40" s="26"/>
      <c r="AL40" s="102" t="s">
        <v>82</v>
      </c>
      <c r="AM40" s="102" t="s">
        <v>82</v>
      </c>
      <c r="AN40" s="26"/>
      <c r="AO40" s="26"/>
      <c r="AP40" s="26"/>
      <c r="AQ40" s="26"/>
      <c r="AR40" s="18" t="s">
        <v>299</v>
      </c>
      <c r="AS40" s="20"/>
    </row>
    <row r="41" spans="1:45" ht="26.4" x14ac:dyDescent="0.25">
      <c r="A41" s="42">
        <v>22</v>
      </c>
      <c r="B41" s="29"/>
      <c r="C41" s="33"/>
      <c r="D41" s="98" t="str">
        <f>HYPERLINK("http://www4.worldbank.org/sprojects/Project.asp?pid=P055166","Community Development Project")</f>
        <v>Community Development Project</v>
      </c>
      <c r="E41" s="211" t="s">
        <v>141</v>
      </c>
      <c r="F41" s="147">
        <v>110</v>
      </c>
      <c r="G41" s="137" t="s">
        <v>77</v>
      </c>
      <c r="H41" s="54">
        <v>37000</v>
      </c>
      <c r="I41" s="54">
        <v>39263</v>
      </c>
      <c r="J41" s="26"/>
      <c r="K41" s="26"/>
      <c r="L41" s="36"/>
      <c r="M41" s="31"/>
      <c r="N41" s="31"/>
      <c r="O41" s="26"/>
      <c r="P41" s="26"/>
      <c r="Q41" s="26"/>
      <c r="R41" s="26"/>
      <c r="S41" s="26"/>
      <c r="T41" s="26"/>
      <c r="U41" s="26"/>
      <c r="V41" s="102" t="s">
        <v>82</v>
      </c>
      <c r="W41" s="26"/>
      <c r="X41" s="26"/>
      <c r="Y41" s="26"/>
      <c r="Z41" s="26"/>
      <c r="AA41" s="102" t="s">
        <v>82</v>
      </c>
      <c r="AB41" s="26"/>
      <c r="AC41" s="107" t="s">
        <v>265</v>
      </c>
      <c r="AD41" s="104" t="s">
        <v>93</v>
      </c>
      <c r="AE41" s="26"/>
      <c r="AF41" s="26"/>
      <c r="AG41" s="102" t="s">
        <v>82</v>
      </c>
      <c r="AH41" s="102" t="s">
        <v>82</v>
      </c>
      <c r="AI41" s="26"/>
      <c r="AJ41" s="102" t="s">
        <v>82</v>
      </c>
      <c r="AK41" s="26"/>
      <c r="AL41" s="26"/>
      <c r="AM41" s="102" t="s">
        <v>82</v>
      </c>
      <c r="AN41" s="26"/>
      <c r="AO41" s="26"/>
      <c r="AP41" s="26"/>
      <c r="AQ41" s="26"/>
      <c r="AR41" s="18" t="s">
        <v>296</v>
      </c>
      <c r="AS41" s="20"/>
    </row>
    <row r="42" spans="1:45" ht="39.6" x14ac:dyDescent="0.25">
      <c r="A42" s="42">
        <v>23</v>
      </c>
      <c r="B42" s="29"/>
      <c r="C42" s="33"/>
      <c r="D42" s="92" t="str">
        <f>HYPERLINK("http://www4.worldbank.org/sprojects/Project.asp?pid=P052208","Transport Sector Reform and Rehabilitation Project")</f>
        <v>Transport Sector Reform and Rehabilitation Project</v>
      </c>
      <c r="E42" s="211" t="s">
        <v>142</v>
      </c>
      <c r="F42" s="147">
        <v>65</v>
      </c>
      <c r="G42" s="137" t="s">
        <v>77</v>
      </c>
      <c r="H42" s="54">
        <v>36678</v>
      </c>
      <c r="I42" s="54">
        <v>38534</v>
      </c>
      <c r="J42" s="26"/>
      <c r="K42" s="26"/>
      <c r="L42" s="36"/>
      <c r="M42" s="31"/>
      <c r="N42" s="31"/>
      <c r="O42" s="26"/>
      <c r="P42" s="26"/>
      <c r="Q42" s="26"/>
      <c r="R42" s="26"/>
      <c r="S42" s="26"/>
      <c r="T42" s="26"/>
      <c r="U42" s="26"/>
      <c r="V42" s="102" t="s">
        <v>82</v>
      </c>
      <c r="W42" s="26"/>
      <c r="X42" s="26"/>
      <c r="Y42" s="26"/>
      <c r="Z42" s="26"/>
      <c r="AA42" s="102" t="s">
        <v>82</v>
      </c>
      <c r="AB42" s="26"/>
      <c r="AC42" s="26"/>
      <c r="AD42" s="60"/>
      <c r="AE42" s="26"/>
      <c r="AF42" s="102" t="s">
        <v>82</v>
      </c>
      <c r="AG42" s="26"/>
      <c r="AH42" s="102" t="s">
        <v>82</v>
      </c>
      <c r="AI42" s="26"/>
      <c r="AJ42" s="102" t="s">
        <v>82</v>
      </c>
      <c r="AK42" s="26"/>
      <c r="AL42" s="26"/>
      <c r="AM42" s="102" t="s">
        <v>82</v>
      </c>
      <c r="AN42" s="26"/>
      <c r="AO42" s="26"/>
      <c r="AP42" s="26"/>
      <c r="AQ42" s="26"/>
      <c r="AR42" s="18" t="s">
        <v>296</v>
      </c>
      <c r="AS42" s="20"/>
    </row>
    <row r="43" spans="1:45" x14ac:dyDescent="0.25">
      <c r="A43" s="42"/>
      <c r="B43" s="29"/>
      <c r="C43" s="33" t="s">
        <v>52</v>
      </c>
      <c r="D43" s="89"/>
      <c r="E43" s="167"/>
      <c r="F43" s="147"/>
      <c r="G43" s="137"/>
      <c r="H43" s="54"/>
      <c r="I43" s="54"/>
      <c r="J43" s="26"/>
      <c r="K43" s="26"/>
      <c r="L43" s="36"/>
      <c r="M43" s="31"/>
      <c r="N43" s="31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60"/>
      <c r="AE43" s="26"/>
      <c r="AF43" s="102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18"/>
      <c r="AS43" s="20"/>
    </row>
    <row r="44" spans="1:45" ht="39.6" x14ac:dyDescent="0.25">
      <c r="A44" s="42">
        <v>24</v>
      </c>
      <c r="B44" s="29"/>
      <c r="C44" s="33"/>
      <c r="D44" s="92" t="str">
        <f>HYPERLINK("http://www4.worldbank.org/sprojects/Project.asp?pid=P049599","Social Action Fund Project (02)")</f>
        <v>Social Action Fund Project (02)</v>
      </c>
      <c r="E44" s="211" t="s">
        <v>143</v>
      </c>
      <c r="F44" s="147">
        <v>66</v>
      </c>
      <c r="G44" s="137" t="s">
        <v>77</v>
      </c>
      <c r="H44" s="54">
        <v>36130</v>
      </c>
      <c r="I44" s="54">
        <v>37772</v>
      </c>
      <c r="J44" s="26"/>
      <c r="K44" s="26"/>
      <c r="L44" s="36"/>
      <c r="M44" s="31"/>
      <c r="N44" s="31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02" t="s">
        <v>82</v>
      </c>
      <c r="AB44" s="26"/>
      <c r="AC44" s="102" t="s">
        <v>87</v>
      </c>
      <c r="AD44" s="104" t="s">
        <v>94</v>
      </c>
      <c r="AE44" s="26"/>
      <c r="AF44" s="26"/>
      <c r="AG44" s="102" t="s">
        <v>82</v>
      </c>
      <c r="AH44" s="26"/>
      <c r="AI44" s="26"/>
      <c r="AJ44" s="102" t="s">
        <v>82</v>
      </c>
      <c r="AK44" s="26"/>
      <c r="AL44" s="102" t="s">
        <v>82</v>
      </c>
      <c r="AM44" s="102" t="s">
        <v>82</v>
      </c>
      <c r="AN44" s="26"/>
      <c r="AO44" s="26"/>
      <c r="AP44" s="26"/>
      <c r="AQ44" s="26"/>
      <c r="AR44" s="18" t="s">
        <v>302</v>
      </c>
      <c r="AS44" s="20"/>
    </row>
    <row r="45" spans="1:45" ht="26.4" x14ac:dyDescent="0.25">
      <c r="A45" s="42">
        <v>25</v>
      </c>
      <c r="B45" s="29"/>
      <c r="C45" s="33"/>
      <c r="D45" s="92" t="str">
        <f>HYPERLINK("http://www4.worldbank.org/sprojects/Project.asp?pid=P001668","Social Action Fund Project")</f>
        <v>Social Action Fund Project</v>
      </c>
      <c r="E45" s="211" t="s">
        <v>144</v>
      </c>
      <c r="F45" s="147">
        <v>56</v>
      </c>
      <c r="G45" s="137" t="s">
        <v>77</v>
      </c>
      <c r="H45" s="54">
        <v>35194</v>
      </c>
      <c r="I45" s="54">
        <v>37043</v>
      </c>
      <c r="J45" s="26"/>
      <c r="K45" s="26"/>
      <c r="L45" s="36"/>
      <c r="M45" s="31"/>
      <c r="N45" s="31"/>
      <c r="O45" s="26"/>
      <c r="P45" s="26"/>
      <c r="Q45" s="26"/>
      <c r="R45" s="102" t="s">
        <v>82</v>
      </c>
      <c r="S45" s="26"/>
      <c r="T45" s="26"/>
      <c r="U45" s="26"/>
      <c r="V45" s="26"/>
      <c r="W45" s="26"/>
      <c r="X45" s="26"/>
      <c r="Y45" s="26"/>
      <c r="Z45" s="26"/>
      <c r="AA45" s="102" t="s">
        <v>82</v>
      </c>
      <c r="AB45" s="26"/>
      <c r="AC45" s="102" t="s">
        <v>87</v>
      </c>
      <c r="AD45" s="60"/>
      <c r="AE45" s="102" t="s">
        <v>82</v>
      </c>
      <c r="AF45" s="26"/>
      <c r="AG45" s="102" t="s">
        <v>82</v>
      </c>
      <c r="AH45" s="102" t="s">
        <v>82</v>
      </c>
      <c r="AI45" s="26"/>
      <c r="AJ45" s="102" t="s">
        <v>82</v>
      </c>
      <c r="AK45" s="26"/>
      <c r="AL45" s="102" t="s">
        <v>82</v>
      </c>
      <c r="AM45" s="102" t="s">
        <v>82</v>
      </c>
      <c r="AN45" s="26"/>
      <c r="AO45" s="26"/>
      <c r="AP45" s="26"/>
      <c r="AQ45" s="26"/>
      <c r="AR45" s="18" t="s">
        <v>295</v>
      </c>
      <c r="AS45" s="20"/>
    </row>
    <row r="46" spans="1:45" x14ac:dyDescent="0.25">
      <c r="A46" s="42"/>
      <c r="B46" s="29"/>
      <c r="C46" s="33" t="s">
        <v>104</v>
      </c>
      <c r="D46" s="89"/>
      <c r="E46" s="167"/>
      <c r="F46" s="147"/>
      <c r="G46" s="137"/>
      <c r="H46" s="54"/>
      <c r="I46" s="54"/>
      <c r="J46" s="26"/>
      <c r="K46" s="26"/>
      <c r="L46" s="36"/>
      <c r="M46" s="31"/>
      <c r="N46" s="31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60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18"/>
      <c r="AS46" s="20"/>
    </row>
    <row r="47" spans="1:45" ht="39.6" x14ac:dyDescent="0.25">
      <c r="A47" s="42">
        <v>26</v>
      </c>
      <c r="B47" s="29"/>
      <c r="C47" s="33"/>
      <c r="D47" s="98" t="str">
        <f>HYPERLINK("http://www4.worldbank.org/sprojects/Project.asp?pid=P035617","Grassroots Initiative to Fight Hunger and Poverty Project")</f>
        <v>Grassroots Initiative to Fight Hunger and Poverty Project</v>
      </c>
      <c r="E47" s="211" t="s">
        <v>145</v>
      </c>
      <c r="F47" s="147">
        <v>21.5</v>
      </c>
      <c r="G47" s="137" t="s">
        <v>77</v>
      </c>
      <c r="H47" s="54">
        <v>35886</v>
      </c>
      <c r="I47" s="54">
        <v>37987</v>
      </c>
      <c r="J47" s="26"/>
      <c r="K47" s="26"/>
      <c r="L47" s="36"/>
      <c r="M47" s="31"/>
      <c r="N47" s="31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103" t="s">
        <v>87</v>
      </c>
      <c r="AD47" s="109" t="s">
        <v>93</v>
      </c>
      <c r="AE47" s="31"/>
      <c r="AF47" s="103" t="s">
        <v>82</v>
      </c>
      <c r="AG47" s="103" t="s">
        <v>82</v>
      </c>
      <c r="AH47" s="103" t="s">
        <v>82</v>
      </c>
      <c r="AI47" s="31"/>
      <c r="AJ47" s="31"/>
      <c r="AK47" s="103" t="s">
        <v>82</v>
      </c>
      <c r="AL47" s="31"/>
      <c r="AM47" s="103" t="s">
        <v>82</v>
      </c>
      <c r="AN47" s="31"/>
      <c r="AO47" s="31"/>
      <c r="AP47" s="31"/>
      <c r="AQ47" s="31"/>
      <c r="AR47" s="40" t="s">
        <v>299</v>
      </c>
      <c r="AS47" s="6"/>
    </row>
    <row r="48" spans="1:45" ht="26.4" x14ac:dyDescent="0.25">
      <c r="A48" s="42">
        <v>27</v>
      </c>
      <c r="B48" s="29"/>
      <c r="C48" s="33"/>
      <c r="D48" s="98" t="str">
        <f>HYPERLINK("http://www4.worldbank.org/sprojects/Project.asp?pid=P041723","National Rural Infrastructure Project")</f>
        <v>National Rural Infrastructure Project</v>
      </c>
      <c r="E48" s="211" t="s">
        <v>146</v>
      </c>
      <c r="F48" s="147">
        <v>115</v>
      </c>
      <c r="G48" s="137" t="s">
        <v>77</v>
      </c>
      <c r="H48" s="54">
        <v>36678</v>
      </c>
      <c r="I48" s="54">
        <v>38687</v>
      </c>
      <c r="J48" s="26"/>
      <c r="K48" s="26"/>
      <c r="L48" s="36"/>
      <c r="M48" s="31"/>
      <c r="N48" s="31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103" t="s">
        <v>87</v>
      </c>
      <c r="AD48" s="109" t="s">
        <v>93</v>
      </c>
      <c r="AE48" s="31"/>
      <c r="AF48" s="31"/>
      <c r="AG48" s="103" t="s">
        <v>82</v>
      </c>
      <c r="AH48" s="103" t="s">
        <v>82</v>
      </c>
      <c r="AI48" s="31"/>
      <c r="AJ48" s="103" t="s">
        <v>82</v>
      </c>
      <c r="AK48" s="103" t="s">
        <v>82</v>
      </c>
      <c r="AL48" s="103" t="s">
        <v>82</v>
      </c>
      <c r="AM48" s="103" t="s">
        <v>82</v>
      </c>
      <c r="AN48" s="31"/>
      <c r="AO48" s="31"/>
      <c r="AP48" s="31"/>
      <c r="AQ48" s="31"/>
      <c r="AR48" s="40" t="s">
        <v>299</v>
      </c>
      <c r="AS48" s="6"/>
    </row>
    <row r="49" spans="1:45" x14ac:dyDescent="0.25">
      <c r="A49" s="42"/>
      <c r="B49" s="29"/>
      <c r="C49" s="33" t="s">
        <v>105</v>
      </c>
      <c r="D49" s="89"/>
      <c r="E49" s="167"/>
      <c r="F49" s="147"/>
      <c r="G49" s="137"/>
      <c r="H49" s="168"/>
      <c r="I49" s="168"/>
      <c r="J49" s="26"/>
      <c r="K49" s="26"/>
      <c r="L49" s="36"/>
      <c r="M49" s="31"/>
      <c r="N49" s="31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31"/>
      <c r="AD49" s="6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40"/>
      <c r="AS49" s="6"/>
    </row>
    <row r="50" spans="1:45" ht="39.6" x14ac:dyDescent="0.25">
      <c r="A50" s="42">
        <v>28</v>
      </c>
      <c r="B50" s="29"/>
      <c r="C50" s="33"/>
      <c r="D50" s="98" t="str">
        <f>HYPERLINK("http://www4.worldbank.org/sprojects/Project.asp?pid=P055003","Nutrition, Food Security and Social Mobilization Project")</f>
        <v>Nutrition, Food Security and Social Mobilization Project</v>
      </c>
      <c r="E50" s="211" t="s">
        <v>147</v>
      </c>
      <c r="F50" s="147">
        <v>5</v>
      </c>
      <c r="G50" s="137" t="s">
        <v>77</v>
      </c>
      <c r="H50" s="54">
        <v>36220</v>
      </c>
      <c r="I50" s="54">
        <v>37895</v>
      </c>
      <c r="J50" s="26"/>
      <c r="K50" s="26"/>
      <c r="L50" s="36"/>
      <c r="M50" s="31"/>
      <c r="N50" s="31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102" t="s">
        <v>82</v>
      </c>
      <c r="AC50" s="26"/>
      <c r="AD50" s="104" t="s">
        <v>96</v>
      </c>
      <c r="AE50" s="26"/>
      <c r="AF50" s="26"/>
      <c r="AG50" s="26"/>
      <c r="AH50" s="102" t="s">
        <v>82</v>
      </c>
      <c r="AI50" s="26"/>
      <c r="AJ50" s="102" t="s">
        <v>82</v>
      </c>
      <c r="AK50" s="26"/>
      <c r="AL50" s="102" t="s">
        <v>82</v>
      </c>
      <c r="AM50" s="102" t="s">
        <v>82</v>
      </c>
      <c r="AN50" s="26"/>
      <c r="AO50" s="26"/>
      <c r="AP50" s="26"/>
      <c r="AQ50" s="26"/>
      <c r="AR50" s="18" t="s">
        <v>299</v>
      </c>
      <c r="AS50" s="20"/>
    </row>
    <row r="51" spans="1:45" x14ac:dyDescent="0.25">
      <c r="A51" s="42"/>
      <c r="B51" s="29"/>
      <c r="C51" s="33" t="s">
        <v>53</v>
      </c>
      <c r="D51" s="89"/>
      <c r="E51" s="167"/>
      <c r="F51" s="147"/>
      <c r="G51" s="137"/>
      <c r="H51" s="54"/>
      <c r="I51" s="54"/>
      <c r="J51" s="26"/>
      <c r="K51" s="26"/>
      <c r="L51" s="36"/>
      <c r="M51" s="31"/>
      <c r="N51" s="31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60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18"/>
      <c r="AS51" s="20"/>
    </row>
    <row r="52" spans="1:45" ht="39.6" x14ac:dyDescent="0.25">
      <c r="A52" s="42">
        <v>29</v>
      </c>
      <c r="B52" s="29"/>
      <c r="C52" s="33"/>
      <c r="D52" s="98" t="str">
        <f>HYPERLINK("http://www4.worldbank.org/sprojects/Project.asp?pid=P051931","Community Reintegration and Development Project")</f>
        <v>Community Reintegration and Development Project</v>
      </c>
      <c r="E52" s="211" t="s">
        <v>148</v>
      </c>
      <c r="F52" s="147">
        <v>5</v>
      </c>
      <c r="G52" s="137" t="s">
        <v>77</v>
      </c>
      <c r="H52" s="54">
        <v>36069</v>
      </c>
      <c r="I52" s="54">
        <v>37226</v>
      </c>
      <c r="J52" s="26"/>
      <c r="K52" s="26"/>
      <c r="L52" s="36"/>
      <c r="M52" s="31"/>
      <c r="N52" s="31"/>
      <c r="O52" s="26"/>
      <c r="P52" s="26"/>
      <c r="Q52" s="26"/>
      <c r="R52" s="26"/>
      <c r="S52" s="26"/>
      <c r="T52" s="26"/>
      <c r="U52" s="26"/>
      <c r="V52" s="102" t="s">
        <v>82</v>
      </c>
      <c r="W52" s="26"/>
      <c r="X52" s="26"/>
      <c r="Y52" s="26"/>
      <c r="Z52" s="26"/>
      <c r="AA52" s="26"/>
      <c r="AB52" s="26"/>
      <c r="AC52" s="102" t="s">
        <v>87</v>
      </c>
      <c r="AD52" s="104" t="s">
        <v>87</v>
      </c>
      <c r="AE52" s="102" t="s">
        <v>82</v>
      </c>
      <c r="AF52" s="113"/>
      <c r="AG52" s="102" t="s">
        <v>82</v>
      </c>
      <c r="AH52" s="26"/>
      <c r="AI52" s="26"/>
      <c r="AJ52" s="102" t="s">
        <v>82</v>
      </c>
      <c r="AK52" s="102" t="s">
        <v>82</v>
      </c>
      <c r="AL52" s="102" t="s">
        <v>82</v>
      </c>
      <c r="AM52" s="26"/>
      <c r="AN52" s="102" t="s">
        <v>82</v>
      </c>
      <c r="AO52" s="26"/>
      <c r="AP52" s="26"/>
      <c r="AQ52" s="26"/>
      <c r="AR52" s="18" t="s">
        <v>299</v>
      </c>
      <c r="AS52" s="20"/>
    </row>
    <row r="53" spans="1:45" x14ac:dyDescent="0.25">
      <c r="A53" s="42"/>
      <c r="B53" s="29"/>
      <c r="C53" s="33" t="s">
        <v>106</v>
      </c>
      <c r="D53" s="89"/>
      <c r="E53" s="167"/>
      <c r="F53" s="147"/>
      <c r="G53" s="137"/>
      <c r="H53" s="54"/>
      <c r="I53" s="54"/>
      <c r="J53" s="26"/>
      <c r="K53" s="26"/>
      <c r="L53" s="36"/>
      <c r="M53" s="31"/>
      <c r="N53" s="31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60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18"/>
      <c r="AS53" s="20"/>
    </row>
    <row r="54" spans="1:45" ht="26.4" x14ac:dyDescent="0.25">
      <c r="A54" s="42">
        <v>30</v>
      </c>
      <c r="B54" s="29"/>
      <c r="C54" s="33"/>
      <c r="D54" s="98" t="str">
        <f>HYPERLINK("http://www4.worldbank.org/sprojects/Project.asp?pid=P041566","Social Development Fund Project")</f>
        <v>Social Development Fund Project</v>
      </c>
      <c r="E54" s="211" t="s">
        <v>149</v>
      </c>
      <c r="F54" s="147">
        <v>30</v>
      </c>
      <c r="G54" s="137" t="s">
        <v>77</v>
      </c>
      <c r="H54" s="54">
        <v>36861</v>
      </c>
      <c r="I54" s="54">
        <v>38322</v>
      </c>
      <c r="J54" s="26"/>
      <c r="K54" s="26"/>
      <c r="L54" s="36"/>
      <c r="M54" s="31"/>
      <c r="N54" s="31"/>
      <c r="O54" s="26"/>
      <c r="P54" s="102" t="s">
        <v>82</v>
      </c>
      <c r="Q54" s="26"/>
      <c r="R54" s="26"/>
      <c r="S54" s="26"/>
      <c r="T54" s="26"/>
      <c r="U54" s="26"/>
      <c r="V54" s="102" t="s">
        <v>82</v>
      </c>
      <c r="W54" s="102" t="s">
        <v>82</v>
      </c>
      <c r="X54" s="26"/>
      <c r="Y54" s="26"/>
      <c r="Z54" s="26"/>
      <c r="AA54" s="26"/>
      <c r="AB54" s="102" t="s">
        <v>82</v>
      </c>
      <c r="AC54" s="102" t="s">
        <v>87</v>
      </c>
      <c r="AD54" s="104" t="s">
        <v>96</v>
      </c>
      <c r="AE54" s="26"/>
      <c r="AF54" s="26"/>
      <c r="AG54" s="26"/>
      <c r="AH54" s="102" t="s">
        <v>82</v>
      </c>
      <c r="AI54" s="26"/>
      <c r="AJ54" s="102" t="s">
        <v>82</v>
      </c>
      <c r="AK54" s="26"/>
      <c r="AL54" s="102" t="s">
        <v>82</v>
      </c>
      <c r="AM54" s="102" t="s">
        <v>82</v>
      </c>
      <c r="AN54" s="26"/>
      <c r="AO54" s="26"/>
      <c r="AP54" s="26"/>
      <c r="AQ54" s="26"/>
      <c r="AR54" s="18" t="s">
        <v>299</v>
      </c>
      <c r="AS54" s="20"/>
    </row>
    <row r="55" spans="1:45" s="125" customFormat="1" x14ac:dyDescent="0.25">
      <c r="A55" s="124"/>
      <c r="B55" s="120"/>
      <c r="C55" s="121" t="s">
        <v>287</v>
      </c>
      <c r="D55" s="92"/>
      <c r="E55" s="212"/>
      <c r="F55" s="148"/>
      <c r="G55" s="140"/>
      <c r="H55" s="133"/>
      <c r="I55" s="133"/>
      <c r="J55" s="113"/>
      <c r="K55" s="113"/>
      <c r="L55" s="122"/>
      <c r="M55" s="118"/>
      <c r="N55" s="118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97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69"/>
      <c r="AS55" s="119"/>
    </row>
    <row r="56" spans="1:45" ht="39.6" x14ac:dyDescent="0.25">
      <c r="A56" s="42">
        <v>31</v>
      </c>
      <c r="B56" s="29"/>
      <c r="C56" s="33"/>
      <c r="D56" s="93" t="str">
        <f>HYPERLINK("http://www4.worldbank.org/sprojects/Project.asp?pid=P040649","Community Reintegration and Rehabilitation Project")</f>
        <v>Community Reintegration and Rehabilitation Project</v>
      </c>
      <c r="E56" s="213" t="s">
        <v>288</v>
      </c>
      <c r="F56" s="164">
        <v>25</v>
      </c>
      <c r="G56" s="137" t="s">
        <v>77</v>
      </c>
      <c r="H56" s="54">
        <v>36515</v>
      </c>
      <c r="I56" s="54">
        <v>37802</v>
      </c>
      <c r="J56" s="26"/>
      <c r="K56" s="26"/>
      <c r="L56" s="36"/>
      <c r="M56" s="31"/>
      <c r="N56" s="31"/>
      <c r="O56" s="26"/>
      <c r="P56" s="102" t="s">
        <v>82</v>
      </c>
      <c r="Q56" s="26"/>
      <c r="R56" s="26"/>
      <c r="S56" s="26"/>
      <c r="T56" s="26"/>
      <c r="U56" s="26"/>
      <c r="V56" s="113"/>
      <c r="W56" s="113"/>
      <c r="X56" s="26"/>
      <c r="Y56" s="26"/>
      <c r="Z56" s="26"/>
      <c r="AA56" s="102" t="s">
        <v>82</v>
      </c>
      <c r="AB56" s="113"/>
      <c r="AC56" s="113"/>
      <c r="AD56" s="104" t="s">
        <v>247</v>
      </c>
      <c r="AE56" s="26"/>
      <c r="AF56" s="26"/>
      <c r="AG56" s="26"/>
      <c r="AH56" s="113"/>
      <c r="AI56" s="113"/>
      <c r="AJ56" s="113"/>
      <c r="AK56" s="102" t="s">
        <v>82</v>
      </c>
      <c r="AL56" s="113"/>
      <c r="AM56" s="113"/>
      <c r="AN56" s="102" t="s">
        <v>82</v>
      </c>
      <c r="AO56" s="26"/>
      <c r="AP56" s="26"/>
      <c r="AQ56" s="26"/>
      <c r="AR56" s="18" t="s">
        <v>299</v>
      </c>
      <c r="AS56" s="20"/>
    </row>
    <row r="57" spans="1:45" x14ac:dyDescent="0.25">
      <c r="A57" s="42"/>
      <c r="B57" s="29"/>
      <c r="C57" s="33" t="s">
        <v>54</v>
      </c>
      <c r="D57" s="89"/>
      <c r="E57" s="167"/>
      <c r="F57" s="147"/>
      <c r="G57" s="137"/>
      <c r="H57" s="54"/>
      <c r="I57" s="54"/>
      <c r="J57" s="26"/>
      <c r="K57" s="26"/>
      <c r="L57" s="36"/>
      <c r="M57" s="31"/>
      <c r="N57" s="31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60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18"/>
      <c r="AS57" s="20"/>
    </row>
    <row r="58" spans="1:45" ht="26.4" x14ac:dyDescent="0.25">
      <c r="A58" s="42">
        <v>32</v>
      </c>
      <c r="B58" s="29"/>
      <c r="C58" s="33"/>
      <c r="D58" s="92" t="str">
        <f>HYPERLINK("http://www4.worldbank.org/sprojects/Project.asp?pid=P065372","Social Action Fund Project")</f>
        <v>Social Action Fund Project</v>
      </c>
      <c r="E58" s="211" t="s">
        <v>150</v>
      </c>
      <c r="F58" s="147">
        <v>60</v>
      </c>
      <c r="G58" s="137" t="s">
        <v>77</v>
      </c>
      <c r="H58" s="54">
        <v>36861</v>
      </c>
      <c r="I58" s="54">
        <v>38533</v>
      </c>
      <c r="J58" s="26"/>
      <c r="K58" s="26"/>
      <c r="L58" s="36"/>
      <c r="M58" s="31"/>
      <c r="N58" s="31"/>
      <c r="O58" s="26"/>
      <c r="P58" s="102" t="s">
        <v>82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02" t="s">
        <v>82</v>
      </c>
      <c r="AB58" s="26"/>
      <c r="AC58" s="102" t="s">
        <v>87</v>
      </c>
      <c r="AD58" s="104" t="s">
        <v>93</v>
      </c>
      <c r="AE58" s="102" t="s">
        <v>82</v>
      </c>
      <c r="AF58" s="26"/>
      <c r="AG58" s="102" t="s">
        <v>82</v>
      </c>
      <c r="AH58" s="26"/>
      <c r="AI58" s="26"/>
      <c r="AJ58" s="102" t="s">
        <v>82</v>
      </c>
      <c r="AK58" s="102" t="s">
        <v>82</v>
      </c>
      <c r="AL58" s="102" t="s">
        <v>82</v>
      </c>
      <c r="AM58" s="102" t="s">
        <v>82</v>
      </c>
      <c r="AN58" s="26"/>
      <c r="AO58" s="26"/>
      <c r="AP58" s="26"/>
      <c r="AQ58" s="26"/>
      <c r="AR58" s="18" t="s">
        <v>302</v>
      </c>
      <c r="AS58" s="20"/>
    </row>
    <row r="59" spans="1:45" x14ac:dyDescent="0.25">
      <c r="A59" s="42"/>
      <c r="B59" s="29"/>
      <c r="C59" s="33" t="s">
        <v>37</v>
      </c>
      <c r="D59" s="89"/>
      <c r="E59" s="214"/>
      <c r="F59" s="147"/>
      <c r="G59" s="137"/>
      <c r="H59" s="168"/>
      <c r="I59" s="168"/>
      <c r="J59" s="26"/>
      <c r="K59" s="26"/>
      <c r="L59" s="36"/>
      <c r="M59" s="31"/>
      <c r="N59" s="31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60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18"/>
      <c r="AS59" s="20"/>
    </row>
    <row r="60" spans="1:45" ht="39.6" x14ac:dyDescent="0.25">
      <c r="A60" s="42">
        <v>33</v>
      </c>
      <c r="B60" s="29"/>
      <c r="C60" s="33"/>
      <c r="D60" s="98" t="str">
        <f>HYPERLINK("http://www4.worldbank.org/sprojects/Project.asp?pid=P040551","Nutrition and Early Childhood Development Project")</f>
        <v>Nutrition and Early Childhood Development Project</v>
      </c>
      <c r="E60" s="211" t="s">
        <v>151</v>
      </c>
      <c r="F60" s="147">
        <v>34</v>
      </c>
      <c r="G60" s="137" t="s">
        <v>77</v>
      </c>
      <c r="H60" s="54">
        <v>35886</v>
      </c>
      <c r="I60" s="54">
        <v>37956</v>
      </c>
      <c r="J60" s="103" t="s">
        <v>82</v>
      </c>
      <c r="K60" s="26"/>
      <c r="L60" s="36"/>
      <c r="M60" s="31"/>
      <c r="N60" s="31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103" t="s">
        <v>82</v>
      </c>
      <c r="AC60" s="31"/>
      <c r="AD60" s="109" t="s">
        <v>91</v>
      </c>
      <c r="AE60" s="103" t="s">
        <v>82</v>
      </c>
      <c r="AF60" s="26"/>
      <c r="AG60" s="26"/>
      <c r="AH60" s="26"/>
      <c r="AI60" s="26"/>
      <c r="AJ60" s="103" t="s">
        <v>82</v>
      </c>
      <c r="AK60" s="103" t="s">
        <v>82</v>
      </c>
      <c r="AL60" s="103" t="s">
        <v>82</v>
      </c>
      <c r="AM60" s="102" t="s">
        <v>82</v>
      </c>
      <c r="AN60" s="26"/>
      <c r="AO60" s="26"/>
      <c r="AP60" s="26"/>
      <c r="AQ60" s="26"/>
      <c r="AR60" s="18"/>
      <c r="AS60" s="20"/>
    </row>
    <row r="61" spans="1:45" x14ac:dyDescent="0.25">
      <c r="A61" s="42"/>
      <c r="B61" s="29"/>
      <c r="C61" s="33" t="s">
        <v>55</v>
      </c>
      <c r="D61" s="89"/>
      <c r="E61" s="167"/>
      <c r="F61" s="147"/>
      <c r="G61" s="137"/>
      <c r="H61" s="54"/>
      <c r="I61" s="54"/>
      <c r="J61" s="26"/>
      <c r="K61" s="26"/>
      <c r="L61" s="36"/>
      <c r="M61" s="31"/>
      <c r="N61" s="31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60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18"/>
      <c r="AS61" s="20"/>
    </row>
    <row r="62" spans="1:45" ht="26.4" x14ac:dyDescent="0.25">
      <c r="A62" s="42">
        <v>34</v>
      </c>
      <c r="B62" s="29"/>
      <c r="C62" s="33"/>
      <c r="D62" s="98" t="str">
        <f>HYPERLINK("http://www4.worldbank.org/sprojects/Project.asp?pid=P063584","Social Investment Fund Project")</f>
        <v>Social Investment Fund Project</v>
      </c>
      <c r="E62" s="211" t="s">
        <v>152</v>
      </c>
      <c r="F62" s="147">
        <v>64.7</v>
      </c>
      <c r="G62" s="137" t="s">
        <v>77</v>
      </c>
      <c r="H62" s="54">
        <v>36647</v>
      </c>
      <c r="I62" s="54">
        <v>38687</v>
      </c>
      <c r="J62" s="26"/>
      <c r="K62" s="26"/>
      <c r="L62" s="36"/>
      <c r="M62" s="31"/>
      <c r="N62" s="31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102" t="s">
        <v>87</v>
      </c>
      <c r="AD62" s="104" t="s">
        <v>93</v>
      </c>
      <c r="AE62" s="102" t="s">
        <v>82</v>
      </c>
      <c r="AF62" s="26"/>
      <c r="AG62" s="102" t="s">
        <v>82</v>
      </c>
      <c r="AH62" s="26"/>
      <c r="AI62" s="26"/>
      <c r="AJ62" s="102" t="s">
        <v>82</v>
      </c>
      <c r="AK62" s="26"/>
      <c r="AL62" s="102" t="s">
        <v>82</v>
      </c>
      <c r="AM62" s="102" t="s">
        <v>82</v>
      </c>
      <c r="AN62" s="26"/>
      <c r="AO62" s="26"/>
      <c r="AP62" s="26"/>
      <c r="AQ62" s="26"/>
      <c r="AR62" s="18" t="s">
        <v>299</v>
      </c>
      <c r="AS62" s="20"/>
    </row>
    <row r="63" spans="1:45" ht="26.4" x14ac:dyDescent="0.25">
      <c r="A63" s="42">
        <v>35</v>
      </c>
      <c r="B63" s="29"/>
      <c r="C63" s="33"/>
      <c r="D63" s="92" t="str">
        <f>HYPERLINK("http://www4.worldbank.org/sprojects/Project.asp?pid=P003210","Social Recovery (02) Project")</f>
        <v>Social Recovery (02) Project</v>
      </c>
      <c r="E63" s="211" t="s">
        <v>159</v>
      </c>
      <c r="F63" s="147">
        <v>30</v>
      </c>
      <c r="G63" s="137" t="s">
        <v>77</v>
      </c>
      <c r="H63" s="54">
        <v>34878</v>
      </c>
      <c r="I63" s="54">
        <v>36891</v>
      </c>
      <c r="J63" s="26"/>
      <c r="K63" s="26"/>
      <c r="L63" s="36"/>
      <c r="M63" s="31"/>
      <c r="N63" s="31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02" t="s">
        <v>82</v>
      </c>
      <c r="AB63" s="26"/>
      <c r="AC63" s="102" t="s">
        <v>87</v>
      </c>
      <c r="AD63" s="60"/>
      <c r="AE63" s="102" t="s">
        <v>82</v>
      </c>
      <c r="AF63" s="26"/>
      <c r="AG63" s="102" t="s">
        <v>82</v>
      </c>
      <c r="AH63" s="26"/>
      <c r="AI63" s="26"/>
      <c r="AJ63" s="102" t="s">
        <v>82</v>
      </c>
      <c r="AK63" s="26"/>
      <c r="AL63" s="102" t="s">
        <v>82</v>
      </c>
      <c r="AM63" s="102" t="s">
        <v>82</v>
      </c>
      <c r="AN63" s="26"/>
      <c r="AO63" s="26"/>
      <c r="AP63" s="26"/>
      <c r="AQ63" s="26"/>
      <c r="AR63" s="18" t="s">
        <v>295</v>
      </c>
      <c r="AS63" s="20"/>
    </row>
    <row r="64" spans="1:45" ht="52.8" x14ac:dyDescent="0.25">
      <c r="A64" s="42">
        <v>36</v>
      </c>
      <c r="B64" s="29"/>
      <c r="C64" s="33"/>
      <c r="D64" s="90" t="str">
        <f>HYPERLINK("http://www4.worldbank.org/sprojects/Project.asp?pid=P050400","Public Service Capacity Building Project")</f>
        <v>Public Service Capacity Building Project</v>
      </c>
      <c r="E64" s="215" t="s">
        <v>213</v>
      </c>
      <c r="F64" s="149">
        <v>28</v>
      </c>
      <c r="G64" s="137" t="s">
        <v>77</v>
      </c>
      <c r="H64" s="54">
        <v>36613</v>
      </c>
      <c r="I64" s="85">
        <v>37986</v>
      </c>
      <c r="J64" s="102" t="s">
        <v>82</v>
      </c>
      <c r="K64" s="26"/>
      <c r="L64" s="36"/>
      <c r="M64" s="31"/>
      <c r="N64" s="31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77"/>
      <c r="AD64" s="104" t="s">
        <v>214</v>
      </c>
      <c r="AE64" s="102" t="s">
        <v>82</v>
      </c>
      <c r="AF64" s="102" t="s">
        <v>82</v>
      </c>
      <c r="AG64" s="26"/>
      <c r="AH64" s="102" t="s">
        <v>82</v>
      </c>
      <c r="AI64" s="26"/>
      <c r="AJ64" s="26"/>
      <c r="AK64" s="26"/>
      <c r="AL64" s="26"/>
      <c r="AM64" s="102" t="s">
        <v>82</v>
      </c>
      <c r="AN64" s="26"/>
      <c r="AO64" s="26"/>
      <c r="AP64" s="26"/>
      <c r="AQ64" s="26"/>
      <c r="AR64" s="18" t="s">
        <v>300</v>
      </c>
      <c r="AS64" s="20"/>
    </row>
    <row r="65" spans="1:45" s="57" customFormat="1" ht="26.4" x14ac:dyDescent="0.25">
      <c r="A65" s="86">
        <v>37</v>
      </c>
      <c r="B65" s="81"/>
      <c r="C65" s="82"/>
      <c r="D65" s="98" t="str">
        <f>HYPERLINK("http://www4.worldbank.org/sprojects/Project.asp?pid=P003227","Railway Restructuring Project")</f>
        <v>Railway Restructuring Project</v>
      </c>
      <c r="E65" s="216" t="s">
        <v>225</v>
      </c>
      <c r="F65" s="149">
        <v>27</v>
      </c>
      <c r="G65" s="165" t="s">
        <v>77</v>
      </c>
      <c r="H65" s="83">
        <v>36846</v>
      </c>
      <c r="I65" s="85">
        <v>38168</v>
      </c>
      <c r="J65" s="60"/>
      <c r="K65" s="60"/>
      <c r="L65" s="36"/>
      <c r="M65" s="61"/>
      <c r="N65" s="109" t="s">
        <v>82</v>
      </c>
      <c r="O65" s="60"/>
      <c r="P65" s="60"/>
      <c r="Q65" s="60"/>
      <c r="R65" s="60"/>
      <c r="S65" s="60"/>
      <c r="T65" s="60"/>
      <c r="U65" s="60"/>
      <c r="V65" s="104" t="s">
        <v>82</v>
      </c>
      <c r="W65" s="60"/>
      <c r="X65" s="60"/>
      <c r="Y65" s="60"/>
      <c r="Z65" s="60"/>
      <c r="AA65" s="60"/>
      <c r="AB65" s="60"/>
      <c r="AC65" s="77"/>
      <c r="AD65" s="107" t="s">
        <v>226</v>
      </c>
      <c r="AE65" s="60"/>
      <c r="AF65" s="60"/>
      <c r="AG65" s="60"/>
      <c r="AH65" s="60"/>
      <c r="AI65" s="60"/>
      <c r="AJ65" s="60"/>
      <c r="AK65" s="104" t="s">
        <v>82</v>
      </c>
      <c r="AL65" s="104" t="s">
        <v>82</v>
      </c>
      <c r="AM65" s="102" t="s">
        <v>82</v>
      </c>
      <c r="AN65" s="60"/>
      <c r="AO65" s="60"/>
      <c r="AP65" s="60"/>
      <c r="AQ65" s="60"/>
      <c r="AR65" s="59" t="s">
        <v>303</v>
      </c>
      <c r="AS65" s="87"/>
    </row>
    <row r="66" spans="1:45" x14ac:dyDescent="0.25">
      <c r="A66" s="42"/>
      <c r="B66" s="29"/>
      <c r="C66" s="33" t="s">
        <v>107</v>
      </c>
      <c r="D66" s="89"/>
      <c r="E66" s="167"/>
      <c r="F66" s="147"/>
      <c r="G66" s="137"/>
      <c r="H66" s="54"/>
      <c r="I66" s="54"/>
      <c r="J66" s="26"/>
      <c r="K66" s="26"/>
      <c r="L66" s="36"/>
      <c r="M66" s="31"/>
      <c r="N66" s="31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60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18"/>
      <c r="AS66" s="20"/>
    </row>
    <row r="67" spans="1:45" ht="26.4" x14ac:dyDescent="0.25">
      <c r="A67" s="42">
        <v>38</v>
      </c>
      <c r="B67" s="29"/>
      <c r="C67" s="33"/>
      <c r="D67" s="98" t="str">
        <f>HYPERLINK("http://www4.worldbank.org/sprojects/Project.asp?pid=P045031","Community Action Project")</f>
        <v>Community Action Project</v>
      </c>
      <c r="E67" s="211" t="s">
        <v>153</v>
      </c>
      <c r="F67" s="147">
        <v>60</v>
      </c>
      <c r="G67" s="137" t="s">
        <v>77</v>
      </c>
      <c r="H67" s="54">
        <v>35916</v>
      </c>
      <c r="I67" s="54">
        <v>37956</v>
      </c>
      <c r="J67" s="26"/>
      <c r="K67" s="26"/>
      <c r="L67" s="36"/>
      <c r="M67" s="31"/>
      <c r="N67" s="31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102" t="s">
        <v>87</v>
      </c>
      <c r="AD67" s="104" t="s">
        <v>93</v>
      </c>
      <c r="AE67" s="26"/>
      <c r="AF67" s="26"/>
      <c r="AG67" s="102" t="s">
        <v>82</v>
      </c>
      <c r="AH67" s="26"/>
      <c r="AI67" s="26"/>
      <c r="AJ67" s="102" t="s">
        <v>82</v>
      </c>
      <c r="AK67" s="26"/>
      <c r="AL67" s="102" t="s">
        <v>82</v>
      </c>
      <c r="AM67" s="102" t="s">
        <v>82</v>
      </c>
      <c r="AN67" s="26"/>
      <c r="AO67" s="26"/>
      <c r="AP67" s="26"/>
      <c r="AQ67" s="26"/>
      <c r="AR67" s="18" t="s">
        <v>299</v>
      </c>
      <c r="AS67" s="20"/>
    </row>
    <row r="68" spans="1:45" s="1" customFormat="1" x14ac:dyDescent="0.25">
      <c r="A68" s="44"/>
      <c r="B68" s="40"/>
      <c r="C68" s="41"/>
      <c r="D68" s="161"/>
      <c r="E68" s="217"/>
      <c r="F68" s="150"/>
      <c r="G68" s="137"/>
      <c r="H68" s="53"/>
      <c r="I68" s="53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6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40"/>
      <c r="AS68" s="5"/>
    </row>
    <row r="69" spans="1:45" s="1" customFormat="1" x14ac:dyDescent="0.25">
      <c r="A69" s="43"/>
      <c r="B69" s="40" t="s">
        <v>56</v>
      </c>
      <c r="C69" s="41"/>
      <c r="D69" s="91"/>
      <c r="E69" s="217"/>
      <c r="F69" s="150"/>
      <c r="G69" s="137"/>
      <c r="H69" s="53"/>
      <c r="I69" s="53"/>
      <c r="J69" s="26"/>
      <c r="K69" s="26"/>
      <c r="L69" s="26"/>
      <c r="M69" s="40"/>
      <c r="N69" s="31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60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18"/>
      <c r="AS69" s="39"/>
    </row>
    <row r="70" spans="1:45" x14ac:dyDescent="0.25">
      <c r="A70" s="42"/>
      <c r="B70" s="29"/>
      <c r="C70" s="33" t="s">
        <v>57</v>
      </c>
      <c r="D70" s="89"/>
      <c r="E70" s="167"/>
      <c r="F70" s="147"/>
      <c r="G70" s="53"/>
      <c r="H70" s="54"/>
      <c r="I70" s="54"/>
      <c r="J70" s="26"/>
      <c r="K70" s="26"/>
      <c r="L70" s="26"/>
      <c r="M70" s="40"/>
      <c r="N70" s="31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60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18"/>
      <c r="AS70" s="20"/>
    </row>
    <row r="71" spans="1:45" ht="26.4" x14ac:dyDescent="0.25">
      <c r="A71" s="42">
        <v>39</v>
      </c>
      <c r="B71" s="29"/>
      <c r="C71" s="33"/>
      <c r="D71" s="92" t="str">
        <f>HYPERLINK("http://www4.worldbank.org/sprojects/Project.asp?pid=P050601","Social Fund Project (02)")</f>
        <v>Social Fund Project (02)</v>
      </c>
      <c r="E71" s="211" t="s">
        <v>154</v>
      </c>
      <c r="F71" s="147">
        <v>25</v>
      </c>
      <c r="G71" s="53" t="s">
        <v>77</v>
      </c>
      <c r="H71" s="54">
        <v>36242</v>
      </c>
      <c r="I71" s="54">
        <v>37621</v>
      </c>
      <c r="J71" s="26"/>
      <c r="K71" s="26"/>
      <c r="L71" s="26"/>
      <c r="M71" s="40"/>
      <c r="N71" s="31"/>
      <c r="O71" s="26"/>
      <c r="P71" s="26"/>
      <c r="Q71" s="26"/>
      <c r="R71" s="26"/>
      <c r="S71" s="26"/>
      <c r="T71" s="26"/>
      <c r="U71" s="26"/>
      <c r="V71" s="102" t="s">
        <v>82</v>
      </c>
      <c r="W71" s="26"/>
      <c r="X71" s="26"/>
      <c r="Y71" s="26"/>
      <c r="Z71" s="26"/>
      <c r="AA71" s="102" t="s">
        <v>82</v>
      </c>
      <c r="AB71" s="26"/>
      <c r="AC71" s="102" t="s">
        <v>87</v>
      </c>
      <c r="AD71" s="104" t="s">
        <v>93</v>
      </c>
      <c r="AE71" s="102" t="s">
        <v>82</v>
      </c>
      <c r="AF71" s="26"/>
      <c r="AG71" s="102" t="s">
        <v>82</v>
      </c>
      <c r="AH71" s="26"/>
      <c r="AI71" s="26"/>
      <c r="AJ71" s="102" t="s">
        <v>82</v>
      </c>
      <c r="AK71" s="26"/>
      <c r="AL71" s="102" t="s">
        <v>82</v>
      </c>
      <c r="AM71" s="26"/>
      <c r="AN71" s="102" t="s">
        <v>82</v>
      </c>
      <c r="AO71" s="26"/>
      <c r="AP71" s="26"/>
      <c r="AQ71" s="26"/>
      <c r="AR71" s="18" t="s">
        <v>295</v>
      </c>
      <c r="AS71" s="20"/>
    </row>
    <row r="72" spans="1:45" x14ac:dyDescent="0.25">
      <c r="A72" s="42"/>
      <c r="B72" s="29"/>
      <c r="C72" s="33" t="s">
        <v>58</v>
      </c>
      <c r="D72" s="89"/>
      <c r="E72" s="167"/>
      <c r="F72" s="147"/>
      <c r="G72" s="53"/>
      <c r="H72" s="54"/>
      <c r="I72" s="54"/>
      <c r="J72" s="26"/>
      <c r="K72" s="26"/>
      <c r="L72" s="26"/>
      <c r="M72" s="40"/>
      <c r="N72" s="31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60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18"/>
      <c r="AS72" s="20"/>
    </row>
    <row r="73" spans="1:45" ht="39.6" x14ac:dyDescent="0.25">
      <c r="A73" s="42">
        <v>40</v>
      </c>
      <c r="B73" s="29"/>
      <c r="C73" s="33"/>
      <c r="D73" s="90" t="str">
        <f>HYPERLINK("http://www4.worldbank.org/sprojects/Project.asp?pid=P003603","Enterprise Housing and Social Security Reform Project")</f>
        <v>Enterprise Housing and Social Security Reform Project</v>
      </c>
      <c r="E73" s="215" t="s">
        <v>233</v>
      </c>
      <c r="F73" s="151">
        <v>350</v>
      </c>
      <c r="G73" s="218" t="s">
        <v>234</v>
      </c>
      <c r="H73" s="54">
        <v>34520</v>
      </c>
      <c r="I73" s="54">
        <v>37621</v>
      </c>
      <c r="J73" s="26"/>
      <c r="K73" s="26"/>
      <c r="L73" s="26"/>
      <c r="M73" s="40"/>
      <c r="N73" s="103" t="s">
        <v>82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2" t="s">
        <v>82</v>
      </c>
      <c r="AA73" s="26"/>
      <c r="AB73" s="26"/>
      <c r="AC73" s="107" t="s">
        <v>235</v>
      </c>
      <c r="AD73" s="107" t="s">
        <v>284</v>
      </c>
      <c r="AE73" s="26"/>
      <c r="AF73" s="102" t="s">
        <v>82</v>
      </c>
      <c r="AG73" s="26"/>
      <c r="AH73" s="102" t="s">
        <v>82</v>
      </c>
      <c r="AI73" s="26"/>
      <c r="AJ73" s="102" t="s">
        <v>82</v>
      </c>
      <c r="AK73" s="102" t="s">
        <v>82</v>
      </c>
      <c r="AL73" s="26"/>
      <c r="AM73" s="102" t="s">
        <v>82</v>
      </c>
      <c r="AN73" s="26"/>
      <c r="AO73" s="26"/>
      <c r="AP73" s="26"/>
      <c r="AQ73" s="26"/>
      <c r="AR73" s="18" t="s">
        <v>300</v>
      </c>
      <c r="AS73" s="20"/>
    </row>
    <row r="74" spans="1:45" ht="26.4" x14ac:dyDescent="0.25">
      <c r="A74" s="42">
        <v>41</v>
      </c>
      <c r="B74" s="29"/>
      <c r="C74" s="33"/>
      <c r="D74" s="90" t="str">
        <f>HYPERLINK("http://www4.worldbank.org/sprojects/Project.asp?pid=P003639","Southwest Poverty Reduction Project")</f>
        <v>Southwest Poverty Reduction Project</v>
      </c>
      <c r="E74" s="219" t="s">
        <v>274</v>
      </c>
      <c r="F74" s="152">
        <v>247.5</v>
      </c>
      <c r="G74" s="218" t="s">
        <v>78</v>
      </c>
      <c r="H74" s="54">
        <v>35180</v>
      </c>
      <c r="I74" s="54">
        <v>36981</v>
      </c>
      <c r="J74" s="26"/>
      <c r="K74" s="26"/>
      <c r="L74" s="26"/>
      <c r="M74" s="40"/>
      <c r="N74" s="118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02" t="s">
        <v>82</v>
      </c>
      <c r="AB74" s="102" t="s">
        <v>82</v>
      </c>
      <c r="AC74" s="97"/>
      <c r="AD74" s="107" t="s">
        <v>93</v>
      </c>
      <c r="AE74" s="113"/>
      <c r="AF74" s="113"/>
      <c r="AG74" s="102" t="s">
        <v>82</v>
      </c>
      <c r="AH74" s="113"/>
      <c r="AI74" s="113"/>
      <c r="AJ74" s="113"/>
      <c r="AK74" s="113"/>
      <c r="AL74" s="102" t="s">
        <v>82</v>
      </c>
      <c r="AM74" s="102" t="s">
        <v>82</v>
      </c>
      <c r="AN74" s="113"/>
      <c r="AO74" s="113"/>
      <c r="AP74" s="113"/>
      <c r="AQ74" s="113"/>
      <c r="AR74" s="169" t="s">
        <v>299</v>
      </c>
      <c r="AS74" s="119"/>
    </row>
    <row r="75" spans="1:45" x14ac:dyDescent="0.25">
      <c r="A75" s="45"/>
      <c r="B75" s="29"/>
      <c r="C75" s="33" t="s">
        <v>33</v>
      </c>
      <c r="D75" s="89"/>
      <c r="E75" s="214"/>
      <c r="F75" s="147"/>
      <c r="G75" s="137"/>
      <c r="H75" s="54"/>
      <c r="I75" s="54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6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40"/>
      <c r="AS75" s="6"/>
    </row>
    <row r="76" spans="1:45" ht="39.6" x14ac:dyDescent="0.25">
      <c r="A76" s="45">
        <v>42</v>
      </c>
      <c r="B76" s="29"/>
      <c r="C76" s="33"/>
      <c r="D76" s="98" t="str">
        <f>HYPERLINK("http://www4.worldbank.org/sprojects/Project.asp?pid=P056521","Structural Adjustment Loan Project (02) (Second Series)")</f>
        <v>Structural Adjustment Loan Project (02) (Second Series)</v>
      </c>
      <c r="E76" s="211" t="s">
        <v>160</v>
      </c>
      <c r="F76" s="153">
        <v>2000</v>
      </c>
      <c r="G76" s="53" t="s">
        <v>78</v>
      </c>
      <c r="H76" s="54">
        <v>36069</v>
      </c>
      <c r="I76" s="54">
        <v>36312</v>
      </c>
      <c r="J76" s="103" t="s">
        <v>82</v>
      </c>
      <c r="K76" s="31"/>
      <c r="L76" s="31"/>
      <c r="M76" s="40"/>
      <c r="N76" s="103" t="s">
        <v>82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103" t="s">
        <v>82</v>
      </c>
      <c r="AB76" s="31"/>
      <c r="AC76" s="31"/>
      <c r="AD76" s="109" t="s">
        <v>82</v>
      </c>
      <c r="AE76" s="31"/>
      <c r="AF76" s="103" t="s">
        <v>82</v>
      </c>
      <c r="AG76" s="31"/>
      <c r="AH76" s="31"/>
      <c r="AI76" s="31"/>
      <c r="AJ76" s="31"/>
      <c r="AK76" s="103" t="s">
        <v>82</v>
      </c>
      <c r="AL76" s="31"/>
      <c r="AM76" s="118"/>
      <c r="AN76" s="31"/>
      <c r="AO76" s="31"/>
      <c r="AP76" s="31"/>
      <c r="AQ76" s="103" t="s">
        <v>82</v>
      </c>
      <c r="AR76" s="40"/>
      <c r="AS76" s="6"/>
    </row>
    <row r="77" spans="1:45" x14ac:dyDescent="0.25">
      <c r="A77" s="42"/>
      <c r="B77" s="29"/>
      <c r="C77" s="33" t="s">
        <v>290</v>
      </c>
      <c r="D77" s="89"/>
      <c r="E77" s="167"/>
      <c r="F77" s="147"/>
      <c r="G77" s="53"/>
      <c r="H77" s="54"/>
      <c r="I77" s="54"/>
      <c r="J77" s="26"/>
      <c r="K77" s="26"/>
      <c r="L77" s="26"/>
      <c r="M77" s="40"/>
      <c r="N77" s="31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60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18"/>
      <c r="AS77" s="20"/>
    </row>
    <row r="78" spans="1:45" ht="39.6" x14ac:dyDescent="0.25">
      <c r="A78" s="42">
        <v>43</v>
      </c>
      <c r="B78" s="29"/>
      <c r="C78" s="33"/>
      <c r="D78" s="92" t="str">
        <f>HYPERLINK("http://www4.worldbank.org/sprojects/Project.asp?pid=P004207","Luang Namtha Provincial Development Project")</f>
        <v>Luang Namtha Provincial Development Project</v>
      </c>
      <c r="E78" s="211" t="s">
        <v>155</v>
      </c>
      <c r="F78" s="147">
        <v>9.67</v>
      </c>
      <c r="G78" s="53" t="s">
        <v>77</v>
      </c>
      <c r="H78" s="54">
        <v>34486</v>
      </c>
      <c r="I78" s="54">
        <v>37044</v>
      </c>
      <c r="J78" s="26"/>
      <c r="K78" s="26"/>
      <c r="L78" s="26"/>
      <c r="M78" s="40"/>
      <c r="N78" s="31"/>
      <c r="O78" s="26"/>
      <c r="P78" s="26"/>
      <c r="Q78" s="26"/>
      <c r="R78" s="102" t="s">
        <v>82</v>
      </c>
      <c r="S78" s="26"/>
      <c r="T78" s="26"/>
      <c r="U78" s="26"/>
      <c r="V78" s="102" t="s">
        <v>82</v>
      </c>
      <c r="W78" s="26"/>
      <c r="X78" s="26"/>
      <c r="Y78" s="26"/>
      <c r="Z78" s="26"/>
      <c r="AA78" s="102" t="s">
        <v>82</v>
      </c>
      <c r="AB78" s="26"/>
      <c r="AC78" s="102" t="s">
        <v>87</v>
      </c>
      <c r="AD78" s="104" t="s">
        <v>93</v>
      </c>
      <c r="AE78" s="102" t="s">
        <v>82</v>
      </c>
      <c r="AF78" s="26"/>
      <c r="AG78" s="102"/>
      <c r="AH78" s="26"/>
      <c r="AI78" s="26"/>
      <c r="AJ78" s="102" t="s">
        <v>82</v>
      </c>
      <c r="AK78" s="102" t="s">
        <v>82</v>
      </c>
      <c r="AL78" s="102" t="s">
        <v>82</v>
      </c>
      <c r="AM78" s="102" t="s">
        <v>82</v>
      </c>
      <c r="AN78" s="26"/>
      <c r="AO78" s="26"/>
      <c r="AP78" s="26"/>
      <c r="AQ78" s="26"/>
      <c r="AR78" s="18" t="s">
        <v>295</v>
      </c>
      <c r="AS78" s="20"/>
    </row>
    <row r="79" spans="1:45" x14ac:dyDescent="0.25">
      <c r="A79" s="42">
        <v>44</v>
      </c>
      <c r="B79" s="29"/>
      <c r="C79" s="33"/>
      <c r="D79" s="92" t="str">
        <f>HYPERLINK("http://www4.worldbank.org/sprojects/Project.asp?pid=P065884","Social Fund Project")</f>
        <v>Social Fund Project</v>
      </c>
      <c r="E79" s="211" t="s">
        <v>156</v>
      </c>
      <c r="F79" s="147">
        <v>5</v>
      </c>
      <c r="G79" s="53" t="s">
        <v>77</v>
      </c>
      <c r="H79" s="54">
        <v>36678</v>
      </c>
      <c r="I79" s="54"/>
      <c r="J79" s="26"/>
      <c r="K79" s="26"/>
      <c r="L79" s="26"/>
      <c r="M79" s="40"/>
      <c r="N79" s="31"/>
      <c r="O79" s="26"/>
      <c r="P79" s="102" t="s">
        <v>82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102" t="s">
        <v>82</v>
      </c>
      <c r="AC79" s="102" t="s">
        <v>87</v>
      </c>
      <c r="AD79" s="104" t="s">
        <v>93</v>
      </c>
      <c r="AE79" s="102" t="s">
        <v>82</v>
      </c>
      <c r="AF79" s="26"/>
      <c r="AG79" s="102" t="s">
        <v>82</v>
      </c>
      <c r="AH79" s="26"/>
      <c r="AI79" s="26"/>
      <c r="AJ79" s="102" t="s">
        <v>82</v>
      </c>
      <c r="AK79" s="102" t="s">
        <v>82</v>
      </c>
      <c r="AL79" s="102" t="s">
        <v>82</v>
      </c>
      <c r="AM79" s="102" t="s">
        <v>82</v>
      </c>
      <c r="AN79" s="26"/>
      <c r="AO79" s="26"/>
      <c r="AP79" s="26"/>
      <c r="AQ79" s="26"/>
      <c r="AR79" s="18" t="s">
        <v>304</v>
      </c>
      <c r="AS79" s="20"/>
    </row>
    <row r="80" spans="1:45" x14ac:dyDescent="0.25">
      <c r="A80" s="42"/>
      <c r="B80" s="29"/>
      <c r="C80" s="33" t="s">
        <v>108</v>
      </c>
      <c r="D80" s="89"/>
      <c r="E80" s="167"/>
      <c r="F80" s="147"/>
      <c r="G80" s="53"/>
      <c r="H80" s="54"/>
      <c r="I80" s="54"/>
      <c r="J80" s="26"/>
      <c r="K80" s="26"/>
      <c r="L80" s="26"/>
      <c r="M80" s="40"/>
      <c r="N80" s="31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60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18"/>
      <c r="AS80" s="20"/>
    </row>
    <row r="81" spans="1:45" ht="26.4" x14ac:dyDescent="0.25">
      <c r="A81" s="42">
        <v>45</v>
      </c>
      <c r="B81" s="29"/>
      <c r="C81" s="33"/>
      <c r="D81" s="92" t="str">
        <f>HYPERLINK("http://www4.worldbank.org/sprojects/Project.asp?pid=P060943","Social Sector Support Project")</f>
        <v>Social Sector Support Project</v>
      </c>
      <c r="E81" s="211" t="s">
        <v>161</v>
      </c>
      <c r="F81" s="147">
        <v>60</v>
      </c>
      <c r="G81" s="53" t="s">
        <v>77</v>
      </c>
      <c r="H81" s="54">
        <v>36220</v>
      </c>
      <c r="I81" s="54">
        <v>37227</v>
      </c>
      <c r="J81" s="102" t="s">
        <v>82</v>
      </c>
      <c r="K81" s="26"/>
      <c r="L81" s="26"/>
      <c r="M81" s="40"/>
      <c r="N81" s="31"/>
      <c r="O81" s="26"/>
      <c r="P81" s="26"/>
      <c r="Q81" s="102" t="s">
        <v>82</v>
      </c>
      <c r="R81" s="26"/>
      <c r="S81" s="26"/>
      <c r="T81" s="26"/>
      <c r="U81" s="26"/>
      <c r="V81" s="102" t="s">
        <v>82</v>
      </c>
      <c r="W81" s="26"/>
      <c r="X81" s="26"/>
      <c r="Y81" s="26"/>
      <c r="Z81" s="102" t="s">
        <v>82</v>
      </c>
      <c r="AA81" s="102" t="s">
        <v>82</v>
      </c>
      <c r="AB81" s="102" t="s">
        <v>82</v>
      </c>
      <c r="AC81" s="26"/>
      <c r="AD81" s="104" t="s">
        <v>93</v>
      </c>
      <c r="AE81" s="26"/>
      <c r="AF81" s="26"/>
      <c r="AG81" s="102" t="s">
        <v>82</v>
      </c>
      <c r="AH81" s="102" t="s">
        <v>82</v>
      </c>
      <c r="AI81" s="26"/>
      <c r="AJ81" s="26"/>
      <c r="AK81" s="26"/>
      <c r="AL81" s="102" t="s">
        <v>82</v>
      </c>
      <c r="AM81" s="102" t="s">
        <v>82</v>
      </c>
      <c r="AN81" s="26"/>
      <c r="AO81" s="26"/>
      <c r="AP81" s="26"/>
      <c r="AQ81" s="26"/>
      <c r="AR81" s="18" t="s">
        <v>296</v>
      </c>
      <c r="AS81" s="20"/>
    </row>
    <row r="82" spans="1:45" x14ac:dyDescent="0.25">
      <c r="A82" s="42"/>
      <c r="B82" s="29"/>
      <c r="C82" s="33" t="s">
        <v>59</v>
      </c>
      <c r="D82" s="89"/>
      <c r="E82" s="167"/>
      <c r="F82" s="147"/>
      <c r="G82" s="53"/>
      <c r="H82" s="54"/>
      <c r="I82" s="54"/>
      <c r="J82" s="26"/>
      <c r="K82" s="26"/>
      <c r="L82" s="26"/>
      <c r="M82" s="40"/>
      <c r="N82" s="31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60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18"/>
      <c r="AS82" s="20"/>
    </row>
    <row r="83" spans="1:45" ht="39.6" x14ac:dyDescent="0.25">
      <c r="A83" s="42">
        <v>46</v>
      </c>
      <c r="B83" s="29"/>
      <c r="C83" s="33"/>
      <c r="D83" s="92" t="str">
        <f>HYPERLINK("http://www4.worldbank.org/sprojects/Project.asp?pid=P036417","Poverty Alleviation for Vulnerable Groups Project")</f>
        <v>Poverty Alleviation for Vulnerable Groups Project</v>
      </c>
      <c r="E83" s="211" t="s">
        <v>162</v>
      </c>
      <c r="F83" s="147">
        <v>10.5</v>
      </c>
      <c r="G83" s="53" t="s">
        <v>77</v>
      </c>
      <c r="H83" s="54">
        <v>34886</v>
      </c>
      <c r="I83" s="54">
        <v>36891</v>
      </c>
      <c r="J83" s="26"/>
      <c r="K83" s="26"/>
      <c r="L83" s="26"/>
      <c r="M83" s="40"/>
      <c r="N83" s="31"/>
      <c r="O83" s="26"/>
      <c r="P83" s="26"/>
      <c r="Q83" s="26"/>
      <c r="R83" s="26"/>
      <c r="S83" s="26"/>
      <c r="T83" s="26"/>
      <c r="U83" s="102" t="s">
        <v>82</v>
      </c>
      <c r="V83" s="102" t="s">
        <v>82</v>
      </c>
      <c r="W83" s="26"/>
      <c r="X83" s="26"/>
      <c r="Y83" s="26"/>
      <c r="Z83" s="26"/>
      <c r="AA83" s="102" t="s">
        <v>82</v>
      </c>
      <c r="AB83" s="26"/>
      <c r="AC83" s="102" t="s">
        <v>87</v>
      </c>
      <c r="AD83" s="104" t="s">
        <v>95</v>
      </c>
      <c r="AE83" s="26"/>
      <c r="AF83" s="26"/>
      <c r="AG83" s="26"/>
      <c r="AH83" s="26"/>
      <c r="AI83" s="26"/>
      <c r="AJ83" s="102" t="s">
        <v>82</v>
      </c>
      <c r="AK83" s="102" t="s">
        <v>82</v>
      </c>
      <c r="AL83" s="102" t="s">
        <v>82</v>
      </c>
      <c r="AM83" s="102" t="s">
        <v>82</v>
      </c>
      <c r="AN83" s="26"/>
      <c r="AO83" s="26"/>
      <c r="AP83" s="26"/>
      <c r="AQ83" s="26"/>
      <c r="AR83" s="18" t="s">
        <v>295</v>
      </c>
      <c r="AS83" s="20"/>
    </row>
    <row r="84" spans="1:45" x14ac:dyDescent="0.25">
      <c r="A84" s="42"/>
      <c r="B84" s="29"/>
      <c r="C84" s="33" t="s">
        <v>60</v>
      </c>
      <c r="D84" s="89"/>
      <c r="E84" s="167"/>
      <c r="F84" s="147"/>
      <c r="G84" s="53"/>
      <c r="H84" s="54"/>
      <c r="I84" s="54"/>
      <c r="J84" s="26"/>
      <c r="K84" s="26"/>
      <c r="L84" s="26"/>
      <c r="M84" s="40"/>
      <c r="N84" s="31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60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18"/>
      <c r="AS84" s="20"/>
    </row>
    <row r="85" spans="1:45" ht="26.4" x14ac:dyDescent="0.25">
      <c r="A85" s="42">
        <v>47</v>
      </c>
      <c r="B85" s="29"/>
      <c r="C85" s="33"/>
      <c r="D85" s="92" t="str">
        <f>HYPERLINK("http://www4.worldbank.org/sprojects/Project.asp?pid=P051386","Szopad Social Fund Project")</f>
        <v>Szopad Social Fund Project</v>
      </c>
      <c r="E85" s="211" t="s">
        <v>163</v>
      </c>
      <c r="F85" s="147">
        <v>10</v>
      </c>
      <c r="G85" s="53" t="s">
        <v>78</v>
      </c>
      <c r="H85" s="54">
        <v>35878</v>
      </c>
      <c r="I85" s="54">
        <v>37256</v>
      </c>
      <c r="J85" s="26"/>
      <c r="K85" s="26"/>
      <c r="L85" s="26"/>
      <c r="M85" s="40"/>
      <c r="N85" s="31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102" t="s">
        <v>87</v>
      </c>
      <c r="AD85" s="104" t="s">
        <v>93</v>
      </c>
      <c r="AE85" s="26"/>
      <c r="AF85" s="26"/>
      <c r="AG85" s="102" t="s">
        <v>82</v>
      </c>
      <c r="AH85" s="102" t="s">
        <v>82</v>
      </c>
      <c r="AI85" s="26"/>
      <c r="AJ85" s="102" t="s">
        <v>82</v>
      </c>
      <c r="AK85" s="102" t="s">
        <v>82</v>
      </c>
      <c r="AL85" s="26"/>
      <c r="AM85" s="102" t="s">
        <v>82</v>
      </c>
      <c r="AN85" s="26"/>
      <c r="AO85" s="26"/>
      <c r="AP85" s="113"/>
      <c r="AQ85" s="26"/>
      <c r="AR85" s="18" t="s">
        <v>295</v>
      </c>
      <c r="AS85" s="20"/>
    </row>
    <row r="86" spans="1:45" ht="26.4" x14ac:dyDescent="0.25">
      <c r="A86" s="42">
        <v>48</v>
      </c>
      <c r="B86" s="29"/>
      <c r="C86" s="33"/>
      <c r="D86" s="92" t="str">
        <f>HYPERLINK("http://www4.worldbank.org/sprojects/Project.asp?pid=P065113","Social Expenditure Management Project")</f>
        <v>Social Expenditure Management Project</v>
      </c>
      <c r="E86" s="211" t="s">
        <v>164</v>
      </c>
      <c r="F86" s="147">
        <v>100</v>
      </c>
      <c r="G86" s="53" t="s">
        <v>78</v>
      </c>
      <c r="H86" s="54">
        <v>36557</v>
      </c>
      <c r="I86" s="54">
        <v>37227</v>
      </c>
      <c r="J86" s="102" t="s">
        <v>82</v>
      </c>
      <c r="K86" s="26"/>
      <c r="L86" s="26"/>
      <c r="M86" s="40"/>
      <c r="N86" s="3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104" t="s">
        <v>96</v>
      </c>
      <c r="AE86" s="26"/>
      <c r="AF86" s="102" t="s">
        <v>82</v>
      </c>
      <c r="AG86" s="26"/>
      <c r="AH86" s="26"/>
      <c r="AI86" s="26"/>
      <c r="AJ86" s="102" t="s">
        <v>82</v>
      </c>
      <c r="AK86" s="26"/>
      <c r="AL86" s="26"/>
      <c r="AM86" s="102" t="s">
        <v>82</v>
      </c>
      <c r="AN86" s="26"/>
      <c r="AO86" s="26"/>
      <c r="AP86" s="113"/>
      <c r="AQ86" s="26"/>
      <c r="AR86" s="18" t="s">
        <v>296</v>
      </c>
      <c r="AS86" s="20"/>
    </row>
    <row r="87" spans="1:45" x14ac:dyDescent="0.25">
      <c r="A87" s="42"/>
      <c r="B87" s="29"/>
      <c r="C87" s="33" t="s">
        <v>109</v>
      </c>
      <c r="D87" s="89"/>
      <c r="E87" s="167"/>
      <c r="F87" s="147"/>
      <c r="G87" s="53"/>
      <c r="H87" s="54"/>
      <c r="I87" s="54"/>
      <c r="J87" s="26"/>
      <c r="K87" s="26"/>
      <c r="L87" s="26"/>
      <c r="M87" s="40"/>
      <c r="N87" s="31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60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18"/>
      <c r="AS87" s="20"/>
    </row>
    <row r="88" spans="1:45" ht="26.4" x14ac:dyDescent="0.25">
      <c r="A88" s="42">
        <v>49</v>
      </c>
      <c r="B88" s="29"/>
      <c r="C88" s="33"/>
      <c r="D88" s="98" t="str">
        <f>HYPERLINK("http://www4.worldbank.org/sprojects/Project.asp?pid=P056269","Social Investment Project")</f>
        <v>Social Investment Project</v>
      </c>
      <c r="E88" s="211" t="s">
        <v>165</v>
      </c>
      <c r="F88" s="147">
        <v>300</v>
      </c>
      <c r="G88" s="53" t="s">
        <v>78</v>
      </c>
      <c r="H88" s="54">
        <v>35977</v>
      </c>
      <c r="I88" s="54">
        <v>37347</v>
      </c>
      <c r="J88" s="102" t="s">
        <v>82</v>
      </c>
      <c r="K88" s="26"/>
      <c r="L88" s="26"/>
      <c r="M88" s="40"/>
      <c r="N88" s="31"/>
      <c r="O88" s="26"/>
      <c r="P88" s="26"/>
      <c r="Q88" s="26"/>
      <c r="R88" s="26"/>
      <c r="S88" s="26"/>
      <c r="T88" s="26"/>
      <c r="U88" s="26"/>
      <c r="V88" s="102" t="s">
        <v>82</v>
      </c>
      <c r="W88" s="102" t="s">
        <v>82</v>
      </c>
      <c r="X88" s="26"/>
      <c r="Y88" s="26"/>
      <c r="Z88" s="26"/>
      <c r="AA88" s="102" t="s">
        <v>82</v>
      </c>
      <c r="AB88" s="26"/>
      <c r="AC88" s="102" t="s">
        <v>87</v>
      </c>
      <c r="AD88" s="60"/>
      <c r="AE88" s="102" t="s">
        <v>82</v>
      </c>
      <c r="AF88" s="26"/>
      <c r="AG88" s="102" t="s">
        <v>82</v>
      </c>
      <c r="AH88" s="102" t="s">
        <v>82</v>
      </c>
      <c r="AI88" s="26"/>
      <c r="AJ88" s="102" t="s">
        <v>82</v>
      </c>
      <c r="AK88" s="26"/>
      <c r="AL88" s="26"/>
      <c r="AM88" s="26"/>
      <c r="AN88" s="26"/>
      <c r="AO88" s="26"/>
      <c r="AP88" s="113"/>
      <c r="AQ88" s="102" t="s">
        <v>82</v>
      </c>
      <c r="AR88" s="169" t="s">
        <v>299</v>
      </c>
      <c r="AS88" s="20"/>
    </row>
    <row r="89" spans="1:45" x14ac:dyDescent="0.25">
      <c r="A89" s="42"/>
      <c r="B89" s="29"/>
      <c r="C89" s="33" t="s">
        <v>244</v>
      </c>
      <c r="D89" s="98"/>
      <c r="E89" s="211"/>
      <c r="F89" s="147"/>
      <c r="G89" s="53"/>
      <c r="H89" s="54"/>
      <c r="I89" s="54"/>
      <c r="J89" s="26"/>
      <c r="K89" s="26"/>
      <c r="L89" s="26"/>
      <c r="M89" s="40"/>
      <c r="N89" s="31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60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18"/>
      <c r="AS89" s="20"/>
    </row>
    <row r="90" spans="1:45" ht="39.6" x14ac:dyDescent="0.25">
      <c r="A90" s="42">
        <v>50</v>
      </c>
      <c r="B90" s="29"/>
      <c r="C90" s="33"/>
      <c r="D90" s="92" t="str">
        <f>HYPERLINK("http://www4.worldbank.org/sprojects/Project.asp?pid=P042568","Coastal Wetlands Protection and Development Project")</f>
        <v>Coastal Wetlands Protection and Development Project</v>
      </c>
      <c r="E90" s="220" t="s">
        <v>245</v>
      </c>
      <c r="F90" s="138">
        <v>31.8</v>
      </c>
      <c r="G90" s="53" t="s">
        <v>77</v>
      </c>
      <c r="H90" s="54">
        <v>36487</v>
      </c>
      <c r="I90" s="54">
        <v>38990</v>
      </c>
      <c r="J90" s="102" t="s">
        <v>82</v>
      </c>
      <c r="K90" s="26"/>
      <c r="L90" s="26"/>
      <c r="M90" s="40"/>
      <c r="N90" s="31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02" t="s">
        <v>82</v>
      </c>
      <c r="AB90" s="102" t="s">
        <v>82</v>
      </c>
      <c r="AC90" s="115" t="s">
        <v>246</v>
      </c>
      <c r="AD90" s="104" t="s">
        <v>247</v>
      </c>
      <c r="AE90" s="26"/>
      <c r="AF90" s="26"/>
      <c r="AG90" s="102" t="s">
        <v>82</v>
      </c>
      <c r="AH90" s="26"/>
      <c r="AI90" s="26"/>
      <c r="AJ90" s="102" t="s">
        <v>82</v>
      </c>
      <c r="AK90" s="102" t="s">
        <v>82</v>
      </c>
      <c r="AL90" s="26"/>
      <c r="AM90" s="102" t="s">
        <v>82</v>
      </c>
      <c r="AN90" s="26"/>
      <c r="AO90" s="26"/>
      <c r="AP90" s="26"/>
      <c r="AQ90" s="26"/>
      <c r="AR90" s="18" t="s">
        <v>296</v>
      </c>
      <c r="AS90" s="20"/>
    </row>
    <row r="91" spans="1:45" x14ac:dyDescent="0.25">
      <c r="A91" s="42"/>
      <c r="B91" s="29"/>
      <c r="C91" s="33"/>
      <c r="D91" s="98"/>
      <c r="E91" s="211"/>
      <c r="F91" s="147"/>
      <c r="G91" s="53"/>
      <c r="H91" s="54"/>
      <c r="I91" s="54"/>
      <c r="J91" s="26"/>
      <c r="K91" s="26"/>
      <c r="L91" s="26"/>
      <c r="M91" s="40"/>
      <c r="N91" s="31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60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18"/>
      <c r="AS91" s="20"/>
    </row>
    <row r="92" spans="1:45" s="1" customFormat="1" x14ac:dyDescent="0.25">
      <c r="A92" s="43"/>
      <c r="B92" s="40" t="s">
        <v>61</v>
      </c>
      <c r="C92" s="41"/>
      <c r="D92" s="91"/>
      <c r="E92" s="221"/>
      <c r="F92" s="150"/>
      <c r="G92" s="53"/>
      <c r="H92" s="53"/>
      <c r="I92" s="53"/>
      <c r="J92" s="26"/>
      <c r="K92" s="26"/>
      <c r="L92" s="26"/>
      <c r="M92" s="40"/>
      <c r="N92" s="31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60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18"/>
      <c r="AS92" s="39"/>
    </row>
    <row r="93" spans="1:45" x14ac:dyDescent="0.25">
      <c r="A93" s="42"/>
      <c r="B93" s="29"/>
      <c r="C93" s="33" t="s">
        <v>62</v>
      </c>
      <c r="D93" s="89"/>
      <c r="E93" s="167"/>
      <c r="F93" s="147"/>
      <c r="G93" s="53"/>
      <c r="H93" s="54"/>
      <c r="I93" s="54"/>
      <c r="J93" s="26"/>
      <c r="K93" s="26"/>
      <c r="L93" s="26"/>
      <c r="M93" s="40"/>
      <c r="N93" s="31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60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18"/>
      <c r="AS93" s="20"/>
    </row>
    <row r="94" spans="1:45" ht="26.4" x14ac:dyDescent="0.25">
      <c r="A94" s="42">
        <v>51</v>
      </c>
      <c r="B94" s="29"/>
      <c r="C94" s="33"/>
      <c r="D94" s="92" t="str">
        <f>HYPERLINK("http://www4.worldbank.org/sprojects/Project.asp?pid=P051309","Community Works Project")</f>
        <v>Community Works Project</v>
      </c>
      <c r="E94" s="211" t="s">
        <v>166</v>
      </c>
      <c r="F94" s="147">
        <v>9</v>
      </c>
      <c r="G94" s="53" t="s">
        <v>77</v>
      </c>
      <c r="H94" s="54">
        <v>36179</v>
      </c>
      <c r="I94" s="54">
        <v>37711</v>
      </c>
      <c r="J94" s="26"/>
      <c r="K94" s="26"/>
      <c r="L94" s="26"/>
      <c r="M94" s="40"/>
      <c r="N94" s="31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02" t="s">
        <v>82</v>
      </c>
      <c r="AB94" s="26"/>
      <c r="AC94" s="102" t="s">
        <v>87</v>
      </c>
      <c r="AD94" s="60"/>
      <c r="AE94" s="102" t="s">
        <v>82</v>
      </c>
      <c r="AF94" s="26"/>
      <c r="AG94" s="102" t="s">
        <v>82</v>
      </c>
      <c r="AH94" s="102" t="s">
        <v>82</v>
      </c>
      <c r="AI94" s="26"/>
      <c r="AJ94" s="102" t="s">
        <v>82</v>
      </c>
      <c r="AK94" s="26"/>
      <c r="AL94" s="102" t="s">
        <v>82</v>
      </c>
      <c r="AM94" s="113"/>
      <c r="AN94" s="26"/>
      <c r="AO94" s="26"/>
      <c r="AP94" s="102" t="s">
        <v>82</v>
      </c>
      <c r="AQ94" s="26"/>
      <c r="AR94" s="18" t="s">
        <v>295</v>
      </c>
      <c r="AS94" s="20"/>
    </row>
    <row r="95" spans="1:45" s="186" customFormat="1" ht="26.4" x14ac:dyDescent="0.25">
      <c r="A95" s="182">
        <v>52</v>
      </c>
      <c r="B95" s="183"/>
      <c r="C95" s="184"/>
      <c r="D95" s="126" t="str">
        <f>HYPERLINK("http://www4.worldbank.org/sprojects/Project.asp?pid=P055383","Social Service Delivery Project")</f>
        <v>Social Service Delivery Project</v>
      </c>
      <c r="E95" s="222" t="s">
        <v>315</v>
      </c>
      <c r="F95" s="185">
        <v>10</v>
      </c>
      <c r="G95" s="53" t="s">
        <v>77</v>
      </c>
      <c r="H95" s="202">
        <v>37049</v>
      </c>
      <c r="I95" s="202">
        <v>39538</v>
      </c>
      <c r="J95" s="176"/>
      <c r="K95" s="176"/>
      <c r="L95" s="176"/>
      <c r="M95" s="175"/>
      <c r="N95" s="177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02" t="s">
        <v>87</v>
      </c>
      <c r="AD95" s="104" t="s">
        <v>82</v>
      </c>
      <c r="AE95" s="102" t="s">
        <v>82</v>
      </c>
      <c r="AF95" s="102" t="s">
        <v>82</v>
      </c>
      <c r="AG95" s="176"/>
      <c r="AH95" s="176"/>
      <c r="AI95" s="102" t="s">
        <v>82</v>
      </c>
      <c r="AJ95" s="102" t="s">
        <v>82</v>
      </c>
      <c r="AK95" s="102" t="s">
        <v>82</v>
      </c>
      <c r="AL95" s="102" t="s">
        <v>82</v>
      </c>
      <c r="AM95" s="176"/>
      <c r="AN95" s="176"/>
      <c r="AO95" s="176"/>
      <c r="AP95" s="102" t="s">
        <v>82</v>
      </c>
      <c r="AQ95" s="176"/>
      <c r="AR95" s="180" t="s">
        <v>314</v>
      </c>
      <c r="AS95" s="181"/>
    </row>
    <row r="96" spans="1:45" s="186" customFormat="1" ht="26.4" x14ac:dyDescent="0.25">
      <c r="A96" s="182">
        <v>53</v>
      </c>
      <c r="B96" s="183"/>
      <c r="C96" s="184"/>
      <c r="D96" s="126" t="str">
        <f>HYPERLINK("http://www4.worldbank.org/sprojects/Project.asp?pid=P069935","Poverty Reduction Strategy Credit Project")</f>
        <v>Poverty Reduction Strategy Credit Project</v>
      </c>
      <c r="E96" s="222" t="s">
        <v>316</v>
      </c>
      <c r="F96" s="185">
        <v>20</v>
      </c>
      <c r="G96" s="53" t="s">
        <v>77</v>
      </c>
      <c r="H96" s="202" t="s">
        <v>217</v>
      </c>
      <c r="I96" s="202" t="s">
        <v>217</v>
      </c>
      <c r="J96" s="102" t="s">
        <v>82</v>
      </c>
      <c r="K96" s="176"/>
      <c r="L96" s="176"/>
      <c r="M96" s="175"/>
      <c r="N96" s="177"/>
      <c r="O96" s="176"/>
      <c r="P96" s="176"/>
      <c r="Q96" s="176"/>
      <c r="R96" s="176"/>
      <c r="S96" s="176"/>
      <c r="T96" s="176"/>
      <c r="U96" s="102" t="s">
        <v>82</v>
      </c>
      <c r="V96" s="176"/>
      <c r="W96" s="176"/>
      <c r="X96" s="176"/>
      <c r="Y96" s="176"/>
      <c r="Z96" s="176"/>
      <c r="AA96" s="176"/>
      <c r="AB96" s="176"/>
      <c r="AC96" s="176"/>
      <c r="AD96" s="104" t="s">
        <v>82</v>
      </c>
      <c r="AE96" s="176"/>
      <c r="AF96" s="102" t="s">
        <v>82</v>
      </c>
      <c r="AG96" s="176"/>
      <c r="AH96" s="176"/>
      <c r="AI96" s="176"/>
      <c r="AJ96" s="176"/>
      <c r="AK96" s="176"/>
      <c r="AL96" s="102" t="s">
        <v>82</v>
      </c>
      <c r="AM96" s="176"/>
      <c r="AN96" s="176"/>
      <c r="AO96" s="176"/>
      <c r="AP96" s="102" t="s">
        <v>82</v>
      </c>
      <c r="AQ96" s="176"/>
      <c r="AR96" s="180" t="s">
        <v>314</v>
      </c>
      <c r="AS96" s="181"/>
    </row>
    <row r="97" spans="1:45" x14ac:dyDescent="0.25">
      <c r="A97" s="42"/>
      <c r="B97" s="29"/>
      <c r="C97" s="33" t="s">
        <v>110</v>
      </c>
      <c r="D97" s="89"/>
      <c r="E97" s="167"/>
      <c r="F97" s="147"/>
      <c r="G97" s="53"/>
      <c r="H97" s="54"/>
      <c r="I97" s="54"/>
      <c r="J97" s="26"/>
      <c r="K97" s="26"/>
      <c r="L97" s="26"/>
      <c r="M97" s="40"/>
      <c r="N97" s="31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0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18"/>
      <c r="AS97" s="20"/>
    </row>
    <row r="98" spans="1:45" ht="26.4" x14ac:dyDescent="0.25">
      <c r="A98" s="42">
        <v>54</v>
      </c>
      <c r="B98" s="29"/>
      <c r="C98" s="33"/>
      <c r="D98" s="92" t="str">
        <f>HYPERLINK("http://www4.worldbank.org/sprojects/Project.asp?pid=P057952","Social Investment Fund Project (02)")</f>
        <v>Social Investment Fund Project (02)</v>
      </c>
      <c r="E98" s="211" t="s">
        <v>167</v>
      </c>
      <c r="F98" s="147">
        <v>20</v>
      </c>
      <c r="G98" s="53" t="s">
        <v>77</v>
      </c>
      <c r="H98" s="54">
        <v>36647</v>
      </c>
      <c r="I98" s="54">
        <v>38687</v>
      </c>
      <c r="J98" s="26"/>
      <c r="K98" s="26"/>
      <c r="L98" s="26"/>
      <c r="M98" s="40"/>
      <c r="N98" s="31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02" t="s">
        <v>82</v>
      </c>
      <c r="AB98" s="26"/>
      <c r="AC98" s="102" t="s">
        <v>87</v>
      </c>
      <c r="AD98" s="60"/>
      <c r="AE98" s="102" t="s">
        <v>82</v>
      </c>
      <c r="AF98" s="26"/>
      <c r="AG98" s="102" t="s">
        <v>82</v>
      </c>
      <c r="AH98" s="26"/>
      <c r="AI98" s="26"/>
      <c r="AJ98" s="102" t="s">
        <v>82</v>
      </c>
      <c r="AK98" s="102" t="s">
        <v>82</v>
      </c>
      <c r="AL98" s="102" t="s">
        <v>82</v>
      </c>
      <c r="AM98" s="113"/>
      <c r="AN98" s="26"/>
      <c r="AO98" s="26"/>
      <c r="AP98" s="102" t="s">
        <v>82</v>
      </c>
      <c r="AQ98" s="26"/>
      <c r="AR98" s="18" t="s">
        <v>296</v>
      </c>
      <c r="AS98" s="20"/>
    </row>
    <row r="99" spans="1:45" x14ac:dyDescent="0.25">
      <c r="A99" s="42"/>
      <c r="B99" s="29"/>
      <c r="C99" s="33" t="s">
        <v>271</v>
      </c>
      <c r="D99" s="92"/>
      <c r="E99" s="211"/>
      <c r="F99" s="147"/>
      <c r="G99" s="53"/>
      <c r="H99" s="54"/>
      <c r="I99" s="54"/>
      <c r="J99" s="26"/>
      <c r="K99" s="26"/>
      <c r="L99" s="26"/>
      <c r="M99" s="40"/>
      <c r="N99" s="31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13"/>
      <c r="AB99" s="113"/>
      <c r="AC99" s="113"/>
      <c r="AD99" s="97"/>
      <c r="AE99" s="113"/>
      <c r="AF99" s="113"/>
      <c r="AG99" s="113"/>
      <c r="AH99" s="113"/>
      <c r="AI99" s="113"/>
      <c r="AJ99" s="113"/>
      <c r="AK99" s="113"/>
      <c r="AL99" s="113"/>
      <c r="AM99" s="113"/>
      <c r="AN99" s="26"/>
      <c r="AO99" s="26"/>
      <c r="AP99" s="26"/>
      <c r="AQ99" s="26"/>
      <c r="AR99" s="18"/>
      <c r="AS99" s="20"/>
    </row>
    <row r="100" spans="1:45" ht="39.6" x14ac:dyDescent="0.25">
      <c r="A100" s="42">
        <v>55</v>
      </c>
      <c r="B100" s="29"/>
      <c r="C100" s="33"/>
      <c r="D100" s="90" t="str">
        <f>HYPERLINK("http://www4.worldbank.org/sprojects/Project.asp?pid=P065504","Pilot Reconstruction Project (Supplemental Credit)")</f>
        <v>Pilot Reconstruction Project (Supplemental Credit)</v>
      </c>
      <c r="E100" s="219" t="s">
        <v>272</v>
      </c>
      <c r="F100" s="152">
        <v>10</v>
      </c>
      <c r="G100" s="53" t="s">
        <v>77</v>
      </c>
      <c r="H100" s="54">
        <v>35978</v>
      </c>
      <c r="I100" s="54">
        <v>37711</v>
      </c>
      <c r="J100" s="26"/>
      <c r="K100" s="26"/>
      <c r="L100" s="26"/>
      <c r="M100" s="40"/>
      <c r="N100" s="31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02" t="s">
        <v>82</v>
      </c>
      <c r="AB100" s="102" t="s">
        <v>82</v>
      </c>
      <c r="AC100" s="115" t="s">
        <v>273</v>
      </c>
      <c r="AD100" s="104" t="s">
        <v>97</v>
      </c>
      <c r="AE100" s="113"/>
      <c r="AF100" s="113"/>
      <c r="AG100" s="113"/>
      <c r="AH100" s="102" t="s">
        <v>82</v>
      </c>
      <c r="AI100" s="113"/>
      <c r="AJ100" s="102" t="s">
        <v>82</v>
      </c>
      <c r="AK100" s="113"/>
      <c r="AL100" s="113"/>
      <c r="AM100" s="113"/>
      <c r="AN100" s="102" t="s">
        <v>82</v>
      </c>
      <c r="AO100" s="26"/>
      <c r="AP100" s="26"/>
      <c r="AQ100" s="26"/>
      <c r="AR100" s="18" t="s">
        <v>299</v>
      </c>
      <c r="AS100" s="20"/>
    </row>
    <row r="101" spans="1:45" x14ac:dyDescent="0.25">
      <c r="A101" s="42"/>
      <c r="B101" s="29"/>
      <c r="C101" s="33" t="s">
        <v>111</v>
      </c>
      <c r="D101" s="89"/>
      <c r="E101" s="167"/>
      <c r="F101" s="147"/>
      <c r="G101" s="53"/>
      <c r="H101" s="54"/>
      <c r="I101" s="54"/>
      <c r="J101" s="26"/>
      <c r="K101" s="26"/>
      <c r="L101" s="26"/>
      <c r="M101" s="40"/>
      <c r="N101" s="31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60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18"/>
      <c r="AS101" s="20"/>
    </row>
    <row r="102" spans="1:45" ht="39.6" x14ac:dyDescent="0.25">
      <c r="A102" s="42">
        <v>56</v>
      </c>
      <c r="B102" s="29"/>
      <c r="C102" s="33"/>
      <c r="D102" s="98" t="str">
        <f>HYPERLINK("http://www4.worldbank.org/sprojects/Project.asp?pid=P070146","Pilot Emergency Labor Redeployment Project")</f>
        <v>Pilot Emergency Labor Redeployment Project</v>
      </c>
      <c r="E102" s="211" t="s">
        <v>168</v>
      </c>
      <c r="F102" s="147">
        <v>15</v>
      </c>
      <c r="G102" s="53" t="s">
        <v>77</v>
      </c>
      <c r="H102" s="54">
        <v>36678</v>
      </c>
      <c r="I102" s="54">
        <v>37865</v>
      </c>
      <c r="J102" s="26"/>
      <c r="K102" s="26"/>
      <c r="L102" s="26"/>
      <c r="M102" s="40"/>
      <c r="N102" s="31"/>
      <c r="O102" s="26"/>
      <c r="P102" s="26"/>
      <c r="Q102" s="26"/>
      <c r="R102" s="26"/>
      <c r="S102" s="26"/>
      <c r="T102" s="26"/>
      <c r="U102" s="26"/>
      <c r="V102" s="102" t="s">
        <v>82</v>
      </c>
      <c r="W102" s="26"/>
      <c r="X102" s="26"/>
      <c r="Y102" s="26"/>
      <c r="Z102" s="26"/>
      <c r="AA102" s="26"/>
      <c r="AB102" s="102" t="s">
        <v>120</v>
      </c>
      <c r="AC102" s="26"/>
      <c r="AD102" s="104" t="s">
        <v>96</v>
      </c>
      <c r="AE102" s="26"/>
      <c r="AF102" s="113"/>
      <c r="AG102" s="26"/>
      <c r="AH102" s="26"/>
      <c r="AI102" s="26"/>
      <c r="AJ102" s="102" t="s">
        <v>82</v>
      </c>
      <c r="AK102" s="26"/>
      <c r="AL102" s="102" t="s">
        <v>82</v>
      </c>
      <c r="AM102" s="26"/>
      <c r="AN102" s="102" t="s">
        <v>82</v>
      </c>
      <c r="AO102" s="26"/>
      <c r="AP102" s="26"/>
      <c r="AQ102" s="26"/>
      <c r="AR102" s="18" t="s">
        <v>299</v>
      </c>
      <c r="AS102" s="20"/>
    </row>
    <row r="103" spans="1:45" ht="39.6" x14ac:dyDescent="0.25">
      <c r="A103" s="42">
        <v>57</v>
      </c>
      <c r="B103" s="29"/>
      <c r="C103" s="33"/>
      <c r="D103" s="98" t="str">
        <f>HYPERLINK("http://www4.worldbank.org/sprojects/Project.asp?pid=P069058","Social Sector Adjustment Credit Project")</f>
        <v>Social Sector Adjustment Credit Project</v>
      </c>
      <c r="E103" s="211" t="s">
        <v>169</v>
      </c>
      <c r="F103" s="147">
        <v>20</v>
      </c>
      <c r="G103" s="53" t="s">
        <v>77</v>
      </c>
      <c r="H103" s="54">
        <v>36937</v>
      </c>
      <c r="I103" s="54">
        <v>37133</v>
      </c>
      <c r="J103" s="102" t="s">
        <v>82</v>
      </c>
      <c r="K103" s="26"/>
      <c r="L103" s="26"/>
      <c r="M103" s="110" t="s">
        <v>82</v>
      </c>
      <c r="N103" s="31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60"/>
      <c r="AE103" s="26"/>
      <c r="AF103" s="102" t="s">
        <v>82</v>
      </c>
      <c r="AG103" s="26"/>
      <c r="AH103" s="26"/>
      <c r="AI103" s="26"/>
      <c r="AJ103" s="102" t="s">
        <v>82</v>
      </c>
      <c r="AK103" s="102" t="s">
        <v>82</v>
      </c>
      <c r="AL103" s="26"/>
      <c r="AM103" s="26"/>
      <c r="AN103" s="102" t="s">
        <v>82</v>
      </c>
      <c r="AO103" s="26"/>
      <c r="AP103" s="26"/>
      <c r="AQ103" s="26"/>
      <c r="AR103" s="18" t="s">
        <v>299</v>
      </c>
      <c r="AS103" s="20"/>
    </row>
    <row r="104" spans="1:45" x14ac:dyDescent="0.25">
      <c r="A104" s="42"/>
      <c r="B104" s="29"/>
      <c r="C104" s="33" t="s">
        <v>112</v>
      </c>
      <c r="D104" s="89"/>
      <c r="E104" s="167"/>
      <c r="F104" s="147"/>
      <c r="G104" s="53"/>
      <c r="H104" s="54"/>
      <c r="I104" s="54"/>
      <c r="J104" s="26"/>
      <c r="K104" s="26"/>
      <c r="L104" s="26"/>
      <c r="M104" s="40"/>
      <c r="N104" s="31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0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18"/>
      <c r="AS104" s="20"/>
    </row>
    <row r="105" spans="1:45" ht="26.4" x14ac:dyDescent="0.25">
      <c r="A105" s="42">
        <v>58</v>
      </c>
      <c r="B105" s="29"/>
      <c r="C105" s="33"/>
      <c r="D105" s="98" t="str">
        <f>HYPERLINK("http://www4.worldbank.org/sprojects/Project.asp?pid=P064536","Child Welfare Reform Project")</f>
        <v>Child Welfare Reform Project</v>
      </c>
      <c r="E105" s="211" t="s">
        <v>170</v>
      </c>
      <c r="F105" s="147">
        <v>8</v>
      </c>
      <c r="G105" s="53" t="s">
        <v>78</v>
      </c>
      <c r="H105" s="54">
        <v>36956</v>
      </c>
      <c r="I105" s="54">
        <v>38168</v>
      </c>
      <c r="J105" s="26"/>
      <c r="K105" s="26"/>
      <c r="L105" s="26"/>
      <c r="M105" s="40"/>
      <c r="N105" s="31"/>
      <c r="O105" s="26"/>
      <c r="P105" s="26"/>
      <c r="Q105" s="26"/>
      <c r="R105" s="102" t="s">
        <v>82</v>
      </c>
      <c r="S105" s="26"/>
      <c r="T105" s="26"/>
      <c r="U105" s="26"/>
      <c r="V105" s="26"/>
      <c r="W105" s="26"/>
      <c r="X105" s="26"/>
      <c r="Y105" s="26"/>
      <c r="Z105" s="102" t="s">
        <v>82</v>
      </c>
      <c r="AA105" s="26"/>
      <c r="AB105" s="26"/>
      <c r="AC105" s="107" t="s">
        <v>291</v>
      </c>
      <c r="AD105" s="104" t="s">
        <v>91</v>
      </c>
      <c r="AE105" s="102" t="s">
        <v>82</v>
      </c>
      <c r="AF105" s="102" t="s">
        <v>82</v>
      </c>
      <c r="AG105" s="26"/>
      <c r="AH105" s="26"/>
      <c r="AI105" s="26"/>
      <c r="AJ105" s="102" t="s">
        <v>82</v>
      </c>
      <c r="AK105" s="26"/>
      <c r="AL105" s="26"/>
      <c r="AM105" s="113"/>
      <c r="AN105" s="26"/>
      <c r="AO105" s="26"/>
      <c r="AP105" s="102" t="s">
        <v>82</v>
      </c>
      <c r="AQ105" s="26"/>
      <c r="AR105" s="18" t="s">
        <v>295</v>
      </c>
      <c r="AS105" s="20"/>
    </row>
    <row r="106" spans="1:45" ht="26.4" x14ac:dyDescent="0.25">
      <c r="A106" s="42">
        <v>59</v>
      </c>
      <c r="B106" s="29"/>
      <c r="C106" s="33"/>
      <c r="D106" s="98" t="str">
        <f>HYPERLINK("http://www4.worldbank.org/sprojects/Project.asp?pid=P055156","Regional Initiatives Fund Project")</f>
        <v>Regional Initiatives Fund Project</v>
      </c>
      <c r="E106" s="211" t="s">
        <v>171</v>
      </c>
      <c r="F106" s="147">
        <v>5</v>
      </c>
      <c r="G106" s="53" t="s">
        <v>78</v>
      </c>
      <c r="H106" s="54">
        <v>36100</v>
      </c>
      <c r="I106" s="54">
        <v>36982</v>
      </c>
      <c r="J106" s="26"/>
      <c r="K106" s="26"/>
      <c r="L106" s="26"/>
      <c r="M106" s="40"/>
      <c r="N106" s="31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102" t="s">
        <v>87</v>
      </c>
      <c r="AD106" s="60"/>
      <c r="AE106" s="26"/>
      <c r="AF106" s="26"/>
      <c r="AG106" s="102" t="s">
        <v>82</v>
      </c>
      <c r="AH106" s="102" t="s">
        <v>82</v>
      </c>
      <c r="AI106" s="26"/>
      <c r="AJ106" s="26"/>
      <c r="AK106" s="26"/>
      <c r="AL106" s="102" t="s">
        <v>82</v>
      </c>
      <c r="AM106" s="113"/>
      <c r="AN106" s="26"/>
      <c r="AO106" s="26"/>
      <c r="AP106" s="102" t="s">
        <v>82</v>
      </c>
      <c r="AQ106" s="26"/>
      <c r="AR106" s="18" t="s">
        <v>299</v>
      </c>
      <c r="AS106" s="20"/>
    </row>
    <row r="107" spans="1:45" x14ac:dyDescent="0.25">
      <c r="A107" s="42"/>
      <c r="B107" s="29"/>
      <c r="C107" s="33" t="s">
        <v>63</v>
      </c>
      <c r="D107" s="89"/>
      <c r="E107" s="167"/>
      <c r="F107" s="147"/>
      <c r="G107" s="53"/>
      <c r="H107" s="54"/>
      <c r="I107" s="54"/>
      <c r="J107" s="26"/>
      <c r="K107" s="26"/>
      <c r="L107" s="26"/>
      <c r="M107" s="40"/>
      <c r="N107" s="31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60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18"/>
      <c r="AS107" s="20"/>
    </row>
    <row r="108" spans="1:45" ht="39.6" x14ac:dyDescent="0.25">
      <c r="A108" s="42">
        <v>60</v>
      </c>
      <c r="B108" s="29"/>
      <c r="C108" s="33"/>
      <c r="D108" s="98" t="str">
        <f>HYPERLINK("http://www4.worldbank.org/sprojects/Project.asp?pid=P008417","Municipal Infrastructure Rehabilitation Project")</f>
        <v>Municipal Infrastructure Rehabilitation Project</v>
      </c>
      <c r="E108" s="211" t="s">
        <v>172</v>
      </c>
      <c r="F108" s="147">
        <v>18</v>
      </c>
      <c r="G108" s="53" t="s">
        <v>77</v>
      </c>
      <c r="H108" s="54">
        <v>34639</v>
      </c>
      <c r="I108" s="54">
        <v>36678</v>
      </c>
      <c r="J108" s="26"/>
      <c r="K108" s="26"/>
      <c r="L108" s="26"/>
      <c r="M108" s="40"/>
      <c r="N108" s="31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02" t="s">
        <v>82</v>
      </c>
      <c r="AB108" s="26"/>
      <c r="AC108" s="102" t="s">
        <v>87</v>
      </c>
      <c r="AD108" s="60"/>
      <c r="AE108" s="102" t="s">
        <v>82</v>
      </c>
      <c r="AF108" s="26"/>
      <c r="AG108" s="102" t="s">
        <v>82</v>
      </c>
      <c r="AH108" s="26"/>
      <c r="AI108" s="26"/>
      <c r="AJ108" s="102" t="s">
        <v>82</v>
      </c>
      <c r="AK108" s="102" t="s">
        <v>82</v>
      </c>
      <c r="AL108" s="26"/>
      <c r="AM108" s="113"/>
      <c r="AN108" s="26"/>
      <c r="AO108" s="26"/>
      <c r="AP108" s="102" t="s">
        <v>82</v>
      </c>
      <c r="AQ108" s="26"/>
      <c r="AR108" s="18" t="s">
        <v>299</v>
      </c>
      <c r="AS108" s="20"/>
    </row>
    <row r="109" spans="1:45" ht="26.4" x14ac:dyDescent="0.25">
      <c r="A109" s="42">
        <v>61</v>
      </c>
      <c r="B109" s="29"/>
      <c r="C109" s="33"/>
      <c r="D109" s="98" t="str">
        <f>HYPERLINK("http://www4.worldbank.org/sprojects/Project.asp?pid=P039929","Social Investment Fund Project")</f>
        <v>Social Investment Fund Project</v>
      </c>
      <c r="E109" s="211" t="s">
        <v>173</v>
      </c>
      <c r="F109" s="147">
        <v>20</v>
      </c>
      <c r="G109" s="53" t="s">
        <v>77</v>
      </c>
      <c r="H109" s="54">
        <v>35612</v>
      </c>
      <c r="I109" s="54">
        <v>37437</v>
      </c>
      <c r="J109" s="26"/>
      <c r="K109" s="26"/>
      <c r="L109" s="26"/>
      <c r="M109" s="40"/>
      <c r="N109" s="31"/>
      <c r="O109" s="26"/>
      <c r="P109" s="26"/>
      <c r="Q109" s="26"/>
      <c r="R109" s="26"/>
      <c r="S109" s="26"/>
      <c r="T109" s="26"/>
      <c r="U109" s="26"/>
      <c r="V109" s="102" t="s">
        <v>82</v>
      </c>
      <c r="W109" s="26"/>
      <c r="X109" s="26"/>
      <c r="Y109" s="26"/>
      <c r="Z109" s="26"/>
      <c r="AA109" s="102" t="s">
        <v>82</v>
      </c>
      <c r="AB109" s="26"/>
      <c r="AC109" s="26"/>
      <c r="AD109" s="60"/>
      <c r="AE109" s="102" t="s">
        <v>82</v>
      </c>
      <c r="AF109" s="26"/>
      <c r="AG109" s="102" t="s">
        <v>82</v>
      </c>
      <c r="AH109" s="102" t="s">
        <v>82</v>
      </c>
      <c r="AI109" s="26"/>
      <c r="AJ109" s="102" t="s">
        <v>82</v>
      </c>
      <c r="AK109" s="102" t="s">
        <v>82</v>
      </c>
      <c r="AL109" s="102" t="s">
        <v>82</v>
      </c>
      <c r="AM109" s="113"/>
      <c r="AN109" s="26"/>
      <c r="AO109" s="26"/>
      <c r="AP109" s="102" t="s">
        <v>82</v>
      </c>
      <c r="AQ109" s="26"/>
      <c r="AR109" s="18" t="s">
        <v>295</v>
      </c>
      <c r="AS109" s="20"/>
    </row>
    <row r="110" spans="1:45" ht="26.4" x14ac:dyDescent="0.25">
      <c r="A110" s="42">
        <v>62</v>
      </c>
      <c r="B110" s="29"/>
      <c r="C110" s="33"/>
      <c r="D110" s="98" t="str">
        <f>HYPERLINK("http://www4.worldbank.org/sprojects/Project.asp?pid=P052154","Structural Reform Support Project")</f>
        <v>Structural Reform Support Project</v>
      </c>
      <c r="E110" s="211" t="s">
        <v>174</v>
      </c>
      <c r="F110" s="147">
        <v>16.5</v>
      </c>
      <c r="G110" s="53" t="s">
        <v>77</v>
      </c>
      <c r="H110" s="54">
        <v>36312</v>
      </c>
      <c r="I110" s="54">
        <v>37317</v>
      </c>
      <c r="J110" s="26"/>
      <c r="K110" s="26"/>
      <c r="L110" s="26"/>
      <c r="M110" s="40"/>
      <c r="N110" s="31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102" t="s">
        <v>82</v>
      </c>
      <c r="AB110" s="26"/>
      <c r="AC110" s="26"/>
      <c r="AD110" s="104" t="s">
        <v>82</v>
      </c>
      <c r="AE110" s="102" t="s">
        <v>82</v>
      </c>
      <c r="AF110" s="102" t="s">
        <v>82</v>
      </c>
      <c r="AG110" s="26"/>
      <c r="AH110" s="26"/>
      <c r="AI110" s="26"/>
      <c r="AJ110" s="102" t="s">
        <v>82</v>
      </c>
      <c r="AK110" s="102" t="s">
        <v>82</v>
      </c>
      <c r="AL110" s="102" t="s">
        <v>82</v>
      </c>
      <c r="AM110" s="113"/>
      <c r="AN110" s="26"/>
      <c r="AO110" s="26"/>
      <c r="AP110" s="102" t="s">
        <v>82</v>
      </c>
      <c r="AQ110" s="26"/>
      <c r="AR110" s="18" t="s">
        <v>303</v>
      </c>
      <c r="AS110" s="20"/>
    </row>
    <row r="111" spans="1:45" x14ac:dyDescent="0.25">
      <c r="A111" s="42"/>
      <c r="B111" s="29"/>
      <c r="C111" s="33" t="s">
        <v>175</v>
      </c>
      <c r="D111" s="89"/>
      <c r="E111" s="167"/>
      <c r="F111" s="147"/>
      <c r="G111" s="53"/>
      <c r="H111" s="54"/>
      <c r="I111" s="54"/>
      <c r="J111" s="26"/>
      <c r="K111" s="26"/>
      <c r="L111" s="26"/>
      <c r="M111" s="40"/>
      <c r="N111" s="31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60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18"/>
      <c r="AS111" s="20"/>
    </row>
    <row r="112" spans="1:45" ht="39.6" x14ac:dyDescent="0.25">
      <c r="A112" s="42">
        <v>63</v>
      </c>
      <c r="B112" s="29"/>
      <c r="C112" s="33"/>
      <c r="D112" s="98" t="str">
        <f>HYPERLINK("http://www4.worldbank.org/sprojects/Project.asp?pid=P038569","Social Sector Adjustment Credit Project")</f>
        <v>Social Sector Adjustment Credit Project</v>
      </c>
      <c r="E112" s="211" t="s">
        <v>176</v>
      </c>
      <c r="F112" s="147">
        <v>36.5</v>
      </c>
      <c r="G112" s="53" t="s">
        <v>77</v>
      </c>
      <c r="H112" s="54">
        <v>36130</v>
      </c>
      <c r="I112" s="54">
        <v>36678</v>
      </c>
      <c r="J112" s="102" t="s">
        <v>82</v>
      </c>
      <c r="K112" s="26"/>
      <c r="L112" s="102" t="s">
        <v>82</v>
      </c>
      <c r="M112" s="40"/>
      <c r="N112" s="31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60"/>
      <c r="AE112" s="26"/>
      <c r="AF112" s="102" t="s">
        <v>121</v>
      </c>
      <c r="AG112" s="26"/>
      <c r="AH112" s="26"/>
      <c r="AI112" s="26"/>
      <c r="AJ112" s="102" t="s">
        <v>82</v>
      </c>
      <c r="AK112" s="102" t="s">
        <v>82</v>
      </c>
      <c r="AL112" s="102" t="s">
        <v>82</v>
      </c>
      <c r="AM112" s="26"/>
      <c r="AN112" s="26"/>
      <c r="AO112" s="26"/>
      <c r="AP112" s="102" t="s">
        <v>82</v>
      </c>
      <c r="AQ112" s="26"/>
      <c r="AR112" s="18" t="s">
        <v>299</v>
      </c>
      <c r="AS112" s="20"/>
    </row>
    <row r="113" spans="1:45" ht="26.4" x14ac:dyDescent="0.25">
      <c r="A113" s="42">
        <v>64</v>
      </c>
      <c r="B113" s="29"/>
      <c r="C113" s="33"/>
      <c r="D113" s="98" t="str">
        <f>HYPERLINK("http://www4.worldbank.org/sprojects/Project.asp?pid=P069814","Technical Assistance Credit Project")</f>
        <v>Technical Assistance Credit Project</v>
      </c>
      <c r="E113" s="211" t="s">
        <v>222</v>
      </c>
      <c r="F113" s="147">
        <v>5</v>
      </c>
      <c r="G113" s="53" t="s">
        <v>77</v>
      </c>
      <c r="H113" s="54">
        <v>36699</v>
      </c>
      <c r="I113" s="54">
        <v>38199</v>
      </c>
      <c r="J113" s="26"/>
      <c r="K113" s="26"/>
      <c r="L113" s="26"/>
      <c r="M113" s="40"/>
      <c r="N113" s="31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102" t="s">
        <v>82</v>
      </c>
      <c r="Z113" s="26"/>
      <c r="AA113" s="26"/>
      <c r="AB113" s="26"/>
      <c r="AC113" s="199"/>
      <c r="AD113" s="104" t="s">
        <v>223</v>
      </c>
      <c r="AE113" s="26"/>
      <c r="AF113" s="102" t="s">
        <v>82</v>
      </c>
      <c r="AG113" s="26"/>
      <c r="AH113" s="102" t="s">
        <v>82</v>
      </c>
      <c r="AI113" s="102" t="s">
        <v>82</v>
      </c>
      <c r="AJ113" s="102" t="s">
        <v>82</v>
      </c>
      <c r="AK113" s="102" t="s">
        <v>82</v>
      </c>
      <c r="AL113" s="102" t="s">
        <v>82</v>
      </c>
      <c r="AM113" s="26"/>
      <c r="AN113" s="26"/>
      <c r="AO113" s="26"/>
      <c r="AP113" s="102" t="s">
        <v>82</v>
      </c>
      <c r="AQ113" s="26"/>
      <c r="AR113" s="18" t="s">
        <v>296</v>
      </c>
      <c r="AS113" s="20"/>
    </row>
    <row r="114" spans="1:45" s="186" customFormat="1" ht="39.6" x14ac:dyDescent="0.25">
      <c r="A114" s="182">
        <v>65</v>
      </c>
      <c r="B114" s="183"/>
      <c r="C114" s="184"/>
      <c r="D114" s="126" t="str">
        <f>HYPERLINK("http://www4.worldbank.org/sprojects/Project.asp?pid=P035810","Consolidation Structural Adjustment Credit Project")</f>
        <v>Consolidation Structural Adjustment Credit Project</v>
      </c>
      <c r="E114" s="222" t="s">
        <v>317</v>
      </c>
      <c r="F114" s="185">
        <v>35</v>
      </c>
      <c r="G114" s="53" t="s">
        <v>77</v>
      </c>
      <c r="H114" s="202">
        <v>36783</v>
      </c>
      <c r="I114" s="202">
        <v>37346</v>
      </c>
      <c r="J114" s="176"/>
      <c r="K114" s="176"/>
      <c r="L114" s="176"/>
      <c r="M114" s="175"/>
      <c r="N114" s="177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02" t="s">
        <v>82</v>
      </c>
      <c r="Z114" s="176"/>
      <c r="AA114" s="176"/>
      <c r="AB114" s="176"/>
      <c r="AC114" s="199"/>
      <c r="AD114" s="104" t="s">
        <v>82</v>
      </c>
      <c r="AE114" s="176"/>
      <c r="AF114" s="176"/>
      <c r="AG114" s="176"/>
      <c r="AH114" s="176"/>
      <c r="AI114" s="176"/>
      <c r="AJ114" s="176"/>
      <c r="AK114" s="176"/>
      <c r="AL114" s="176"/>
      <c r="AM114" s="176"/>
      <c r="AN114" s="176"/>
      <c r="AO114" s="176"/>
      <c r="AP114" s="102" t="s">
        <v>82</v>
      </c>
      <c r="AQ114" s="176"/>
      <c r="AR114" s="180" t="s">
        <v>314</v>
      </c>
      <c r="AS114" s="181"/>
    </row>
    <row r="115" spans="1:45" x14ac:dyDescent="0.25">
      <c r="A115" s="42"/>
      <c r="B115" s="29"/>
      <c r="C115" s="33" t="s">
        <v>64</v>
      </c>
      <c r="D115" s="89"/>
      <c r="E115" s="167"/>
      <c r="F115" s="147"/>
      <c r="G115" s="53"/>
      <c r="H115" s="54"/>
      <c r="I115" s="54"/>
      <c r="J115" s="26"/>
      <c r="K115" s="26"/>
      <c r="L115" s="26"/>
      <c r="M115" s="40"/>
      <c r="N115" s="31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60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18"/>
      <c r="AS115" s="20"/>
    </row>
    <row r="116" spans="1:45" ht="26.4" x14ac:dyDescent="0.25">
      <c r="A116" s="42">
        <v>66</v>
      </c>
      <c r="B116" s="29"/>
      <c r="C116" s="33"/>
      <c r="D116" s="98" t="str">
        <f>HYPERLINK("http://www4.worldbank.org/sprojects/Project.asp?pid=P035807","Welfare Reform Project")</f>
        <v>Welfare Reform Project</v>
      </c>
      <c r="E116" s="211" t="s">
        <v>177</v>
      </c>
      <c r="F116" s="147">
        <v>18.100000000000001</v>
      </c>
      <c r="G116" s="53" t="s">
        <v>78</v>
      </c>
      <c r="H116" s="54">
        <v>35582</v>
      </c>
      <c r="I116" s="54">
        <v>37621</v>
      </c>
      <c r="J116" s="102" t="s">
        <v>82</v>
      </c>
      <c r="K116" s="102" t="s">
        <v>82</v>
      </c>
      <c r="L116" s="26"/>
      <c r="M116" s="40"/>
      <c r="N116" s="31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104" t="s">
        <v>96</v>
      </c>
      <c r="AE116" s="26"/>
      <c r="AF116" s="102" t="s">
        <v>82</v>
      </c>
      <c r="AG116" s="26"/>
      <c r="AH116" s="26"/>
      <c r="AI116" s="102" t="s">
        <v>82</v>
      </c>
      <c r="AJ116" s="102" t="s">
        <v>82</v>
      </c>
      <c r="AK116" s="102" t="s">
        <v>82</v>
      </c>
      <c r="AL116" s="102" t="s">
        <v>82</v>
      </c>
      <c r="AM116" s="113"/>
      <c r="AN116" s="26"/>
      <c r="AO116" s="26"/>
      <c r="AP116" s="102" t="s">
        <v>82</v>
      </c>
      <c r="AQ116" s="26"/>
      <c r="AR116" s="18" t="s">
        <v>295</v>
      </c>
      <c r="AS116" s="20"/>
    </row>
    <row r="117" spans="1:45" ht="39.6" x14ac:dyDescent="0.25">
      <c r="A117" s="42">
        <v>67</v>
      </c>
      <c r="B117" s="29"/>
      <c r="C117" s="33"/>
      <c r="D117" s="93" t="str">
        <f>HYPERLINK("http://www4.worldbank.org/sprojects/Project.asp?pid=P008530","Riga and Daugavpils District Heating Rehabilitation Project")</f>
        <v>Riga and Daugavpils District Heating Rehabilitation Project</v>
      </c>
      <c r="E117" s="220" t="s">
        <v>210</v>
      </c>
      <c r="F117" s="138">
        <v>36.159999999999997</v>
      </c>
      <c r="G117" s="138" t="s">
        <v>78</v>
      </c>
      <c r="H117" s="54">
        <v>36739</v>
      </c>
      <c r="I117" s="54">
        <v>38533</v>
      </c>
      <c r="J117" s="102" t="s">
        <v>82</v>
      </c>
      <c r="K117" s="26"/>
      <c r="L117" s="26"/>
      <c r="M117" s="40"/>
      <c r="N117" s="31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116" t="s">
        <v>211</v>
      </c>
      <c r="AD117" s="104" t="s">
        <v>82</v>
      </c>
      <c r="AE117" s="26"/>
      <c r="AF117" s="102" t="s">
        <v>82</v>
      </c>
      <c r="AG117" s="26"/>
      <c r="AH117" s="26"/>
      <c r="AI117" s="26"/>
      <c r="AJ117" s="102" t="s">
        <v>82</v>
      </c>
      <c r="AK117" s="102" t="s">
        <v>82</v>
      </c>
      <c r="AL117" s="102" t="s">
        <v>82</v>
      </c>
      <c r="AM117" s="26"/>
      <c r="AN117" s="26"/>
      <c r="AO117" s="26"/>
      <c r="AP117" s="102" t="s">
        <v>82</v>
      </c>
      <c r="AQ117" s="26"/>
      <c r="AR117" s="18" t="s">
        <v>304</v>
      </c>
      <c r="AS117" s="20"/>
    </row>
    <row r="118" spans="1:45" ht="39.6" x14ac:dyDescent="0.25">
      <c r="A118" s="42">
        <v>68</v>
      </c>
      <c r="B118" s="29"/>
      <c r="C118" s="33"/>
      <c r="D118" s="126" t="str">
        <f>HYPERLINK("http://www4.worldbank.org/sprojects/Project.asp?pid=P066153","Programmatic Structural Adjustment Loan Project")</f>
        <v>Programmatic Structural Adjustment Loan Project</v>
      </c>
      <c r="E118" s="211" t="s">
        <v>308</v>
      </c>
      <c r="F118" s="138">
        <v>40.409999999999997</v>
      </c>
      <c r="G118" s="138" t="s">
        <v>78</v>
      </c>
      <c r="H118" s="54">
        <v>36601</v>
      </c>
      <c r="I118" s="54">
        <v>36891</v>
      </c>
      <c r="J118" s="176"/>
      <c r="K118" s="176"/>
      <c r="L118" s="176"/>
      <c r="M118" s="175"/>
      <c r="N118" s="177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  <c r="AA118" s="176"/>
      <c r="AB118" s="176"/>
      <c r="AC118" s="178"/>
      <c r="AD118" s="104" t="s">
        <v>82</v>
      </c>
      <c r="AE118" s="176"/>
      <c r="AF118" s="176"/>
      <c r="AG118" s="176"/>
      <c r="AH118" s="176"/>
      <c r="AI118" s="176"/>
      <c r="AJ118" s="102" t="s">
        <v>82</v>
      </c>
      <c r="AK118" s="176"/>
      <c r="AL118" s="176"/>
      <c r="AM118" s="176"/>
      <c r="AN118" s="176"/>
      <c r="AO118" s="176"/>
      <c r="AP118" s="102" t="s">
        <v>82</v>
      </c>
      <c r="AQ118" s="176"/>
      <c r="AR118" s="180" t="s">
        <v>314</v>
      </c>
      <c r="AS118" s="181"/>
    </row>
    <row r="119" spans="1:45" ht="26.4" x14ac:dyDescent="0.25">
      <c r="A119" s="42">
        <v>69</v>
      </c>
      <c r="B119" s="29"/>
      <c r="C119" s="33"/>
      <c r="D119" s="126" t="str">
        <f>HYPERLINK("http://www4.worldbank.org/sprojects/Project.asp?pid=P074410","Housing Project - Phase I (LIL) Project")</f>
        <v>Housing Project - Phase I (LIL) Project</v>
      </c>
      <c r="E119" s="211" t="s">
        <v>309</v>
      </c>
      <c r="F119" s="138"/>
      <c r="G119" s="138"/>
      <c r="H119" s="54"/>
      <c r="I119" s="54"/>
      <c r="J119" s="176"/>
      <c r="K119" s="176"/>
      <c r="L119" s="176"/>
      <c r="M119" s="175"/>
      <c r="N119" s="177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8"/>
      <c r="AD119" s="104" t="s">
        <v>232</v>
      </c>
      <c r="AE119" s="176"/>
      <c r="AF119" s="176"/>
      <c r="AG119" s="176"/>
      <c r="AH119" s="176"/>
      <c r="AI119" s="176"/>
      <c r="AJ119" s="176"/>
      <c r="AK119" s="176"/>
      <c r="AL119" s="176"/>
      <c r="AM119" s="176"/>
      <c r="AN119" s="176"/>
      <c r="AO119" s="176"/>
      <c r="AP119" s="102" t="s">
        <v>82</v>
      </c>
      <c r="AQ119" s="176"/>
      <c r="AR119" s="180" t="s">
        <v>314</v>
      </c>
      <c r="AS119" s="181"/>
    </row>
    <row r="120" spans="1:45" x14ac:dyDescent="0.25">
      <c r="A120" s="42"/>
      <c r="B120" s="29"/>
      <c r="C120" s="33" t="s">
        <v>256</v>
      </c>
      <c r="D120" s="93"/>
      <c r="E120" s="223"/>
      <c r="F120" s="224"/>
      <c r="G120" s="224"/>
      <c r="H120" s="54"/>
      <c r="I120" s="54"/>
      <c r="J120" s="26"/>
      <c r="K120" s="26"/>
      <c r="L120" s="26"/>
      <c r="M120" s="40"/>
      <c r="N120" s="31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52"/>
      <c r="AD120" s="60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18"/>
      <c r="AS120" s="20"/>
    </row>
    <row r="121" spans="1:45" ht="52.8" x14ac:dyDescent="0.25">
      <c r="A121" s="42">
        <v>70</v>
      </c>
      <c r="B121" s="29"/>
      <c r="C121" s="33"/>
      <c r="D121" s="90" t="str">
        <f>HYPERLINK("http://www4.worldbank.org/sprojects/Project.asp?pid=P008539","Social Policy &amp; Community Social Services Development Project")</f>
        <v>Social Policy &amp; Community Social Services Development Project</v>
      </c>
      <c r="E121" s="219" t="s">
        <v>257</v>
      </c>
      <c r="F121" s="152">
        <v>3.7</v>
      </c>
      <c r="G121" s="138" t="s">
        <v>78</v>
      </c>
      <c r="H121" s="54">
        <v>35479</v>
      </c>
      <c r="I121" s="54">
        <v>37530</v>
      </c>
      <c r="J121" s="26"/>
      <c r="K121" s="26"/>
      <c r="L121" s="26"/>
      <c r="M121" s="175"/>
      <c r="N121" s="31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115" t="s">
        <v>268</v>
      </c>
      <c r="AD121" s="104" t="s">
        <v>258</v>
      </c>
      <c r="AE121" s="26"/>
      <c r="AF121" s="102" t="s">
        <v>82</v>
      </c>
      <c r="AG121" s="102" t="s">
        <v>82</v>
      </c>
      <c r="AH121" s="26"/>
      <c r="AI121" s="26"/>
      <c r="AJ121" s="102" t="s">
        <v>82</v>
      </c>
      <c r="AK121" s="102" t="s">
        <v>82</v>
      </c>
      <c r="AL121" s="102" t="s">
        <v>82</v>
      </c>
      <c r="AM121" s="26"/>
      <c r="AN121" s="26"/>
      <c r="AO121" s="26"/>
      <c r="AP121" s="102" t="s">
        <v>82</v>
      </c>
      <c r="AQ121" s="26"/>
      <c r="AR121" s="18" t="s">
        <v>300</v>
      </c>
      <c r="AS121" s="20"/>
    </row>
    <row r="122" spans="1:45" x14ac:dyDescent="0.25">
      <c r="A122" s="42"/>
      <c r="B122" s="29"/>
      <c r="C122" s="33" t="s">
        <v>125</v>
      </c>
      <c r="D122" s="99"/>
      <c r="E122" s="225"/>
      <c r="F122" s="147"/>
      <c r="G122" s="53"/>
      <c r="H122" s="54"/>
      <c r="I122" s="54"/>
      <c r="J122" s="26"/>
      <c r="K122" s="26"/>
      <c r="L122" s="26"/>
      <c r="M122" s="40"/>
      <c r="N122" s="31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60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18"/>
      <c r="AS122" s="20"/>
    </row>
    <row r="123" spans="1:45" x14ac:dyDescent="0.25">
      <c r="A123" s="42">
        <v>71</v>
      </c>
      <c r="B123" s="29"/>
      <c r="C123" s="33"/>
      <c r="D123" s="98" t="str">
        <f>HYPERLINK("http://www4.worldbank.org/sprojects/Project.asp?pid=P066221","Social Support Project")</f>
        <v>Social Support Project</v>
      </c>
      <c r="E123" s="211" t="s">
        <v>178</v>
      </c>
      <c r="F123" s="147">
        <v>10</v>
      </c>
      <c r="G123" s="53" t="s">
        <v>77</v>
      </c>
      <c r="H123" s="54">
        <v>36340</v>
      </c>
      <c r="I123" s="54">
        <v>37468</v>
      </c>
      <c r="J123" s="102" t="s">
        <v>82</v>
      </c>
      <c r="K123" s="26"/>
      <c r="L123" s="102" t="s">
        <v>82</v>
      </c>
      <c r="M123" s="40"/>
      <c r="N123" s="103" t="s">
        <v>82</v>
      </c>
      <c r="O123" s="26"/>
      <c r="P123" s="26"/>
      <c r="Q123" s="26"/>
      <c r="R123" s="26"/>
      <c r="S123" s="26"/>
      <c r="T123" s="26"/>
      <c r="U123" s="26"/>
      <c r="V123" s="102" t="s">
        <v>82</v>
      </c>
      <c r="W123" s="26"/>
      <c r="X123" s="26"/>
      <c r="Y123" s="26"/>
      <c r="Z123" s="26"/>
      <c r="AA123" s="26"/>
      <c r="AB123" s="26"/>
      <c r="AC123" s="26"/>
      <c r="AD123" s="104" t="s">
        <v>82</v>
      </c>
      <c r="AE123" s="102" t="s">
        <v>82</v>
      </c>
      <c r="AF123" s="26"/>
      <c r="AG123" s="26"/>
      <c r="AH123" s="26"/>
      <c r="AI123" s="102" t="s">
        <v>82</v>
      </c>
      <c r="AJ123" s="102" t="s">
        <v>82</v>
      </c>
      <c r="AK123" s="26"/>
      <c r="AL123" s="102" t="s">
        <v>82</v>
      </c>
      <c r="AM123" s="26"/>
      <c r="AN123" s="102" t="s">
        <v>82</v>
      </c>
      <c r="AO123" s="26"/>
      <c r="AP123" s="26"/>
      <c r="AQ123" s="26"/>
      <c r="AR123" s="18" t="s">
        <v>296</v>
      </c>
      <c r="AS123" s="20"/>
    </row>
    <row r="124" spans="1:45" x14ac:dyDescent="0.25">
      <c r="A124" s="42"/>
      <c r="B124" s="29"/>
      <c r="C124" s="33" t="s">
        <v>65</v>
      </c>
      <c r="D124" s="89"/>
      <c r="E124" s="167"/>
      <c r="F124" s="147"/>
      <c r="G124" s="53"/>
      <c r="H124" s="54"/>
      <c r="I124" s="54"/>
      <c r="J124" s="26"/>
      <c r="K124" s="26"/>
      <c r="L124" s="26"/>
      <c r="M124" s="40"/>
      <c r="N124" s="31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60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18"/>
      <c r="AS124" s="20"/>
    </row>
    <row r="125" spans="1:45" s="74" customFormat="1" ht="39.6" x14ac:dyDescent="0.25">
      <c r="A125" s="42">
        <v>72</v>
      </c>
      <c r="B125" s="100"/>
      <c r="C125" s="73"/>
      <c r="D125" s="98" t="str">
        <f>HYPERLINK("http://www4.worldbank.org/sprojects/Project.asp?pid=P044840","Social Investment Fund Project")</f>
        <v>Social Investment Fund Project</v>
      </c>
      <c r="E125" s="226" t="s">
        <v>179</v>
      </c>
      <c r="F125" s="154">
        <v>15</v>
      </c>
      <c r="G125" s="227" t="s">
        <v>77</v>
      </c>
      <c r="H125" s="228">
        <v>36207</v>
      </c>
      <c r="I125" s="228">
        <v>38321</v>
      </c>
      <c r="J125" s="75"/>
      <c r="K125" s="75"/>
      <c r="L125" s="75"/>
      <c r="M125" s="111"/>
      <c r="N125" s="112"/>
      <c r="O125" s="75"/>
      <c r="P125" s="75"/>
      <c r="Q125" s="75"/>
      <c r="R125" s="75"/>
      <c r="S125" s="75"/>
      <c r="T125" s="75"/>
      <c r="U125" s="75"/>
      <c r="V125" s="105" t="s">
        <v>82</v>
      </c>
      <c r="W125" s="75"/>
      <c r="X125" s="75"/>
      <c r="Y125" s="75"/>
      <c r="Z125" s="75"/>
      <c r="AA125" s="105" t="s">
        <v>82</v>
      </c>
      <c r="AB125" s="75"/>
      <c r="AC125" s="104" t="s">
        <v>285</v>
      </c>
      <c r="AD125" s="105" t="s">
        <v>91</v>
      </c>
      <c r="AE125" s="105" t="s">
        <v>82</v>
      </c>
      <c r="AF125" s="75"/>
      <c r="AG125" s="105" t="s">
        <v>82</v>
      </c>
      <c r="AH125" s="105" t="s">
        <v>82</v>
      </c>
      <c r="AI125" s="105" t="s">
        <v>82</v>
      </c>
      <c r="AJ125" s="105" t="s">
        <v>82</v>
      </c>
      <c r="AK125" s="75"/>
      <c r="AL125" s="105" t="s">
        <v>82</v>
      </c>
      <c r="AM125" s="174"/>
      <c r="AN125" s="75"/>
      <c r="AO125" s="75"/>
      <c r="AP125" s="105" t="s">
        <v>82</v>
      </c>
      <c r="AQ125" s="75"/>
      <c r="AR125" s="170" t="s">
        <v>295</v>
      </c>
      <c r="AS125" s="76"/>
    </row>
    <row r="126" spans="1:45" s="74" customFormat="1" x14ac:dyDescent="0.25">
      <c r="A126" s="42"/>
      <c r="B126" s="100"/>
      <c r="C126" s="73" t="s">
        <v>252</v>
      </c>
      <c r="D126" s="98"/>
      <c r="E126" s="226"/>
      <c r="F126" s="154"/>
      <c r="G126" s="227"/>
      <c r="H126" s="228"/>
      <c r="I126" s="228"/>
      <c r="J126" s="75"/>
      <c r="K126" s="75"/>
      <c r="L126" s="75"/>
      <c r="M126" s="111"/>
      <c r="N126" s="112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170"/>
      <c r="AS126" s="76"/>
    </row>
    <row r="127" spans="1:45" s="74" customFormat="1" ht="34.200000000000003" x14ac:dyDescent="0.25">
      <c r="A127" s="42">
        <v>73</v>
      </c>
      <c r="B127" s="100"/>
      <c r="C127" s="73"/>
      <c r="D127" s="93" t="str">
        <f>HYPERLINK("http://www4.worldbank.org/sprojects/Project.asp?pid=P058202","Rural Development Project")</f>
        <v>Rural Development Project</v>
      </c>
      <c r="E127" s="220" t="s">
        <v>253</v>
      </c>
      <c r="F127" s="138">
        <v>120</v>
      </c>
      <c r="G127" s="227" t="s">
        <v>78</v>
      </c>
      <c r="H127" s="228">
        <v>36627</v>
      </c>
      <c r="I127" s="228">
        <v>38199</v>
      </c>
      <c r="J127" s="104" t="s">
        <v>267</v>
      </c>
      <c r="K127" s="75"/>
      <c r="L127" s="75"/>
      <c r="M127" s="111"/>
      <c r="N127" s="112"/>
      <c r="O127" s="75"/>
      <c r="P127" s="75"/>
      <c r="Q127" s="75"/>
      <c r="R127" s="75"/>
      <c r="S127" s="75"/>
      <c r="T127" s="75"/>
      <c r="U127" s="75"/>
      <c r="V127" s="105" t="s">
        <v>82</v>
      </c>
      <c r="W127" s="75"/>
      <c r="X127" s="75"/>
      <c r="Y127" s="75"/>
      <c r="Z127" s="75"/>
      <c r="AA127" s="75"/>
      <c r="AB127" s="105" t="s">
        <v>82</v>
      </c>
      <c r="AC127" s="75"/>
      <c r="AD127" s="104" t="s">
        <v>247</v>
      </c>
      <c r="AE127" s="105" t="s">
        <v>82</v>
      </c>
      <c r="AF127" s="75"/>
      <c r="AG127" s="75"/>
      <c r="AH127" s="75"/>
      <c r="AI127" s="75"/>
      <c r="AJ127" s="105" t="s">
        <v>82</v>
      </c>
      <c r="AK127" s="75"/>
      <c r="AL127" s="75"/>
      <c r="AM127" s="75"/>
      <c r="AN127" s="75"/>
      <c r="AO127" s="75"/>
      <c r="AP127" s="105" t="s">
        <v>82</v>
      </c>
      <c r="AQ127" s="75"/>
      <c r="AR127" s="170" t="s">
        <v>296</v>
      </c>
      <c r="AS127" s="76"/>
    </row>
    <row r="128" spans="1:45" x14ac:dyDescent="0.25">
      <c r="A128" s="42"/>
      <c r="B128" s="29"/>
      <c r="C128" s="33" t="s">
        <v>66</v>
      </c>
      <c r="D128" s="89"/>
      <c r="E128" s="167"/>
      <c r="F128" s="147"/>
      <c r="G128" s="53"/>
      <c r="H128" s="54"/>
      <c r="I128" s="54"/>
      <c r="J128" s="26"/>
      <c r="K128" s="26"/>
      <c r="L128" s="26"/>
      <c r="M128" s="40"/>
      <c r="N128" s="31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60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18"/>
      <c r="AS128" s="20"/>
    </row>
    <row r="129" spans="1:45" ht="26.4" x14ac:dyDescent="0.25">
      <c r="A129" s="42">
        <v>74</v>
      </c>
      <c r="B129" s="29"/>
      <c r="C129" s="33"/>
      <c r="D129" s="98" t="str">
        <f>HYPERLINK("http://www4.worldbank.org/sprojects/Project.asp?pid=P049200","Social Development Fund Project")</f>
        <v>Social Development Fund Project</v>
      </c>
      <c r="E129" s="211" t="s">
        <v>180</v>
      </c>
      <c r="F129" s="147">
        <v>10</v>
      </c>
      <c r="G129" s="53" t="s">
        <v>78</v>
      </c>
      <c r="H129" s="54">
        <v>36179</v>
      </c>
      <c r="I129" s="54">
        <v>37256</v>
      </c>
      <c r="J129" s="26"/>
      <c r="K129" s="26"/>
      <c r="L129" s="26"/>
      <c r="M129" s="40"/>
      <c r="N129" s="31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102" t="s">
        <v>82</v>
      </c>
      <c r="AB129" s="26"/>
      <c r="AC129" s="102" t="s">
        <v>87</v>
      </c>
      <c r="AD129" s="104" t="s">
        <v>93</v>
      </c>
      <c r="AE129" s="102" t="s">
        <v>82</v>
      </c>
      <c r="AF129" s="26"/>
      <c r="AG129" s="26"/>
      <c r="AH129" s="102" t="s">
        <v>82</v>
      </c>
      <c r="AI129" s="26"/>
      <c r="AJ129" s="102" t="s">
        <v>82</v>
      </c>
      <c r="AK129" s="102" t="s">
        <v>82</v>
      </c>
      <c r="AL129" s="26"/>
      <c r="AM129" s="113"/>
      <c r="AN129" s="26"/>
      <c r="AO129" s="26"/>
      <c r="AP129" s="102" t="s">
        <v>82</v>
      </c>
      <c r="AQ129" s="26"/>
      <c r="AR129" s="18" t="s">
        <v>295</v>
      </c>
      <c r="AS129" s="20"/>
    </row>
    <row r="130" spans="1:45" s="186" customFormat="1" ht="26.4" x14ac:dyDescent="0.25">
      <c r="A130" s="182">
        <v>75</v>
      </c>
      <c r="B130" s="183"/>
      <c r="C130" s="184"/>
      <c r="D130" s="126" t="str">
        <f>HYPERLINK("http://www4.worldbank.org/sprojects/Project.asp?pid=P008783","Social Sector Development Project")</f>
        <v>Social Sector Development Project</v>
      </c>
      <c r="E130" s="211" t="s">
        <v>310</v>
      </c>
      <c r="F130" s="108">
        <v>50</v>
      </c>
      <c r="G130" s="53" t="s">
        <v>78</v>
      </c>
      <c r="H130" s="229">
        <v>37061</v>
      </c>
      <c r="I130" s="229">
        <v>38898</v>
      </c>
      <c r="J130" s="102" t="s">
        <v>82</v>
      </c>
      <c r="K130" s="176"/>
      <c r="L130" s="176"/>
      <c r="M130" s="175"/>
      <c r="N130" s="177"/>
      <c r="O130" s="176"/>
      <c r="P130" s="176"/>
      <c r="Q130" s="176"/>
      <c r="R130" s="176"/>
      <c r="S130" s="176"/>
      <c r="T130" s="176"/>
      <c r="U130" s="176"/>
      <c r="V130" s="102" t="s">
        <v>82</v>
      </c>
      <c r="W130" s="176"/>
      <c r="X130" s="176"/>
      <c r="Y130" s="176"/>
      <c r="Z130" s="176"/>
      <c r="AA130" s="176"/>
      <c r="AB130" s="102" t="s">
        <v>82</v>
      </c>
      <c r="AC130" s="176"/>
      <c r="AD130" s="104" t="s">
        <v>232</v>
      </c>
      <c r="AE130" s="176"/>
      <c r="AF130" s="102" t="s">
        <v>82</v>
      </c>
      <c r="AG130" s="176"/>
      <c r="AH130" s="176"/>
      <c r="AI130" s="176"/>
      <c r="AJ130" s="176"/>
      <c r="AK130" s="102" t="s">
        <v>82</v>
      </c>
      <c r="AL130" s="102" t="s">
        <v>82</v>
      </c>
      <c r="AM130" s="176"/>
      <c r="AN130" s="176"/>
      <c r="AO130" s="176"/>
      <c r="AP130" s="102" t="s">
        <v>82</v>
      </c>
      <c r="AQ130" s="176"/>
      <c r="AR130" s="180" t="s">
        <v>314</v>
      </c>
      <c r="AS130" s="181"/>
    </row>
    <row r="131" spans="1:45" s="186" customFormat="1" ht="26.4" x14ac:dyDescent="0.25">
      <c r="A131" s="182">
        <v>76</v>
      </c>
      <c r="B131" s="183"/>
      <c r="C131" s="184"/>
      <c r="D131" s="126" t="str">
        <f>HYPERLINK("http://www4.worldbank.org/sprojects/Project.asp?pid=P055495","Child Welfare Reform Project")</f>
        <v>Child Welfare Reform Project</v>
      </c>
      <c r="E131" s="211" t="s">
        <v>311</v>
      </c>
      <c r="F131" s="108">
        <v>5</v>
      </c>
      <c r="G131" s="53" t="s">
        <v>78</v>
      </c>
      <c r="H131" s="202">
        <v>35971</v>
      </c>
      <c r="I131" s="202">
        <v>37437</v>
      </c>
      <c r="J131" s="176"/>
      <c r="K131" s="176"/>
      <c r="L131" s="176"/>
      <c r="M131" s="175"/>
      <c r="N131" s="177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02" t="s">
        <v>87</v>
      </c>
      <c r="AD131" s="179"/>
      <c r="AE131" s="176"/>
      <c r="AF131" s="176"/>
      <c r="AG131" s="102" t="s">
        <v>82</v>
      </c>
      <c r="AH131" s="102" t="s">
        <v>82</v>
      </c>
      <c r="AI131" s="176"/>
      <c r="AJ131" s="102" t="s">
        <v>82</v>
      </c>
      <c r="AK131" s="102" t="s">
        <v>82</v>
      </c>
      <c r="AL131" s="176"/>
      <c r="AM131" s="176"/>
      <c r="AN131" s="176"/>
      <c r="AO131" s="176"/>
      <c r="AP131" s="102" t="s">
        <v>82</v>
      </c>
      <c r="AQ131" s="176"/>
      <c r="AR131" s="180" t="s">
        <v>314</v>
      </c>
      <c r="AS131" s="181"/>
    </row>
    <row r="132" spans="1:45" x14ac:dyDescent="0.25">
      <c r="A132" s="42"/>
      <c r="B132" s="29"/>
      <c r="C132" s="33" t="s">
        <v>67</v>
      </c>
      <c r="D132" s="89"/>
      <c r="E132" s="167"/>
      <c r="F132" s="147"/>
      <c r="G132" s="53"/>
      <c r="H132" s="54"/>
      <c r="I132" s="54"/>
      <c r="J132" s="26"/>
      <c r="K132" s="26"/>
      <c r="L132" s="26"/>
      <c r="M132" s="40"/>
      <c r="N132" s="31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60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18"/>
      <c r="AS132" s="20"/>
    </row>
    <row r="133" spans="1:45" ht="26.4" x14ac:dyDescent="0.25">
      <c r="A133" s="42">
        <v>77</v>
      </c>
      <c r="B133" s="29"/>
      <c r="C133" s="33"/>
      <c r="D133" s="98" t="str">
        <f>HYPERLINK("http://www4.worldbank.org/sprojects/Project.asp?pid=P035761","Community Social Infrastructure Project")</f>
        <v>Community Social Infrastructure Project</v>
      </c>
      <c r="E133" s="211" t="s">
        <v>181</v>
      </c>
      <c r="F133" s="147">
        <v>200</v>
      </c>
      <c r="G133" s="53" t="s">
        <v>78</v>
      </c>
      <c r="H133" s="54">
        <v>35185</v>
      </c>
      <c r="I133" s="54">
        <v>37621</v>
      </c>
      <c r="J133" s="26"/>
      <c r="K133" s="26"/>
      <c r="L133" s="26"/>
      <c r="M133" s="40"/>
      <c r="N133" s="31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102" t="s">
        <v>82</v>
      </c>
      <c r="AB133" s="26"/>
      <c r="AC133" s="102" t="s">
        <v>90</v>
      </c>
      <c r="AD133" s="60"/>
      <c r="AE133" s="102" t="s">
        <v>82</v>
      </c>
      <c r="AF133" s="26"/>
      <c r="AG133" s="26"/>
      <c r="AH133" s="102" t="s">
        <v>82</v>
      </c>
      <c r="AI133" s="102" t="s">
        <v>82</v>
      </c>
      <c r="AJ133" s="102" t="s">
        <v>82</v>
      </c>
      <c r="AK133" s="102" t="s">
        <v>82</v>
      </c>
      <c r="AL133" s="102" t="s">
        <v>82</v>
      </c>
      <c r="AM133" s="113"/>
      <c r="AN133" s="26"/>
      <c r="AO133" s="26"/>
      <c r="AP133" s="102" t="s">
        <v>82</v>
      </c>
      <c r="AQ133" s="26"/>
      <c r="AR133" s="18" t="s">
        <v>301</v>
      </c>
      <c r="AS133" s="20"/>
    </row>
    <row r="134" spans="1:45" ht="39.6" x14ac:dyDescent="0.25">
      <c r="A134" s="42">
        <v>78</v>
      </c>
      <c r="B134" s="29"/>
      <c r="C134" s="33"/>
      <c r="D134" s="93" t="str">
        <f>HYPERLINK("http://www4.worldbank.org/sprojects/Project.asp?pid=P064238","Northern Out - Mitigration Pilot Project")</f>
        <v>Northern Out - Mitigration Pilot Project</v>
      </c>
      <c r="E134" s="213" t="s">
        <v>254</v>
      </c>
      <c r="F134" s="155">
        <v>79.2</v>
      </c>
      <c r="G134" s="53" t="s">
        <v>78</v>
      </c>
      <c r="H134" s="54">
        <v>37049</v>
      </c>
      <c r="I134" s="54">
        <v>38625</v>
      </c>
      <c r="J134" s="102" t="s">
        <v>82</v>
      </c>
      <c r="K134" s="26"/>
      <c r="L134" s="26"/>
      <c r="M134" s="40"/>
      <c r="N134" s="31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102" t="s">
        <v>82</v>
      </c>
      <c r="AA134" s="26"/>
      <c r="AB134" s="26"/>
      <c r="AC134" s="26"/>
      <c r="AD134" s="107" t="s">
        <v>255</v>
      </c>
      <c r="AE134" s="26"/>
      <c r="AF134" s="26"/>
      <c r="AG134" s="26"/>
      <c r="AH134" s="26"/>
      <c r="AI134" s="26"/>
      <c r="AJ134" s="102" t="s">
        <v>82</v>
      </c>
      <c r="AK134" s="26"/>
      <c r="AL134" s="26"/>
      <c r="AM134" s="26"/>
      <c r="AN134" s="26"/>
      <c r="AO134" s="26"/>
      <c r="AP134" s="102" t="s">
        <v>82</v>
      </c>
      <c r="AQ134" s="26"/>
      <c r="AR134" s="18" t="s">
        <v>299</v>
      </c>
      <c r="AS134" s="20"/>
    </row>
    <row r="135" spans="1:45" x14ac:dyDescent="0.25">
      <c r="A135" s="42"/>
      <c r="B135" s="29"/>
      <c r="C135" s="33" t="s">
        <v>259</v>
      </c>
      <c r="D135" s="93"/>
      <c r="E135" s="213"/>
      <c r="F135" s="155"/>
      <c r="G135" s="53"/>
      <c r="H135" s="54"/>
      <c r="I135" s="54"/>
      <c r="J135" s="26"/>
      <c r="K135" s="26"/>
      <c r="L135" s="26"/>
      <c r="M135" s="40"/>
      <c r="N135" s="31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60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18"/>
      <c r="AS135" s="20"/>
    </row>
    <row r="136" spans="1:45" ht="51" customHeight="1" x14ac:dyDescent="0.25">
      <c r="A136" s="42">
        <v>79</v>
      </c>
      <c r="B136" s="29"/>
      <c r="C136" s="33"/>
      <c r="D136" s="90" t="str">
        <f>HYPERLINK("http://www4.worldbank.org/sprojects/Project.asp?pid=P009102","Privatization Implementation Assistance and Social Safety Net Project")</f>
        <v>Privatization Implementation Assistance and Social Safety Net Project</v>
      </c>
      <c r="E136" s="215" t="s">
        <v>260</v>
      </c>
      <c r="F136" s="151">
        <v>100</v>
      </c>
      <c r="G136" s="53" t="s">
        <v>78</v>
      </c>
      <c r="H136" s="54">
        <v>34457</v>
      </c>
      <c r="I136" s="54">
        <v>36525</v>
      </c>
      <c r="J136" s="26"/>
      <c r="K136" s="26"/>
      <c r="L136" s="26"/>
      <c r="M136" s="40"/>
      <c r="N136" s="103" t="s">
        <v>82</v>
      </c>
      <c r="O136" s="26"/>
      <c r="P136" s="26"/>
      <c r="Q136" s="26"/>
      <c r="R136" s="26"/>
      <c r="S136" s="26"/>
      <c r="T136" s="26"/>
      <c r="U136" s="26"/>
      <c r="V136" s="102" t="s">
        <v>82</v>
      </c>
      <c r="W136" s="26"/>
      <c r="X136" s="26"/>
      <c r="Y136" s="26"/>
      <c r="Z136" s="26"/>
      <c r="AA136" s="102" t="s">
        <v>82</v>
      </c>
      <c r="AB136" s="102" t="s">
        <v>82</v>
      </c>
      <c r="AC136" s="115" t="s">
        <v>261</v>
      </c>
      <c r="AD136" s="104" t="s">
        <v>96</v>
      </c>
      <c r="AE136" s="26"/>
      <c r="AF136" s="102" t="s">
        <v>82</v>
      </c>
      <c r="AG136" s="26"/>
      <c r="AH136" s="26"/>
      <c r="AI136" s="26"/>
      <c r="AJ136" s="102" t="s">
        <v>82</v>
      </c>
      <c r="AK136" s="102" t="s">
        <v>82</v>
      </c>
      <c r="AL136" s="26"/>
      <c r="AM136" s="102" t="s">
        <v>82</v>
      </c>
      <c r="AN136" s="26"/>
      <c r="AO136" s="26"/>
      <c r="AP136" s="26"/>
      <c r="AQ136" s="26"/>
      <c r="AR136" s="18" t="s">
        <v>303</v>
      </c>
      <c r="AS136" s="20"/>
    </row>
    <row r="137" spans="1:45" s="197" customFormat="1" ht="24.75" customHeight="1" x14ac:dyDescent="0.25">
      <c r="A137" s="182">
        <v>80</v>
      </c>
      <c r="B137" s="188"/>
      <c r="C137" s="189"/>
      <c r="D137" s="126" t="str">
        <f>HYPERLINK("http://www4.worldbank.org/sprojects/Project.asp?pid=P074408","Social Risk Mitigation Project")</f>
        <v>Social Risk Mitigation Project</v>
      </c>
      <c r="E137" s="230" t="s">
        <v>312</v>
      </c>
      <c r="F137" s="190">
        <v>500</v>
      </c>
      <c r="G137" s="227" t="s">
        <v>78</v>
      </c>
      <c r="H137" s="231">
        <v>37147</v>
      </c>
      <c r="I137" s="231">
        <v>38898</v>
      </c>
      <c r="J137" s="105" t="s">
        <v>82</v>
      </c>
      <c r="K137" s="191"/>
      <c r="L137" s="191"/>
      <c r="M137" s="192"/>
      <c r="N137" s="193"/>
      <c r="O137" s="191"/>
      <c r="P137" s="191"/>
      <c r="Q137" s="191"/>
      <c r="R137" s="191"/>
      <c r="S137" s="191"/>
      <c r="T137" s="191"/>
      <c r="U137" s="105" t="s">
        <v>82</v>
      </c>
      <c r="V137" s="191"/>
      <c r="W137" s="105" t="s">
        <v>82</v>
      </c>
      <c r="X137" s="191"/>
      <c r="Y137" s="191"/>
      <c r="Z137" s="191"/>
      <c r="AA137" s="191"/>
      <c r="AB137" s="105" t="s">
        <v>82</v>
      </c>
      <c r="AC137" s="194"/>
      <c r="AD137" s="191"/>
      <c r="AE137" s="191"/>
      <c r="AF137" s="191"/>
      <c r="AG137" s="191"/>
      <c r="AH137" s="191"/>
      <c r="AI137" s="191"/>
      <c r="AJ137" s="105" t="s">
        <v>82</v>
      </c>
      <c r="AK137" s="105" t="s">
        <v>82</v>
      </c>
      <c r="AL137" s="105" t="s">
        <v>82</v>
      </c>
      <c r="AM137" s="105" t="s">
        <v>82</v>
      </c>
      <c r="AN137" s="191"/>
      <c r="AO137" s="191"/>
      <c r="AP137" s="191"/>
      <c r="AQ137" s="191"/>
      <c r="AR137" s="195" t="s">
        <v>314</v>
      </c>
      <c r="AS137" s="196"/>
    </row>
    <row r="138" spans="1:45" s="197" customFormat="1" ht="28.5" customHeight="1" x14ac:dyDescent="0.25">
      <c r="A138" s="182">
        <v>81</v>
      </c>
      <c r="B138" s="188"/>
      <c r="C138" s="189"/>
      <c r="D138" s="126" t="str">
        <f>HYPERLINK("http://www4.worldbank.org/sprojects/Project.asp?pid=P069894","Privatization Social Support Project")</f>
        <v>Privatization Social Support Project</v>
      </c>
      <c r="E138" s="230" t="s">
        <v>313</v>
      </c>
      <c r="F138" s="190">
        <v>250</v>
      </c>
      <c r="G138" s="227" t="s">
        <v>78</v>
      </c>
      <c r="H138" s="231">
        <v>36881</v>
      </c>
      <c r="I138" s="231">
        <v>38352</v>
      </c>
      <c r="J138" s="191"/>
      <c r="K138" s="191"/>
      <c r="L138" s="191"/>
      <c r="M138" s="192"/>
      <c r="N138" s="198" t="s">
        <v>82</v>
      </c>
      <c r="O138" s="191"/>
      <c r="P138" s="191"/>
      <c r="Q138" s="191"/>
      <c r="R138" s="191"/>
      <c r="S138" s="191"/>
      <c r="T138" s="191"/>
      <c r="U138" s="191"/>
      <c r="V138" s="105" t="s">
        <v>82</v>
      </c>
      <c r="W138" s="191"/>
      <c r="X138" s="191"/>
      <c r="Y138" s="191"/>
      <c r="Z138" s="191"/>
      <c r="AA138" s="105" t="s">
        <v>82</v>
      </c>
      <c r="AB138" s="191"/>
      <c r="AC138" s="194"/>
      <c r="AD138" s="191"/>
      <c r="AE138" s="191"/>
      <c r="AF138" s="191"/>
      <c r="AG138" s="191"/>
      <c r="AH138" s="191"/>
      <c r="AI138" s="191"/>
      <c r="AJ138" s="105" t="s">
        <v>82</v>
      </c>
      <c r="AK138" s="105" t="s">
        <v>82</v>
      </c>
      <c r="AL138" s="105" t="s">
        <v>82</v>
      </c>
      <c r="AM138" s="105" t="s">
        <v>82</v>
      </c>
      <c r="AN138" s="191"/>
      <c r="AO138" s="191"/>
      <c r="AP138" s="191"/>
      <c r="AQ138" s="191"/>
      <c r="AR138" s="195" t="s">
        <v>314</v>
      </c>
      <c r="AS138" s="196"/>
    </row>
    <row r="139" spans="1:45" s="197" customFormat="1" ht="54" customHeight="1" x14ac:dyDescent="0.25">
      <c r="A139" s="182">
        <v>82</v>
      </c>
      <c r="B139" s="188"/>
      <c r="C139" s="189"/>
      <c r="D139" s="126" t="str">
        <f>HYPERLINK("http://www4.worldbank.org/sprojects/Project.asp?pid=P009102","Privatization Implementation Assistance and Social Safety Net Project")</f>
        <v>Privatization Implementation Assistance and Social Safety Net Project</v>
      </c>
      <c r="E139" s="230" t="s">
        <v>260</v>
      </c>
      <c r="F139" s="190">
        <v>100</v>
      </c>
      <c r="G139" s="227" t="s">
        <v>78</v>
      </c>
      <c r="H139" s="231">
        <v>34457</v>
      </c>
      <c r="I139" s="231">
        <v>36525</v>
      </c>
      <c r="J139" s="191"/>
      <c r="K139" s="191"/>
      <c r="L139" s="191"/>
      <c r="M139" s="192"/>
      <c r="N139" s="193"/>
      <c r="O139" s="191"/>
      <c r="P139" s="191"/>
      <c r="Q139" s="191"/>
      <c r="R139" s="191"/>
      <c r="S139" s="191"/>
      <c r="T139" s="191"/>
      <c r="U139" s="191"/>
      <c r="V139" s="105" t="s">
        <v>82</v>
      </c>
      <c r="W139" s="191"/>
      <c r="X139" s="191"/>
      <c r="Y139" s="191"/>
      <c r="Z139" s="191"/>
      <c r="AA139" s="191"/>
      <c r="AB139" s="105" t="s">
        <v>82</v>
      </c>
      <c r="AC139" s="194"/>
      <c r="AD139" s="191"/>
      <c r="AE139" s="191"/>
      <c r="AF139" s="191"/>
      <c r="AG139" s="191"/>
      <c r="AH139" s="191"/>
      <c r="AI139" s="191"/>
      <c r="AJ139" s="105" t="s">
        <v>82</v>
      </c>
      <c r="AK139" s="105" t="s">
        <v>82</v>
      </c>
      <c r="AL139" s="191"/>
      <c r="AM139" s="105" t="s">
        <v>82</v>
      </c>
      <c r="AN139" s="191"/>
      <c r="AO139" s="191"/>
      <c r="AP139" s="191"/>
      <c r="AQ139" s="191"/>
      <c r="AR139" s="195" t="s">
        <v>314</v>
      </c>
      <c r="AS139" s="196"/>
    </row>
    <row r="140" spans="1:45" x14ac:dyDescent="0.25">
      <c r="A140" s="42"/>
      <c r="B140" s="29"/>
      <c r="C140" s="33" t="s">
        <v>230</v>
      </c>
      <c r="D140" s="98"/>
      <c r="E140" s="211"/>
      <c r="F140" s="147"/>
      <c r="G140" s="53"/>
      <c r="H140" s="54"/>
      <c r="I140" s="54"/>
      <c r="J140" s="26"/>
      <c r="K140" s="26"/>
      <c r="L140" s="26"/>
      <c r="M140" s="40"/>
      <c r="N140" s="31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60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18"/>
      <c r="AS140" s="20"/>
    </row>
    <row r="141" spans="1:45" ht="39.6" x14ac:dyDescent="0.25">
      <c r="A141" s="63">
        <v>83</v>
      </c>
      <c r="B141" s="29"/>
      <c r="C141" s="33"/>
      <c r="D141" s="90" t="str">
        <f>HYPERLINK("http://www4.worldbank.org/sprojects/Project.asp?pid=P055739","Kiev Public Buildings Energy Efficiency Project")</f>
        <v>Kiev Public Buildings Energy Efficiency Project</v>
      </c>
      <c r="E141" s="232" t="s">
        <v>229</v>
      </c>
      <c r="F141" s="156">
        <v>18.29</v>
      </c>
      <c r="G141" s="53" t="s">
        <v>78</v>
      </c>
      <c r="H141" s="54">
        <v>36552</v>
      </c>
      <c r="I141" s="54">
        <v>38533</v>
      </c>
      <c r="J141" s="26"/>
      <c r="K141" s="26"/>
      <c r="L141" s="26"/>
      <c r="M141" s="40"/>
      <c r="N141" s="31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114" t="s">
        <v>231</v>
      </c>
      <c r="AD141" s="104" t="s">
        <v>232</v>
      </c>
      <c r="AE141" s="26"/>
      <c r="AF141" s="102" t="s">
        <v>82</v>
      </c>
      <c r="AG141" s="26"/>
      <c r="AH141" s="26"/>
      <c r="AI141" s="26"/>
      <c r="AJ141" s="102" t="s">
        <v>82</v>
      </c>
      <c r="AK141" s="102" t="s">
        <v>82</v>
      </c>
      <c r="AL141" s="102" t="s">
        <v>82</v>
      </c>
      <c r="AM141" s="26"/>
      <c r="AN141" s="26"/>
      <c r="AO141" s="26"/>
      <c r="AP141" s="102" t="s">
        <v>82</v>
      </c>
      <c r="AQ141" s="26"/>
      <c r="AR141" s="18" t="s">
        <v>296</v>
      </c>
      <c r="AS141" s="20"/>
    </row>
    <row r="142" spans="1:45" x14ac:dyDescent="0.25">
      <c r="A142" s="63">
        <v>84</v>
      </c>
      <c r="B142" s="29"/>
      <c r="C142" s="33"/>
      <c r="D142" s="90" t="str">
        <f>HYPERLINK("http://www4.worldbank.org/sprojects/Project.asp?pid=P044110","Coal Pilot Project")</f>
        <v>Coal Pilot Project</v>
      </c>
      <c r="E142" s="215" t="s">
        <v>262</v>
      </c>
      <c r="F142" s="151">
        <v>15.8</v>
      </c>
      <c r="G142" s="53" t="s">
        <v>78</v>
      </c>
      <c r="H142" s="54">
        <v>35201</v>
      </c>
      <c r="I142" s="54">
        <v>36891</v>
      </c>
      <c r="J142" s="26"/>
      <c r="K142" s="26"/>
      <c r="L142" s="26"/>
      <c r="M142" s="40"/>
      <c r="N142" s="103" t="s">
        <v>82</v>
      </c>
      <c r="O142" s="26"/>
      <c r="P142" s="26"/>
      <c r="Q142" s="26"/>
      <c r="R142" s="26"/>
      <c r="S142" s="26"/>
      <c r="T142" s="26"/>
      <c r="U142" s="26"/>
      <c r="V142" s="102" t="s">
        <v>82</v>
      </c>
      <c r="W142" s="26"/>
      <c r="X142" s="26"/>
      <c r="Y142" s="26"/>
      <c r="Z142" s="26"/>
      <c r="AA142" s="26"/>
      <c r="AB142" s="26"/>
      <c r="AC142" s="114" t="s">
        <v>263</v>
      </c>
      <c r="AD142" s="104" t="s">
        <v>96</v>
      </c>
      <c r="AE142" s="26"/>
      <c r="AF142" s="102" t="s">
        <v>82</v>
      </c>
      <c r="AG142" s="26"/>
      <c r="AH142" s="26"/>
      <c r="AI142" s="26"/>
      <c r="AJ142" s="102" t="s">
        <v>82</v>
      </c>
      <c r="AK142" s="102" t="s">
        <v>82</v>
      </c>
      <c r="AL142" s="102" t="s">
        <v>82</v>
      </c>
      <c r="AM142" s="102" t="s">
        <v>82</v>
      </c>
      <c r="AN142" s="26"/>
      <c r="AO142" s="26"/>
      <c r="AP142" s="26"/>
      <c r="AQ142" s="26"/>
      <c r="AR142" s="18" t="s">
        <v>296</v>
      </c>
      <c r="AS142" s="20"/>
    </row>
    <row r="143" spans="1:45" s="125" customFormat="1" ht="39.6" x14ac:dyDescent="0.25">
      <c r="A143" s="127">
        <v>85</v>
      </c>
      <c r="B143" s="120"/>
      <c r="C143" s="121"/>
      <c r="D143" s="128" t="str">
        <f>HYPERLINK("http://www4.worldbank.org/sprojects/Project.asp?pid=P055738","Sevastopol Heat Supply Improvement Project")</f>
        <v>Sevastopol Heat Supply Improvement Project</v>
      </c>
      <c r="E143" s="212" t="s">
        <v>279</v>
      </c>
      <c r="F143" s="157">
        <v>28.2</v>
      </c>
      <c r="G143" s="233" t="s">
        <v>78</v>
      </c>
      <c r="H143" s="133">
        <v>36972</v>
      </c>
      <c r="I143" s="133">
        <v>38898</v>
      </c>
      <c r="J143" s="113"/>
      <c r="K143" s="113"/>
      <c r="L143" s="113"/>
      <c r="M143" s="129"/>
      <c r="N143" s="118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4" t="s">
        <v>263</v>
      </c>
      <c r="AD143" s="104" t="s">
        <v>232</v>
      </c>
      <c r="AE143" s="113"/>
      <c r="AF143" s="113"/>
      <c r="AG143" s="113"/>
      <c r="AH143" s="113"/>
      <c r="AI143" s="113"/>
      <c r="AJ143" s="113"/>
      <c r="AK143" s="102" t="s">
        <v>82</v>
      </c>
      <c r="AL143" s="113"/>
      <c r="AM143" s="102" t="s">
        <v>82</v>
      </c>
      <c r="AN143" s="113"/>
      <c r="AO143" s="113"/>
      <c r="AP143" s="113"/>
      <c r="AQ143" s="113"/>
      <c r="AR143" s="169" t="s">
        <v>298</v>
      </c>
      <c r="AS143" s="119"/>
    </row>
    <row r="144" spans="1:45" x14ac:dyDescent="0.25">
      <c r="A144" s="63"/>
      <c r="B144" s="29"/>
      <c r="C144" s="33"/>
      <c r="D144" s="90"/>
      <c r="E144" s="215"/>
      <c r="F144" s="151"/>
      <c r="G144" s="53"/>
      <c r="H144" s="54"/>
      <c r="I144" s="54"/>
      <c r="J144" s="26"/>
      <c r="K144" s="26"/>
      <c r="L144" s="26"/>
      <c r="M144" s="40"/>
      <c r="N144" s="31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79"/>
      <c r="AD144" s="60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18"/>
      <c r="AS144" s="20"/>
    </row>
    <row r="145" spans="1:45" s="1" customFormat="1" x14ac:dyDescent="0.25">
      <c r="A145" s="63"/>
      <c r="B145" s="40" t="s">
        <v>35</v>
      </c>
      <c r="C145" s="41"/>
      <c r="D145" s="91"/>
      <c r="E145" s="217"/>
      <c r="F145" s="150"/>
      <c r="G145" s="137"/>
      <c r="H145" s="53"/>
      <c r="I145" s="53"/>
      <c r="J145" s="26"/>
      <c r="K145" s="26"/>
      <c r="L145" s="36"/>
      <c r="M145" s="31"/>
      <c r="N145" s="31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60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18"/>
      <c r="AS145" s="39"/>
    </row>
    <row r="146" spans="1:45" s="1" customFormat="1" x14ac:dyDescent="0.25">
      <c r="A146" s="63"/>
      <c r="B146" s="40"/>
      <c r="C146" s="64" t="s">
        <v>113</v>
      </c>
      <c r="D146" s="91"/>
      <c r="E146" s="217"/>
      <c r="F146" s="150"/>
      <c r="G146" s="137"/>
      <c r="H146" s="53"/>
      <c r="I146" s="53"/>
      <c r="J146" s="26"/>
      <c r="K146" s="26"/>
      <c r="L146" s="36"/>
      <c r="M146" s="31"/>
      <c r="N146" s="31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60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18"/>
      <c r="AS146" s="39"/>
    </row>
    <row r="147" spans="1:45" s="1" customFormat="1" ht="39.6" x14ac:dyDescent="0.25">
      <c r="A147" s="63">
        <v>86</v>
      </c>
      <c r="B147" s="40"/>
      <c r="C147" s="41"/>
      <c r="D147" s="98" t="str">
        <f>HYPERLINK("http://www4.worldbank.org/sprojects/Project.asp?pid=P049268","Social Protection Project (02) - TRABAJAR")</f>
        <v>Social Protection Project (02) - TRABAJAR</v>
      </c>
      <c r="E147" s="211" t="s">
        <v>182</v>
      </c>
      <c r="F147" s="147">
        <v>200</v>
      </c>
      <c r="G147" s="137" t="s">
        <v>78</v>
      </c>
      <c r="H147" s="54">
        <v>35582</v>
      </c>
      <c r="I147" s="54">
        <v>36312</v>
      </c>
      <c r="J147" s="102" t="s">
        <v>82</v>
      </c>
      <c r="K147" s="26"/>
      <c r="L147" s="36"/>
      <c r="M147" s="31"/>
      <c r="N147" s="31"/>
      <c r="O147" s="26"/>
      <c r="P147" s="26"/>
      <c r="Q147" s="26"/>
      <c r="R147" s="26"/>
      <c r="S147" s="26"/>
      <c r="T147" s="26"/>
      <c r="U147" s="26"/>
      <c r="V147" s="102" t="s">
        <v>82</v>
      </c>
      <c r="W147" s="26"/>
      <c r="X147" s="26"/>
      <c r="Y147" s="26"/>
      <c r="Z147" s="26"/>
      <c r="AA147" s="102" t="s">
        <v>82</v>
      </c>
      <c r="AB147" s="26"/>
      <c r="AC147" s="102" t="s">
        <v>82</v>
      </c>
      <c r="AD147" s="104" t="s">
        <v>82</v>
      </c>
      <c r="AE147" s="26"/>
      <c r="AF147" s="26"/>
      <c r="AG147" s="102" t="s">
        <v>82</v>
      </c>
      <c r="AH147" s="102" t="s">
        <v>82</v>
      </c>
      <c r="AI147" s="26"/>
      <c r="AJ147" s="26"/>
      <c r="AK147" s="26"/>
      <c r="AL147" s="102" t="s">
        <v>82</v>
      </c>
      <c r="AM147" s="102" t="s">
        <v>82</v>
      </c>
      <c r="AN147" s="26"/>
      <c r="AO147" s="26"/>
      <c r="AP147" s="26"/>
      <c r="AQ147" s="26"/>
      <c r="AR147" s="18" t="s">
        <v>299</v>
      </c>
      <c r="AS147" s="39"/>
    </row>
    <row r="148" spans="1:45" s="1" customFormat="1" ht="26.4" x14ac:dyDescent="0.25">
      <c r="A148" s="63">
        <v>87</v>
      </c>
      <c r="B148" s="40"/>
      <c r="C148" s="64"/>
      <c r="D148" s="126" t="str">
        <f>HYPERLINK("http://www4.worldbank.org/sprojects/Project.asp?pid=P049269","Social Protection Project (03)")</f>
        <v>Social Protection Project (03)</v>
      </c>
      <c r="E148" s="211" t="s">
        <v>275</v>
      </c>
      <c r="F148" s="158">
        <v>284</v>
      </c>
      <c r="G148" s="139" t="s">
        <v>78</v>
      </c>
      <c r="H148" s="54">
        <v>35976</v>
      </c>
      <c r="I148" s="54">
        <v>37256</v>
      </c>
      <c r="J148" s="113"/>
      <c r="K148" s="113"/>
      <c r="L148" s="122"/>
      <c r="M148" s="118"/>
      <c r="N148" s="118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02" t="s">
        <v>82</v>
      </c>
      <c r="AB148" s="113"/>
      <c r="AC148" s="113"/>
      <c r="AD148" s="104" t="s">
        <v>276</v>
      </c>
      <c r="AE148" s="113"/>
      <c r="AF148" s="113"/>
      <c r="AG148" s="113"/>
      <c r="AH148" s="102" t="s">
        <v>82</v>
      </c>
      <c r="AI148" s="113"/>
      <c r="AJ148" s="113"/>
      <c r="AK148" s="113"/>
      <c r="AL148" s="102" t="s">
        <v>82</v>
      </c>
      <c r="AM148" s="102" t="s">
        <v>82</v>
      </c>
      <c r="AN148" s="113"/>
      <c r="AO148" s="113"/>
      <c r="AP148" s="113"/>
      <c r="AQ148" s="113"/>
      <c r="AR148" s="169" t="s">
        <v>299</v>
      </c>
      <c r="AS148" s="123"/>
    </row>
    <row r="149" spans="1:45" s="1" customFormat="1" ht="26.4" x14ac:dyDescent="0.25">
      <c r="A149" s="63">
        <v>88</v>
      </c>
      <c r="B149" s="40"/>
      <c r="C149" s="64"/>
      <c r="D149" s="98" t="str">
        <f>HYPERLINK("http://www4.worldbank.org/sprojects/Project.asp?pid=P006058","Social Protection Project (04)")</f>
        <v>Social Protection Project (04)</v>
      </c>
      <c r="E149" s="211" t="s">
        <v>183</v>
      </c>
      <c r="F149" s="147">
        <v>90.8</v>
      </c>
      <c r="G149" s="137" t="s">
        <v>78</v>
      </c>
      <c r="H149" s="54">
        <v>36069</v>
      </c>
      <c r="I149" s="54">
        <v>37773</v>
      </c>
      <c r="J149" s="26"/>
      <c r="K149" s="26"/>
      <c r="L149" s="36"/>
      <c r="M149" s="31"/>
      <c r="N149" s="31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102" t="s">
        <v>87</v>
      </c>
      <c r="AD149" s="104" t="s">
        <v>87</v>
      </c>
      <c r="AE149" s="26"/>
      <c r="AF149" s="26"/>
      <c r="AG149" s="26"/>
      <c r="AH149" s="26"/>
      <c r="AI149" s="26"/>
      <c r="AJ149" s="102" t="s">
        <v>82</v>
      </c>
      <c r="AK149" s="26"/>
      <c r="AL149" s="102" t="s">
        <v>82</v>
      </c>
      <c r="AM149" s="102" t="s">
        <v>82</v>
      </c>
      <c r="AN149" s="26"/>
      <c r="AO149" s="26"/>
      <c r="AP149" s="26"/>
      <c r="AQ149" s="26"/>
      <c r="AR149" s="18" t="s">
        <v>296</v>
      </c>
      <c r="AS149" s="39"/>
    </row>
    <row r="150" spans="1:45" s="1" customFormat="1" ht="26.4" x14ac:dyDescent="0.25">
      <c r="A150" s="63">
        <v>89</v>
      </c>
      <c r="B150" s="40"/>
      <c r="C150" s="64"/>
      <c r="D150" s="90" t="str">
        <f>HYPERLINK("http://www4.worldbank.org/sprojects/Project.asp?pid=P057473","Indigenous Protected Areas Project")</f>
        <v>Indigenous Protected Areas Project</v>
      </c>
      <c r="E150" s="234" t="s">
        <v>227</v>
      </c>
      <c r="F150" s="147">
        <v>5</v>
      </c>
      <c r="G150" s="137" t="s">
        <v>78</v>
      </c>
      <c r="H150" s="54">
        <v>36787</v>
      </c>
      <c r="I150" s="54">
        <v>37986</v>
      </c>
      <c r="J150" s="26"/>
      <c r="K150" s="26"/>
      <c r="L150" s="36"/>
      <c r="M150" s="31"/>
      <c r="N150" s="31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102" t="s">
        <v>82</v>
      </c>
      <c r="AC150" s="102" t="s">
        <v>87</v>
      </c>
      <c r="AD150" s="104" t="s">
        <v>97</v>
      </c>
      <c r="AE150" s="26"/>
      <c r="AF150" s="26"/>
      <c r="AG150" s="102" t="s">
        <v>82</v>
      </c>
      <c r="AH150" s="102" t="s">
        <v>228</v>
      </c>
      <c r="AI150" s="26"/>
      <c r="AJ150" s="102" t="s">
        <v>82</v>
      </c>
      <c r="AK150" s="102" t="s">
        <v>82</v>
      </c>
      <c r="AL150" s="102" t="s">
        <v>82</v>
      </c>
      <c r="AM150" s="102" t="s">
        <v>82</v>
      </c>
      <c r="AN150" s="26"/>
      <c r="AO150" s="26"/>
      <c r="AP150" s="26"/>
      <c r="AQ150" s="26"/>
      <c r="AR150" s="18" t="s">
        <v>296</v>
      </c>
      <c r="AS150" s="39"/>
    </row>
    <row r="151" spans="1:45" s="130" customFormat="1" ht="26.4" x14ac:dyDescent="0.25">
      <c r="A151" s="127">
        <v>90</v>
      </c>
      <c r="B151" s="129"/>
      <c r="C151" s="101"/>
      <c r="D151" s="126" t="str">
        <f>HYPERLINK("http://www4.worldbank.org/sprojects/Project.asp?pid=P057459","Sustainable Fisheries Management Project")</f>
        <v>Sustainable Fisheries Management Project</v>
      </c>
      <c r="E151" s="211" t="s">
        <v>280</v>
      </c>
      <c r="F151" s="148">
        <v>5</v>
      </c>
      <c r="G151" s="140" t="s">
        <v>78</v>
      </c>
      <c r="H151" s="133">
        <v>36787</v>
      </c>
      <c r="I151" s="133">
        <v>37802</v>
      </c>
      <c r="J151" s="113"/>
      <c r="K151" s="113"/>
      <c r="L151" s="122"/>
      <c r="M151" s="118"/>
      <c r="N151" s="103" t="s">
        <v>82</v>
      </c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04" t="s">
        <v>281</v>
      </c>
      <c r="AE151" s="113"/>
      <c r="AF151" s="113"/>
      <c r="AG151" s="113"/>
      <c r="AH151" s="113"/>
      <c r="AI151" s="113"/>
      <c r="AJ151" s="102" t="s">
        <v>82</v>
      </c>
      <c r="AK151" s="102" t="s">
        <v>82</v>
      </c>
      <c r="AL151" s="113"/>
      <c r="AM151" s="102" t="s">
        <v>82</v>
      </c>
      <c r="AN151" s="113"/>
      <c r="AO151" s="113"/>
      <c r="AP151" s="113"/>
      <c r="AQ151" s="113"/>
      <c r="AR151" s="169" t="s">
        <v>298</v>
      </c>
      <c r="AS151" s="123"/>
    </row>
    <row r="152" spans="1:45" s="1" customFormat="1" x14ac:dyDescent="0.25">
      <c r="A152" s="63"/>
      <c r="B152" s="40"/>
      <c r="C152" s="64" t="s">
        <v>114</v>
      </c>
      <c r="D152" s="89"/>
      <c r="E152" s="167"/>
      <c r="F152" s="147"/>
      <c r="G152" s="137"/>
      <c r="H152" s="54"/>
      <c r="I152" s="54"/>
      <c r="J152" s="26"/>
      <c r="K152" s="26"/>
      <c r="L152" s="36"/>
      <c r="M152" s="31"/>
      <c r="N152" s="31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60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18"/>
      <c r="AS152" s="39"/>
    </row>
    <row r="153" spans="1:45" s="1" customFormat="1" ht="39.6" x14ac:dyDescent="0.25">
      <c r="A153" s="63">
        <v>91</v>
      </c>
      <c r="B153" s="40"/>
      <c r="C153" s="41"/>
      <c r="D153" s="98" t="str">
        <f>HYPERLINK("http://www4.worldbank.org/sprojects/Project.asp?pid=P059566","CEARA Basic Education Quality Project")</f>
        <v>CEARA Basic Education Quality Project</v>
      </c>
      <c r="E153" s="211" t="s">
        <v>184</v>
      </c>
      <c r="F153" s="147">
        <v>90</v>
      </c>
      <c r="G153" s="137" t="s">
        <v>78</v>
      </c>
      <c r="H153" s="54"/>
      <c r="I153" s="54">
        <v>38869</v>
      </c>
      <c r="J153" s="26"/>
      <c r="K153" s="26"/>
      <c r="L153" s="36"/>
      <c r="M153" s="31"/>
      <c r="N153" s="31"/>
      <c r="O153" s="26"/>
      <c r="P153" s="26"/>
      <c r="Q153" s="26"/>
      <c r="R153" s="26"/>
      <c r="S153" s="26"/>
      <c r="T153" s="102" t="s">
        <v>82</v>
      </c>
      <c r="U153" s="26"/>
      <c r="V153" s="26"/>
      <c r="W153" s="26"/>
      <c r="X153" s="26"/>
      <c r="Y153" s="26"/>
      <c r="Z153" s="26"/>
      <c r="AA153" s="26"/>
      <c r="AB153" s="26"/>
      <c r="AC153" s="26"/>
      <c r="AD153" s="104" t="s">
        <v>87</v>
      </c>
      <c r="AE153" s="26"/>
      <c r="AF153" s="26"/>
      <c r="AG153" s="26"/>
      <c r="AH153" s="26"/>
      <c r="AI153" s="26"/>
      <c r="AJ153" s="102" t="s">
        <v>82</v>
      </c>
      <c r="AK153" s="26"/>
      <c r="AL153" s="26"/>
      <c r="AM153" s="102" t="s">
        <v>82</v>
      </c>
      <c r="AN153" s="26"/>
      <c r="AO153" s="26"/>
      <c r="AP153" s="26"/>
      <c r="AQ153" s="26"/>
      <c r="AR153" s="18" t="s">
        <v>296</v>
      </c>
      <c r="AS153" s="39"/>
    </row>
    <row r="154" spans="1:45" s="1" customFormat="1" ht="39.6" x14ac:dyDescent="0.25">
      <c r="A154" s="63">
        <v>92</v>
      </c>
      <c r="B154" s="40"/>
      <c r="C154" s="41"/>
      <c r="D154" s="98" t="str">
        <f>HYPERLINK("http://www4.worldbank.org/sprojects/Project.asp?pid=P039199","Low Income Sanitation Technical Assistance Project")</f>
        <v>Low Income Sanitation Technical Assistance Project</v>
      </c>
      <c r="E154" s="211" t="s">
        <v>185</v>
      </c>
      <c r="F154" s="147">
        <v>30</v>
      </c>
      <c r="G154" s="137" t="s">
        <v>78</v>
      </c>
      <c r="H154" s="54">
        <v>36526</v>
      </c>
      <c r="I154" s="54">
        <v>38322</v>
      </c>
      <c r="J154" s="26"/>
      <c r="K154" s="26"/>
      <c r="L154" s="36"/>
      <c r="M154" s="31"/>
      <c r="N154" s="31"/>
      <c r="O154" s="26"/>
      <c r="P154" s="26"/>
      <c r="Q154" s="26"/>
      <c r="R154" s="26"/>
      <c r="S154" s="26"/>
      <c r="T154" s="26"/>
      <c r="U154" s="26"/>
      <c r="V154" s="102" t="s">
        <v>82</v>
      </c>
      <c r="W154" s="26"/>
      <c r="X154" s="26"/>
      <c r="Y154" s="26"/>
      <c r="Z154" s="26"/>
      <c r="AA154" s="26"/>
      <c r="AB154" s="26"/>
      <c r="AC154" s="26"/>
      <c r="AD154" s="104" t="s">
        <v>93</v>
      </c>
      <c r="AE154" s="26"/>
      <c r="AF154" s="26"/>
      <c r="AG154" s="26"/>
      <c r="AH154" s="102" t="s">
        <v>82</v>
      </c>
      <c r="AI154" s="26"/>
      <c r="AJ154" s="102" t="s">
        <v>82</v>
      </c>
      <c r="AK154" s="102" t="s">
        <v>82</v>
      </c>
      <c r="AL154" s="26"/>
      <c r="AM154" s="102" t="s">
        <v>82</v>
      </c>
      <c r="AN154" s="26"/>
      <c r="AO154" s="26"/>
      <c r="AP154" s="26"/>
      <c r="AQ154" s="26"/>
      <c r="AR154" s="18" t="s">
        <v>296</v>
      </c>
      <c r="AS154" s="39"/>
    </row>
    <row r="155" spans="1:45" s="1" customFormat="1" ht="26.4" x14ac:dyDescent="0.25">
      <c r="A155" s="63">
        <v>93</v>
      </c>
      <c r="B155" s="40"/>
      <c r="C155" s="41"/>
      <c r="D155" s="98" t="str">
        <f>HYPERLINK("http://www4.worldbank.org/sprojects/Project.asp?pid=P050763","School Improvement Project (02)")</f>
        <v>School Improvement Project (02)</v>
      </c>
      <c r="E155" s="211" t="s">
        <v>186</v>
      </c>
      <c r="F155" s="147">
        <v>202</v>
      </c>
      <c r="G155" s="137" t="s">
        <v>78</v>
      </c>
      <c r="H155" s="54">
        <v>36312</v>
      </c>
      <c r="I155" s="54">
        <v>38322</v>
      </c>
      <c r="J155" s="26"/>
      <c r="K155" s="26"/>
      <c r="L155" s="36"/>
      <c r="M155" s="31"/>
      <c r="N155" s="31"/>
      <c r="O155" s="26"/>
      <c r="P155" s="26"/>
      <c r="Q155" s="26"/>
      <c r="R155" s="26"/>
      <c r="S155" s="102" t="s">
        <v>82</v>
      </c>
      <c r="T155" s="102" t="s">
        <v>82</v>
      </c>
      <c r="U155" s="102" t="s">
        <v>82</v>
      </c>
      <c r="V155" s="26"/>
      <c r="W155" s="26"/>
      <c r="X155" s="26"/>
      <c r="Y155" s="26"/>
      <c r="Z155" s="26"/>
      <c r="AA155" s="26"/>
      <c r="AB155" s="26"/>
      <c r="AC155" s="26"/>
      <c r="AD155" s="104" t="s">
        <v>93</v>
      </c>
      <c r="AE155" s="26"/>
      <c r="AF155" s="26"/>
      <c r="AG155" s="102" t="s">
        <v>82</v>
      </c>
      <c r="AH155" s="26"/>
      <c r="AI155" s="26"/>
      <c r="AJ155" s="102" t="s">
        <v>82</v>
      </c>
      <c r="AK155" s="102" t="s">
        <v>82</v>
      </c>
      <c r="AL155" s="26"/>
      <c r="AM155" s="102" t="s">
        <v>82</v>
      </c>
      <c r="AN155" s="26"/>
      <c r="AO155" s="26"/>
      <c r="AP155" s="26"/>
      <c r="AQ155" s="26"/>
      <c r="AR155" s="18" t="s">
        <v>299</v>
      </c>
      <c r="AS155" s="39"/>
    </row>
    <row r="156" spans="1:45" s="1" customFormat="1" ht="52.8" x14ac:dyDescent="0.25">
      <c r="A156" s="63">
        <v>94</v>
      </c>
      <c r="B156" s="40"/>
      <c r="C156" s="41"/>
      <c r="D156" s="98" t="str">
        <f>HYPERLINK("http://www4.worldbank.org/sprojects/Project.asp?pid=P057910","State Pension Systems Reform Technical Assistance Project")</f>
        <v>State Pension Systems Reform Technical Assistance Project</v>
      </c>
      <c r="E156" s="211" t="s">
        <v>187</v>
      </c>
      <c r="F156" s="147">
        <v>5</v>
      </c>
      <c r="G156" s="137" t="s">
        <v>78</v>
      </c>
      <c r="H156" s="54">
        <v>35947</v>
      </c>
      <c r="I156" s="54">
        <v>37226</v>
      </c>
      <c r="J156" s="26"/>
      <c r="K156" s="26"/>
      <c r="L156" s="106" t="s">
        <v>82</v>
      </c>
      <c r="M156" s="31"/>
      <c r="N156" s="31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60"/>
      <c r="AE156" s="26"/>
      <c r="AF156" s="102" t="s">
        <v>82</v>
      </c>
      <c r="AG156" s="26"/>
      <c r="AH156" s="26"/>
      <c r="AI156" s="26"/>
      <c r="AJ156" s="102" t="s">
        <v>82</v>
      </c>
      <c r="AK156" s="102" t="s">
        <v>82</v>
      </c>
      <c r="AL156" s="26"/>
      <c r="AM156" s="102" t="s">
        <v>82</v>
      </c>
      <c r="AN156" s="26"/>
      <c r="AO156" s="26"/>
      <c r="AP156" s="26"/>
      <c r="AQ156" s="26"/>
      <c r="AR156" s="18" t="s">
        <v>296</v>
      </c>
      <c r="AS156" s="39"/>
    </row>
    <row r="157" spans="1:45" x14ac:dyDescent="0.25">
      <c r="A157" s="42"/>
      <c r="B157" s="29"/>
      <c r="C157" s="33" t="s">
        <v>68</v>
      </c>
      <c r="D157" s="89"/>
      <c r="E157" s="214"/>
      <c r="F157" s="147"/>
      <c r="G157" s="137"/>
      <c r="H157" s="54"/>
      <c r="I157" s="54"/>
      <c r="J157" s="26"/>
      <c r="K157" s="26"/>
      <c r="L157" s="36"/>
      <c r="M157" s="31"/>
      <c r="N157" s="31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60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18"/>
      <c r="AS157" s="20"/>
    </row>
    <row r="158" spans="1:45" ht="66" x14ac:dyDescent="0.25">
      <c r="A158" s="45">
        <v>95</v>
      </c>
      <c r="B158" s="29"/>
      <c r="C158" s="33"/>
      <c r="D158" s="98" t="str">
        <f>HYPERLINK("http://www4.worldbank.org/sprojects/Project.asp?pid=P068762","Community Works and Employment Project - Manos a la Obra; Proyectos Comunitarios")</f>
        <v>Community Works and Employment Project - Manos a la Obra; Proyectos Comunitarios</v>
      </c>
      <c r="E158" s="211" t="s">
        <v>188</v>
      </c>
      <c r="F158" s="147">
        <v>100</v>
      </c>
      <c r="G158" s="137" t="s">
        <v>78</v>
      </c>
      <c r="H158" s="54">
        <v>36678</v>
      </c>
      <c r="I158" s="54">
        <v>37955</v>
      </c>
      <c r="J158" s="103" t="s">
        <v>82</v>
      </c>
      <c r="K158" s="31"/>
      <c r="L158" s="26"/>
      <c r="M158" s="31"/>
      <c r="N158" s="103" t="s">
        <v>82</v>
      </c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103" t="s">
        <v>82</v>
      </c>
      <c r="AB158" s="31"/>
      <c r="AC158" s="31"/>
      <c r="AD158" s="109" t="s">
        <v>82</v>
      </c>
      <c r="AE158" s="103" t="s">
        <v>82</v>
      </c>
      <c r="AF158" s="31"/>
      <c r="AG158" s="31"/>
      <c r="AH158" s="103" t="s">
        <v>82</v>
      </c>
      <c r="AI158" s="31"/>
      <c r="AJ158" s="103" t="s">
        <v>82</v>
      </c>
      <c r="AK158" s="31"/>
      <c r="AL158" s="103" t="s">
        <v>82</v>
      </c>
      <c r="AM158" s="103" t="s">
        <v>82</v>
      </c>
      <c r="AN158" s="31"/>
      <c r="AO158" s="31"/>
      <c r="AP158" s="31"/>
      <c r="AQ158" s="118"/>
      <c r="AR158" s="129" t="s">
        <v>295</v>
      </c>
      <c r="AS158" s="6"/>
    </row>
    <row r="159" spans="1:45" ht="26.4" x14ac:dyDescent="0.25">
      <c r="A159" s="45">
        <v>96</v>
      </c>
      <c r="B159" s="29"/>
      <c r="C159" s="33"/>
      <c r="D159" s="98" t="str">
        <f>HYPERLINK("http://www4.worldbank.org/sprojects/Project.asp?pid=P065263","Earthquake Recovery Project")</f>
        <v>Earthquake Recovery Project</v>
      </c>
      <c r="E159" s="211" t="s">
        <v>189</v>
      </c>
      <c r="F159" s="147">
        <v>225</v>
      </c>
      <c r="G159" s="137" t="s">
        <v>78</v>
      </c>
      <c r="H159" s="54">
        <v>36586</v>
      </c>
      <c r="I159" s="54">
        <v>38139</v>
      </c>
      <c r="J159" s="103" t="s">
        <v>82</v>
      </c>
      <c r="K159" s="31"/>
      <c r="L159" s="26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103" t="s">
        <v>82</v>
      </c>
      <c r="AA159" s="103" t="s">
        <v>82</v>
      </c>
      <c r="AB159" s="31"/>
      <c r="AC159" s="31"/>
      <c r="AD159" s="109" t="s">
        <v>93</v>
      </c>
      <c r="AE159" s="31"/>
      <c r="AF159" s="31"/>
      <c r="AG159" s="103" t="s">
        <v>82</v>
      </c>
      <c r="AH159" s="31"/>
      <c r="AI159" s="31"/>
      <c r="AJ159" s="103" t="s">
        <v>82</v>
      </c>
      <c r="AK159" s="31"/>
      <c r="AL159" s="31"/>
      <c r="AM159" s="31"/>
      <c r="AN159" s="31"/>
      <c r="AO159" s="103" t="s">
        <v>82</v>
      </c>
      <c r="AP159" s="31"/>
      <c r="AQ159" s="31"/>
      <c r="AR159" s="40" t="s">
        <v>299</v>
      </c>
      <c r="AS159" s="6"/>
    </row>
    <row r="160" spans="1:45" ht="26.4" x14ac:dyDescent="0.25">
      <c r="A160" s="45">
        <v>97</v>
      </c>
      <c r="B160" s="29"/>
      <c r="C160" s="33"/>
      <c r="D160" s="98" t="str">
        <f>HYPERLINK("http://www4.worldbank.org/sprojects/Project.asp?pid=P050578","Rural Education Project")</f>
        <v>Rural Education Project</v>
      </c>
      <c r="E160" s="211" t="s">
        <v>190</v>
      </c>
      <c r="F160" s="147">
        <v>20</v>
      </c>
      <c r="G160" s="137" t="s">
        <v>78</v>
      </c>
      <c r="H160" s="54">
        <v>35855</v>
      </c>
      <c r="I160" s="54">
        <v>37226</v>
      </c>
      <c r="J160" s="31"/>
      <c r="K160" s="31"/>
      <c r="L160" s="26"/>
      <c r="M160" s="31"/>
      <c r="N160" s="31"/>
      <c r="O160" s="31"/>
      <c r="P160" s="31"/>
      <c r="Q160" s="31"/>
      <c r="R160" s="31"/>
      <c r="S160" s="31"/>
      <c r="T160" s="31"/>
      <c r="U160" s="103" t="s">
        <v>82</v>
      </c>
      <c r="V160" s="31"/>
      <c r="W160" s="31"/>
      <c r="X160" s="31"/>
      <c r="Y160" s="31"/>
      <c r="Z160" s="31"/>
      <c r="AA160" s="31"/>
      <c r="AB160" s="31"/>
      <c r="AC160" s="31"/>
      <c r="AD160" s="109" t="s">
        <v>93</v>
      </c>
      <c r="AE160" s="103" t="s">
        <v>82</v>
      </c>
      <c r="AF160" s="31"/>
      <c r="AG160" s="103" t="s">
        <v>82</v>
      </c>
      <c r="AH160" s="31"/>
      <c r="AI160" s="31"/>
      <c r="AJ160" s="103" t="s">
        <v>82</v>
      </c>
      <c r="AK160" s="103" t="s">
        <v>82</v>
      </c>
      <c r="AL160" s="31"/>
      <c r="AM160" s="103" t="s">
        <v>82</v>
      </c>
      <c r="AN160" s="31"/>
      <c r="AO160" s="31"/>
      <c r="AP160" s="31"/>
      <c r="AQ160" s="31"/>
      <c r="AR160" s="40" t="s">
        <v>296</v>
      </c>
      <c r="AS160" s="6"/>
    </row>
    <row r="161" spans="1:45" ht="26.4" x14ac:dyDescent="0.25">
      <c r="A161" s="45">
        <v>98</v>
      </c>
      <c r="B161" s="29"/>
      <c r="C161" s="33"/>
      <c r="D161" s="98" t="str">
        <f>HYPERLINK("http://www4.worldbank.org/sprojects/Project.asp?pid=P050576","Youth Development Project")</f>
        <v>Youth Development Project</v>
      </c>
      <c r="E161" s="211" t="s">
        <v>191</v>
      </c>
      <c r="F161" s="147">
        <v>5</v>
      </c>
      <c r="G161" s="137" t="s">
        <v>78</v>
      </c>
      <c r="H161" s="54">
        <v>35855</v>
      </c>
      <c r="I161" s="54">
        <v>37226</v>
      </c>
      <c r="J161" s="31"/>
      <c r="K161" s="31"/>
      <c r="L161" s="26"/>
      <c r="M161" s="31"/>
      <c r="N161" s="31"/>
      <c r="O161" s="31"/>
      <c r="P161" s="31"/>
      <c r="Q161" s="31"/>
      <c r="R161" s="31"/>
      <c r="S161" s="31"/>
      <c r="T161" s="31"/>
      <c r="U161" s="31"/>
      <c r="V161" s="103" t="s">
        <v>82</v>
      </c>
      <c r="W161" s="31"/>
      <c r="X161" s="31"/>
      <c r="Y161" s="31"/>
      <c r="Z161" s="31"/>
      <c r="AA161" s="31"/>
      <c r="AB161" s="31"/>
      <c r="AC161" s="31"/>
      <c r="AD161" s="109" t="s">
        <v>87</v>
      </c>
      <c r="AE161" s="103" t="s">
        <v>82</v>
      </c>
      <c r="AF161" s="31"/>
      <c r="AG161" s="103" t="s">
        <v>82</v>
      </c>
      <c r="AH161" s="103" t="s">
        <v>82</v>
      </c>
      <c r="AI161" s="31"/>
      <c r="AJ161" s="103" t="s">
        <v>82</v>
      </c>
      <c r="AK161" s="103" t="s">
        <v>82</v>
      </c>
      <c r="AL161" s="103" t="s">
        <v>82</v>
      </c>
      <c r="AM161" s="103" t="s">
        <v>82</v>
      </c>
      <c r="AN161" s="31"/>
      <c r="AO161" s="31"/>
      <c r="AP161" s="31"/>
      <c r="AQ161" s="31"/>
      <c r="AR161" s="40" t="s">
        <v>296</v>
      </c>
      <c r="AS161" s="6"/>
    </row>
    <row r="162" spans="1:45" ht="26.4" x14ac:dyDescent="0.25">
      <c r="A162" s="78">
        <v>99</v>
      </c>
      <c r="B162" s="29"/>
      <c r="C162" s="33"/>
      <c r="D162" s="98" t="str">
        <f>HYPERLINK("http://www4.worldbank.org/sprojects/Project.asp?pid=P069964","Human Capital Protection Project")</f>
        <v>Human Capital Protection Project</v>
      </c>
      <c r="E162" s="211" t="s">
        <v>192</v>
      </c>
      <c r="F162" s="147">
        <v>150</v>
      </c>
      <c r="G162" s="137" t="s">
        <v>78</v>
      </c>
      <c r="H162" s="54">
        <v>36951</v>
      </c>
      <c r="I162" s="54">
        <v>38352</v>
      </c>
      <c r="J162" s="31"/>
      <c r="K162" s="103" t="s">
        <v>82</v>
      </c>
      <c r="L162" s="26"/>
      <c r="M162" s="31"/>
      <c r="N162" s="31"/>
      <c r="O162" s="31"/>
      <c r="P162" s="31"/>
      <c r="Q162" s="31"/>
      <c r="R162" s="103" t="s">
        <v>82</v>
      </c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109" t="s">
        <v>215</v>
      </c>
      <c r="AE162" s="31"/>
      <c r="AF162" s="31"/>
      <c r="AG162" s="31"/>
      <c r="AH162" s="31"/>
      <c r="AI162" s="31"/>
      <c r="AJ162" s="31"/>
      <c r="AK162" s="31"/>
      <c r="AL162" s="31"/>
      <c r="AM162" s="103" t="s">
        <v>82</v>
      </c>
      <c r="AN162" s="31"/>
      <c r="AO162" s="31"/>
      <c r="AP162" s="31"/>
      <c r="AQ162" s="31"/>
      <c r="AR162" s="40" t="s">
        <v>305</v>
      </c>
      <c r="AS162" s="6"/>
    </row>
    <row r="163" spans="1:45" x14ac:dyDescent="0.25">
      <c r="A163" s="45"/>
      <c r="B163" s="29"/>
      <c r="C163" s="33" t="s">
        <v>69</v>
      </c>
      <c r="D163" s="89"/>
      <c r="E163" s="167"/>
      <c r="F163" s="147"/>
      <c r="G163" s="137"/>
      <c r="H163" s="54"/>
      <c r="I163" s="54"/>
      <c r="J163" s="31"/>
      <c r="K163" s="31"/>
      <c r="L163" s="26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6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40"/>
      <c r="AS163" s="6"/>
    </row>
    <row r="164" spans="1:45" ht="26.4" x14ac:dyDescent="0.25">
      <c r="A164" s="45">
        <v>100</v>
      </c>
      <c r="B164" s="29"/>
      <c r="C164" s="33"/>
      <c r="D164" s="98" t="str">
        <f>HYPERLINK("http://www4.worldbank.org/sprojects/Project.asp?pid=P048651","Social Investment Fund Project (04)")</f>
        <v>Social Investment Fund Project (04)</v>
      </c>
      <c r="E164" s="211" t="s">
        <v>193</v>
      </c>
      <c r="F164" s="147">
        <v>45</v>
      </c>
      <c r="G164" s="53" t="s">
        <v>77</v>
      </c>
      <c r="H164" s="54">
        <v>36069</v>
      </c>
      <c r="I164" s="54">
        <v>37315</v>
      </c>
      <c r="J164" s="31"/>
      <c r="K164" s="31"/>
      <c r="L164" s="26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103" t="s">
        <v>82</v>
      </c>
      <c r="AB164" s="31"/>
      <c r="AC164" s="103" t="s">
        <v>87</v>
      </c>
      <c r="AD164" s="109" t="s">
        <v>82</v>
      </c>
      <c r="AE164" s="31"/>
      <c r="AF164" s="31"/>
      <c r="AG164" s="103" t="s">
        <v>82</v>
      </c>
      <c r="AH164" s="31"/>
      <c r="AI164" s="31"/>
      <c r="AJ164" s="31"/>
      <c r="AK164" s="31"/>
      <c r="AL164" s="31"/>
      <c r="AM164" s="31"/>
      <c r="AN164" s="31"/>
      <c r="AO164" s="103" t="s">
        <v>82</v>
      </c>
      <c r="AP164" s="31"/>
      <c r="AQ164" s="31"/>
      <c r="AR164" s="40" t="s">
        <v>295</v>
      </c>
      <c r="AS164" s="6"/>
    </row>
    <row r="165" spans="1:45" ht="26.4" x14ac:dyDescent="0.25">
      <c r="A165" s="45">
        <v>101</v>
      </c>
      <c r="B165" s="29"/>
      <c r="C165" s="33"/>
      <c r="D165" s="90" t="str">
        <f>HYPERLINK("http://www4.worldbank.org/sprojects/Project.asp?pid=P064895","Social Investment Fund Project (05)")</f>
        <v>Social Investment Fund Project (05)</v>
      </c>
      <c r="E165" s="219" t="s">
        <v>264</v>
      </c>
      <c r="F165" s="152">
        <v>60</v>
      </c>
      <c r="G165" s="53" t="s">
        <v>77</v>
      </c>
      <c r="H165" s="54">
        <v>36874</v>
      </c>
      <c r="I165" s="54">
        <v>38533</v>
      </c>
      <c r="J165" s="31"/>
      <c r="K165" s="31"/>
      <c r="L165" s="26"/>
      <c r="M165" s="31"/>
      <c r="N165" s="31"/>
      <c r="O165" s="31"/>
      <c r="P165" s="31"/>
      <c r="Q165" s="31"/>
      <c r="R165" s="31"/>
      <c r="S165" s="31"/>
      <c r="T165" s="31"/>
      <c r="U165" s="31"/>
      <c r="V165" s="103" t="s">
        <v>82</v>
      </c>
      <c r="W165" s="31"/>
      <c r="X165" s="31"/>
      <c r="Y165" s="31"/>
      <c r="Z165" s="31"/>
      <c r="AA165" s="103" t="s">
        <v>82</v>
      </c>
      <c r="AB165" s="103" t="s">
        <v>82</v>
      </c>
      <c r="AC165" s="109" t="s">
        <v>265</v>
      </c>
      <c r="AD165" s="109" t="s">
        <v>266</v>
      </c>
      <c r="AE165" s="103" t="s">
        <v>82</v>
      </c>
      <c r="AF165" s="103" t="s">
        <v>82</v>
      </c>
      <c r="AG165" s="103" t="s">
        <v>82</v>
      </c>
      <c r="AH165" s="103" t="s">
        <v>82</v>
      </c>
      <c r="AI165" s="31"/>
      <c r="AJ165" s="103" t="s">
        <v>82</v>
      </c>
      <c r="AK165" s="103" t="s">
        <v>82</v>
      </c>
      <c r="AL165" s="31"/>
      <c r="AM165" s="103" t="s">
        <v>82</v>
      </c>
      <c r="AN165" s="31"/>
      <c r="AO165" s="31"/>
      <c r="AP165" s="31"/>
      <c r="AQ165" s="31"/>
      <c r="AR165" s="40" t="s">
        <v>296</v>
      </c>
      <c r="AS165" s="6"/>
    </row>
    <row r="166" spans="1:45" s="186" customFormat="1" x14ac:dyDescent="0.25">
      <c r="A166" s="200"/>
      <c r="B166" s="183"/>
      <c r="C166" s="184" t="s">
        <v>318</v>
      </c>
      <c r="D166" s="187"/>
      <c r="E166" s="230"/>
      <c r="F166" s="190"/>
      <c r="G166" s="201"/>
      <c r="H166" s="202"/>
      <c r="I166" s="202"/>
      <c r="J166" s="177"/>
      <c r="K166" s="177"/>
      <c r="L166" s="176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203"/>
      <c r="AD166" s="203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  <c r="AR166" s="175"/>
      <c r="AS166" s="204"/>
    </row>
    <row r="167" spans="1:45" s="186" customFormat="1" ht="26.4" x14ac:dyDescent="0.25">
      <c r="A167" s="200">
        <v>102</v>
      </c>
      <c r="B167" s="183"/>
      <c r="C167" s="184"/>
      <c r="D167" s="126" t="str">
        <f>HYPERLINK("http://www4.worldbank.org/sprojects/Project.asp?pid=P067774","Social Safety Net Project")</f>
        <v>Social Safety Net Project</v>
      </c>
      <c r="E167" s="230" t="s">
        <v>319</v>
      </c>
      <c r="F167" s="190">
        <v>40</v>
      </c>
      <c r="G167" s="201" t="s">
        <v>78</v>
      </c>
      <c r="H167" s="202">
        <v>37138</v>
      </c>
      <c r="I167" s="202">
        <v>38898</v>
      </c>
      <c r="J167" s="103" t="s">
        <v>82</v>
      </c>
      <c r="K167" s="103" t="s">
        <v>82</v>
      </c>
      <c r="L167" s="102" t="s">
        <v>82</v>
      </c>
      <c r="M167" s="103" t="s">
        <v>82</v>
      </c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203"/>
      <c r="AD167" s="203"/>
      <c r="AE167" s="177"/>
      <c r="AF167" s="177"/>
      <c r="AG167" s="177"/>
      <c r="AH167" s="177"/>
      <c r="AI167" s="177"/>
      <c r="AJ167" s="103" t="s">
        <v>82</v>
      </c>
      <c r="AK167" s="177"/>
      <c r="AL167" s="103" t="s">
        <v>82</v>
      </c>
      <c r="AM167" s="103" t="s">
        <v>82</v>
      </c>
      <c r="AN167" s="177"/>
      <c r="AO167" s="177"/>
      <c r="AP167" s="177"/>
      <c r="AQ167" s="177"/>
      <c r="AR167" s="175" t="s">
        <v>314</v>
      </c>
      <c r="AS167" s="204"/>
    </row>
    <row r="168" spans="1:45" x14ac:dyDescent="0.25">
      <c r="A168" s="45"/>
      <c r="B168" s="29"/>
      <c r="C168" s="33" t="s">
        <v>248</v>
      </c>
      <c r="D168" s="98"/>
      <c r="E168" s="211"/>
      <c r="F168" s="147"/>
      <c r="G168" s="53"/>
      <c r="H168" s="54"/>
      <c r="I168" s="54"/>
      <c r="J168" s="31"/>
      <c r="K168" s="31"/>
      <c r="L168" s="26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6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40"/>
      <c r="AS168" s="6"/>
    </row>
    <row r="169" spans="1:45" ht="52.8" x14ac:dyDescent="0.25">
      <c r="A169" s="45">
        <v>103</v>
      </c>
      <c r="B169" s="29"/>
      <c r="C169" s="33"/>
      <c r="D169" s="93" t="str">
        <f>HYPERLINK("http://www4.worldbank.org/sprojects/Project.asp?pid=P056087","Pension and Financial Market Reform Technical Assistance Credit Project")</f>
        <v>Pension and Financial Market Reform Technical Assistance Credit Project</v>
      </c>
      <c r="E169" s="220" t="s">
        <v>249</v>
      </c>
      <c r="F169" s="138">
        <v>8</v>
      </c>
      <c r="G169" s="53" t="s">
        <v>77</v>
      </c>
      <c r="H169" s="54">
        <v>36657</v>
      </c>
      <c r="I169" s="54">
        <v>38045</v>
      </c>
      <c r="J169" s="31"/>
      <c r="K169" s="31"/>
      <c r="L169" s="107" t="s">
        <v>292</v>
      </c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117" t="s">
        <v>250</v>
      </c>
      <c r="AD169" s="117" t="s">
        <v>251</v>
      </c>
      <c r="AE169" s="31"/>
      <c r="AF169" s="31"/>
      <c r="AG169" s="31"/>
      <c r="AH169" s="31"/>
      <c r="AI169" s="31"/>
      <c r="AJ169" s="103" t="s">
        <v>82</v>
      </c>
      <c r="AK169" s="31"/>
      <c r="AL169" s="31"/>
      <c r="AM169" s="103" t="s">
        <v>82</v>
      </c>
      <c r="AN169" s="31"/>
      <c r="AO169" s="31"/>
      <c r="AP169" s="31"/>
      <c r="AQ169" s="31"/>
      <c r="AR169" s="40" t="s">
        <v>296</v>
      </c>
      <c r="AS169" s="6"/>
    </row>
    <row r="170" spans="1:45" s="186" customFormat="1" ht="39.6" x14ac:dyDescent="0.25">
      <c r="A170" s="200">
        <v>104</v>
      </c>
      <c r="B170" s="183"/>
      <c r="C170" s="184"/>
      <c r="D170" s="209" t="str">
        <f>HYPERLINK("http://www4.worldbank.org/sprojects/Project.asp?pid=P064906","Poverty Reduction and Local Development Project")</f>
        <v>Poverty Reduction and Local Development Project</v>
      </c>
      <c r="E170" s="235" t="s">
        <v>320</v>
      </c>
      <c r="F170" s="205">
        <v>60</v>
      </c>
      <c r="G170" s="201" t="s">
        <v>77</v>
      </c>
      <c r="H170" s="202">
        <v>37014</v>
      </c>
      <c r="I170" s="202">
        <v>38352</v>
      </c>
      <c r="J170" s="103" t="s">
        <v>82</v>
      </c>
      <c r="K170" s="177"/>
      <c r="L170" s="206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17" t="s">
        <v>87</v>
      </c>
      <c r="AD170" s="207"/>
      <c r="AE170" s="103" t="s">
        <v>82</v>
      </c>
      <c r="AF170" s="103" t="s">
        <v>82</v>
      </c>
      <c r="AG170" s="177"/>
      <c r="AH170" s="177"/>
      <c r="AI170" s="177"/>
      <c r="AJ170" s="103" t="s">
        <v>82</v>
      </c>
      <c r="AK170" s="103" t="s">
        <v>82</v>
      </c>
      <c r="AL170" s="177"/>
      <c r="AM170" s="177"/>
      <c r="AN170" s="177"/>
      <c r="AO170" s="177"/>
      <c r="AP170" s="177"/>
      <c r="AQ170" s="177"/>
      <c r="AR170" s="175"/>
      <c r="AS170" s="204"/>
    </row>
    <row r="171" spans="1:45" x14ac:dyDescent="0.25">
      <c r="A171" s="45"/>
      <c r="B171" s="29"/>
      <c r="C171" s="33" t="s">
        <v>115</v>
      </c>
      <c r="D171" s="89"/>
      <c r="E171" s="167"/>
      <c r="F171" s="147"/>
      <c r="G171" s="53"/>
      <c r="H171" s="54"/>
      <c r="I171" s="54"/>
      <c r="J171" s="31"/>
      <c r="K171" s="31"/>
      <c r="L171" s="26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6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40"/>
      <c r="AS171" s="6"/>
    </row>
    <row r="172" spans="1:45" ht="39.6" x14ac:dyDescent="0.25">
      <c r="A172" s="45">
        <v>105</v>
      </c>
      <c r="B172" s="29"/>
      <c r="C172" s="33"/>
      <c r="D172" s="98" t="str">
        <f>HYPERLINK("http://www4.worldbank.org/sprojects/Project.asp?pid=P060499","Indigenous and Afro-Peruvian Peoples Development Project")</f>
        <v>Indigenous and Afro-Peruvian Peoples Development Project</v>
      </c>
      <c r="E172" s="211" t="s">
        <v>194</v>
      </c>
      <c r="F172" s="147">
        <v>5</v>
      </c>
      <c r="G172" s="53" t="s">
        <v>78</v>
      </c>
      <c r="H172" s="54">
        <v>36557</v>
      </c>
      <c r="I172" s="54">
        <v>37591</v>
      </c>
      <c r="J172" s="31"/>
      <c r="K172" s="31"/>
      <c r="L172" s="26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103" t="s">
        <v>87</v>
      </c>
      <c r="AD172" s="109" t="s">
        <v>96</v>
      </c>
      <c r="AE172" s="31"/>
      <c r="AF172" s="31"/>
      <c r="AG172" s="31"/>
      <c r="AH172" s="103" t="s">
        <v>82</v>
      </c>
      <c r="AI172" s="31"/>
      <c r="AJ172" s="103" t="s">
        <v>82</v>
      </c>
      <c r="AK172" s="103" t="s">
        <v>82</v>
      </c>
      <c r="AL172" s="31"/>
      <c r="AM172" s="103" t="s">
        <v>82</v>
      </c>
      <c r="AN172" s="31"/>
      <c r="AO172" s="31"/>
      <c r="AP172" s="31"/>
      <c r="AQ172" s="31"/>
      <c r="AR172" s="40" t="s">
        <v>296</v>
      </c>
      <c r="AS172" s="6"/>
    </row>
    <row r="173" spans="1:45" x14ac:dyDescent="0.25">
      <c r="A173" s="45"/>
      <c r="B173" s="29"/>
      <c r="C173" s="33" t="s">
        <v>70</v>
      </c>
      <c r="D173" s="89"/>
      <c r="E173" s="167"/>
      <c r="F173" s="147"/>
      <c r="G173" s="137"/>
      <c r="H173" s="54"/>
      <c r="I173" s="54"/>
      <c r="J173" s="31"/>
      <c r="K173" s="31"/>
      <c r="L173" s="26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6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40"/>
      <c r="AS173" s="6"/>
    </row>
    <row r="174" spans="1:45" ht="26.4" x14ac:dyDescent="0.25">
      <c r="A174" s="45">
        <v>106</v>
      </c>
      <c r="B174" s="29"/>
      <c r="C174" s="33"/>
      <c r="D174" s="98" t="str">
        <f>HYPERLINK("http://www4.worldbank.org/sprojects/Project.asp?pid=P054939","Poverty Reduction Fund Project")</f>
        <v>Poverty Reduction Fund Project</v>
      </c>
      <c r="E174" s="211" t="s">
        <v>195</v>
      </c>
      <c r="F174" s="147">
        <v>3</v>
      </c>
      <c r="G174" s="165" t="s">
        <v>289</v>
      </c>
      <c r="H174" s="54">
        <v>36363</v>
      </c>
      <c r="I174" s="54">
        <v>37621</v>
      </c>
      <c r="J174" s="31"/>
      <c r="K174" s="31"/>
      <c r="L174" s="26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103" t="s">
        <v>82</v>
      </c>
      <c r="AB174" s="31"/>
      <c r="AC174" s="103" t="s">
        <v>87</v>
      </c>
      <c r="AD174" s="109" t="s">
        <v>82</v>
      </c>
      <c r="AE174" s="103" t="s">
        <v>82</v>
      </c>
      <c r="AF174" s="31"/>
      <c r="AG174" s="103" t="s">
        <v>82</v>
      </c>
      <c r="AH174" s="31"/>
      <c r="AI174" s="31"/>
      <c r="AJ174" s="103" t="s">
        <v>82</v>
      </c>
      <c r="AK174" s="31"/>
      <c r="AL174" s="31"/>
      <c r="AM174" s="103" t="s">
        <v>82</v>
      </c>
      <c r="AN174" s="31"/>
      <c r="AO174" s="31"/>
      <c r="AP174" s="31"/>
      <c r="AQ174" s="31"/>
      <c r="AR174" s="40" t="s">
        <v>295</v>
      </c>
      <c r="AS174" s="6"/>
    </row>
    <row r="175" spans="1:45" x14ac:dyDescent="0.25">
      <c r="A175" s="45"/>
      <c r="B175" s="29"/>
      <c r="C175" s="33"/>
      <c r="D175" s="89"/>
      <c r="E175" s="214"/>
      <c r="F175" s="147"/>
      <c r="G175" s="137"/>
      <c r="H175" s="54"/>
      <c r="I175" s="54"/>
      <c r="J175" s="31"/>
      <c r="K175" s="31"/>
      <c r="L175" s="26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6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40"/>
      <c r="AS175" s="6"/>
    </row>
    <row r="176" spans="1:45" s="1" customFormat="1" x14ac:dyDescent="0.25">
      <c r="A176" s="44"/>
      <c r="B176" s="40" t="s">
        <v>71</v>
      </c>
      <c r="C176" s="41"/>
      <c r="D176" s="91"/>
      <c r="E176" s="217"/>
      <c r="F176" s="150"/>
      <c r="G176" s="137"/>
      <c r="H176" s="53"/>
      <c r="I176" s="53"/>
      <c r="J176" s="31"/>
      <c r="K176" s="31"/>
      <c r="L176" s="26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6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40"/>
      <c r="AS176" s="5"/>
    </row>
    <row r="177" spans="1:45" s="1" customFormat="1" x14ac:dyDescent="0.25">
      <c r="A177" s="68"/>
      <c r="B177" s="40"/>
      <c r="C177" s="64" t="s">
        <v>116</v>
      </c>
      <c r="D177" s="91"/>
      <c r="E177" s="217"/>
      <c r="F177" s="150"/>
      <c r="G177" s="137"/>
      <c r="H177" s="53"/>
      <c r="I177" s="53"/>
      <c r="J177" s="31"/>
      <c r="K177" s="31"/>
      <c r="L177" s="26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6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40"/>
      <c r="AS177" s="5"/>
    </row>
    <row r="178" spans="1:45" s="1" customFormat="1" ht="52.8" x14ac:dyDescent="0.25">
      <c r="A178" s="68">
        <v>107</v>
      </c>
      <c r="B178" s="40"/>
      <c r="C178" s="41"/>
      <c r="D178" s="98" t="str">
        <f>HYPERLINK("http://www4.worldbank.org/sprojects/Project.asp?pid=P069947","Ain Temouchent Emergency Earthquake Recovery Project")</f>
        <v>Ain Temouchent Emergency Earthquake Recovery Project</v>
      </c>
      <c r="E178" s="211" t="s">
        <v>196</v>
      </c>
      <c r="F178" s="147">
        <v>150</v>
      </c>
      <c r="G178" s="137" t="s">
        <v>78</v>
      </c>
      <c r="H178" s="54">
        <v>36678</v>
      </c>
      <c r="I178" s="54">
        <v>37956</v>
      </c>
      <c r="J178" s="103" t="s">
        <v>82</v>
      </c>
      <c r="K178" s="31"/>
      <c r="L178" s="26"/>
      <c r="M178" s="31"/>
      <c r="N178" s="31"/>
      <c r="O178" s="31"/>
      <c r="P178" s="31"/>
      <c r="Q178" s="31"/>
      <c r="R178" s="31"/>
      <c r="S178" s="31"/>
      <c r="T178" s="31"/>
      <c r="U178" s="103" t="s">
        <v>82</v>
      </c>
      <c r="V178" s="31"/>
      <c r="W178" s="31"/>
      <c r="X178" s="31"/>
      <c r="Y178" s="31"/>
      <c r="Z178" s="103" t="s">
        <v>82</v>
      </c>
      <c r="AA178" s="103" t="s">
        <v>82</v>
      </c>
      <c r="AB178" s="31"/>
      <c r="AC178" s="31"/>
      <c r="AD178" s="109" t="s">
        <v>93</v>
      </c>
      <c r="AE178" s="31"/>
      <c r="AF178" s="103" t="s">
        <v>82</v>
      </c>
      <c r="AG178" s="31"/>
      <c r="AH178" s="31"/>
      <c r="AI178" s="31"/>
      <c r="AJ178" s="103" t="s">
        <v>82</v>
      </c>
      <c r="AK178" s="103" t="s">
        <v>82</v>
      </c>
      <c r="AL178" s="31"/>
      <c r="AM178" s="31"/>
      <c r="AN178" s="31"/>
      <c r="AO178" s="103" t="s">
        <v>82</v>
      </c>
      <c r="AP178" s="31"/>
      <c r="AQ178" s="31"/>
      <c r="AR178" s="40" t="s">
        <v>299</v>
      </c>
      <c r="AS178" s="5"/>
    </row>
    <row r="179" spans="1:45" s="1" customFormat="1" ht="26.4" x14ac:dyDescent="0.25">
      <c r="A179" s="68">
        <v>108</v>
      </c>
      <c r="B179" s="40"/>
      <c r="C179" s="41"/>
      <c r="D179" s="90" t="str">
        <f>HYPERLINK("http://www4.worldbank.org/sprojects/Project.asp?pid=P004978","Social Safety Net Support Project")</f>
        <v>Social Safety Net Support Project</v>
      </c>
      <c r="E179" s="219" t="s">
        <v>269</v>
      </c>
      <c r="F179" s="152">
        <v>50</v>
      </c>
      <c r="G179" s="137" t="s">
        <v>78</v>
      </c>
      <c r="H179" s="54">
        <v>35180</v>
      </c>
      <c r="I179" s="54">
        <v>36981</v>
      </c>
      <c r="J179" s="103" t="s">
        <v>82</v>
      </c>
      <c r="K179" s="31"/>
      <c r="L179" s="26"/>
      <c r="M179" s="31"/>
      <c r="N179" s="31"/>
      <c r="O179" s="31"/>
      <c r="P179" s="31"/>
      <c r="Q179" s="31"/>
      <c r="R179" s="31"/>
      <c r="S179" s="31"/>
      <c r="T179" s="31"/>
      <c r="U179" s="31"/>
      <c r="V179" s="118"/>
      <c r="W179" s="31"/>
      <c r="X179" s="31"/>
      <c r="Y179" s="31"/>
      <c r="Z179" s="31"/>
      <c r="AA179" s="103" t="s">
        <v>82</v>
      </c>
      <c r="AB179" s="31"/>
      <c r="AC179" s="103" t="s">
        <v>87</v>
      </c>
      <c r="AD179" s="109" t="s">
        <v>270</v>
      </c>
      <c r="AE179" s="31"/>
      <c r="AF179" s="103" t="s">
        <v>82</v>
      </c>
      <c r="AG179" s="103" t="s">
        <v>82</v>
      </c>
      <c r="AH179" s="31"/>
      <c r="AI179" s="31"/>
      <c r="AJ179" s="103" t="s">
        <v>82</v>
      </c>
      <c r="AK179" s="31"/>
      <c r="AL179" s="103" t="s">
        <v>82</v>
      </c>
      <c r="AM179" s="103" t="s">
        <v>82</v>
      </c>
      <c r="AN179" s="31"/>
      <c r="AO179" s="31"/>
      <c r="AP179" s="31"/>
      <c r="AQ179" s="31"/>
      <c r="AR179" s="40" t="s">
        <v>300</v>
      </c>
      <c r="AS179" s="5"/>
    </row>
    <row r="180" spans="1:45" x14ac:dyDescent="0.25">
      <c r="A180" s="45"/>
      <c r="B180" s="29"/>
      <c r="C180" s="33" t="s">
        <v>72</v>
      </c>
      <c r="D180" s="89"/>
      <c r="E180" s="214"/>
      <c r="F180" s="147"/>
      <c r="G180" s="137"/>
      <c r="H180" s="54"/>
      <c r="I180" s="54"/>
      <c r="J180" s="31"/>
      <c r="K180" s="31"/>
      <c r="L180" s="26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6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40"/>
      <c r="AS180" s="6"/>
    </row>
    <row r="181" spans="1:45" ht="39.6" x14ac:dyDescent="0.25">
      <c r="A181" s="45">
        <v>109</v>
      </c>
      <c r="B181" s="29"/>
      <c r="C181" s="33"/>
      <c r="D181" s="98" t="str">
        <f>HYPERLINK("http://www4.worldbank.org/sprojects/Project.asp?pid=P056419","Ex-Combatants Reintegration Pilot Project")</f>
        <v>Ex-Combatants Reintegration Pilot Project</v>
      </c>
      <c r="E181" s="211" t="s">
        <v>197</v>
      </c>
      <c r="F181" s="147">
        <v>2.7</v>
      </c>
      <c r="G181" s="137" t="s">
        <v>77</v>
      </c>
      <c r="H181" s="54">
        <v>36161</v>
      </c>
      <c r="I181" s="54">
        <v>37256</v>
      </c>
      <c r="J181" s="103" t="s">
        <v>82</v>
      </c>
      <c r="K181" s="31"/>
      <c r="L181" s="26"/>
      <c r="M181" s="103" t="s">
        <v>82</v>
      </c>
      <c r="N181" s="31"/>
      <c r="O181" s="31"/>
      <c r="P181" s="31"/>
      <c r="Q181" s="31"/>
      <c r="R181" s="31"/>
      <c r="S181" s="31"/>
      <c r="T181" s="31"/>
      <c r="U181" s="31"/>
      <c r="V181" s="103" t="s">
        <v>82</v>
      </c>
      <c r="W181" s="31"/>
      <c r="X181" s="31"/>
      <c r="Y181" s="31"/>
      <c r="Z181" s="31"/>
      <c r="AA181" s="103" t="s">
        <v>82</v>
      </c>
      <c r="AB181" s="103" t="s">
        <v>82</v>
      </c>
      <c r="AC181" s="31"/>
      <c r="AD181" s="109" t="s">
        <v>97</v>
      </c>
      <c r="AE181" s="31"/>
      <c r="AF181" s="31"/>
      <c r="AG181" s="31"/>
      <c r="AH181" s="103" t="s">
        <v>82</v>
      </c>
      <c r="AI181" s="31"/>
      <c r="AJ181" s="103" t="s">
        <v>82</v>
      </c>
      <c r="AK181" s="31"/>
      <c r="AL181" s="31"/>
      <c r="AM181" s="31"/>
      <c r="AN181" s="103" t="s">
        <v>82</v>
      </c>
      <c r="AO181" s="31"/>
      <c r="AP181" s="31"/>
      <c r="AQ181" s="31"/>
      <c r="AR181" s="40" t="s">
        <v>302</v>
      </c>
      <c r="AS181" s="6"/>
    </row>
    <row r="182" spans="1:45" ht="39.6" x14ac:dyDescent="0.25">
      <c r="A182" s="45">
        <v>110</v>
      </c>
      <c r="B182" s="29"/>
      <c r="C182" s="33"/>
      <c r="D182" s="98" t="str">
        <f>HYPERLINK("http://www4.worldbank.org/sprojects/Project.asp?pid=P044584","Social Development and Public Works Project")</f>
        <v>Social Development and Public Works Project</v>
      </c>
      <c r="E182" s="211" t="s">
        <v>198</v>
      </c>
      <c r="F182" s="147">
        <v>14.8</v>
      </c>
      <c r="G182" s="137" t="s">
        <v>77</v>
      </c>
      <c r="H182" s="54">
        <v>36281</v>
      </c>
      <c r="I182" s="54">
        <v>37956</v>
      </c>
      <c r="J182" s="31"/>
      <c r="K182" s="31"/>
      <c r="L182" s="26"/>
      <c r="M182" s="103" t="s">
        <v>82</v>
      </c>
      <c r="N182" s="31"/>
      <c r="O182" s="31"/>
      <c r="P182" s="31"/>
      <c r="Q182" s="31"/>
      <c r="R182" s="31"/>
      <c r="S182" s="31"/>
      <c r="T182" s="31"/>
      <c r="U182" s="31"/>
      <c r="V182" s="103" t="s">
        <v>82</v>
      </c>
      <c r="W182" s="31"/>
      <c r="X182" s="31"/>
      <c r="Y182" s="31"/>
      <c r="Z182" s="31"/>
      <c r="AA182" s="103" t="s">
        <v>82</v>
      </c>
      <c r="AB182" s="31"/>
      <c r="AC182" s="31"/>
      <c r="AD182" s="61"/>
      <c r="AE182" s="31"/>
      <c r="AF182" s="31"/>
      <c r="AG182" s="103" t="s">
        <v>82</v>
      </c>
      <c r="AH182" s="31"/>
      <c r="AI182" s="31"/>
      <c r="AJ182" s="103" t="s">
        <v>82</v>
      </c>
      <c r="AK182" s="103" t="s">
        <v>82</v>
      </c>
      <c r="AL182" s="103" t="s">
        <v>82</v>
      </c>
      <c r="AM182" s="103" t="s">
        <v>82</v>
      </c>
      <c r="AN182" s="31"/>
      <c r="AO182" s="31"/>
      <c r="AP182" s="31"/>
      <c r="AQ182" s="31"/>
      <c r="AR182" s="40" t="s">
        <v>299</v>
      </c>
      <c r="AS182" s="6"/>
    </row>
    <row r="183" spans="1:45" x14ac:dyDescent="0.25">
      <c r="A183" s="45"/>
      <c r="B183" s="29"/>
      <c r="C183" s="33" t="s">
        <v>73</v>
      </c>
      <c r="D183" s="89"/>
      <c r="E183" s="167"/>
      <c r="F183" s="147"/>
      <c r="G183" s="137"/>
      <c r="H183" s="54"/>
      <c r="I183" s="54"/>
      <c r="J183" s="31"/>
      <c r="K183" s="31"/>
      <c r="L183" s="26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6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40"/>
      <c r="AS183" s="6"/>
    </row>
    <row r="184" spans="1:45" ht="39.6" x14ac:dyDescent="0.25">
      <c r="A184" s="45">
        <v>111</v>
      </c>
      <c r="B184" s="29"/>
      <c r="C184" s="33"/>
      <c r="D184" s="98" t="str">
        <f>HYPERLINK("http://www4.worldbank.org/sprojects/Project.asp?pid=P052705","Social Fund for Development Project (03)")</f>
        <v>Social Fund for Development Project (03)</v>
      </c>
      <c r="E184" s="211" t="s">
        <v>199</v>
      </c>
      <c r="F184" s="147">
        <v>50</v>
      </c>
      <c r="G184" s="137" t="s">
        <v>77</v>
      </c>
      <c r="H184" s="54">
        <v>36312</v>
      </c>
      <c r="I184" s="54">
        <v>37621</v>
      </c>
      <c r="J184" s="31"/>
      <c r="K184" s="31"/>
      <c r="L184" s="26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103" t="s">
        <v>82</v>
      </c>
      <c r="AB184" s="103" t="s">
        <v>82</v>
      </c>
      <c r="AC184" s="109" t="s">
        <v>265</v>
      </c>
      <c r="AD184" s="109" t="s">
        <v>82</v>
      </c>
      <c r="AE184" s="31"/>
      <c r="AF184" s="31"/>
      <c r="AG184" s="103" t="s">
        <v>82</v>
      </c>
      <c r="AH184" s="103" t="s">
        <v>82</v>
      </c>
      <c r="AI184" s="31"/>
      <c r="AJ184" s="31"/>
      <c r="AK184" s="103" t="s">
        <v>82</v>
      </c>
      <c r="AL184" s="103" t="s">
        <v>82</v>
      </c>
      <c r="AM184" s="103" t="s">
        <v>82</v>
      </c>
      <c r="AN184" s="31"/>
      <c r="AO184" s="31"/>
      <c r="AP184" s="31"/>
      <c r="AQ184" s="31"/>
      <c r="AR184" s="40" t="s">
        <v>295</v>
      </c>
      <c r="AS184" s="6"/>
    </row>
    <row r="185" spans="1:45" ht="26.4" x14ac:dyDescent="0.25">
      <c r="A185" s="45">
        <v>112</v>
      </c>
      <c r="B185" s="29"/>
      <c r="C185" s="33"/>
      <c r="D185" s="98" t="str">
        <f>HYPERLINK("http://www4.worldbank.org/sprojects/Project.asp?pid=P066336","Social Protection Initiatives Project")</f>
        <v>Social Protection Initiatives Project</v>
      </c>
      <c r="E185" s="211" t="s">
        <v>200</v>
      </c>
      <c r="F185" s="147">
        <v>5</v>
      </c>
      <c r="G185" s="137" t="s">
        <v>77</v>
      </c>
      <c r="H185" s="54">
        <v>36312</v>
      </c>
      <c r="I185" s="54">
        <v>38322</v>
      </c>
      <c r="J185" s="31"/>
      <c r="K185" s="103" t="s">
        <v>82</v>
      </c>
      <c r="L185" s="26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109" t="s">
        <v>122</v>
      </c>
      <c r="AE185" s="31"/>
      <c r="AF185" s="31"/>
      <c r="AG185" s="31"/>
      <c r="AH185" s="31"/>
      <c r="AI185" s="31"/>
      <c r="AJ185" s="103" t="s">
        <v>82</v>
      </c>
      <c r="AK185" s="31"/>
      <c r="AL185" s="103" t="s">
        <v>82</v>
      </c>
      <c r="AM185" s="103" t="s">
        <v>82</v>
      </c>
      <c r="AN185" s="31"/>
      <c r="AO185" s="31"/>
      <c r="AP185" s="31"/>
      <c r="AQ185" s="31"/>
      <c r="AR185" s="40" t="s">
        <v>299</v>
      </c>
      <c r="AS185" s="6"/>
    </row>
    <row r="186" spans="1:45" ht="26.4" x14ac:dyDescent="0.25">
      <c r="A186" s="45">
        <v>113</v>
      </c>
      <c r="B186" s="29"/>
      <c r="C186" s="33"/>
      <c r="D186" s="98" t="str">
        <f>HYPERLINK("http://www4.worldbank.org/sprojects/Project.asp?pid=P040858","Sohag Rural Development Project")</f>
        <v>Sohag Rural Development Project</v>
      </c>
      <c r="E186" s="211" t="s">
        <v>201</v>
      </c>
      <c r="F186" s="147">
        <v>25</v>
      </c>
      <c r="G186" s="137" t="s">
        <v>77</v>
      </c>
      <c r="H186" s="54">
        <v>36008</v>
      </c>
      <c r="I186" s="54">
        <v>38504</v>
      </c>
      <c r="J186" s="31"/>
      <c r="K186" s="31"/>
      <c r="L186" s="26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103" t="s">
        <v>82</v>
      </c>
      <c r="AC186" s="31"/>
      <c r="AD186" s="109" t="s">
        <v>122</v>
      </c>
      <c r="AE186" s="31"/>
      <c r="AF186" s="31"/>
      <c r="AG186" s="103" t="s">
        <v>82</v>
      </c>
      <c r="AH186" s="103" t="s">
        <v>82</v>
      </c>
      <c r="AI186" s="31"/>
      <c r="AJ186" s="103" t="s">
        <v>82</v>
      </c>
      <c r="AK186" s="31"/>
      <c r="AL186" s="103" t="s">
        <v>82</v>
      </c>
      <c r="AM186" s="103" t="s">
        <v>82</v>
      </c>
      <c r="AN186" s="31"/>
      <c r="AO186" s="31"/>
      <c r="AP186" s="31"/>
      <c r="AQ186" s="31"/>
      <c r="AR186" s="40" t="s">
        <v>296</v>
      </c>
      <c r="AS186" s="6"/>
    </row>
    <row r="187" spans="1:45" x14ac:dyDescent="0.25">
      <c r="A187" s="45"/>
      <c r="B187" s="29"/>
      <c r="C187" s="33" t="s">
        <v>123</v>
      </c>
      <c r="D187" s="89"/>
      <c r="E187" s="167"/>
      <c r="F187" s="147"/>
      <c r="G187" s="137"/>
      <c r="H187" s="54"/>
      <c r="I187" s="54"/>
      <c r="J187" s="31"/>
      <c r="K187" s="31"/>
      <c r="L187" s="26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6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40"/>
      <c r="AS187" s="6"/>
    </row>
    <row r="188" spans="1:45" ht="39.6" x14ac:dyDescent="0.25">
      <c r="A188" s="45">
        <v>114</v>
      </c>
      <c r="B188" s="29"/>
      <c r="C188" s="33"/>
      <c r="D188" s="98" t="str">
        <f>HYPERLINK("http://www4.worldbank.org/sprojects/Project.asp?pid=P069943","Primary Health Care and Nutrition Project (02)")</f>
        <v>Primary Health Care and Nutrition Project (02)</v>
      </c>
      <c r="E188" s="211" t="s">
        <v>202</v>
      </c>
      <c r="F188" s="147">
        <v>87</v>
      </c>
      <c r="G188" s="137" t="s">
        <v>78</v>
      </c>
      <c r="H188" s="54" t="s">
        <v>117</v>
      </c>
      <c r="I188" s="54">
        <v>38687</v>
      </c>
      <c r="J188" s="31"/>
      <c r="K188" s="31"/>
      <c r="L188" s="26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103" t="s">
        <v>82</v>
      </c>
      <c r="Y188" s="31"/>
      <c r="Z188" s="31"/>
      <c r="AA188" s="31"/>
      <c r="AB188" s="31"/>
      <c r="AC188" s="103" t="s">
        <v>124</v>
      </c>
      <c r="AD188" s="109" t="s">
        <v>93</v>
      </c>
      <c r="AE188" s="31"/>
      <c r="AF188" s="103" t="s">
        <v>82</v>
      </c>
      <c r="AG188" s="31"/>
      <c r="AH188" s="31"/>
      <c r="AI188" s="31"/>
      <c r="AJ188" s="103" t="s">
        <v>82</v>
      </c>
      <c r="AK188" s="103" t="s">
        <v>82</v>
      </c>
      <c r="AL188" s="103" t="s">
        <v>82</v>
      </c>
      <c r="AM188" s="103" t="s">
        <v>82</v>
      </c>
      <c r="AN188" s="31"/>
      <c r="AO188" s="31"/>
      <c r="AP188" s="31"/>
      <c r="AQ188" s="31"/>
      <c r="AR188" s="40" t="s">
        <v>296</v>
      </c>
      <c r="AS188" s="6"/>
    </row>
    <row r="189" spans="1:45" x14ac:dyDescent="0.25">
      <c r="A189" s="45"/>
      <c r="B189" s="29"/>
      <c r="C189" s="33" t="s">
        <v>238</v>
      </c>
      <c r="D189" s="98"/>
      <c r="E189" s="211"/>
      <c r="F189" s="147"/>
      <c r="G189" s="137"/>
      <c r="H189" s="54"/>
      <c r="I189" s="54"/>
      <c r="J189" s="31"/>
      <c r="K189" s="31"/>
      <c r="L189" s="26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6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40"/>
      <c r="AS189" s="6"/>
    </row>
    <row r="190" spans="1:45" ht="39.6" x14ac:dyDescent="0.25">
      <c r="A190" s="45">
        <v>115</v>
      </c>
      <c r="B190" s="29"/>
      <c r="C190" s="33"/>
      <c r="D190" s="90" t="str">
        <f>HYPERLINK("http://www4.worldbank.org/sprojects/Project.asp?pid=P005501","Social Priorities Program - Basic Education Project")</f>
        <v>Social Priorities Program - Basic Education Project</v>
      </c>
      <c r="E190" s="215" t="s">
        <v>239</v>
      </c>
      <c r="F190" s="151">
        <v>54</v>
      </c>
      <c r="G190" s="137" t="s">
        <v>78</v>
      </c>
      <c r="H190" s="54">
        <v>35215</v>
      </c>
      <c r="I190" s="54">
        <v>37986</v>
      </c>
      <c r="J190" s="31"/>
      <c r="K190" s="31"/>
      <c r="L190" s="26"/>
      <c r="M190" s="31"/>
      <c r="N190" s="31"/>
      <c r="O190" s="31"/>
      <c r="P190" s="31"/>
      <c r="Q190" s="31"/>
      <c r="R190" s="31"/>
      <c r="S190" s="31"/>
      <c r="T190" s="31"/>
      <c r="U190" s="103" t="s">
        <v>82</v>
      </c>
      <c r="V190" s="31"/>
      <c r="W190" s="31"/>
      <c r="X190" s="31"/>
      <c r="Y190" s="31"/>
      <c r="Z190" s="31"/>
      <c r="AA190" s="31"/>
      <c r="AB190" s="31"/>
      <c r="AC190" s="31"/>
      <c r="AD190" s="109" t="s">
        <v>240</v>
      </c>
      <c r="AE190" s="31"/>
      <c r="AF190" s="31"/>
      <c r="AG190" s="31"/>
      <c r="AH190" s="31"/>
      <c r="AI190" s="31"/>
      <c r="AJ190" s="103" t="s">
        <v>82</v>
      </c>
      <c r="AK190" s="31"/>
      <c r="AL190" s="31"/>
      <c r="AM190" s="103" t="s">
        <v>82</v>
      </c>
      <c r="AN190" s="31"/>
      <c r="AO190" s="31"/>
      <c r="AP190" s="31"/>
      <c r="AQ190" s="31"/>
      <c r="AR190" s="40" t="s">
        <v>296</v>
      </c>
      <c r="AS190" s="6"/>
    </row>
    <row r="191" spans="1:45" x14ac:dyDescent="0.25">
      <c r="A191" s="45"/>
      <c r="B191" s="29"/>
      <c r="C191" s="33" t="s">
        <v>74</v>
      </c>
      <c r="D191" s="89"/>
      <c r="E191" s="167"/>
      <c r="F191" s="147"/>
      <c r="G191" s="137"/>
      <c r="H191" s="54"/>
      <c r="I191" s="54"/>
      <c r="J191" s="31"/>
      <c r="K191" s="31"/>
      <c r="L191" s="26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6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40"/>
      <c r="AS191" s="6"/>
    </row>
    <row r="192" spans="1:45" ht="39.6" x14ac:dyDescent="0.25">
      <c r="A192" s="45">
        <v>116</v>
      </c>
      <c r="B192" s="29"/>
      <c r="C192" s="33"/>
      <c r="D192" s="98" t="str">
        <f>HYPERLINK("http://www4.worldbank.org/sprojects/Project.asp?pid=P047067","NGO Trust Fund for the West Bank &amp; Gaza Project")</f>
        <v>NGO Trust Fund for the West Bank &amp; Gaza Project</v>
      </c>
      <c r="E192" s="211" t="s">
        <v>203</v>
      </c>
      <c r="F192" s="147">
        <v>10</v>
      </c>
      <c r="G192" s="162" t="s">
        <v>79</v>
      </c>
      <c r="H192" s="54">
        <v>35621</v>
      </c>
      <c r="I192" s="83" t="s">
        <v>286</v>
      </c>
      <c r="J192" s="31"/>
      <c r="K192" s="31"/>
      <c r="L192" s="26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103" t="s">
        <v>218</v>
      </c>
      <c r="AD192" s="61"/>
      <c r="AE192" s="103" t="s">
        <v>82</v>
      </c>
      <c r="AF192" s="103" t="s">
        <v>82</v>
      </c>
      <c r="AG192" s="31"/>
      <c r="AH192" s="103" t="s">
        <v>82</v>
      </c>
      <c r="AI192" s="31"/>
      <c r="AJ192" s="103" t="s">
        <v>82</v>
      </c>
      <c r="AK192" s="103" t="s">
        <v>82</v>
      </c>
      <c r="AL192" s="31"/>
      <c r="AM192" s="103" t="s">
        <v>82</v>
      </c>
      <c r="AN192" s="31"/>
      <c r="AO192" s="31"/>
      <c r="AP192" s="31"/>
      <c r="AQ192" s="31"/>
      <c r="AR192" s="40" t="s">
        <v>295</v>
      </c>
      <c r="AS192" s="6"/>
    </row>
    <row r="193" spans="1:45" s="57" customFormat="1" ht="33" customHeight="1" x14ac:dyDescent="0.25">
      <c r="A193" s="80">
        <v>117</v>
      </c>
      <c r="B193" s="81"/>
      <c r="C193" s="82"/>
      <c r="D193" s="98" t="str">
        <f>HYPERLINK("http://www4.worldbank.org/sprojects/Project.asp?pid=P071040","Palestinian NGO (02) Project")</f>
        <v>Palestinian NGO (02) Project</v>
      </c>
      <c r="E193" s="216" t="s">
        <v>216</v>
      </c>
      <c r="F193" s="159">
        <v>8</v>
      </c>
      <c r="G193" s="163" t="s">
        <v>79</v>
      </c>
      <c r="H193" s="83">
        <v>37063</v>
      </c>
      <c r="I193" s="83" t="s">
        <v>217</v>
      </c>
      <c r="J193" s="61"/>
      <c r="K193" s="61"/>
      <c r="L193" s="60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117" t="s">
        <v>241</v>
      </c>
      <c r="AD193" s="109" t="s">
        <v>219</v>
      </c>
      <c r="AE193" s="61"/>
      <c r="AF193" s="109" t="s">
        <v>82</v>
      </c>
      <c r="AG193" s="109" t="s">
        <v>82</v>
      </c>
      <c r="AH193" s="109" t="s">
        <v>82</v>
      </c>
      <c r="AI193" s="61"/>
      <c r="AJ193" s="109" t="s">
        <v>82</v>
      </c>
      <c r="AK193" s="109" t="s">
        <v>82</v>
      </c>
      <c r="AL193" s="109" t="s">
        <v>82</v>
      </c>
      <c r="AM193" s="61"/>
      <c r="AN193" s="61"/>
      <c r="AO193" s="61"/>
      <c r="AP193" s="61"/>
      <c r="AQ193" s="109" t="s">
        <v>82</v>
      </c>
      <c r="AR193" s="173" t="s">
        <v>296</v>
      </c>
      <c r="AS193" s="84"/>
    </row>
    <row r="194" spans="1:45" x14ac:dyDescent="0.25">
      <c r="A194" s="45"/>
      <c r="B194" s="29"/>
      <c r="C194" s="33" t="s">
        <v>118</v>
      </c>
      <c r="D194" s="89"/>
      <c r="E194" s="167"/>
      <c r="F194" s="147"/>
      <c r="G194" s="137"/>
      <c r="H194" s="54"/>
      <c r="I194" s="54"/>
      <c r="J194" s="31"/>
      <c r="K194" s="31"/>
      <c r="L194" s="26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6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40"/>
      <c r="AS194" s="6"/>
    </row>
    <row r="195" spans="1:45" ht="26.4" x14ac:dyDescent="0.25">
      <c r="A195" s="45">
        <v>118</v>
      </c>
      <c r="B195" s="29"/>
      <c r="C195" s="33"/>
      <c r="D195" s="98" t="str">
        <f>HYPERLINK("http://www4.worldbank.org/sprojects/Project.asp?pid=P050483","Child Development Project")</f>
        <v>Child Development Project</v>
      </c>
      <c r="E195" s="211" t="s">
        <v>204</v>
      </c>
      <c r="F195" s="147">
        <v>28.9</v>
      </c>
      <c r="G195" s="137" t="s">
        <v>77</v>
      </c>
      <c r="H195" s="54">
        <v>36586</v>
      </c>
      <c r="I195" s="54">
        <v>38687</v>
      </c>
      <c r="J195" s="31"/>
      <c r="K195" s="31"/>
      <c r="L195" s="26"/>
      <c r="M195" s="31"/>
      <c r="N195" s="31"/>
      <c r="O195" s="31"/>
      <c r="P195" s="31"/>
      <c r="Q195" s="31"/>
      <c r="R195" s="31"/>
      <c r="S195" s="31"/>
      <c r="T195" s="31"/>
      <c r="U195" s="103" t="s">
        <v>82</v>
      </c>
      <c r="V195" s="31"/>
      <c r="W195" s="31"/>
      <c r="X195" s="31"/>
      <c r="Y195" s="31"/>
      <c r="Z195" s="31"/>
      <c r="AA195" s="31"/>
      <c r="AB195" s="31"/>
      <c r="AC195" s="103" t="s">
        <v>124</v>
      </c>
      <c r="AD195" s="109" t="s">
        <v>96</v>
      </c>
      <c r="AE195" s="31"/>
      <c r="AF195" s="31"/>
      <c r="AG195" s="103" t="s">
        <v>82</v>
      </c>
      <c r="AH195" s="31"/>
      <c r="AI195" s="31"/>
      <c r="AJ195" s="103" t="s">
        <v>82</v>
      </c>
      <c r="AK195" s="31"/>
      <c r="AL195" s="103" t="s">
        <v>82</v>
      </c>
      <c r="AM195" s="103" t="s">
        <v>82</v>
      </c>
      <c r="AN195" s="31"/>
      <c r="AO195" s="31"/>
      <c r="AP195" s="31"/>
      <c r="AQ195" s="31"/>
      <c r="AR195" s="40" t="s">
        <v>299</v>
      </c>
      <c r="AS195" s="6"/>
    </row>
    <row r="196" spans="1:45" ht="39.6" x14ac:dyDescent="0.25">
      <c r="A196" s="45">
        <v>119</v>
      </c>
      <c r="B196" s="29"/>
      <c r="C196" s="33"/>
      <c r="D196" s="98" t="str">
        <f>HYPERLINK("http://www4.worldbank.org/sprojects/Project.asp?pid=P068830","Social Fund for Development Project (02)")</f>
        <v>Social Fund for Development Project (02)</v>
      </c>
      <c r="E196" s="211" t="s">
        <v>205</v>
      </c>
      <c r="F196" s="147">
        <v>75</v>
      </c>
      <c r="G196" s="137" t="s">
        <v>77</v>
      </c>
      <c r="H196" s="54">
        <v>36647</v>
      </c>
      <c r="I196" s="54">
        <v>38869</v>
      </c>
      <c r="J196" s="31"/>
      <c r="K196" s="31"/>
      <c r="L196" s="26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103" t="s">
        <v>82</v>
      </c>
      <c r="AC196" s="103" t="s">
        <v>87</v>
      </c>
      <c r="AD196" s="61"/>
      <c r="AE196" s="103" t="s">
        <v>82</v>
      </c>
      <c r="AF196" s="31"/>
      <c r="AG196" s="103" t="s">
        <v>82</v>
      </c>
      <c r="AH196" s="103" t="s">
        <v>82</v>
      </c>
      <c r="AI196" s="31"/>
      <c r="AJ196" s="103" t="s">
        <v>82</v>
      </c>
      <c r="AK196" s="31"/>
      <c r="AL196" s="31"/>
      <c r="AM196" s="103" t="s">
        <v>82</v>
      </c>
      <c r="AN196" s="31"/>
      <c r="AO196" s="31"/>
      <c r="AP196" s="31"/>
      <c r="AQ196" s="31"/>
      <c r="AR196" s="40" t="s">
        <v>299</v>
      </c>
      <c r="AS196" s="6"/>
    </row>
    <row r="197" spans="1:45" ht="26.4" x14ac:dyDescent="0.25">
      <c r="A197" s="45">
        <v>120</v>
      </c>
      <c r="B197" s="29"/>
      <c r="C197" s="33"/>
      <c r="D197" s="90" t="str">
        <f>HYPERLINK("http://www4.worldbank.org/sprojects/Project.asp?pid=P041199","Social Fund for Development Project")</f>
        <v>Social Fund for Development Project</v>
      </c>
      <c r="E197" s="219" t="s">
        <v>242</v>
      </c>
      <c r="F197" s="152">
        <v>30</v>
      </c>
      <c r="G197" s="137" t="s">
        <v>77</v>
      </c>
      <c r="H197" s="54">
        <v>35572</v>
      </c>
      <c r="I197" s="54">
        <v>37802</v>
      </c>
      <c r="J197" s="31"/>
      <c r="K197" s="31"/>
      <c r="L197" s="26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103" t="s">
        <v>82</v>
      </c>
      <c r="AB197" s="103" t="s">
        <v>82</v>
      </c>
      <c r="AC197" s="103" t="s">
        <v>87</v>
      </c>
      <c r="AD197" s="109" t="s">
        <v>243</v>
      </c>
      <c r="AE197" s="31"/>
      <c r="AF197" s="31"/>
      <c r="AG197" s="103" t="s">
        <v>82</v>
      </c>
      <c r="AH197" s="103" t="s">
        <v>82</v>
      </c>
      <c r="AI197" s="31"/>
      <c r="AJ197" s="103" t="s">
        <v>82</v>
      </c>
      <c r="AK197" s="31"/>
      <c r="AL197" s="103" t="s">
        <v>82</v>
      </c>
      <c r="AM197" s="103" t="s">
        <v>82</v>
      </c>
      <c r="AN197" s="31"/>
      <c r="AO197" s="31"/>
      <c r="AP197" s="31"/>
      <c r="AQ197" s="31"/>
      <c r="AR197" s="40" t="s">
        <v>296</v>
      </c>
      <c r="AS197" s="6"/>
    </row>
    <row r="198" spans="1:45" x14ac:dyDescent="0.25">
      <c r="A198" s="45"/>
      <c r="B198" s="29"/>
      <c r="C198" s="33"/>
      <c r="D198" s="89"/>
      <c r="E198" s="214"/>
      <c r="F198" s="147"/>
      <c r="G198" s="137"/>
      <c r="H198" s="54"/>
      <c r="I198" s="54"/>
      <c r="J198" s="31"/>
      <c r="K198" s="31"/>
      <c r="L198" s="26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6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40"/>
      <c r="AS198" s="6"/>
    </row>
    <row r="199" spans="1:45" s="1" customFormat="1" x14ac:dyDescent="0.25">
      <c r="A199" s="44"/>
      <c r="B199" s="40" t="s">
        <v>75</v>
      </c>
      <c r="C199" s="41"/>
      <c r="D199" s="91"/>
      <c r="E199" s="217"/>
      <c r="F199" s="150"/>
      <c r="G199" s="137"/>
      <c r="H199" s="53"/>
      <c r="I199" s="53"/>
      <c r="J199" s="31"/>
      <c r="K199" s="31"/>
      <c r="L199" s="26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6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40"/>
      <c r="AS199" s="5"/>
    </row>
    <row r="200" spans="1:45" x14ac:dyDescent="0.25">
      <c r="A200" s="45"/>
      <c r="B200" s="29"/>
      <c r="C200" s="33" t="s">
        <v>119</v>
      </c>
      <c r="D200" s="89"/>
      <c r="E200" s="167"/>
      <c r="F200" s="147"/>
      <c r="G200" s="137"/>
      <c r="H200" s="54"/>
      <c r="I200" s="54"/>
      <c r="J200" s="31"/>
      <c r="K200" s="31"/>
      <c r="L200" s="26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6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40"/>
      <c r="AS200" s="6"/>
    </row>
    <row r="201" spans="1:45" s="125" customFormat="1" ht="52.8" x14ac:dyDescent="0.25">
      <c r="A201" s="132">
        <v>121</v>
      </c>
      <c r="B201" s="120"/>
      <c r="C201" s="121"/>
      <c r="D201" s="126" t="str">
        <f>HYPERLINK("http://www4.worldbank.org/sprojects/Project.asp?pid=P009518","Rural Roads and Markets Improvement and Maintenance Project (02)")</f>
        <v>Rural Roads and Markets Improvement and Maintenance Project (02)</v>
      </c>
      <c r="E201" s="211" t="s">
        <v>283</v>
      </c>
      <c r="F201" s="148">
        <v>133</v>
      </c>
      <c r="G201" s="140" t="s">
        <v>77</v>
      </c>
      <c r="H201" s="133">
        <v>35418</v>
      </c>
      <c r="I201" s="133">
        <v>37346</v>
      </c>
      <c r="J201" s="118"/>
      <c r="K201" s="118"/>
      <c r="L201" s="113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03" t="s">
        <v>82</v>
      </c>
      <c r="AB201" s="118"/>
      <c r="AC201" s="118"/>
      <c r="AD201" s="109" t="s">
        <v>96</v>
      </c>
      <c r="AE201" s="118"/>
      <c r="AF201" s="118"/>
      <c r="AG201" s="103" t="s">
        <v>82</v>
      </c>
      <c r="AH201" s="103" t="s">
        <v>82</v>
      </c>
      <c r="AI201" s="118"/>
      <c r="AJ201" s="103" t="s">
        <v>82</v>
      </c>
      <c r="AK201" s="118"/>
      <c r="AL201" s="118"/>
      <c r="AM201" s="103" t="s">
        <v>82</v>
      </c>
      <c r="AN201" s="118"/>
      <c r="AO201" s="118"/>
      <c r="AP201" s="118"/>
      <c r="AQ201" s="118"/>
      <c r="AR201" s="129" t="s">
        <v>297</v>
      </c>
      <c r="AS201" s="134"/>
    </row>
    <row r="202" spans="1:45" x14ac:dyDescent="0.25">
      <c r="A202" s="45"/>
      <c r="B202" s="29"/>
      <c r="C202" s="33" t="s">
        <v>76</v>
      </c>
      <c r="D202" s="89"/>
      <c r="E202" s="214"/>
      <c r="F202" s="147"/>
      <c r="G202" s="137"/>
      <c r="H202" s="54"/>
      <c r="I202" s="54"/>
      <c r="J202" s="31"/>
      <c r="K202" s="31"/>
      <c r="L202" s="26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6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40"/>
      <c r="AS202" s="6"/>
    </row>
    <row r="203" spans="1:45" ht="26.4" x14ac:dyDescent="0.25">
      <c r="A203" s="45">
        <v>122</v>
      </c>
      <c r="B203" s="29"/>
      <c r="C203" s="33"/>
      <c r="D203" s="98" t="str">
        <f>HYPERLINK("http://www4.worldbank.org/sprojects/Project.asp?pid=P038021","District Primary Education Project (03)")</f>
        <v>District Primary Education Project (03)</v>
      </c>
      <c r="E203" s="211" t="s">
        <v>206</v>
      </c>
      <c r="F203" s="147">
        <v>152</v>
      </c>
      <c r="G203" s="137" t="s">
        <v>77</v>
      </c>
      <c r="H203" s="54">
        <v>35765</v>
      </c>
      <c r="I203" s="54">
        <v>37865</v>
      </c>
      <c r="J203" s="31"/>
      <c r="K203" s="31"/>
      <c r="L203" s="26"/>
      <c r="M203" s="31"/>
      <c r="N203" s="31"/>
      <c r="O203" s="31"/>
      <c r="P203" s="31"/>
      <c r="Q203" s="31"/>
      <c r="R203" s="103" t="s">
        <v>82</v>
      </c>
      <c r="S203" s="31"/>
      <c r="T203" s="103" t="s">
        <v>82</v>
      </c>
      <c r="U203" s="103" t="s">
        <v>82</v>
      </c>
      <c r="V203" s="31"/>
      <c r="W203" s="31"/>
      <c r="X203" s="31"/>
      <c r="Y203" s="31"/>
      <c r="Z203" s="31"/>
      <c r="AA203" s="31"/>
      <c r="AB203" s="31"/>
      <c r="AC203" s="31"/>
      <c r="AD203" s="109" t="s">
        <v>96</v>
      </c>
      <c r="AE203" s="103" t="s">
        <v>82</v>
      </c>
      <c r="AF203" s="103" t="s">
        <v>82</v>
      </c>
      <c r="AG203" s="103" t="s">
        <v>82</v>
      </c>
      <c r="AH203" s="31"/>
      <c r="AI203" s="31"/>
      <c r="AJ203" s="103" t="s">
        <v>82</v>
      </c>
      <c r="AK203" s="103" t="s">
        <v>82</v>
      </c>
      <c r="AL203" s="103" t="s">
        <v>82</v>
      </c>
      <c r="AM203" s="103" t="s">
        <v>82</v>
      </c>
      <c r="AN203" s="31"/>
      <c r="AO203" s="31"/>
      <c r="AP203" s="31"/>
      <c r="AQ203" s="31"/>
      <c r="AR203" s="40" t="s">
        <v>299</v>
      </c>
      <c r="AS203" s="6"/>
    </row>
    <row r="204" spans="1:45" ht="39.6" x14ac:dyDescent="0.25">
      <c r="A204" s="45">
        <v>123</v>
      </c>
      <c r="B204" s="29"/>
      <c r="C204" s="33"/>
      <c r="D204" s="98" t="str">
        <f>HYPERLINK("http://www4.worldbank.org/sprojects/Project.asp?pid=P059242","Madhya Pradesh District Poverty Initiatives Project")</f>
        <v>Madhya Pradesh District Poverty Initiatives Project</v>
      </c>
      <c r="E204" s="211" t="s">
        <v>207</v>
      </c>
      <c r="F204" s="147">
        <v>110.1</v>
      </c>
      <c r="G204" s="53" t="s">
        <v>77</v>
      </c>
      <c r="H204" s="54">
        <v>36837</v>
      </c>
      <c r="I204" s="54">
        <v>38869</v>
      </c>
      <c r="J204" s="31"/>
      <c r="K204" s="31"/>
      <c r="L204" s="26"/>
      <c r="M204" s="31"/>
      <c r="N204" s="31"/>
      <c r="O204" s="31"/>
      <c r="P204" s="31"/>
      <c r="Q204" s="31"/>
      <c r="R204" s="31"/>
      <c r="S204" s="31"/>
      <c r="T204" s="31"/>
      <c r="U204" s="31"/>
      <c r="V204" s="103" t="s">
        <v>82</v>
      </c>
      <c r="W204" s="31"/>
      <c r="X204" s="31"/>
      <c r="Y204" s="31"/>
      <c r="Z204" s="31"/>
      <c r="AA204" s="31"/>
      <c r="AB204" s="118"/>
      <c r="AC204" s="103" t="s">
        <v>87</v>
      </c>
      <c r="AD204" s="61"/>
      <c r="AE204" s="103" t="s">
        <v>82</v>
      </c>
      <c r="AF204" s="31"/>
      <c r="AG204" s="103" t="s">
        <v>82</v>
      </c>
      <c r="AH204" s="31"/>
      <c r="AI204" s="31"/>
      <c r="AJ204" s="103" t="s">
        <v>82</v>
      </c>
      <c r="AK204" s="31"/>
      <c r="AL204" s="103" t="s">
        <v>82</v>
      </c>
      <c r="AM204" s="103" t="s">
        <v>82</v>
      </c>
      <c r="AN204" s="31"/>
      <c r="AO204" s="31"/>
      <c r="AP204" s="31"/>
      <c r="AQ204" s="31"/>
      <c r="AR204" s="40" t="s">
        <v>299</v>
      </c>
      <c r="AS204" s="6"/>
    </row>
    <row r="205" spans="1:45" ht="39.6" x14ac:dyDescent="0.25">
      <c r="A205" s="45">
        <v>124</v>
      </c>
      <c r="B205" s="29"/>
      <c r="C205" s="33"/>
      <c r="D205" s="98" t="str">
        <f>HYPERLINK("http://www4.worldbank.org/sprojects/Project.asp?pid=P044449","Rural Women's Development and Empowerment Project")</f>
        <v>Rural Women's Development and Empowerment Project</v>
      </c>
      <c r="E205" s="211" t="s">
        <v>208</v>
      </c>
      <c r="F205" s="147">
        <v>19.5</v>
      </c>
      <c r="G205" s="137" t="s">
        <v>77</v>
      </c>
      <c r="H205" s="54">
        <v>35516</v>
      </c>
      <c r="I205" s="54">
        <v>37986</v>
      </c>
      <c r="J205" s="31"/>
      <c r="K205" s="31"/>
      <c r="L205" s="26"/>
      <c r="M205" s="31"/>
      <c r="N205" s="31"/>
      <c r="O205" s="31"/>
      <c r="P205" s="31"/>
      <c r="Q205" s="31"/>
      <c r="R205" s="31"/>
      <c r="S205" s="31"/>
      <c r="T205" s="31"/>
      <c r="U205" s="31"/>
      <c r="V205" s="103" t="s">
        <v>82</v>
      </c>
      <c r="W205" s="31"/>
      <c r="X205" s="31"/>
      <c r="Y205" s="31"/>
      <c r="Z205" s="31"/>
      <c r="AA205" s="31"/>
      <c r="AB205" s="103" t="s">
        <v>99</v>
      </c>
      <c r="AC205" s="31"/>
      <c r="AD205" s="109" t="s">
        <v>96</v>
      </c>
      <c r="AE205" s="31"/>
      <c r="AF205" s="118"/>
      <c r="AG205" s="31"/>
      <c r="AH205" s="103" t="s">
        <v>82</v>
      </c>
      <c r="AI205" s="103" t="s">
        <v>82</v>
      </c>
      <c r="AJ205" s="103" t="s">
        <v>82</v>
      </c>
      <c r="AK205" s="103" t="s">
        <v>82</v>
      </c>
      <c r="AL205" s="103" t="s">
        <v>82</v>
      </c>
      <c r="AM205" s="103" t="s">
        <v>82</v>
      </c>
      <c r="AN205" s="31"/>
      <c r="AO205" s="31"/>
      <c r="AP205" s="31"/>
      <c r="AQ205" s="31"/>
      <c r="AR205" s="40" t="s">
        <v>295</v>
      </c>
      <c r="AS205" s="6"/>
    </row>
    <row r="206" spans="1:45" ht="52.8" x14ac:dyDescent="0.25">
      <c r="A206" s="45">
        <v>125</v>
      </c>
      <c r="B206" s="29"/>
      <c r="C206" s="33"/>
      <c r="D206" s="90" t="str">
        <f>HYPERLINK("http://www4.worldbank.org/sprojects/Project.asp?pid=P043310","Coal Sector Environmental and Social Mitigation Project")</f>
        <v>Coal Sector Environmental and Social Mitigation Project</v>
      </c>
      <c r="E206" s="215" t="s">
        <v>236</v>
      </c>
      <c r="F206" s="151">
        <v>63</v>
      </c>
      <c r="G206" s="137" t="s">
        <v>77</v>
      </c>
      <c r="H206" s="54">
        <v>35201</v>
      </c>
      <c r="I206" s="54">
        <v>37437</v>
      </c>
      <c r="J206" s="103" t="s">
        <v>82</v>
      </c>
      <c r="K206" s="31"/>
      <c r="L206" s="26"/>
      <c r="M206" s="31"/>
      <c r="N206" s="31"/>
      <c r="O206" s="31"/>
      <c r="P206" s="31"/>
      <c r="Q206" s="31"/>
      <c r="R206" s="31"/>
      <c r="S206" s="31"/>
      <c r="T206" s="31"/>
      <c r="U206" s="31"/>
      <c r="V206" s="103" t="s">
        <v>82</v>
      </c>
      <c r="W206" s="31"/>
      <c r="X206" s="31"/>
      <c r="Y206" s="31"/>
      <c r="Z206" s="31"/>
      <c r="AA206" s="31"/>
      <c r="AB206" s="31"/>
      <c r="AC206" s="31"/>
      <c r="AD206" s="117" t="s">
        <v>237</v>
      </c>
      <c r="AE206" s="31"/>
      <c r="AF206" s="103" t="s">
        <v>82</v>
      </c>
      <c r="AG206" s="103" t="s">
        <v>82</v>
      </c>
      <c r="AH206" s="103" t="s">
        <v>82</v>
      </c>
      <c r="AI206" s="31"/>
      <c r="AJ206" s="103" t="s">
        <v>82</v>
      </c>
      <c r="AK206" s="103" t="s">
        <v>82</v>
      </c>
      <c r="AL206" s="31"/>
      <c r="AM206" s="103" t="s">
        <v>82</v>
      </c>
      <c r="AN206" s="31"/>
      <c r="AO206" s="118"/>
      <c r="AP206" s="31"/>
      <c r="AQ206" s="31"/>
      <c r="AR206" s="40" t="s">
        <v>296</v>
      </c>
      <c r="AS206" s="6"/>
    </row>
    <row r="207" spans="1:45" x14ac:dyDescent="0.25">
      <c r="A207" s="45"/>
      <c r="B207" s="29"/>
      <c r="C207" s="33"/>
      <c r="D207" s="89"/>
      <c r="E207" s="214"/>
      <c r="F207" s="147"/>
      <c r="G207" s="137"/>
      <c r="H207" s="54"/>
      <c r="I207" s="54"/>
      <c r="J207" s="31"/>
      <c r="K207" s="31"/>
      <c r="L207" s="26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6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40"/>
      <c r="AS207" s="6"/>
    </row>
    <row r="208" spans="1:45" ht="13.8" thickBot="1" x14ac:dyDescent="0.3">
      <c r="A208" s="46"/>
      <c r="B208" s="30"/>
      <c r="C208" s="34"/>
      <c r="D208" s="94"/>
      <c r="E208" s="236"/>
      <c r="F208" s="160"/>
      <c r="G208" s="141"/>
      <c r="H208" s="55"/>
      <c r="I208" s="5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6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171"/>
      <c r="AS208" s="7"/>
    </row>
    <row r="209" spans="1:44" ht="13.8" thickTop="1" x14ac:dyDescent="0.25">
      <c r="A209" s="1" t="s">
        <v>321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7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x14ac:dyDescent="0.25">
      <c r="A210" s="1"/>
      <c r="B210" t="s">
        <v>322</v>
      </c>
      <c r="D21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7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x14ac:dyDescent="0.25">
      <c r="B211" t="s">
        <v>323</v>
      </c>
      <c r="D21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7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x14ac:dyDescent="0.25">
      <c r="D212" t="s">
        <v>324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7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x14ac:dyDescent="0.25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7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x14ac:dyDescent="0.25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7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x14ac:dyDescent="0.2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7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x14ac:dyDescent="0.25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7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x14ac:dyDescent="0.25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7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x14ac:dyDescent="0.25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7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x14ac:dyDescent="0.25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7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x14ac:dyDescent="0.25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7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x14ac:dyDescent="0.25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7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</sheetData>
  <mergeCells count="11">
    <mergeCell ref="J3:AB3"/>
    <mergeCell ref="AM3:AQ3"/>
    <mergeCell ref="O5:Q5"/>
    <mergeCell ref="B6:D6"/>
    <mergeCell ref="W5:X5"/>
    <mergeCell ref="J4:N4"/>
    <mergeCell ref="AD3:AL3"/>
    <mergeCell ref="A3:I3"/>
    <mergeCell ref="O4:Z4"/>
    <mergeCell ref="R5:V5"/>
    <mergeCell ref="AA4:AC4"/>
  </mergeCells>
  <phoneticPr fontId="0" type="noConversion"/>
  <pageMargins left="0.2" right="0.23" top="0.36" bottom="0.96" header="0.18" footer="0.27"/>
  <pageSetup scale="87" pageOrder="overThenDown" orientation="landscape" r:id="rId1"/>
  <headerFooter alignWithMargins="0">
    <oddFooter>&amp;L* Category of Others: C=Community-based development, E=ECD, emp=employment
** Category of targeting: I=Individual/ Self, C=Community, CT=Categorical, CH=Children, G=Geographic, M=Means Test, n/sp=Not Specified &amp;8
&amp;F  -  &amp;A&amp;C&amp;8
&amp;D&amp;R&amp;8
Page &amp;P of &amp;N</oddFooter>
  </headerFooter>
  <rowBreaks count="15" manualBreakCount="15">
    <brk id="24" max="16383" man="1"/>
    <brk id="36" max="16383" man="1"/>
    <brk id="52" max="16383" man="1"/>
    <brk id="68" max="16383" man="1"/>
    <brk id="88" max="16383" man="1"/>
    <brk id="91" max="16383" man="1"/>
    <brk id="106" max="16383" man="1"/>
    <brk id="121" max="16383" man="1"/>
    <brk id="131" max="16383" man="1"/>
    <brk id="144" max="16383" man="1"/>
    <brk id="156" max="16383" man="1"/>
    <brk id="172" max="16383" man="1"/>
    <brk id="175" max="16383" man="1"/>
    <brk id="190" max="16383" man="1"/>
    <brk id="1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Sheet1!Print_Titles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 Bank User</dc:creator>
  <cp:lastModifiedBy>Aniket Gupta</cp:lastModifiedBy>
  <cp:lastPrinted>2002-03-14T05:55:42Z</cp:lastPrinted>
  <dcterms:created xsi:type="dcterms:W3CDTF">2000-12-04T15:18:45Z</dcterms:created>
  <dcterms:modified xsi:type="dcterms:W3CDTF">2024-01-29T04:55:59Z</dcterms:modified>
</cp:coreProperties>
</file>