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D9D19E29-2C3A-4791-A026-82E9CDDE68B3}" xr6:coauthVersionLast="47" xr6:coauthVersionMax="47" xr10:uidLastSave="{00000000-0000-0000-0000-000000000000}"/>
  <bookViews>
    <workbookView xWindow="2652" yWindow="2652" windowWidth="17280" windowHeight="8880"/>
  </bookViews>
  <sheets>
    <sheet name="Budget 2001" sheetId="4" r:id="rId1"/>
    <sheet name="Budget 2002" sheetId="1" r:id="rId2"/>
    <sheet name="Budget 2003" sheetId="2" r:id="rId3"/>
    <sheet name="Budget 2004" sheetId="3" r:id="rId4"/>
    <sheet name="Budget 2005" sheetId="5" r:id="rId5"/>
  </sheets>
  <definedNames>
    <definedName name="_ftn1" localSheetId="1">'Budget 2002'!$A$63</definedName>
    <definedName name="_ftn2" localSheetId="1">'Budget 2002'!$A$64</definedName>
    <definedName name="_ftn3" localSheetId="1">'Budget 2002'!$A$65</definedName>
    <definedName name="_ftn4" localSheetId="1">'Budget 2002'!$A$66</definedName>
    <definedName name="_ftn5" localSheetId="1">'Budget 2002'!$A$67</definedName>
    <definedName name="_ftn6" localSheetId="1">'Budget 2002'!$A$68</definedName>
    <definedName name="_ftn7" localSheetId="1">'Budget 2002'!$A$69</definedName>
    <definedName name="_ftn8" localSheetId="1">'Budget 2002'!$A$70</definedName>
    <definedName name="_ftnref1" localSheetId="1">'Budget 2002'!$A$20</definedName>
    <definedName name="_ftnref2" localSheetId="1">'Budget 2002'!$A$23</definedName>
    <definedName name="_ftnref3" localSheetId="1">'Budget 2002'!$A$28</definedName>
    <definedName name="_ftnref4" localSheetId="1">'Budget 2002'!$A$35</definedName>
    <definedName name="_ftnref5" localSheetId="1">'Budget 2002'!$A$37</definedName>
    <definedName name="_ftnref6" localSheetId="1">'Budget 2002'!$A$41</definedName>
    <definedName name="_ftnref7" localSheetId="1">'Budget 2002'!$A$43</definedName>
    <definedName name="_ftnref8" localSheetId="1">'Budget 2002'!$A$45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2" i="1"/>
  <c r="B13" i="1"/>
  <c r="B14" i="1"/>
  <c r="B15" i="1"/>
  <c r="B17" i="1"/>
  <c r="B18" i="1" s="1"/>
  <c r="B19" i="1"/>
  <c r="B20" i="1"/>
  <c r="B22" i="1"/>
  <c r="B23" i="1"/>
  <c r="B24" i="1"/>
  <c r="B26" i="3" s="1"/>
  <c r="B26" i="1"/>
  <c r="B28" i="5" s="1"/>
  <c r="B27" i="1"/>
  <c r="B32" i="1"/>
  <c r="B35" i="1"/>
  <c r="B12" i="2"/>
  <c r="B22" i="2" s="1"/>
  <c r="B13" i="2"/>
  <c r="B14" i="2"/>
  <c r="B15" i="2" s="1"/>
  <c r="B16" i="2"/>
  <c r="B17" i="2"/>
  <c r="B18" i="2"/>
  <c r="B19" i="2"/>
  <c r="B20" i="2"/>
  <c r="B21" i="2"/>
  <c r="B25" i="2"/>
  <c r="B27" i="2"/>
  <c r="B31" i="2"/>
  <c r="B35" i="2" s="1"/>
  <c r="B23" i="2" s="1"/>
  <c r="B32" i="2"/>
  <c r="B12" i="3"/>
  <c r="B24" i="3" s="1"/>
  <c r="B13" i="3"/>
  <c r="B14" i="3"/>
  <c r="B15" i="3" s="1"/>
  <c r="B16" i="3"/>
  <c r="B17" i="3"/>
  <c r="B18" i="3"/>
  <c r="B19" i="3"/>
  <c r="B20" i="3"/>
  <c r="B21" i="3"/>
  <c r="B22" i="3"/>
  <c r="B23" i="3" s="1"/>
  <c r="B27" i="3"/>
  <c r="B29" i="3"/>
  <c r="B33" i="3"/>
  <c r="B34" i="3"/>
  <c r="B35" i="3"/>
  <c r="B36" i="3"/>
  <c r="B37" i="3"/>
  <c r="B25" i="3" s="1"/>
  <c r="B12" i="5"/>
  <c r="B13" i="5"/>
  <c r="B14" i="5"/>
  <c r="B15" i="5"/>
  <c r="B16" i="5"/>
  <c r="B17" i="5"/>
  <c r="B18" i="5"/>
  <c r="B19" i="5"/>
  <c r="B20" i="5" s="1"/>
  <c r="B21" i="5"/>
  <c r="B22" i="5"/>
  <c r="B23" i="5"/>
  <c r="B24" i="5"/>
  <c r="B26" i="5"/>
  <c r="B27" i="5"/>
  <c r="B29" i="5"/>
  <c r="B33" i="5"/>
  <c r="B34" i="5"/>
  <c r="B35" i="5"/>
  <c r="B36" i="5"/>
  <c r="B37" i="5"/>
  <c r="B25" i="5" s="1"/>
  <c r="B28" i="1" l="1"/>
  <c r="B5" i="1" s="1"/>
  <c r="B9" i="1" s="1"/>
  <c r="B8" i="2" s="1"/>
  <c r="B30" i="5"/>
  <c r="B28" i="3"/>
  <c r="B30" i="3" s="1"/>
  <c r="B26" i="2"/>
  <c r="B24" i="2"/>
  <c r="B28" i="2" s="1"/>
  <c r="B5" i="2" s="1"/>
  <c r="B9" i="2" s="1"/>
  <c r="B8" i="3" s="1"/>
  <c r="B5" i="3" l="1"/>
  <c r="B9" i="3" s="1"/>
  <c r="B8" i="5" s="1"/>
  <c r="B5" i="5" s="1"/>
  <c r="B9" i="5" s="1"/>
</calcChain>
</file>

<file path=xl/sharedStrings.xml><?xml version="1.0" encoding="utf-8"?>
<sst xmlns="http://schemas.openxmlformats.org/spreadsheetml/2006/main" count="263" uniqueCount="68">
  <si>
    <t>Project Gutenberg Literary Archive Foundation</t>
  </si>
  <si>
    <t>Fiscal 2002 Budget</t>
  </si>
  <si>
    <t>Contributions</t>
  </si>
  <si>
    <t>Related Royalties</t>
  </si>
  <si>
    <t>Total resources</t>
  </si>
  <si>
    <t>Target PC fringes</t>
  </si>
  <si>
    <t>Part Time Administrative Assistant (3 mos)</t>
  </si>
  <si>
    <t>Admin Asst tax payment (1 quarter)</t>
  </si>
  <si>
    <t>Target FR fringes</t>
  </si>
  <si>
    <t xml:space="preserve">END OF YEAR BALANCE </t>
  </si>
  <si>
    <t>OVERHEAD DETAIL</t>
  </si>
  <si>
    <t>Professional fees, and other payments</t>
  </si>
  <si>
    <t>Utilities (phone line)</t>
  </si>
  <si>
    <t>Printing, publications, postage, shipping, office supplies</t>
  </si>
  <si>
    <t>Other expenses - State registration fees,</t>
  </si>
  <si>
    <t>IRS registration fee ($500), $347 debit</t>
  </si>
  <si>
    <t>Fiscal 2001 Balance Sheet</t>
  </si>
  <si>
    <t>(Actual Expenditures)</t>
  </si>
  <si>
    <t>Investment Income</t>
  </si>
  <si>
    <t>Fund raising Expenditures</t>
  </si>
  <si>
    <t>INCOME</t>
  </si>
  <si>
    <t>EXPENSES</t>
  </si>
  <si>
    <t>NOTES</t>
  </si>
  <si>
    <t>Target PC bonus</t>
  </si>
  <si>
    <t>Target # of works</t>
  </si>
  <si>
    <t>Target Production Coordinator Base Salary</t>
  </si>
  <si>
    <t>See overhead details below</t>
  </si>
  <si>
    <t>Overhead</t>
  </si>
  <si>
    <t>Target fund raiser bonus</t>
  </si>
  <si>
    <t>Target fund raiser salary</t>
  </si>
  <si>
    <t>A bonus of not more than $25 per work produced over the initial 600 works for the year</t>
  </si>
  <si>
    <t>Expected terms for acquisition of an exclusive license to the Project Gutenberg trademark is $1 per year times the total number of works in the database.</t>
  </si>
  <si>
    <t>Payment for License of PG trademark</t>
  </si>
  <si>
    <t>AMOUNT</t>
  </si>
  <si>
    <t>From all sources</t>
  </si>
  <si>
    <t>Goal: Pay PC 105% of the average salary reported for the previous year in the US Statistical Abstract for a full professor at a college or university.</t>
  </si>
  <si>
    <t>Goal: A database of 10,000 works by the end of fiscal 2004 and an additional 10,000 works every 4 years thereafter</t>
  </si>
  <si>
    <t>Estimated at 20% of salary plus bonus.</t>
  </si>
  <si>
    <t>Est. new works production costs</t>
  </si>
  <si>
    <t>Estimated at $150 per work over the initial 600 for the year based on reported costs from the Early Canadian Online Project.  Their report shows a cost of $300 per work.  We are using half that amount because we still expect to rely heavily on volunteers.</t>
  </si>
  <si>
    <t>Balance from Fiscal 2001</t>
  </si>
  <si>
    <t>Target AA fringe</t>
  </si>
  <si>
    <t>Target PC fringe</t>
  </si>
  <si>
    <t>Target # of works this fiscal year</t>
  </si>
  <si>
    <t>Examples: Direct mail, targeted promotions, giving away free CDs with the database contents</t>
  </si>
  <si>
    <t>TOTAL EXPENSES</t>
  </si>
  <si>
    <t>Legal, audit, bookkeeping, etc.</t>
  </si>
  <si>
    <t>For PC, AA and FC.  PC for DSL line.  All are reimbursed for long distance calls</t>
  </si>
  <si>
    <t>Goal: Increase to half or full-time</t>
  </si>
  <si>
    <t>Target Fund Raiser salary</t>
  </si>
  <si>
    <t>Utilities and telecommunication</t>
  </si>
  <si>
    <t>Equipment</t>
  </si>
  <si>
    <t>Computing equipment, scanners, printers.</t>
  </si>
  <si>
    <t>Travel</t>
  </si>
  <si>
    <t>Primarily for PC and FC</t>
  </si>
  <si>
    <t>Publications</t>
  </si>
  <si>
    <t>Fundraising guides and database materials to identify potential donors; materials to identify recipients of free etexts</t>
  </si>
  <si>
    <t>Other expenses - State registration fees</t>
  </si>
  <si>
    <t>Fiscal 2003 Budget</t>
  </si>
  <si>
    <t>TOTAL OVERHEAD</t>
  </si>
  <si>
    <t>Goal:  full-time</t>
  </si>
  <si>
    <t>Fiscal 2004 Budget</t>
  </si>
  <si>
    <t>Administrative Assistant</t>
  </si>
  <si>
    <t>Target Chief Executive Salary</t>
  </si>
  <si>
    <t>Target CE fringe</t>
  </si>
  <si>
    <t>Goal: Part-time Chief Executive Officer paid at the median salary for all categories of fund raisers reported in the Non Profit Times annual survey.</t>
  </si>
  <si>
    <t>Goal: Pay FC the median salary for all categories of fund raisers reported in the Non Profit Times annual survey.</t>
  </si>
  <si>
    <t>Quarter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</si>
</sst>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&quot;$&quot;#,##0"/>
  </numFmts>
  <fonts count="6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0" fontId="4" fillId="0" borderId="1" xfId="0" applyFont="1" applyBorder="1"/>
    <xf numFmtId="175" fontId="0" fillId="0" borderId="1" xfId="0" applyNumberFormat="1" applyBorder="1"/>
    <xf numFmtId="175" fontId="2" fillId="0" borderId="1" xfId="0" applyNumberFormat="1" applyFont="1" applyBorder="1" applyAlignment="1">
      <alignment vertical="top" wrapText="1"/>
    </xf>
    <xf numFmtId="175" fontId="1" fillId="0" borderId="1" xfId="0" applyNumberFormat="1" applyFont="1" applyBorder="1" applyAlignment="1">
      <alignment horizontal="right" vertical="top" wrapText="1"/>
    </xf>
    <xf numFmtId="175" fontId="2" fillId="0" borderId="1" xfId="0" applyNumberFormat="1" applyFont="1" applyBorder="1" applyAlignment="1">
      <alignment horizontal="right" vertical="top" wrapText="1"/>
    </xf>
    <xf numFmtId="175" fontId="1" fillId="0" borderId="1" xfId="0" applyNumberFormat="1" applyFont="1" applyBorder="1" applyAlignment="1">
      <alignment vertical="top" wrapText="1"/>
    </xf>
    <xf numFmtId="175" fontId="0" fillId="0" borderId="1" xfId="0" applyNumberFormat="1" applyBorder="1" applyAlignment="1">
      <alignment vertical="top" wrapText="1"/>
    </xf>
    <xf numFmtId="0" fontId="5" fillId="0" borderId="1" xfId="0" applyFont="1" applyBorder="1"/>
    <xf numFmtId="175" fontId="3" fillId="0" borderId="1" xfId="0" applyNumberFormat="1" applyFont="1" applyBorder="1"/>
    <xf numFmtId="3" fontId="1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A4" sqref="A4"/>
    </sheetView>
  </sheetViews>
  <sheetFormatPr defaultColWidth="9.109375" defaultRowHeight="15.9" customHeight="1" x14ac:dyDescent="0.25"/>
  <cols>
    <col min="1" max="1" width="48.5546875" style="1" customWidth="1"/>
    <col min="2" max="2" width="9" style="6" bestFit="1" customWidth="1"/>
    <col min="3" max="3" width="255.6640625" style="1" bestFit="1" customWidth="1"/>
    <col min="4" max="16384" width="9.109375" style="1"/>
  </cols>
  <sheetData>
    <row r="1" spans="1:3" ht="15.9" customHeight="1" x14ac:dyDescent="0.3">
      <c r="A1" s="12" t="s">
        <v>0</v>
      </c>
    </row>
    <row r="2" spans="1:3" ht="15.9" customHeight="1" x14ac:dyDescent="0.25">
      <c r="A2" s="5" t="s">
        <v>16</v>
      </c>
    </row>
    <row r="3" spans="1:3" ht="15.9" customHeight="1" x14ac:dyDescent="0.25">
      <c r="A3" s="2" t="s">
        <v>17</v>
      </c>
      <c r="B3" s="7"/>
    </row>
    <row r="4" spans="1:3" ht="15.9" customHeight="1" x14ac:dyDescent="0.25">
      <c r="A4" s="2"/>
      <c r="B4" s="7"/>
    </row>
    <row r="5" spans="1:3" ht="15.9" customHeight="1" x14ac:dyDescent="0.25">
      <c r="A5" s="4" t="s">
        <v>20</v>
      </c>
      <c r="B5" s="13" t="s">
        <v>33</v>
      </c>
      <c r="C5" s="4" t="s">
        <v>22</v>
      </c>
    </row>
    <row r="6" spans="1:3" ht="15.9" customHeight="1" x14ac:dyDescent="0.25">
      <c r="A6" s="2" t="s">
        <v>2</v>
      </c>
      <c r="B6" s="8">
        <v>40451</v>
      </c>
      <c r="C6" s="1" t="s">
        <v>34</v>
      </c>
    </row>
    <row r="7" spans="1:3" ht="15.9" customHeight="1" x14ac:dyDescent="0.25">
      <c r="A7" s="2" t="s">
        <v>18</v>
      </c>
      <c r="B7" s="8">
        <v>0</v>
      </c>
    </row>
    <row r="8" spans="1:3" ht="15.9" customHeight="1" x14ac:dyDescent="0.25">
      <c r="A8" s="2" t="s">
        <v>3</v>
      </c>
      <c r="B8" s="8">
        <v>0</v>
      </c>
    </row>
    <row r="9" spans="1:3" ht="15.9" customHeight="1" x14ac:dyDescent="0.25">
      <c r="A9" s="2" t="s">
        <v>4</v>
      </c>
      <c r="B9" s="9">
        <v>40451</v>
      </c>
    </row>
    <row r="10" spans="1:3" ht="15.9" customHeight="1" x14ac:dyDescent="0.25">
      <c r="A10" s="2"/>
      <c r="B10" s="9"/>
    </row>
    <row r="11" spans="1:3" ht="15.9" customHeight="1" x14ac:dyDescent="0.25">
      <c r="A11" s="3" t="s">
        <v>21</v>
      </c>
      <c r="B11" s="8"/>
    </row>
    <row r="12" spans="1:3" ht="15.9" customHeight="1" x14ac:dyDescent="0.25">
      <c r="A12" s="2" t="s">
        <v>19</v>
      </c>
      <c r="B12" s="8">
        <v>0</v>
      </c>
    </row>
    <row r="13" spans="1:3" ht="15.9" customHeight="1" x14ac:dyDescent="0.25">
      <c r="A13" t="s">
        <v>25</v>
      </c>
      <c r="B13" s="8">
        <v>0</v>
      </c>
      <c r="C13" t="s">
        <v>35</v>
      </c>
    </row>
    <row r="14" spans="1:3" ht="15.9" customHeight="1" x14ac:dyDescent="0.25">
      <c r="A14" t="s">
        <v>24</v>
      </c>
      <c r="B14" s="14">
        <v>600</v>
      </c>
      <c r="C14" t="s">
        <v>36</v>
      </c>
    </row>
    <row r="15" spans="1:3" ht="15.9" customHeight="1" x14ac:dyDescent="0.25">
      <c r="A15" t="s">
        <v>23</v>
      </c>
      <c r="B15" s="8">
        <v>0</v>
      </c>
      <c r="C15" t="s">
        <v>30</v>
      </c>
    </row>
    <row r="16" spans="1:3" ht="15.9" customHeight="1" x14ac:dyDescent="0.25">
      <c r="A16" s="2" t="s">
        <v>5</v>
      </c>
      <c r="B16" s="8">
        <v>0</v>
      </c>
      <c r="C16" t="s">
        <v>37</v>
      </c>
    </row>
    <row r="17" spans="1:3" ht="15.9" customHeight="1" x14ac:dyDescent="0.25">
      <c r="A17" s="2" t="s">
        <v>6</v>
      </c>
      <c r="B17" s="8">
        <v>2235</v>
      </c>
      <c r="C17" s="1" t="s">
        <v>67</v>
      </c>
    </row>
    <row r="18" spans="1:3" ht="15.9" customHeight="1" x14ac:dyDescent="0.25">
      <c r="A18" s="2" t="s">
        <v>7</v>
      </c>
      <c r="B18" s="8">
        <v>279</v>
      </c>
    </row>
    <row r="19" spans="1:3" ht="15.9" customHeight="1" x14ac:dyDescent="0.25">
      <c r="A19" t="s">
        <v>29</v>
      </c>
      <c r="B19" s="10">
        <v>0</v>
      </c>
      <c r="C19" t="s">
        <v>66</v>
      </c>
    </row>
    <row r="20" spans="1:3" ht="15.9" customHeight="1" x14ac:dyDescent="0.25">
      <c r="A20" t="s">
        <v>28</v>
      </c>
      <c r="B20" s="10">
        <v>0</v>
      </c>
      <c r="C20" t="s">
        <v>30</v>
      </c>
    </row>
    <row r="21" spans="1:3" ht="15.9" customHeight="1" x14ac:dyDescent="0.25">
      <c r="A21" s="2" t="s">
        <v>8</v>
      </c>
      <c r="B21" s="10">
        <v>0</v>
      </c>
      <c r="C21" t="s">
        <v>37</v>
      </c>
    </row>
    <row r="22" spans="1:3" ht="15.9" customHeight="1" x14ac:dyDescent="0.25">
      <c r="A22" t="s">
        <v>32</v>
      </c>
      <c r="B22" s="8">
        <v>0</v>
      </c>
      <c r="C22" t="s">
        <v>31</v>
      </c>
    </row>
    <row r="23" spans="1:3" ht="15.9" customHeight="1" x14ac:dyDescent="0.25">
      <c r="A23" t="s">
        <v>27</v>
      </c>
      <c r="B23" s="8">
        <v>4390</v>
      </c>
      <c r="C23" s="1" t="s">
        <v>26</v>
      </c>
    </row>
    <row r="24" spans="1:3" ht="15.9" customHeight="1" x14ac:dyDescent="0.25">
      <c r="A24" t="s">
        <v>38</v>
      </c>
      <c r="B24" s="10">
        <v>0</v>
      </c>
      <c r="C24" t="s">
        <v>39</v>
      </c>
    </row>
    <row r="25" spans="1:3" ht="15.9" customHeight="1" x14ac:dyDescent="0.25">
      <c r="A25" s="3" t="s">
        <v>9</v>
      </c>
      <c r="B25" s="9">
        <v>33546.269999999997</v>
      </c>
    </row>
    <row r="26" spans="1:3" ht="15.9" customHeight="1" x14ac:dyDescent="0.25">
      <c r="A26" s="3"/>
      <c r="B26" s="8"/>
    </row>
    <row r="27" spans="1:3" ht="15.9" customHeight="1" x14ac:dyDescent="0.25">
      <c r="A27" s="3" t="s">
        <v>10</v>
      </c>
      <c r="B27" s="9">
        <v>4390</v>
      </c>
      <c r="C27" s="6"/>
    </row>
    <row r="28" spans="1:3" ht="15.9" customHeight="1" x14ac:dyDescent="0.25">
      <c r="A28" s="2" t="s">
        <v>11</v>
      </c>
      <c r="B28" s="8">
        <v>1627</v>
      </c>
    </row>
    <row r="29" spans="1:3" ht="15.9" customHeight="1" x14ac:dyDescent="0.25">
      <c r="A29" s="2" t="s">
        <v>12</v>
      </c>
      <c r="B29" s="8">
        <v>33</v>
      </c>
    </row>
    <row r="30" spans="1:3" ht="15.9" customHeight="1" x14ac:dyDescent="0.25">
      <c r="A30" s="2" t="s">
        <v>13</v>
      </c>
      <c r="B30" s="8">
        <v>580</v>
      </c>
      <c r="C30"/>
    </row>
    <row r="31" spans="1:3" ht="15.9" customHeight="1" x14ac:dyDescent="0.25">
      <c r="A31" s="2" t="s">
        <v>14</v>
      </c>
      <c r="B31" s="8">
        <v>2150</v>
      </c>
    </row>
    <row r="32" spans="1:3" ht="15.9" customHeight="1" x14ac:dyDescent="0.25">
      <c r="A32" s="2" t="s">
        <v>15</v>
      </c>
      <c r="B32" s="1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ColWidth="9.109375" defaultRowHeight="15.9" customHeight="1" x14ac:dyDescent="0.25"/>
  <cols>
    <col min="1" max="1" width="48.5546875" style="1" customWidth="1"/>
    <col min="2" max="2" width="9.5546875" style="6" bestFit="1" customWidth="1"/>
    <col min="3" max="3" width="255.6640625" style="1" bestFit="1" customWidth="1"/>
    <col min="4" max="16384" width="9.109375" style="1"/>
  </cols>
  <sheetData>
    <row r="1" spans="1:3" ht="15.9" customHeight="1" x14ac:dyDescent="0.3">
      <c r="A1" s="12" t="s">
        <v>0</v>
      </c>
    </row>
    <row r="2" spans="1:3" ht="15.9" customHeight="1" x14ac:dyDescent="0.25">
      <c r="A2" s="5" t="s">
        <v>1</v>
      </c>
    </row>
    <row r="3" spans="1:3" ht="15.9" customHeight="1" x14ac:dyDescent="0.25">
      <c r="A3" s="2"/>
      <c r="B3" s="7"/>
    </row>
    <row r="4" spans="1:3" ht="15.9" customHeight="1" x14ac:dyDescent="0.25">
      <c r="A4" s="4" t="s">
        <v>20</v>
      </c>
      <c r="B4" s="13" t="s">
        <v>33</v>
      </c>
      <c r="C4" s="4" t="s">
        <v>22</v>
      </c>
    </row>
    <row r="5" spans="1:3" ht="15.9" customHeight="1" x14ac:dyDescent="0.25">
      <c r="A5" s="2" t="s">
        <v>2</v>
      </c>
      <c r="B5" s="8">
        <f>B28-B8+(0.2*B28)</f>
        <v>107765.66760000002</v>
      </c>
      <c r="C5" s="1" t="s">
        <v>34</v>
      </c>
    </row>
    <row r="6" spans="1:3" ht="15.9" customHeight="1" x14ac:dyDescent="0.25">
      <c r="A6" s="2" t="s">
        <v>18</v>
      </c>
      <c r="B6" s="8">
        <v>0</v>
      </c>
    </row>
    <row r="7" spans="1:3" ht="15.9" customHeight="1" x14ac:dyDescent="0.25">
      <c r="A7" s="2" t="s">
        <v>3</v>
      </c>
      <c r="B7" s="8">
        <v>0</v>
      </c>
    </row>
    <row r="8" spans="1:3" ht="15.9" customHeight="1" x14ac:dyDescent="0.25">
      <c r="A8" s="2" t="s">
        <v>40</v>
      </c>
      <c r="B8" s="8">
        <f>'Budget 2001'!B25</f>
        <v>33546.269999999997</v>
      </c>
    </row>
    <row r="9" spans="1:3" ht="15.9" customHeight="1" x14ac:dyDescent="0.25">
      <c r="A9" s="2" t="s">
        <v>4</v>
      </c>
      <c r="B9" s="9">
        <f>SUM(B5:B8)</f>
        <v>141311.9376</v>
      </c>
    </row>
    <row r="10" spans="1:3" ht="15.9" customHeight="1" x14ac:dyDescent="0.25">
      <c r="A10" s="2"/>
      <c r="B10" s="9"/>
    </row>
    <row r="11" spans="1:3" ht="15.9" customHeight="1" x14ac:dyDescent="0.25">
      <c r="A11" s="3" t="s">
        <v>21</v>
      </c>
      <c r="B11" s="8"/>
    </row>
    <row r="12" spans="1:3" ht="15.9" customHeight="1" x14ac:dyDescent="0.25">
      <c r="A12" t="s">
        <v>43</v>
      </c>
      <c r="B12" s="14">
        <f>'Budget 2001'!B14*2</f>
        <v>1200</v>
      </c>
      <c r="C12" t="s">
        <v>36</v>
      </c>
    </row>
    <row r="13" spans="1:3" ht="15.9" customHeight="1" x14ac:dyDescent="0.25">
      <c r="A13" s="2" t="s">
        <v>19</v>
      </c>
      <c r="B13" s="8">
        <f>5000</f>
        <v>5000</v>
      </c>
      <c r="C13" s="1" t="s">
        <v>44</v>
      </c>
    </row>
    <row r="14" spans="1:3" ht="15.9" customHeight="1" x14ac:dyDescent="0.25">
      <c r="A14" t="s">
        <v>25</v>
      </c>
      <c r="B14" s="8">
        <f>3000*12</f>
        <v>36000</v>
      </c>
      <c r="C14" t="s">
        <v>35</v>
      </c>
    </row>
    <row r="15" spans="1:3" ht="15.9" customHeight="1" x14ac:dyDescent="0.25">
      <c r="A15" s="2" t="s">
        <v>42</v>
      </c>
      <c r="B15" s="8">
        <f>0.2*B14</f>
        <v>7200</v>
      </c>
      <c r="C15" t="s">
        <v>37</v>
      </c>
    </row>
    <row r="16" spans="1:3" ht="15.9" customHeight="1" x14ac:dyDescent="0.25">
      <c r="A16" t="s">
        <v>23</v>
      </c>
      <c r="B16" s="8">
        <v>3000</v>
      </c>
      <c r="C16" t="s">
        <v>30</v>
      </c>
    </row>
    <row r="17" spans="1:3" ht="15.9" customHeight="1" x14ac:dyDescent="0.25">
      <c r="A17" s="2" t="s">
        <v>62</v>
      </c>
      <c r="B17" s="8">
        <f>833.33*12</f>
        <v>9999.9600000000009</v>
      </c>
      <c r="C17" s="1" t="s">
        <v>48</v>
      </c>
    </row>
    <row r="18" spans="1:3" ht="15.9" customHeight="1" x14ac:dyDescent="0.25">
      <c r="A18" s="2" t="s">
        <v>41</v>
      </c>
      <c r="B18" s="8">
        <f>(0.2*B17)+(0.1*B17)</f>
        <v>2999.9880000000003</v>
      </c>
      <c r="C18" t="s">
        <v>37</v>
      </c>
    </row>
    <row r="19" spans="1:3" ht="15.9" customHeight="1" x14ac:dyDescent="0.25">
      <c r="A19" t="s">
        <v>49</v>
      </c>
      <c r="B19" s="10">
        <f>22000</f>
        <v>22000</v>
      </c>
      <c r="C19" t="s">
        <v>66</v>
      </c>
    </row>
    <row r="20" spans="1:3" ht="15.9" customHeight="1" x14ac:dyDescent="0.25">
      <c r="A20" s="2" t="s">
        <v>8</v>
      </c>
      <c r="B20" s="10">
        <f>0.2*B19</f>
        <v>4400</v>
      </c>
      <c r="C20" t="s">
        <v>37</v>
      </c>
    </row>
    <row r="21" spans="1:3" ht="15.9" customHeight="1" x14ac:dyDescent="0.25">
      <c r="A21" t="s">
        <v>28</v>
      </c>
      <c r="B21" s="10">
        <v>1200</v>
      </c>
      <c r="C21" t="s">
        <v>30</v>
      </c>
    </row>
    <row r="22" spans="1:3" ht="15.9" customHeight="1" x14ac:dyDescent="0.25">
      <c r="A22" t="s">
        <v>32</v>
      </c>
      <c r="B22" s="8">
        <f>1*B12</f>
        <v>1200</v>
      </c>
      <c r="C22" t="s">
        <v>31</v>
      </c>
    </row>
    <row r="23" spans="1:3" ht="15.9" customHeight="1" x14ac:dyDescent="0.25">
      <c r="A23" t="s">
        <v>27</v>
      </c>
      <c r="B23" s="8">
        <f>B35</f>
        <v>12160</v>
      </c>
      <c r="C23" s="1" t="s">
        <v>26</v>
      </c>
    </row>
    <row r="24" spans="1:3" ht="15.9" customHeight="1" x14ac:dyDescent="0.25">
      <c r="A24" t="s">
        <v>38</v>
      </c>
      <c r="B24" s="10">
        <f>150*50</f>
        <v>7500</v>
      </c>
      <c r="C24" t="s">
        <v>39</v>
      </c>
    </row>
    <row r="25" spans="1:3" ht="15.9" customHeight="1" x14ac:dyDescent="0.25">
      <c r="A25" t="s">
        <v>51</v>
      </c>
      <c r="B25" s="10">
        <v>1500</v>
      </c>
      <c r="C25" t="s">
        <v>52</v>
      </c>
    </row>
    <row r="26" spans="1:3" ht="15.9" customHeight="1" x14ac:dyDescent="0.25">
      <c r="A26" t="s">
        <v>53</v>
      </c>
      <c r="B26" s="10">
        <f>3000</f>
        <v>3000</v>
      </c>
      <c r="C26" t="s">
        <v>54</v>
      </c>
    </row>
    <row r="27" spans="1:3" ht="15.9" customHeight="1" x14ac:dyDescent="0.25">
      <c r="A27" t="s">
        <v>55</v>
      </c>
      <c r="B27" s="10">
        <f>600</f>
        <v>600</v>
      </c>
      <c r="C27" t="s">
        <v>56</v>
      </c>
    </row>
    <row r="28" spans="1:3" ht="15.9" customHeight="1" x14ac:dyDescent="0.25">
      <c r="A28" s="3" t="s">
        <v>45</v>
      </c>
      <c r="B28" s="9">
        <f>SUM(B13:B27)</f>
        <v>117759.948</v>
      </c>
    </row>
    <row r="29" spans="1:3" ht="15.9" customHeight="1" x14ac:dyDescent="0.25">
      <c r="A29" s="3"/>
      <c r="B29" s="8"/>
    </row>
    <row r="30" spans="1:3" ht="15.9" customHeight="1" x14ac:dyDescent="0.25">
      <c r="A30" s="3" t="s">
        <v>10</v>
      </c>
    </row>
    <row r="31" spans="1:3" ht="15.9" customHeight="1" x14ac:dyDescent="0.25">
      <c r="A31" s="2" t="s">
        <v>11</v>
      </c>
      <c r="B31" s="8">
        <v>7500</v>
      </c>
      <c r="C31" s="1" t="s">
        <v>46</v>
      </c>
    </row>
    <row r="32" spans="1:3" ht="15.9" customHeight="1" x14ac:dyDescent="0.25">
      <c r="A32" s="2" t="s">
        <v>50</v>
      </c>
      <c r="B32" s="8">
        <f>(45*12+(3*10*12))*1.2</f>
        <v>1080</v>
      </c>
      <c r="C32" s="1" t="s">
        <v>47</v>
      </c>
    </row>
    <row r="33" spans="1:3" ht="15.9" customHeight="1" x14ac:dyDescent="0.25">
      <c r="A33" s="2" t="s">
        <v>13</v>
      </c>
      <c r="B33" s="8">
        <v>580</v>
      </c>
      <c r="C33"/>
    </row>
    <row r="34" spans="1:3" ht="15.9" customHeight="1" x14ac:dyDescent="0.25">
      <c r="A34" s="2" t="s">
        <v>57</v>
      </c>
      <c r="B34" s="8">
        <v>3000</v>
      </c>
    </row>
    <row r="35" spans="1:3" ht="15.9" customHeight="1" x14ac:dyDescent="0.25">
      <c r="A35" s="4" t="s">
        <v>59</v>
      </c>
      <c r="B35" s="9">
        <f>SUM(B31:B34)</f>
        <v>12160</v>
      </c>
      <c r="C35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17" sqref="A17"/>
    </sheetView>
  </sheetViews>
  <sheetFormatPr defaultColWidth="9.109375" defaultRowHeight="15.9" customHeight="1" x14ac:dyDescent="0.25"/>
  <cols>
    <col min="1" max="1" width="48.5546875" style="1" customWidth="1"/>
    <col min="2" max="2" width="9.5546875" style="6" bestFit="1" customWidth="1"/>
    <col min="3" max="3" width="255.6640625" style="1" bestFit="1" customWidth="1"/>
    <col min="4" max="16384" width="9.109375" style="1"/>
  </cols>
  <sheetData>
    <row r="1" spans="1:3" ht="15.9" customHeight="1" x14ac:dyDescent="0.3">
      <c r="A1" s="12" t="s">
        <v>0</v>
      </c>
    </row>
    <row r="2" spans="1:3" ht="15.9" customHeight="1" x14ac:dyDescent="0.25">
      <c r="A2" s="5" t="s">
        <v>58</v>
      </c>
    </row>
    <row r="3" spans="1:3" ht="15.9" customHeight="1" x14ac:dyDescent="0.25">
      <c r="A3" s="2"/>
      <c r="B3" s="7"/>
    </row>
    <row r="4" spans="1:3" ht="15.9" customHeight="1" x14ac:dyDescent="0.25">
      <c r="A4" s="4" t="s">
        <v>20</v>
      </c>
      <c r="B4" s="13" t="s">
        <v>33</v>
      </c>
      <c r="C4" s="4" t="s">
        <v>22</v>
      </c>
    </row>
    <row r="5" spans="1:3" ht="15.9" customHeight="1" x14ac:dyDescent="0.25">
      <c r="A5" s="2" t="s">
        <v>2</v>
      </c>
      <c r="B5" s="8">
        <f>B28-B8+(0.2*B28)</f>
        <v>244299.88560000001</v>
      </c>
      <c r="C5" s="1" t="s">
        <v>34</v>
      </c>
    </row>
    <row r="6" spans="1:3" ht="15.9" customHeight="1" x14ac:dyDescent="0.25">
      <c r="A6" s="2" t="s">
        <v>18</v>
      </c>
      <c r="B6" s="8">
        <v>0</v>
      </c>
    </row>
    <row r="7" spans="1:3" ht="15.9" customHeight="1" x14ac:dyDescent="0.25">
      <c r="A7" s="2" t="s">
        <v>3</v>
      </c>
      <c r="B7" s="8">
        <v>0</v>
      </c>
    </row>
    <row r="8" spans="1:3" ht="15.9" customHeight="1" x14ac:dyDescent="0.25">
      <c r="A8" s="2" t="s">
        <v>40</v>
      </c>
      <c r="B8" s="8">
        <f>'Budget 2002'!B9-'Budget 2002'!B28</f>
        <v>23551.989600000001</v>
      </c>
    </row>
    <row r="9" spans="1:3" ht="15.9" customHeight="1" x14ac:dyDescent="0.25">
      <c r="A9" s="2" t="s">
        <v>4</v>
      </c>
      <c r="B9" s="9">
        <f>SUM(B5:B8)</f>
        <v>267851.87520000001</v>
      </c>
    </row>
    <row r="10" spans="1:3" ht="15.9" customHeight="1" x14ac:dyDescent="0.25">
      <c r="A10" s="2"/>
      <c r="B10" s="9"/>
    </row>
    <row r="11" spans="1:3" ht="15.9" customHeight="1" x14ac:dyDescent="0.25">
      <c r="A11" s="3" t="s">
        <v>21</v>
      </c>
      <c r="B11" s="8"/>
    </row>
    <row r="12" spans="1:3" ht="15.9" customHeight="1" x14ac:dyDescent="0.25">
      <c r="A12" t="s">
        <v>43</v>
      </c>
      <c r="B12" s="14">
        <f>'Budget 2001'!B14*2*2</f>
        <v>2400</v>
      </c>
      <c r="C12" t="s">
        <v>36</v>
      </c>
    </row>
    <row r="13" spans="1:3" ht="15.9" customHeight="1" x14ac:dyDescent="0.25">
      <c r="A13" s="2" t="s">
        <v>19</v>
      </c>
      <c r="B13" s="8">
        <f>5000*1.25</f>
        <v>6250</v>
      </c>
      <c r="C13" s="1" t="s">
        <v>44</v>
      </c>
    </row>
    <row r="14" spans="1:3" ht="15.9" customHeight="1" x14ac:dyDescent="0.25">
      <c r="A14" t="s">
        <v>25</v>
      </c>
      <c r="B14" s="8">
        <f>6000*12</f>
        <v>72000</v>
      </c>
      <c r="C14" t="s">
        <v>35</v>
      </c>
    </row>
    <row r="15" spans="1:3" ht="15.9" customHeight="1" x14ac:dyDescent="0.25">
      <c r="A15" s="2" t="s">
        <v>42</v>
      </c>
      <c r="B15" s="8">
        <f>0.2*B14</f>
        <v>14400</v>
      </c>
      <c r="C15" t="s">
        <v>37</v>
      </c>
    </row>
    <row r="16" spans="1:3" ht="15.9" customHeight="1" x14ac:dyDescent="0.25">
      <c r="A16" t="s">
        <v>23</v>
      </c>
      <c r="B16" s="8">
        <f>3000*2</f>
        <v>6000</v>
      </c>
      <c r="C16" t="s">
        <v>30</v>
      </c>
    </row>
    <row r="17" spans="1:3" ht="15.9" customHeight="1" x14ac:dyDescent="0.25">
      <c r="A17" s="2" t="s">
        <v>62</v>
      </c>
      <c r="B17" s="8">
        <f>833.33*12*2</f>
        <v>19999.920000000002</v>
      </c>
      <c r="C17" s="1" t="s">
        <v>60</v>
      </c>
    </row>
    <row r="18" spans="1:3" ht="15.9" customHeight="1" x14ac:dyDescent="0.25">
      <c r="A18" s="2" t="s">
        <v>41</v>
      </c>
      <c r="B18" s="8">
        <f>(0.2*B17)+(0.1*B17)</f>
        <v>5999.9760000000006</v>
      </c>
      <c r="C18" t="s">
        <v>37</v>
      </c>
    </row>
    <row r="19" spans="1:3" ht="15.9" customHeight="1" x14ac:dyDescent="0.25">
      <c r="A19" t="s">
        <v>49</v>
      </c>
      <c r="B19" s="10">
        <f>22000*2</f>
        <v>44000</v>
      </c>
      <c r="C19" t="s">
        <v>66</v>
      </c>
    </row>
    <row r="20" spans="1:3" ht="15.9" customHeight="1" x14ac:dyDescent="0.25">
      <c r="A20" s="2" t="s">
        <v>8</v>
      </c>
      <c r="B20" s="10">
        <f>0.2*B19</f>
        <v>8800</v>
      </c>
      <c r="C20" t="s">
        <v>37</v>
      </c>
    </row>
    <row r="21" spans="1:3" ht="15.9" customHeight="1" x14ac:dyDescent="0.25">
      <c r="A21" t="s">
        <v>28</v>
      </c>
      <c r="B21" s="10">
        <f>1200*2</f>
        <v>2400</v>
      </c>
      <c r="C21" t="s">
        <v>30</v>
      </c>
    </row>
    <row r="22" spans="1:3" ht="15.9" customHeight="1" x14ac:dyDescent="0.25">
      <c r="A22" t="s">
        <v>32</v>
      </c>
      <c r="B22" s="8">
        <f>1*B12</f>
        <v>2400</v>
      </c>
      <c r="C22" t="s">
        <v>31</v>
      </c>
    </row>
    <row r="23" spans="1:3" ht="15.9" customHeight="1" x14ac:dyDescent="0.25">
      <c r="A23" t="s">
        <v>27</v>
      </c>
      <c r="B23" s="8">
        <f>B35</f>
        <v>16990</v>
      </c>
      <c r="C23" s="1" t="s">
        <v>26</v>
      </c>
    </row>
    <row r="24" spans="1:3" ht="15.9" customHeight="1" x14ac:dyDescent="0.25">
      <c r="A24" t="s">
        <v>38</v>
      </c>
      <c r="B24" s="10">
        <f>'Budget 2002'!B24*2</f>
        <v>15000</v>
      </c>
      <c r="C24" t="s">
        <v>39</v>
      </c>
    </row>
    <row r="25" spans="1:3" ht="15.9" customHeight="1" x14ac:dyDescent="0.25">
      <c r="A25" t="s">
        <v>51</v>
      </c>
      <c r="B25" s="10">
        <f>1500*1.5</f>
        <v>2250</v>
      </c>
      <c r="C25" t="s">
        <v>52</v>
      </c>
    </row>
    <row r="26" spans="1:3" ht="15.9" customHeight="1" x14ac:dyDescent="0.25">
      <c r="A26" t="s">
        <v>53</v>
      </c>
      <c r="B26" s="10">
        <f>'Budget 2002'!B26*2</f>
        <v>6000</v>
      </c>
      <c r="C26" t="s">
        <v>54</v>
      </c>
    </row>
    <row r="27" spans="1:3" ht="15.9" customHeight="1" x14ac:dyDescent="0.25">
      <c r="A27" t="s">
        <v>55</v>
      </c>
      <c r="B27" s="10">
        <f>600*1.2</f>
        <v>720</v>
      </c>
      <c r="C27" t="s">
        <v>56</v>
      </c>
    </row>
    <row r="28" spans="1:3" ht="15.9" customHeight="1" x14ac:dyDescent="0.25">
      <c r="A28" s="3" t="s">
        <v>45</v>
      </c>
      <c r="B28" s="9">
        <f>SUM(B13:B27)</f>
        <v>223209.89600000001</v>
      </c>
    </row>
    <row r="29" spans="1:3" ht="15.9" customHeight="1" x14ac:dyDescent="0.25">
      <c r="A29" s="3"/>
      <c r="B29" s="8"/>
    </row>
    <row r="30" spans="1:3" ht="15.9" customHeight="1" x14ac:dyDescent="0.25">
      <c r="A30" s="3" t="s">
        <v>10</v>
      </c>
    </row>
    <row r="31" spans="1:3" ht="15.9" customHeight="1" x14ac:dyDescent="0.25">
      <c r="A31" s="2" t="s">
        <v>11</v>
      </c>
      <c r="B31" s="8">
        <f>7500*1.5</f>
        <v>11250</v>
      </c>
      <c r="C31" s="1" t="s">
        <v>46</v>
      </c>
    </row>
    <row r="32" spans="1:3" ht="15.9" customHeight="1" x14ac:dyDescent="0.25">
      <c r="A32" s="2" t="s">
        <v>50</v>
      </c>
      <c r="B32" s="8">
        <f>((45*12+(3*10*12))*1.2)*2</f>
        <v>2160</v>
      </c>
      <c r="C32" s="1" t="s">
        <v>47</v>
      </c>
    </row>
    <row r="33" spans="1:3" ht="15.9" customHeight="1" x14ac:dyDescent="0.25">
      <c r="A33" s="2" t="s">
        <v>13</v>
      </c>
      <c r="B33" s="8">
        <v>580</v>
      </c>
      <c r="C33"/>
    </row>
    <row r="34" spans="1:3" ht="15.9" customHeight="1" x14ac:dyDescent="0.25">
      <c r="A34" s="2" t="s">
        <v>57</v>
      </c>
      <c r="B34" s="8">
        <v>3000</v>
      </c>
    </row>
    <row r="35" spans="1:3" ht="15.9" customHeight="1" x14ac:dyDescent="0.25">
      <c r="A35" s="4" t="s">
        <v>59</v>
      </c>
      <c r="B35" s="9">
        <f>SUM(B31:B34)</f>
        <v>16990</v>
      </c>
      <c r="C35" s="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17" sqref="A17"/>
    </sheetView>
  </sheetViews>
  <sheetFormatPr defaultColWidth="9.109375" defaultRowHeight="15.9" customHeight="1" x14ac:dyDescent="0.25"/>
  <cols>
    <col min="1" max="1" width="48.5546875" style="1" customWidth="1"/>
    <col min="2" max="2" width="9.5546875" style="6" bestFit="1" customWidth="1"/>
    <col min="3" max="3" width="255.6640625" style="1" bestFit="1" customWidth="1"/>
    <col min="4" max="16384" width="9.109375" style="1"/>
  </cols>
  <sheetData>
    <row r="1" spans="1:3" ht="15.9" customHeight="1" x14ac:dyDescent="0.3">
      <c r="A1" s="12" t="s">
        <v>0</v>
      </c>
    </row>
    <row r="2" spans="1:3" ht="15.9" customHeight="1" x14ac:dyDescent="0.25">
      <c r="A2" s="5" t="s">
        <v>61</v>
      </c>
    </row>
    <row r="3" spans="1:3" ht="15.9" customHeight="1" x14ac:dyDescent="0.25">
      <c r="A3" s="2"/>
      <c r="B3" s="7"/>
    </row>
    <row r="4" spans="1:3" ht="15.9" customHeight="1" x14ac:dyDescent="0.25">
      <c r="A4" s="4" t="s">
        <v>20</v>
      </c>
      <c r="B4" s="13" t="s">
        <v>33</v>
      </c>
      <c r="C4" s="4" t="s">
        <v>22</v>
      </c>
    </row>
    <row r="5" spans="1:3" ht="15.9" customHeight="1" x14ac:dyDescent="0.25">
      <c r="A5" s="2" t="s">
        <v>2</v>
      </c>
      <c r="B5" s="8">
        <f>B30-B8+(0.1*B30)</f>
        <v>430944.44200000004</v>
      </c>
      <c r="C5" s="1" t="s">
        <v>34</v>
      </c>
    </row>
    <row r="6" spans="1:3" ht="15.9" customHeight="1" x14ac:dyDescent="0.25">
      <c r="A6" s="2" t="s">
        <v>18</v>
      </c>
      <c r="B6" s="8">
        <v>0</v>
      </c>
    </row>
    <row r="7" spans="1:3" ht="15.9" customHeight="1" x14ac:dyDescent="0.25">
      <c r="A7" s="2" t="s">
        <v>3</v>
      </c>
      <c r="B7" s="8">
        <v>0</v>
      </c>
    </row>
    <row r="8" spans="1:3" ht="15.9" customHeight="1" x14ac:dyDescent="0.25">
      <c r="A8" s="2" t="s">
        <v>40</v>
      </c>
      <c r="B8" s="8">
        <f>'Budget 2003'!B9-'Budget 2003'!B28</f>
        <v>44641.979200000002</v>
      </c>
    </row>
    <row r="9" spans="1:3" ht="15.9" customHeight="1" x14ac:dyDescent="0.25">
      <c r="A9" s="2" t="s">
        <v>4</v>
      </c>
      <c r="B9" s="9">
        <f>SUM(B5:B8)</f>
        <v>475586.42120000004</v>
      </c>
    </row>
    <row r="10" spans="1:3" ht="15.9" customHeight="1" x14ac:dyDescent="0.25">
      <c r="A10" s="2"/>
      <c r="B10" s="9"/>
    </row>
    <row r="11" spans="1:3" ht="15.9" customHeight="1" x14ac:dyDescent="0.25">
      <c r="A11" s="3" t="s">
        <v>21</v>
      </c>
      <c r="B11" s="8"/>
    </row>
    <row r="12" spans="1:3" ht="15.9" customHeight="1" x14ac:dyDescent="0.25">
      <c r="A12" t="s">
        <v>43</v>
      </c>
      <c r="B12" s="14">
        <f>'Budget 2001'!B14*2*2*2</f>
        <v>4800</v>
      </c>
      <c r="C12" t="s">
        <v>36</v>
      </c>
    </row>
    <row r="13" spans="1:3" ht="15.9" customHeight="1" x14ac:dyDescent="0.25">
      <c r="A13" s="2" t="s">
        <v>19</v>
      </c>
      <c r="B13" s="8">
        <f>5000*1.25*1.25</f>
        <v>7812.5</v>
      </c>
      <c r="C13" s="1" t="s">
        <v>44</v>
      </c>
    </row>
    <row r="14" spans="1:3" ht="15.9" customHeight="1" x14ac:dyDescent="0.25">
      <c r="A14" t="s">
        <v>25</v>
      </c>
      <c r="B14" s="8">
        <f>9000*12</f>
        <v>108000</v>
      </c>
      <c r="C14" t="s">
        <v>35</v>
      </c>
    </row>
    <row r="15" spans="1:3" ht="15.9" customHeight="1" x14ac:dyDescent="0.25">
      <c r="A15" s="2" t="s">
        <v>42</v>
      </c>
      <c r="B15" s="8">
        <f>0.2*B14</f>
        <v>21600</v>
      </c>
      <c r="C15" t="s">
        <v>37</v>
      </c>
    </row>
    <row r="16" spans="1:3" ht="15.9" customHeight="1" x14ac:dyDescent="0.25">
      <c r="A16" t="s">
        <v>23</v>
      </c>
      <c r="B16" s="8">
        <f>3000*2*2</f>
        <v>12000</v>
      </c>
      <c r="C16" t="s">
        <v>30</v>
      </c>
    </row>
    <row r="17" spans="1:3" ht="15.9" customHeight="1" x14ac:dyDescent="0.25">
      <c r="A17" s="2" t="s">
        <v>62</v>
      </c>
      <c r="B17" s="8">
        <f>833.33*12*2*2</f>
        <v>39999.840000000004</v>
      </c>
      <c r="C17" s="1" t="s">
        <v>60</v>
      </c>
    </row>
    <row r="18" spans="1:3" ht="15.9" customHeight="1" x14ac:dyDescent="0.25">
      <c r="A18" s="2" t="s">
        <v>41</v>
      </c>
      <c r="B18" s="8">
        <f>(0.2*B17)+(0.1*B17)</f>
        <v>11999.952000000001</v>
      </c>
      <c r="C18" t="s">
        <v>37</v>
      </c>
    </row>
    <row r="19" spans="1:3" ht="15.9" customHeight="1" x14ac:dyDescent="0.25">
      <c r="A19" t="s">
        <v>49</v>
      </c>
      <c r="B19" s="10">
        <f>22000*2*1.5</f>
        <v>66000</v>
      </c>
      <c r="C19" t="s">
        <v>66</v>
      </c>
    </row>
    <row r="20" spans="1:3" ht="15.9" customHeight="1" x14ac:dyDescent="0.25">
      <c r="A20" s="2" t="s">
        <v>8</v>
      </c>
      <c r="B20" s="10">
        <f>0.2*B19</f>
        <v>13200</v>
      </c>
      <c r="C20" t="s">
        <v>37</v>
      </c>
    </row>
    <row r="21" spans="1:3" ht="15.9" customHeight="1" x14ac:dyDescent="0.25">
      <c r="A21" t="s">
        <v>28</v>
      </c>
      <c r="B21" s="10">
        <f>1200*2*2</f>
        <v>4800</v>
      </c>
      <c r="C21" t="s">
        <v>30</v>
      </c>
    </row>
    <row r="22" spans="1:3" ht="15.9" customHeight="1" x14ac:dyDescent="0.25">
      <c r="A22" t="s">
        <v>63</v>
      </c>
      <c r="B22" s="10">
        <f>120000*0.5</f>
        <v>60000</v>
      </c>
      <c r="C22" t="s">
        <v>65</v>
      </c>
    </row>
    <row r="23" spans="1:3" ht="15.9" customHeight="1" x14ac:dyDescent="0.25">
      <c r="A23" s="2" t="s">
        <v>64</v>
      </c>
      <c r="B23" s="10">
        <f>0.2*B22</f>
        <v>12000</v>
      </c>
      <c r="C23" t="s">
        <v>37</v>
      </c>
    </row>
    <row r="24" spans="1:3" ht="15.9" customHeight="1" x14ac:dyDescent="0.25">
      <c r="A24" t="s">
        <v>32</v>
      </c>
      <c r="B24" s="8">
        <f>1*B12</f>
        <v>4800</v>
      </c>
      <c r="C24" t="s">
        <v>31</v>
      </c>
    </row>
    <row r="25" spans="1:3" ht="15.9" customHeight="1" x14ac:dyDescent="0.25">
      <c r="A25" t="s">
        <v>27</v>
      </c>
      <c r="B25" s="8">
        <f>B37</f>
        <v>23900</v>
      </c>
      <c r="C25" s="1" t="s">
        <v>26</v>
      </c>
    </row>
    <row r="26" spans="1:3" ht="15.9" customHeight="1" x14ac:dyDescent="0.25">
      <c r="A26" t="s">
        <v>38</v>
      </c>
      <c r="B26" s="10">
        <f>'Budget 2002'!B24*2*2</f>
        <v>30000</v>
      </c>
      <c r="C26" t="s">
        <v>39</v>
      </c>
    </row>
    <row r="27" spans="1:3" ht="15.9" customHeight="1" x14ac:dyDescent="0.25">
      <c r="A27" t="s">
        <v>51</v>
      </c>
      <c r="B27" s="10">
        <f>1500*1.5*1.5</f>
        <v>3375</v>
      </c>
      <c r="C27" t="s">
        <v>52</v>
      </c>
    </row>
    <row r="28" spans="1:3" ht="15.9" customHeight="1" x14ac:dyDescent="0.25">
      <c r="A28" t="s">
        <v>53</v>
      </c>
      <c r="B28" s="10">
        <f>'Budget 2002'!B26*2*2</f>
        <v>12000</v>
      </c>
      <c r="C28" t="s">
        <v>54</v>
      </c>
    </row>
    <row r="29" spans="1:3" ht="15.9" customHeight="1" x14ac:dyDescent="0.25">
      <c r="A29" t="s">
        <v>55</v>
      </c>
      <c r="B29" s="10">
        <f>600*1.2*1.2</f>
        <v>864</v>
      </c>
      <c r="C29" t="s">
        <v>56</v>
      </c>
    </row>
    <row r="30" spans="1:3" ht="15.9" customHeight="1" x14ac:dyDescent="0.25">
      <c r="A30" s="3" t="s">
        <v>45</v>
      </c>
      <c r="B30" s="9">
        <f>SUM(B13:B29)</f>
        <v>432351.29200000002</v>
      </c>
    </row>
    <row r="31" spans="1:3" ht="15.9" customHeight="1" x14ac:dyDescent="0.25">
      <c r="A31" s="3"/>
      <c r="B31" s="8"/>
    </row>
    <row r="32" spans="1:3" ht="15.9" customHeight="1" x14ac:dyDescent="0.25">
      <c r="A32" s="3" t="s">
        <v>10</v>
      </c>
    </row>
    <row r="33" spans="1:3" ht="15.9" customHeight="1" x14ac:dyDescent="0.25">
      <c r="A33" s="2" t="s">
        <v>11</v>
      </c>
      <c r="B33" s="8">
        <f>7500*1.5*1.5</f>
        <v>16875</v>
      </c>
      <c r="C33" s="1" t="s">
        <v>46</v>
      </c>
    </row>
    <row r="34" spans="1:3" ht="15.9" customHeight="1" x14ac:dyDescent="0.25">
      <c r="A34" s="2" t="s">
        <v>50</v>
      </c>
      <c r="B34" s="8">
        <f>((45*12+(3*10*12))*1.2)*2*1.25</f>
        <v>2700</v>
      </c>
      <c r="C34" s="1" t="s">
        <v>47</v>
      </c>
    </row>
    <row r="35" spans="1:3" ht="15.9" customHeight="1" x14ac:dyDescent="0.25">
      <c r="A35" s="2" t="s">
        <v>13</v>
      </c>
      <c r="B35" s="8">
        <f>580*1.25</f>
        <v>725</v>
      </c>
      <c r="C35"/>
    </row>
    <row r="36" spans="1:3" ht="15.9" customHeight="1" x14ac:dyDescent="0.25">
      <c r="A36" s="2" t="s">
        <v>57</v>
      </c>
      <c r="B36" s="8">
        <f>3000*1.2</f>
        <v>3600</v>
      </c>
    </row>
    <row r="37" spans="1:3" ht="15.9" customHeight="1" x14ac:dyDescent="0.25">
      <c r="A37" s="4" t="s">
        <v>59</v>
      </c>
      <c r="B37" s="9">
        <f>SUM(B33:B36)</f>
        <v>23900</v>
      </c>
      <c r="C37" s="6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ColWidth="9.109375" defaultRowHeight="15.9" customHeight="1" x14ac:dyDescent="0.25"/>
  <cols>
    <col min="1" max="1" width="48.5546875" style="1" customWidth="1"/>
    <col min="2" max="2" width="9.5546875" style="6" bestFit="1" customWidth="1"/>
    <col min="3" max="3" width="255.6640625" style="1" bestFit="1" customWidth="1"/>
    <col min="4" max="16384" width="9.109375" style="1"/>
  </cols>
  <sheetData>
    <row r="1" spans="1:3" ht="15.9" customHeight="1" x14ac:dyDescent="0.3">
      <c r="A1" s="12" t="s">
        <v>0</v>
      </c>
    </row>
    <row r="2" spans="1:3" ht="15.9" customHeight="1" x14ac:dyDescent="0.25">
      <c r="A2" s="5" t="s">
        <v>61</v>
      </c>
    </row>
    <row r="3" spans="1:3" ht="15.9" customHeight="1" x14ac:dyDescent="0.25">
      <c r="A3" s="2"/>
      <c r="B3" s="7"/>
    </row>
    <row r="4" spans="1:3" ht="15.9" customHeight="1" x14ac:dyDescent="0.25">
      <c r="A4" s="4" t="s">
        <v>20</v>
      </c>
      <c r="B4" s="13" t="s">
        <v>33</v>
      </c>
      <c r="C4" s="4" t="s">
        <v>22</v>
      </c>
    </row>
    <row r="5" spans="1:3" ht="15.9" customHeight="1" x14ac:dyDescent="0.25">
      <c r="A5" s="2" t="s">
        <v>2</v>
      </c>
      <c r="B5" s="8">
        <f>B30-B8+(0.1*B30)</f>
        <v>500233.28661999997</v>
      </c>
      <c r="C5" s="1" t="s">
        <v>34</v>
      </c>
    </row>
    <row r="6" spans="1:3" ht="15.9" customHeight="1" x14ac:dyDescent="0.25">
      <c r="A6" s="2" t="s">
        <v>18</v>
      </c>
      <c r="B6" s="8">
        <v>0</v>
      </c>
    </row>
    <row r="7" spans="1:3" ht="15.9" customHeight="1" x14ac:dyDescent="0.25">
      <c r="A7" s="2" t="s">
        <v>3</v>
      </c>
      <c r="B7" s="8">
        <v>0</v>
      </c>
    </row>
    <row r="8" spans="1:3" ht="15.9" customHeight="1" x14ac:dyDescent="0.25">
      <c r="A8" s="2" t="s">
        <v>40</v>
      </c>
      <c r="B8" s="8">
        <f>'Budget 2004'!B9-'Budget 2004'!B30</f>
        <v>43235.129200000025</v>
      </c>
    </row>
    <row r="9" spans="1:3" ht="15.9" customHeight="1" x14ac:dyDescent="0.25">
      <c r="A9" s="2" t="s">
        <v>4</v>
      </c>
      <c r="B9" s="9">
        <f>SUM(B5:B8)</f>
        <v>543468.41581999999</v>
      </c>
    </row>
    <row r="10" spans="1:3" ht="15.9" customHeight="1" x14ac:dyDescent="0.25">
      <c r="A10" s="2"/>
      <c r="B10" s="9"/>
    </row>
    <row r="11" spans="1:3" ht="15.9" customHeight="1" x14ac:dyDescent="0.25">
      <c r="A11" s="3" t="s">
        <v>21</v>
      </c>
      <c r="B11" s="8"/>
    </row>
    <row r="12" spans="1:3" ht="15.9" customHeight="1" x14ac:dyDescent="0.25">
      <c r="A12" t="s">
        <v>43</v>
      </c>
      <c r="B12" s="14">
        <f>'Budget 2001'!B14*2*2*2*2</f>
        <v>9600</v>
      </c>
      <c r="C12" t="s">
        <v>36</v>
      </c>
    </row>
    <row r="13" spans="1:3" ht="15.9" customHeight="1" x14ac:dyDescent="0.25">
      <c r="A13" s="2" t="s">
        <v>19</v>
      </c>
      <c r="B13" s="8">
        <f>5000*1.25*1.25*1.25</f>
        <v>9765.625</v>
      </c>
      <c r="C13" s="1" t="s">
        <v>44</v>
      </c>
    </row>
    <row r="14" spans="1:3" ht="15.9" customHeight="1" x14ac:dyDescent="0.25">
      <c r="A14" t="s">
        <v>25</v>
      </c>
      <c r="B14" s="8">
        <f>10000*12</f>
        <v>120000</v>
      </c>
      <c r="C14" t="s">
        <v>35</v>
      </c>
    </row>
    <row r="15" spans="1:3" ht="15.9" customHeight="1" x14ac:dyDescent="0.25">
      <c r="A15" s="2" t="s">
        <v>42</v>
      </c>
      <c r="B15" s="8">
        <f>0.2*B14</f>
        <v>24000</v>
      </c>
      <c r="C15" t="s">
        <v>37</v>
      </c>
    </row>
    <row r="16" spans="1:3" ht="15.9" customHeight="1" x14ac:dyDescent="0.25">
      <c r="A16" t="s">
        <v>23</v>
      </c>
      <c r="B16" s="8">
        <f>3000*2*2*1.2</f>
        <v>14400</v>
      </c>
      <c r="C16" t="s">
        <v>30</v>
      </c>
    </row>
    <row r="17" spans="1:3" ht="15.9" customHeight="1" x14ac:dyDescent="0.25">
      <c r="A17" s="2" t="s">
        <v>62</v>
      </c>
      <c r="B17" s="8">
        <f>833.33*12*2*2*1.1</f>
        <v>43999.824000000008</v>
      </c>
      <c r="C17" s="1" t="s">
        <v>60</v>
      </c>
    </row>
    <row r="18" spans="1:3" ht="15.9" customHeight="1" x14ac:dyDescent="0.25">
      <c r="A18" s="2" t="s">
        <v>41</v>
      </c>
      <c r="B18" s="8">
        <f>(0.2*B17)+(0.1*B17)</f>
        <v>13199.947200000002</v>
      </c>
      <c r="C18" t="s">
        <v>37</v>
      </c>
    </row>
    <row r="19" spans="1:3" ht="15.9" customHeight="1" x14ac:dyDescent="0.25">
      <c r="A19" t="s">
        <v>49</v>
      </c>
      <c r="B19" s="10">
        <f>22000*2*1.5*1.1</f>
        <v>72600</v>
      </c>
      <c r="C19" t="s">
        <v>66</v>
      </c>
    </row>
    <row r="20" spans="1:3" ht="15.9" customHeight="1" x14ac:dyDescent="0.25">
      <c r="A20" s="2" t="s">
        <v>8</v>
      </c>
      <c r="B20" s="10">
        <f>0.2*B19</f>
        <v>14520</v>
      </c>
      <c r="C20" t="s">
        <v>37</v>
      </c>
    </row>
    <row r="21" spans="1:3" ht="15.9" customHeight="1" x14ac:dyDescent="0.25">
      <c r="A21" t="s">
        <v>28</v>
      </c>
      <c r="B21" s="10">
        <f>1200*2*2</f>
        <v>4800</v>
      </c>
      <c r="C21" t="s">
        <v>30</v>
      </c>
    </row>
    <row r="22" spans="1:3" ht="15.9" customHeight="1" x14ac:dyDescent="0.25">
      <c r="A22" t="s">
        <v>63</v>
      </c>
      <c r="B22" s="10">
        <f>120000*0.5*1.25</f>
        <v>75000</v>
      </c>
      <c r="C22" t="s">
        <v>65</v>
      </c>
    </row>
    <row r="23" spans="1:3" ht="15.9" customHeight="1" x14ac:dyDescent="0.25">
      <c r="A23" s="2" t="s">
        <v>64</v>
      </c>
      <c r="B23" s="10">
        <f>0.2*B22</f>
        <v>15000</v>
      </c>
      <c r="C23" t="s">
        <v>37</v>
      </c>
    </row>
    <row r="24" spans="1:3" ht="15.9" customHeight="1" x14ac:dyDescent="0.25">
      <c r="A24" t="s">
        <v>32</v>
      </c>
      <c r="B24" s="8">
        <f>1*B12</f>
        <v>9600</v>
      </c>
      <c r="C24" t="s">
        <v>31</v>
      </c>
    </row>
    <row r="25" spans="1:3" ht="15.9" customHeight="1" x14ac:dyDescent="0.25">
      <c r="A25" t="s">
        <v>27</v>
      </c>
      <c r="B25" s="8">
        <f>B37</f>
        <v>27690</v>
      </c>
      <c r="C25" s="1" t="s">
        <v>26</v>
      </c>
    </row>
    <row r="26" spans="1:3" ht="15.9" customHeight="1" x14ac:dyDescent="0.25">
      <c r="A26" t="s">
        <v>38</v>
      </c>
      <c r="B26" s="10">
        <f>'Budget 2002'!B24*2*2</f>
        <v>30000</v>
      </c>
      <c r="C26" t="s">
        <v>39</v>
      </c>
    </row>
    <row r="27" spans="1:3" ht="15.9" customHeight="1" x14ac:dyDescent="0.25">
      <c r="A27" t="s">
        <v>51</v>
      </c>
      <c r="B27" s="10">
        <f>1500*1.5*1.5*1.2</f>
        <v>4050</v>
      </c>
      <c r="C27" t="s">
        <v>52</v>
      </c>
    </row>
    <row r="28" spans="1:3" ht="15.9" customHeight="1" x14ac:dyDescent="0.25">
      <c r="A28" t="s">
        <v>53</v>
      </c>
      <c r="B28" s="10">
        <f>'Budget 2002'!B26*2*2*1.2</f>
        <v>14400</v>
      </c>
      <c r="C28" t="s">
        <v>54</v>
      </c>
    </row>
    <row r="29" spans="1:3" ht="15.9" customHeight="1" x14ac:dyDescent="0.25">
      <c r="A29" t="s">
        <v>55</v>
      </c>
      <c r="B29" s="10">
        <f>600*1.2*1.2*1.2</f>
        <v>1036.8</v>
      </c>
      <c r="C29" t="s">
        <v>56</v>
      </c>
    </row>
    <row r="30" spans="1:3" ht="15.9" customHeight="1" x14ac:dyDescent="0.25">
      <c r="A30" s="3" t="s">
        <v>45</v>
      </c>
      <c r="B30" s="9">
        <f>SUM(B13:B29)</f>
        <v>494062.19620000001</v>
      </c>
    </row>
    <row r="31" spans="1:3" ht="15.9" customHeight="1" x14ac:dyDescent="0.25">
      <c r="A31" s="3"/>
      <c r="B31" s="8"/>
    </row>
    <row r="32" spans="1:3" ht="15.9" customHeight="1" x14ac:dyDescent="0.25">
      <c r="A32" s="3" t="s">
        <v>10</v>
      </c>
    </row>
    <row r="33" spans="1:3" ht="15.9" customHeight="1" x14ac:dyDescent="0.25">
      <c r="A33" s="2" t="s">
        <v>11</v>
      </c>
      <c r="B33" s="8">
        <f>7500*1.5*1.5*1.2</f>
        <v>20250</v>
      </c>
      <c r="C33" s="1" t="s">
        <v>46</v>
      </c>
    </row>
    <row r="34" spans="1:3" ht="15.9" customHeight="1" x14ac:dyDescent="0.25">
      <c r="A34" s="2" t="s">
        <v>50</v>
      </c>
      <c r="B34" s="8">
        <f>((45*12+(3*10*12))*1.2)*2*1.25*1.1</f>
        <v>2970.0000000000005</v>
      </c>
      <c r="C34" s="1" t="s">
        <v>47</v>
      </c>
    </row>
    <row r="35" spans="1:3" ht="15.9" customHeight="1" x14ac:dyDescent="0.25">
      <c r="A35" s="2" t="s">
        <v>13</v>
      </c>
      <c r="B35" s="8">
        <f>580*1.25*1.2</f>
        <v>870</v>
      </c>
      <c r="C35"/>
    </row>
    <row r="36" spans="1:3" ht="15.9" customHeight="1" x14ac:dyDescent="0.25">
      <c r="A36" s="2" t="s">
        <v>57</v>
      </c>
      <c r="B36" s="8">
        <f>3000*1.2</f>
        <v>3600</v>
      </c>
    </row>
    <row r="37" spans="1:3" ht="15.9" customHeight="1" x14ac:dyDescent="0.25">
      <c r="A37" s="4" t="s">
        <v>59</v>
      </c>
      <c r="B37" s="9">
        <f>SUM(B33:B36)</f>
        <v>27690</v>
      </c>
      <c r="C37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Budget 2001</vt:lpstr>
      <vt:lpstr>Budget 2002</vt:lpstr>
      <vt:lpstr>Budget 2003</vt:lpstr>
      <vt:lpstr>Budget 2004</vt:lpstr>
      <vt:lpstr>Budget 2005</vt:lpstr>
      <vt:lpstr>'Budget 2002'!_ftn1</vt:lpstr>
      <vt:lpstr>'Budget 2002'!_ftn2</vt:lpstr>
      <vt:lpstr>'Budget 2002'!_ftn3</vt:lpstr>
      <vt:lpstr>'Budget 2002'!_ftn4</vt:lpstr>
      <vt:lpstr>'Budget 2002'!_ftn5</vt:lpstr>
      <vt:lpstr>'Budget 2002'!_ftn6</vt:lpstr>
      <vt:lpstr>'Budget 2002'!_ftn7</vt:lpstr>
      <vt:lpstr>'Budget 2002'!_ftn8</vt:lpstr>
      <vt:lpstr>'Budget 2002'!_ftnref1</vt:lpstr>
      <vt:lpstr>'Budget 2002'!_ftnref2</vt:lpstr>
      <vt:lpstr>'Budget 2002'!_ftnref3</vt:lpstr>
      <vt:lpstr>'Budget 2002'!_ftnref4</vt:lpstr>
      <vt:lpstr>'Budget 2002'!_ftnref5</vt:lpstr>
      <vt:lpstr>'Budget 2002'!_ftnref6</vt:lpstr>
      <vt:lpstr>'Budget 2002'!_ftnref7</vt:lpstr>
      <vt:lpstr>'Budget 2002'!_ftnref8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gbn</dc:creator>
  <cp:lastModifiedBy>Aniket Gupta</cp:lastModifiedBy>
  <cp:lastPrinted>2001-12-11T03:38:51Z</cp:lastPrinted>
  <dcterms:created xsi:type="dcterms:W3CDTF">2001-12-04T17:48:31Z</dcterms:created>
  <dcterms:modified xsi:type="dcterms:W3CDTF">2024-01-29T04:52:06Z</dcterms:modified>
</cp:coreProperties>
</file>