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00CB08B7-CE5D-49B1-9392-815FF0726CB7}" xr6:coauthVersionLast="47" xr6:coauthVersionMax="47" xr10:uidLastSave="{00000000-0000-0000-0000-000000000000}"/>
  <bookViews>
    <workbookView xWindow="3348" yWindow="3348" windowWidth="17280" windowHeight="8880" tabRatio="784" firstSheet="1" activeTab="6"/>
  </bookViews>
  <sheets>
    <sheet name="College Work-Study" sheetId="1" r:id="rId1"/>
    <sheet name="CWS per-recipient" sheetId="5" r:id="rId2"/>
    <sheet name="Perkins Loans" sheetId="3" r:id="rId3"/>
    <sheet name="Perkins per-recipient" sheetId="6" r:id="rId4"/>
    <sheet name="SEOG" sheetId="4" r:id="rId5"/>
    <sheet name="SEOG per-recipient" sheetId="7" r:id="rId6"/>
    <sheet name="TABLE" sheetId="2" r:id="rId7"/>
  </sheets>
  <definedNames>
    <definedName name="\R">'College Work-Study'!#REF!</definedName>
    <definedName name="DATA">'College Work-Study'!$A$3</definedName>
    <definedName name="MACRO">'College Work-Study'!#REF!</definedName>
    <definedName name="NOTE">TABLE!$A$36</definedName>
    <definedName name="_xlnm.Print_Area" localSheetId="6">TABLE!$A$1:$Q$39</definedName>
    <definedName name="SOURCES">'College Work-Study:TABLE'!$A$41:$IN$8168</definedName>
    <definedName name="TABLE">TABLE!$A$1:$O$42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1" i="2" l="1"/>
  <c r="N30" i="2"/>
  <c r="N26" i="2"/>
  <c r="N23" i="2"/>
  <c r="N22" i="2"/>
  <c r="N19" i="2"/>
  <c r="N18" i="2"/>
  <c r="L33" i="2"/>
  <c r="L29" i="2"/>
  <c r="L26" i="2"/>
  <c r="L25" i="2"/>
  <c r="L21" i="2"/>
  <c r="L18" i="2"/>
  <c r="J25" i="2"/>
  <c r="C3" i="7"/>
  <c r="K8" i="7"/>
  <c r="L8" i="7"/>
  <c r="N8" i="7"/>
  <c r="O8" i="7"/>
  <c r="P8" i="7"/>
  <c r="Q8" i="7"/>
  <c r="R8" i="7"/>
  <c r="K9" i="7"/>
  <c r="L9" i="7"/>
  <c r="N9" i="7"/>
  <c r="O9" i="7"/>
  <c r="P9" i="7"/>
  <c r="Q9" i="7"/>
  <c r="R9" i="7"/>
  <c r="C10" i="7"/>
  <c r="D10" i="7"/>
  <c r="E10" i="7"/>
  <c r="F10" i="7"/>
  <c r="G10" i="7"/>
  <c r="H10" i="7"/>
  <c r="I10" i="7"/>
  <c r="J10" i="7"/>
  <c r="K10" i="7"/>
  <c r="L10" i="7"/>
  <c r="N10" i="7"/>
  <c r="O10" i="7"/>
  <c r="P10" i="7"/>
  <c r="Q10" i="7"/>
  <c r="R10" i="7"/>
  <c r="N20" i="2" s="1"/>
  <c r="K11" i="7"/>
  <c r="L11" i="7"/>
  <c r="N11" i="7"/>
  <c r="O11" i="7"/>
  <c r="P11" i="7"/>
  <c r="Q11" i="7"/>
  <c r="R11" i="7"/>
  <c r="N21" i="2" s="1"/>
  <c r="K12" i="7"/>
  <c r="L12" i="7"/>
  <c r="N12" i="7"/>
  <c r="O12" i="7"/>
  <c r="P12" i="7"/>
  <c r="Q12" i="7"/>
  <c r="R12" i="7"/>
  <c r="K13" i="7"/>
  <c r="L13" i="7"/>
  <c r="N13" i="7"/>
  <c r="O13" i="7"/>
  <c r="P13" i="7"/>
  <c r="Q13" i="7"/>
  <c r="R13" i="7"/>
  <c r="K14" i="7"/>
  <c r="L14" i="7"/>
  <c r="N14" i="7"/>
  <c r="O14" i="7"/>
  <c r="P14" i="7"/>
  <c r="Q14" i="7"/>
  <c r="R14" i="7"/>
  <c r="K15" i="7"/>
  <c r="L15" i="7"/>
  <c r="N15" i="7"/>
  <c r="O15" i="7"/>
  <c r="P15" i="7"/>
  <c r="Q15" i="7"/>
  <c r="R15" i="7"/>
  <c r="N25" i="2" s="1"/>
  <c r="K16" i="7"/>
  <c r="L16" i="7"/>
  <c r="N16" i="7"/>
  <c r="O16" i="7"/>
  <c r="P16" i="7"/>
  <c r="Q16" i="7"/>
  <c r="R16" i="7"/>
  <c r="K17" i="7"/>
  <c r="L17" i="7"/>
  <c r="N17" i="7"/>
  <c r="O17" i="7"/>
  <c r="P17" i="7"/>
  <c r="Q17" i="7"/>
  <c r="R17" i="7"/>
  <c r="N27" i="2" s="1"/>
  <c r="K18" i="7"/>
  <c r="L18" i="7"/>
  <c r="N18" i="7"/>
  <c r="O18" i="7"/>
  <c r="P18" i="7"/>
  <c r="Q18" i="7"/>
  <c r="R18" i="7"/>
  <c r="N28" i="2" s="1"/>
  <c r="K19" i="7"/>
  <c r="L19" i="7"/>
  <c r="N19" i="7"/>
  <c r="O19" i="7"/>
  <c r="P19" i="7"/>
  <c r="Q19" i="7"/>
  <c r="R19" i="7"/>
  <c r="N29" i="2" s="1"/>
  <c r="K20" i="7"/>
  <c r="L20" i="7"/>
  <c r="N20" i="7"/>
  <c r="O20" i="7"/>
  <c r="P20" i="7"/>
  <c r="Q20" i="7"/>
  <c r="R20" i="7"/>
  <c r="K21" i="7"/>
  <c r="L21" i="7"/>
  <c r="N21" i="7"/>
  <c r="O21" i="7"/>
  <c r="P21" i="7"/>
  <c r="Q21" i="7"/>
  <c r="R21" i="7"/>
  <c r="K22" i="7"/>
  <c r="L22" i="7"/>
  <c r="N22" i="7"/>
  <c r="O22" i="7"/>
  <c r="P22" i="7"/>
  <c r="Q22" i="7"/>
  <c r="R22" i="7"/>
  <c r="K23" i="7"/>
  <c r="L23" i="7"/>
  <c r="N23" i="7"/>
  <c r="O23" i="7"/>
  <c r="P23" i="7"/>
  <c r="Q23" i="7"/>
  <c r="R23" i="7"/>
  <c r="N33" i="2" s="1"/>
  <c r="C25" i="7"/>
  <c r="D25" i="7"/>
  <c r="E25" i="7"/>
  <c r="F25" i="7"/>
  <c r="G25" i="7"/>
  <c r="H25" i="7"/>
  <c r="I25" i="7"/>
  <c r="J25" i="7"/>
  <c r="K25" i="7"/>
  <c r="L25" i="7"/>
  <c r="M25" i="7"/>
  <c r="N25" i="7"/>
  <c r="O25" i="7"/>
  <c r="P25" i="7"/>
  <c r="Q25" i="7"/>
  <c r="R25" i="7"/>
  <c r="C26" i="7"/>
  <c r="D26" i="7"/>
  <c r="E26" i="7"/>
  <c r="F26" i="7"/>
  <c r="G26" i="7"/>
  <c r="H26" i="7"/>
  <c r="I26" i="7"/>
  <c r="J26" i="7"/>
  <c r="K26" i="7"/>
  <c r="L26" i="7"/>
  <c r="M26" i="7"/>
  <c r="N26" i="7"/>
  <c r="O26" i="7"/>
  <c r="P26" i="7"/>
  <c r="Q26" i="7"/>
  <c r="R26" i="7"/>
  <c r="C27" i="7"/>
  <c r="D27" i="7"/>
  <c r="E27" i="7"/>
  <c r="F27" i="7"/>
  <c r="G27" i="7"/>
  <c r="H27" i="7"/>
  <c r="I27" i="7"/>
  <c r="J27" i="7"/>
  <c r="K27" i="7"/>
  <c r="L27" i="7"/>
  <c r="M27" i="7"/>
  <c r="N27" i="7"/>
  <c r="O27" i="7"/>
  <c r="P27" i="7"/>
  <c r="Q27" i="7"/>
  <c r="R27" i="7"/>
  <c r="C28" i="7"/>
  <c r="D28" i="7"/>
  <c r="E28" i="7"/>
  <c r="F28" i="7"/>
  <c r="G28" i="7"/>
  <c r="H28" i="7"/>
  <c r="I28" i="7"/>
  <c r="J28" i="7"/>
  <c r="K28" i="7"/>
  <c r="L28" i="7"/>
  <c r="M28" i="7"/>
  <c r="N28" i="7"/>
  <c r="O28" i="7"/>
  <c r="P28" i="7"/>
  <c r="Q28" i="7"/>
  <c r="R28" i="7"/>
  <c r="C29" i="7"/>
  <c r="D29" i="7"/>
  <c r="E29" i="7"/>
  <c r="F29" i="7"/>
  <c r="G29" i="7"/>
  <c r="H29" i="7"/>
  <c r="I29" i="7"/>
  <c r="J29" i="7"/>
  <c r="K29" i="7"/>
  <c r="L29" i="7"/>
  <c r="M29" i="7"/>
  <c r="N29" i="7"/>
  <c r="O29" i="7"/>
  <c r="P29" i="7"/>
  <c r="Q29" i="7"/>
  <c r="R29" i="7"/>
  <c r="C30" i="7"/>
  <c r="D30" i="7"/>
  <c r="E30" i="7"/>
  <c r="F30" i="7"/>
  <c r="G30" i="7"/>
  <c r="H30" i="7"/>
  <c r="I30" i="7"/>
  <c r="J30" i="7"/>
  <c r="K30" i="7"/>
  <c r="L30" i="7"/>
  <c r="M30" i="7"/>
  <c r="N30" i="7"/>
  <c r="O30" i="7"/>
  <c r="P30" i="7"/>
  <c r="Q30" i="7"/>
  <c r="R30" i="7"/>
  <c r="C31" i="7"/>
  <c r="D31" i="7"/>
  <c r="E31" i="7"/>
  <c r="F31" i="7"/>
  <c r="G31" i="7"/>
  <c r="H31" i="7"/>
  <c r="I31" i="7"/>
  <c r="J31" i="7"/>
  <c r="K31" i="7"/>
  <c r="L31" i="7"/>
  <c r="M31" i="7"/>
  <c r="N31" i="7"/>
  <c r="O31" i="7"/>
  <c r="P31" i="7"/>
  <c r="Q31" i="7"/>
  <c r="R31" i="7"/>
  <c r="C32" i="7"/>
  <c r="D32" i="7"/>
  <c r="E32" i="7"/>
  <c r="F32" i="7"/>
  <c r="G32" i="7"/>
  <c r="H32" i="7"/>
  <c r="I32" i="7"/>
  <c r="J32" i="7"/>
  <c r="K32" i="7"/>
  <c r="L32" i="7"/>
  <c r="M32" i="7"/>
  <c r="N32" i="7"/>
  <c r="O32" i="7"/>
  <c r="P32" i="7"/>
  <c r="Q32" i="7"/>
  <c r="R32" i="7"/>
  <c r="C33" i="7"/>
  <c r="D33" i="7"/>
  <c r="E33" i="7"/>
  <c r="F33" i="7"/>
  <c r="G33" i="7"/>
  <c r="H33" i="7"/>
  <c r="I33" i="7"/>
  <c r="J33" i="7"/>
  <c r="K33" i="7"/>
  <c r="L33" i="7"/>
  <c r="M33" i="7"/>
  <c r="N33" i="7"/>
  <c r="O33" i="7"/>
  <c r="P33" i="7"/>
  <c r="Q33" i="7"/>
  <c r="R33" i="7"/>
  <c r="C34" i="7"/>
  <c r="D34" i="7"/>
  <c r="E34" i="7"/>
  <c r="F34" i="7"/>
  <c r="G34" i="7"/>
  <c r="H34" i="7"/>
  <c r="I34" i="7"/>
  <c r="J34" i="7"/>
  <c r="K34" i="7"/>
  <c r="L34" i="7"/>
  <c r="M34" i="7"/>
  <c r="N34" i="7"/>
  <c r="O34" i="7"/>
  <c r="P34" i="7"/>
  <c r="Q34" i="7"/>
  <c r="R34" i="7"/>
  <c r="C35" i="7"/>
  <c r="D35" i="7"/>
  <c r="E35" i="7"/>
  <c r="F35" i="7"/>
  <c r="G35" i="7"/>
  <c r="H35" i="7"/>
  <c r="I35" i="7"/>
  <c r="J35" i="7"/>
  <c r="K35" i="7"/>
  <c r="L35" i="7"/>
  <c r="M35" i="7"/>
  <c r="N35" i="7"/>
  <c r="O35" i="7"/>
  <c r="P35" i="7"/>
  <c r="Q35" i="7"/>
  <c r="R35" i="7"/>
  <c r="C36" i="7"/>
  <c r="D36" i="7"/>
  <c r="E36" i="7"/>
  <c r="F36" i="7"/>
  <c r="G36" i="7"/>
  <c r="H36" i="7"/>
  <c r="I36" i="7"/>
  <c r="J36" i="7"/>
  <c r="K36" i="7"/>
  <c r="L36" i="7"/>
  <c r="M36" i="7"/>
  <c r="N36" i="7"/>
  <c r="O36" i="7"/>
  <c r="P36" i="7"/>
  <c r="Q36" i="7"/>
  <c r="R36" i="7"/>
  <c r="C37" i="7"/>
  <c r="D37" i="7"/>
  <c r="E37" i="7"/>
  <c r="F37" i="7"/>
  <c r="G37" i="7"/>
  <c r="H37" i="7"/>
  <c r="I37" i="7"/>
  <c r="J37" i="7"/>
  <c r="K37" i="7"/>
  <c r="L37" i="7"/>
  <c r="M37" i="7"/>
  <c r="N37" i="7"/>
  <c r="O37" i="7"/>
  <c r="P37" i="7"/>
  <c r="Q37" i="7"/>
  <c r="R37" i="7"/>
  <c r="C38" i="7"/>
  <c r="D38" i="7"/>
  <c r="E38" i="7"/>
  <c r="F38" i="7"/>
  <c r="G38" i="7"/>
  <c r="H38" i="7"/>
  <c r="I38" i="7"/>
  <c r="J38" i="7"/>
  <c r="K38" i="7"/>
  <c r="L38" i="7"/>
  <c r="M38" i="7"/>
  <c r="N38" i="7"/>
  <c r="O38" i="7"/>
  <c r="P38" i="7"/>
  <c r="Q38" i="7"/>
  <c r="R38" i="7"/>
  <c r="C39" i="7"/>
  <c r="D39" i="7"/>
  <c r="E39" i="7"/>
  <c r="F39" i="7"/>
  <c r="G39" i="7"/>
  <c r="H39" i="7"/>
  <c r="I39" i="7"/>
  <c r="J39" i="7"/>
  <c r="K39" i="7"/>
  <c r="L39" i="7"/>
  <c r="M39" i="7"/>
  <c r="N39" i="7"/>
  <c r="O39" i="7"/>
  <c r="P39" i="7"/>
  <c r="Q39" i="7"/>
  <c r="R39" i="7"/>
  <c r="C40" i="7"/>
  <c r="D40" i="7"/>
  <c r="E40" i="7"/>
  <c r="F40" i="7"/>
  <c r="G40" i="7"/>
  <c r="H40" i="7"/>
  <c r="I40" i="7"/>
  <c r="J40" i="7"/>
  <c r="K40" i="7"/>
  <c r="L40" i="7"/>
  <c r="M40" i="7"/>
  <c r="N40" i="7"/>
  <c r="O40" i="7"/>
  <c r="P40" i="7"/>
  <c r="Q40" i="7"/>
  <c r="R40" i="7"/>
  <c r="C41" i="7"/>
  <c r="D41" i="7"/>
  <c r="E41" i="7"/>
  <c r="F41" i="7"/>
  <c r="G41" i="7"/>
  <c r="H41" i="7"/>
  <c r="I41" i="7"/>
  <c r="J41" i="7"/>
  <c r="K41" i="7"/>
  <c r="L41" i="7"/>
  <c r="M41" i="7"/>
  <c r="N41" i="7"/>
  <c r="O41" i="7"/>
  <c r="P41" i="7"/>
  <c r="Q41" i="7"/>
  <c r="R41" i="7"/>
  <c r="C42" i="7"/>
  <c r="D42" i="7"/>
  <c r="E42" i="7"/>
  <c r="F42" i="7"/>
  <c r="G42" i="7"/>
  <c r="H42" i="7"/>
  <c r="I42" i="7"/>
  <c r="J42" i="7"/>
  <c r="K42" i="7"/>
  <c r="L42" i="7"/>
  <c r="M42" i="7"/>
  <c r="N42" i="7"/>
  <c r="O42" i="7"/>
  <c r="P42" i="7"/>
  <c r="Q42" i="7"/>
  <c r="R42" i="7"/>
  <c r="C43" i="7"/>
  <c r="D43" i="7"/>
  <c r="E43" i="7"/>
  <c r="F43" i="7"/>
  <c r="G43" i="7"/>
  <c r="H43" i="7"/>
  <c r="I43" i="7"/>
  <c r="J43" i="7"/>
  <c r="K43" i="7"/>
  <c r="L43" i="7"/>
  <c r="M43" i="7"/>
  <c r="N43" i="7"/>
  <c r="O43" i="7"/>
  <c r="P43" i="7"/>
  <c r="Q43" i="7"/>
  <c r="R43" i="7"/>
  <c r="C44" i="7"/>
  <c r="D44" i="7"/>
  <c r="E44" i="7"/>
  <c r="F44" i="7"/>
  <c r="G44" i="7"/>
  <c r="H44" i="7"/>
  <c r="I44" i="7"/>
  <c r="J44" i="7"/>
  <c r="K44" i="7"/>
  <c r="L44" i="7"/>
  <c r="M44" i="7"/>
  <c r="N44" i="7"/>
  <c r="O44" i="7"/>
  <c r="P44" i="7"/>
  <c r="Q44" i="7"/>
  <c r="R44" i="7"/>
  <c r="C45" i="7"/>
  <c r="D45" i="7"/>
  <c r="E45" i="7"/>
  <c r="F45" i="7"/>
  <c r="G45" i="7"/>
  <c r="H45" i="7"/>
  <c r="I45" i="7"/>
  <c r="J45" i="7"/>
  <c r="K45" i="7"/>
  <c r="L45" i="7"/>
  <c r="M45" i="7"/>
  <c r="N45" i="7"/>
  <c r="O45" i="7"/>
  <c r="P45" i="7"/>
  <c r="Q45" i="7"/>
  <c r="R45" i="7"/>
  <c r="C46" i="7"/>
  <c r="D46" i="7"/>
  <c r="E46" i="7"/>
  <c r="F46" i="7"/>
  <c r="G46" i="7"/>
  <c r="H46" i="7"/>
  <c r="I46" i="7"/>
  <c r="J46" i="7"/>
  <c r="K46" i="7"/>
  <c r="L46" i="7"/>
  <c r="M46" i="7"/>
  <c r="N46" i="7"/>
  <c r="O46" i="7"/>
  <c r="P46" i="7"/>
  <c r="Q46" i="7"/>
  <c r="R46" i="7"/>
  <c r="C47" i="7"/>
  <c r="D47" i="7"/>
  <c r="E47" i="7"/>
  <c r="F47" i="7"/>
  <c r="G47" i="7"/>
  <c r="H47" i="7"/>
  <c r="I47" i="7"/>
  <c r="J47" i="7"/>
  <c r="K47" i="7"/>
  <c r="L47" i="7"/>
  <c r="M47" i="7"/>
  <c r="N47" i="7"/>
  <c r="O47" i="7"/>
  <c r="P47" i="7"/>
  <c r="Q47" i="7"/>
  <c r="R47" i="7"/>
  <c r="C48" i="7"/>
  <c r="D48" i="7"/>
  <c r="E48" i="7"/>
  <c r="F48" i="7"/>
  <c r="G48" i="7"/>
  <c r="H48" i="7"/>
  <c r="I48" i="7"/>
  <c r="J48" i="7"/>
  <c r="K48" i="7"/>
  <c r="L48" i="7"/>
  <c r="M48" i="7"/>
  <c r="N48" i="7"/>
  <c r="O48" i="7"/>
  <c r="P48" i="7"/>
  <c r="Q48" i="7"/>
  <c r="R48" i="7"/>
  <c r="C49" i="7"/>
  <c r="D49" i="7"/>
  <c r="E49" i="7"/>
  <c r="F49" i="7"/>
  <c r="G49" i="7"/>
  <c r="H49" i="7"/>
  <c r="I49" i="7"/>
  <c r="J49" i="7"/>
  <c r="K49" i="7"/>
  <c r="L49" i="7"/>
  <c r="M49" i="7"/>
  <c r="N49" i="7"/>
  <c r="O49" i="7"/>
  <c r="P49" i="7"/>
  <c r="Q49" i="7"/>
  <c r="R49" i="7"/>
  <c r="C50" i="7"/>
  <c r="D50" i="7"/>
  <c r="E50" i="7"/>
  <c r="F50" i="7"/>
  <c r="G50" i="7"/>
  <c r="H50" i="7"/>
  <c r="I50" i="7"/>
  <c r="J50" i="7"/>
  <c r="K50" i="7"/>
  <c r="L50" i="7"/>
  <c r="M50" i="7"/>
  <c r="N50" i="7"/>
  <c r="O50" i="7"/>
  <c r="P50" i="7"/>
  <c r="Q50" i="7"/>
  <c r="R50" i="7"/>
  <c r="C51" i="7"/>
  <c r="D51" i="7"/>
  <c r="E51" i="7"/>
  <c r="F51" i="7"/>
  <c r="G51" i="7"/>
  <c r="H51" i="7"/>
  <c r="I51" i="7"/>
  <c r="J51" i="7"/>
  <c r="K51" i="7"/>
  <c r="L51" i="7"/>
  <c r="M51" i="7"/>
  <c r="N51" i="7"/>
  <c r="O51" i="7"/>
  <c r="P51" i="7"/>
  <c r="Q51" i="7"/>
  <c r="R51" i="7"/>
  <c r="C52" i="7"/>
  <c r="D52" i="7"/>
  <c r="E52" i="7"/>
  <c r="F52" i="7"/>
  <c r="G52" i="7"/>
  <c r="H52" i="7"/>
  <c r="I52" i="7"/>
  <c r="J52" i="7"/>
  <c r="K52" i="7"/>
  <c r="L52" i="7"/>
  <c r="M52" i="7"/>
  <c r="N52" i="7"/>
  <c r="O52" i="7"/>
  <c r="P52" i="7"/>
  <c r="Q52" i="7"/>
  <c r="R52" i="7"/>
  <c r="C53" i="7"/>
  <c r="D53" i="7"/>
  <c r="E53" i="7"/>
  <c r="F53" i="7"/>
  <c r="G53" i="7"/>
  <c r="H53" i="7"/>
  <c r="I53" i="7"/>
  <c r="J53" i="7"/>
  <c r="K53" i="7"/>
  <c r="L53" i="7"/>
  <c r="M53" i="7"/>
  <c r="N53" i="7"/>
  <c r="O53" i="7"/>
  <c r="P53" i="7"/>
  <c r="Q53" i="7"/>
  <c r="R53" i="7"/>
  <c r="C54" i="7"/>
  <c r="D54" i="7"/>
  <c r="E54" i="7"/>
  <c r="F54" i="7"/>
  <c r="G54" i="7"/>
  <c r="H54" i="7"/>
  <c r="I54" i="7"/>
  <c r="J54" i="7"/>
  <c r="K54" i="7"/>
  <c r="L54" i="7"/>
  <c r="M54" i="7"/>
  <c r="N54" i="7"/>
  <c r="O54" i="7"/>
  <c r="P54" i="7"/>
  <c r="Q54" i="7"/>
  <c r="R54" i="7"/>
  <c r="C55" i="7"/>
  <c r="D55" i="7"/>
  <c r="E55" i="7"/>
  <c r="F55" i="7"/>
  <c r="G55" i="7"/>
  <c r="H55" i="7"/>
  <c r="I55" i="7"/>
  <c r="J55" i="7"/>
  <c r="K55" i="7"/>
  <c r="L55" i="7"/>
  <c r="M55" i="7"/>
  <c r="N55" i="7"/>
  <c r="O55" i="7"/>
  <c r="P55" i="7"/>
  <c r="Q55" i="7"/>
  <c r="R55" i="7"/>
  <c r="C56" i="7"/>
  <c r="D56" i="7"/>
  <c r="E56" i="7"/>
  <c r="F56" i="7"/>
  <c r="G56" i="7"/>
  <c r="H56" i="7"/>
  <c r="I56" i="7"/>
  <c r="J56" i="7"/>
  <c r="K56" i="7"/>
  <c r="L56" i="7"/>
  <c r="M56" i="7"/>
  <c r="N56" i="7"/>
  <c r="O56" i="7"/>
  <c r="P56" i="7"/>
  <c r="Q56" i="7"/>
  <c r="R56" i="7"/>
  <c r="C57" i="7"/>
  <c r="D57" i="7"/>
  <c r="E57" i="7"/>
  <c r="F57" i="7"/>
  <c r="G57" i="7"/>
  <c r="H57" i="7"/>
  <c r="I57" i="7"/>
  <c r="J57" i="7"/>
  <c r="K57" i="7"/>
  <c r="L57" i="7"/>
  <c r="M57" i="7"/>
  <c r="N57" i="7"/>
  <c r="O57" i="7"/>
  <c r="P57" i="7"/>
  <c r="Q57" i="7"/>
  <c r="R57" i="7"/>
  <c r="C58" i="7"/>
  <c r="D58" i="7"/>
  <c r="E58" i="7"/>
  <c r="F58" i="7"/>
  <c r="G58" i="7"/>
  <c r="H58" i="7"/>
  <c r="I58" i="7"/>
  <c r="J58" i="7"/>
  <c r="K58" i="7"/>
  <c r="L58" i="7"/>
  <c r="M58" i="7"/>
  <c r="N58" i="7"/>
  <c r="O58" i="7"/>
  <c r="P58" i="7"/>
  <c r="Q58" i="7"/>
  <c r="R58" i="7"/>
  <c r="C60" i="7"/>
  <c r="D60" i="7"/>
  <c r="E60" i="7"/>
  <c r="F60" i="7"/>
  <c r="G60" i="7"/>
  <c r="H60" i="7"/>
  <c r="I60" i="7"/>
  <c r="J60" i="7"/>
  <c r="K60" i="7"/>
  <c r="L60" i="7"/>
  <c r="M60" i="7"/>
  <c r="N60" i="7"/>
  <c r="O60" i="7"/>
  <c r="P60" i="7"/>
  <c r="Q60" i="7"/>
  <c r="R60" i="7"/>
  <c r="B10"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60" i="7"/>
  <c r="C3" i="6"/>
  <c r="N3" i="6"/>
  <c r="L8" i="6"/>
  <c r="N8" i="6"/>
  <c r="O8" i="6"/>
  <c r="P8" i="6"/>
  <c r="Q8" i="6"/>
  <c r="R8" i="6"/>
  <c r="L9" i="6"/>
  <c r="N9" i="6"/>
  <c r="O9" i="6"/>
  <c r="P9" i="6"/>
  <c r="Q9" i="6"/>
  <c r="R9" i="6"/>
  <c r="L19" i="2" s="1"/>
  <c r="C10" i="6"/>
  <c r="D10" i="6"/>
  <c r="E10" i="6"/>
  <c r="F10" i="6"/>
  <c r="G10" i="6"/>
  <c r="H10" i="6"/>
  <c r="I10" i="6"/>
  <c r="J10" i="6"/>
  <c r="K10" i="6"/>
  <c r="L10" i="6"/>
  <c r="N10" i="6"/>
  <c r="O10" i="6"/>
  <c r="P10" i="6"/>
  <c r="Q10" i="6"/>
  <c r="R10" i="6"/>
  <c r="L20" i="2" s="1"/>
  <c r="K11" i="6"/>
  <c r="L11" i="6"/>
  <c r="N11" i="6"/>
  <c r="O11" i="6"/>
  <c r="P11" i="6"/>
  <c r="Q11" i="6"/>
  <c r="R11" i="6"/>
  <c r="K12" i="6"/>
  <c r="L12" i="6"/>
  <c r="N12" i="6"/>
  <c r="O12" i="6"/>
  <c r="P12" i="6"/>
  <c r="Q12" i="6"/>
  <c r="R12" i="6"/>
  <c r="L22" i="2" s="1"/>
  <c r="K13" i="6"/>
  <c r="L13" i="6"/>
  <c r="N13" i="6"/>
  <c r="O13" i="6"/>
  <c r="P13" i="6"/>
  <c r="Q13" i="6"/>
  <c r="R13" i="6"/>
  <c r="L23" i="2" s="1"/>
  <c r="K14" i="6"/>
  <c r="L14" i="6"/>
  <c r="N14" i="6"/>
  <c r="O14" i="6"/>
  <c r="P14" i="6"/>
  <c r="Q14" i="6"/>
  <c r="R14" i="6"/>
  <c r="L24" i="2" s="1"/>
  <c r="K15" i="6"/>
  <c r="L15" i="6"/>
  <c r="N15" i="6"/>
  <c r="O15" i="6"/>
  <c r="P15" i="6"/>
  <c r="Q15" i="6"/>
  <c r="R15" i="6"/>
  <c r="K16" i="6"/>
  <c r="L16" i="6"/>
  <c r="N16" i="6"/>
  <c r="O16" i="6"/>
  <c r="P16" i="6"/>
  <c r="Q16" i="6"/>
  <c r="R16" i="6"/>
  <c r="K17" i="6"/>
  <c r="L17" i="6"/>
  <c r="N17" i="6"/>
  <c r="O17" i="6"/>
  <c r="P17" i="6"/>
  <c r="Q17" i="6"/>
  <c r="R17" i="6"/>
  <c r="L27" i="2" s="1"/>
  <c r="K18" i="6"/>
  <c r="L18" i="6"/>
  <c r="N18" i="6"/>
  <c r="O18" i="6"/>
  <c r="P18" i="6"/>
  <c r="Q18" i="6"/>
  <c r="R18" i="6"/>
  <c r="L28" i="2" s="1"/>
  <c r="K19" i="6"/>
  <c r="L19" i="6"/>
  <c r="N19" i="6"/>
  <c r="O19" i="6"/>
  <c r="P19" i="6"/>
  <c r="Q19" i="6"/>
  <c r="R19" i="6"/>
  <c r="K20" i="6"/>
  <c r="L20" i="6"/>
  <c r="N20" i="6"/>
  <c r="O20" i="6"/>
  <c r="P20" i="6"/>
  <c r="Q20" i="6"/>
  <c r="R20" i="6"/>
  <c r="L30" i="2" s="1"/>
  <c r="K21" i="6"/>
  <c r="L21" i="6"/>
  <c r="N21" i="6"/>
  <c r="O21" i="6"/>
  <c r="P21" i="6"/>
  <c r="Q21" i="6"/>
  <c r="R21" i="6"/>
  <c r="L31" i="2" s="1"/>
  <c r="K22" i="6"/>
  <c r="L22" i="6"/>
  <c r="N22" i="6"/>
  <c r="O22" i="6"/>
  <c r="P22" i="6"/>
  <c r="Q22" i="6"/>
  <c r="R22" i="6"/>
  <c r="L32" i="2" s="1"/>
  <c r="K23" i="6"/>
  <c r="L23" i="6"/>
  <c r="N23" i="6"/>
  <c r="O23" i="6"/>
  <c r="P23" i="6"/>
  <c r="Q23" i="6"/>
  <c r="R23" i="6"/>
  <c r="C25" i="6"/>
  <c r="D25" i="6"/>
  <c r="E25" i="6"/>
  <c r="F25" i="6"/>
  <c r="G25" i="6"/>
  <c r="H25" i="6"/>
  <c r="I25" i="6"/>
  <c r="J25" i="6"/>
  <c r="K25" i="6"/>
  <c r="L25" i="6"/>
  <c r="M25" i="6"/>
  <c r="N25" i="6"/>
  <c r="O25" i="6"/>
  <c r="P25" i="6"/>
  <c r="Q25" i="6"/>
  <c r="R25" i="6"/>
  <c r="C26" i="6"/>
  <c r="D26" i="6"/>
  <c r="E26" i="6"/>
  <c r="F26" i="6"/>
  <c r="G26" i="6"/>
  <c r="H26" i="6"/>
  <c r="I26" i="6"/>
  <c r="J26" i="6"/>
  <c r="K26" i="6"/>
  <c r="L26" i="6"/>
  <c r="M26" i="6"/>
  <c r="N26" i="6"/>
  <c r="O26" i="6"/>
  <c r="P26" i="6"/>
  <c r="Q26" i="6"/>
  <c r="R26" i="6"/>
  <c r="C27" i="6"/>
  <c r="D27" i="6"/>
  <c r="E27" i="6"/>
  <c r="F27" i="6"/>
  <c r="G27" i="6"/>
  <c r="H27" i="6"/>
  <c r="I27" i="6"/>
  <c r="J27" i="6"/>
  <c r="K27" i="6"/>
  <c r="L27" i="6"/>
  <c r="M27" i="6"/>
  <c r="N27" i="6"/>
  <c r="O27" i="6"/>
  <c r="P27" i="6"/>
  <c r="Q27" i="6"/>
  <c r="R27" i="6"/>
  <c r="C28" i="6"/>
  <c r="D28" i="6"/>
  <c r="E28" i="6"/>
  <c r="F28" i="6"/>
  <c r="G28" i="6"/>
  <c r="H28" i="6"/>
  <c r="I28" i="6"/>
  <c r="J28" i="6"/>
  <c r="K28" i="6"/>
  <c r="L28" i="6"/>
  <c r="M28" i="6"/>
  <c r="N28" i="6"/>
  <c r="O28" i="6"/>
  <c r="P28" i="6"/>
  <c r="Q28" i="6"/>
  <c r="R28" i="6"/>
  <c r="C29" i="6"/>
  <c r="D29" i="6"/>
  <c r="E29" i="6"/>
  <c r="F29" i="6"/>
  <c r="G29" i="6"/>
  <c r="H29" i="6"/>
  <c r="I29" i="6"/>
  <c r="J29" i="6"/>
  <c r="K29" i="6"/>
  <c r="L29" i="6"/>
  <c r="M29" i="6"/>
  <c r="N29" i="6"/>
  <c r="O29" i="6"/>
  <c r="P29" i="6"/>
  <c r="Q29" i="6"/>
  <c r="R29" i="6"/>
  <c r="C30" i="6"/>
  <c r="D30" i="6"/>
  <c r="E30" i="6"/>
  <c r="F30" i="6"/>
  <c r="G30" i="6"/>
  <c r="H30" i="6"/>
  <c r="I30" i="6"/>
  <c r="J30" i="6"/>
  <c r="K30" i="6"/>
  <c r="L30" i="6"/>
  <c r="M30" i="6"/>
  <c r="N30" i="6"/>
  <c r="O30" i="6"/>
  <c r="P30" i="6"/>
  <c r="Q30" i="6"/>
  <c r="R30" i="6"/>
  <c r="C31" i="6"/>
  <c r="D31" i="6"/>
  <c r="E31" i="6"/>
  <c r="F31" i="6"/>
  <c r="G31" i="6"/>
  <c r="H31" i="6"/>
  <c r="I31" i="6"/>
  <c r="J31" i="6"/>
  <c r="K31" i="6"/>
  <c r="L31" i="6"/>
  <c r="M31" i="6"/>
  <c r="N31" i="6"/>
  <c r="O31" i="6"/>
  <c r="P31" i="6"/>
  <c r="Q31" i="6"/>
  <c r="R31" i="6"/>
  <c r="C32" i="6"/>
  <c r="D32" i="6"/>
  <c r="E32" i="6"/>
  <c r="F32" i="6"/>
  <c r="G32" i="6"/>
  <c r="H32" i="6"/>
  <c r="I32" i="6"/>
  <c r="J32" i="6"/>
  <c r="K32" i="6"/>
  <c r="L32" i="6"/>
  <c r="M32" i="6"/>
  <c r="N32" i="6"/>
  <c r="O32" i="6"/>
  <c r="P32" i="6"/>
  <c r="Q32" i="6"/>
  <c r="R32" i="6"/>
  <c r="C33" i="6"/>
  <c r="D33" i="6"/>
  <c r="E33" i="6"/>
  <c r="F33" i="6"/>
  <c r="G33" i="6"/>
  <c r="H33" i="6"/>
  <c r="I33" i="6"/>
  <c r="J33" i="6"/>
  <c r="K33" i="6"/>
  <c r="L33" i="6"/>
  <c r="M33" i="6"/>
  <c r="N33" i="6"/>
  <c r="O33" i="6"/>
  <c r="P33" i="6"/>
  <c r="Q33" i="6"/>
  <c r="R33" i="6"/>
  <c r="C34" i="6"/>
  <c r="D34" i="6"/>
  <c r="E34" i="6"/>
  <c r="F34" i="6"/>
  <c r="G34" i="6"/>
  <c r="H34" i="6"/>
  <c r="I34" i="6"/>
  <c r="J34" i="6"/>
  <c r="K34" i="6"/>
  <c r="L34" i="6"/>
  <c r="M34" i="6"/>
  <c r="N34" i="6"/>
  <c r="O34" i="6"/>
  <c r="P34" i="6"/>
  <c r="Q34" i="6"/>
  <c r="R34" i="6"/>
  <c r="C35" i="6"/>
  <c r="D35" i="6"/>
  <c r="E35" i="6"/>
  <c r="F35" i="6"/>
  <c r="G35" i="6"/>
  <c r="H35" i="6"/>
  <c r="I35" i="6"/>
  <c r="J35" i="6"/>
  <c r="K35" i="6"/>
  <c r="L35" i="6"/>
  <c r="M35" i="6"/>
  <c r="N35" i="6"/>
  <c r="O35" i="6"/>
  <c r="P35" i="6"/>
  <c r="Q35" i="6"/>
  <c r="R35" i="6"/>
  <c r="C36" i="6"/>
  <c r="D36" i="6"/>
  <c r="E36" i="6"/>
  <c r="F36" i="6"/>
  <c r="G36" i="6"/>
  <c r="H36" i="6"/>
  <c r="I36" i="6"/>
  <c r="J36" i="6"/>
  <c r="K36" i="6"/>
  <c r="L36" i="6"/>
  <c r="M36" i="6"/>
  <c r="N36" i="6"/>
  <c r="O36" i="6"/>
  <c r="P36" i="6"/>
  <c r="Q36" i="6"/>
  <c r="R36" i="6"/>
  <c r="C37" i="6"/>
  <c r="D37" i="6"/>
  <c r="E37" i="6"/>
  <c r="F37" i="6"/>
  <c r="G37" i="6"/>
  <c r="H37" i="6"/>
  <c r="I37" i="6"/>
  <c r="J37" i="6"/>
  <c r="K37" i="6"/>
  <c r="L37" i="6"/>
  <c r="M37" i="6"/>
  <c r="N37" i="6"/>
  <c r="O37" i="6"/>
  <c r="P37" i="6"/>
  <c r="Q37" i="6"/>
  <c r="R37" i="6"/>
  <c r="C38" i="6"/>
  <c r="D38" i="6"/>
  <c r="E38" i="6"/>
  <c r="F38" i="6"/>
  <c r="G38" i="6"/>
  <c r="H38" i="6"/>
  <c r="I38" i="6"/>
  <c r="J38" i="6"/>
  <c r="K38" i="6"/>
  <c r="L38" i="6"/>
  <c r="M38" i="6"/>
  <c r="N38" i="6"/>
  <c r="O38" i="6"/>
  <c r="P38" i="6"/>
  <c r="Q38" i="6"/>
  <c r="R38" i="6"/>
  <c r="C39" i="6"/>
  <c r="D39" i="6"/>
  <c r="E39" i="6"/>
  <c r="F39" i="6"/>
  <c r="G39" i="6"/>
  <c r="H39" i="6"/>
  <c r="I39" i="6"/>
  <c r="J39" i="6"/>
  <c r="K39" i="6"/>
  <c r="L39" i="6"/>
  <c r="M39" i="6"/>
  <c r="N39" i="6"/>
  <c r="O39" i="6"/>
  <c r="P39" i="6"/>
  <c r="Q39" i="6"/>
  <c r="R39" i="6"/>
  <c r="C40" i="6"/>
  <c r="D40" i="6"/>
  <c r="E40" i="6"/>
  <c r="F40" i="6"/>
  <c r="G40" i="6"/>
  <c r="H40" i="6"/>
  <c r="I40" i="6"/>
  <c r="J40" i="6"/>
  <c r="K40" i="6"/>
  <c r="L40" i="6"/>
  <c r="M40" i="6"/>
  <c r="N40" i="6"/>
  <c r="O40" i="6"/>
  <c r="P40" i="6"/>
  <c r="Q40" i="6"/>
  <c r="R40" i="6"/>
  <c r="C41" i="6"/>
  <c r="D41" i="6"/>
  <c r="E41" i="6"/>
  <c r="F41" i="6"/>
  <c r="G41" i="6"/>
  <c r="H41" i="6"/>
  <c r="I41" i="6"/>
  <c r="J41" i="6"/>
  <c r="K41" i="6"/>
  <c r="L41" i="6"/>
  <c r="M41" i="6"/>
  <c r="N41" i="6"/>
  <c r="O41" i="6"/>
  <c r="P41" i="6"/>
  <c r="Q41" i="6"/>
  <c r="R41" i="6"/>
  <c r="C42" i="6"/>
  <c r="D42" i="6"/>
  <c r="E42" i="6"/>
  <c r="F42" i="6"/>
  <c r="G42" i="6"/>
  <c r="H42" i="6"/>
  <c r="I42" i="6"/>
  <c r="J42" i="6"/>
  <c r="K42" i="6"/>
  <c r="L42" i="6"/>
  <c r="M42" i="6"/>
  <c r="N42" i="6"/>
  <c r="O42" i="6"/>
  <c r="P42" i="6"/>
  <c r="Q42" i="6"/>
  <c r="R42" i="6"/>
  <c r="C43" i="6"/>
  <c r="D43" i="6"/>
  <c r="E43" i="6"/>
  <c r="F43" i="6"/>
  <c r="G43" i="6"/>
  <c r="H43" i="6"/>
  <c r="I43" i="6"/>
  <c r="J43" i="6"/>
  <c r="K43" i="6"/>
  <c r="L43" i="6"/>
  <c r="M43" i="6"/>
  <c r="N43" i="6"/>
  <c r="O43" i="6"/>
  <c r="P43" i="6"/>
  <c r="Q43" i="6"/>
  <c r="R43" i="6"/>
  <c r="C44" i="6"/>
  <c r="D44" i="6"/>
  <c r="E44" i="6"/>
  <c r="F44" i="6"/>
  <c r="G44" i="6"/>
  <c r="H44" i="6"/>
  <c r="I44" i="6"/>
  <c r="J44" i="6"/>
  <c r="K44" i="6"/>
  <c r="L44" i="6"/>
  <c r="M44" i="6"/>
  <c r="N44" i="6"/>
  <c r="O44" i="6"/>
  <c r="P44" i="6"/>
  <c r="Q44" i="6"/>
  <c r="R44" i="6"/>
  <c r="C45" i="6"/>
  <c r="D45" i="6"/>
  <c r="E45" i="6"/>
  <c r="F45" i="6"/>
  <c r="G45" i="6"/>
  <c r="H45" i="6"/>
  <c r="I45" i="6"/>
  <c r="J45" i="6"/>
  <c r="K45" i="6"/>
  <c r="L45" i="6"/>
  <c r="M45" i="6"/>
  <c r="N45" i="6"/>
  <c r="O45" i="6"/>
  <c r="P45" i="6"/>
  <c r="Q45" i="6"/>
  <c r="R45" i="6"/>
  <c r="C46" i="6"/>
  <c r="D46" i="6"/>
  <c r="E46" i="6"/>
  <c r="F46" i="6"/>
  <c r="G46" i="6"/>
  <c r="H46" i="6"/>
  <c r="I46" i="6"/>
  <c r="J46" i="6"/>
  <c r="K46" i="6"/>
  <c r="L46" i="6"/>
  <c r="M46" i="6"/>
  <c r="N46" i="6"/>
  <c r="O46" i="6"/>
  <c r="P46" i="6"/>
  <c r="Q46" i="6"/>
  <c r="R46" i="6"/>
  <c r="C47" i="6"/>
  <c r="D47" i="6"/>
  <c r="E47" i="6"/>
  <c r="F47" i="6"/>
  <c r="G47" i="6"/>
  <c r="H47" i="6"/>
  <c r="I47" i="6"/>
  <c r="J47" i="6"/>
  <c r="K47" i="6"/>
  <c r="L47" i="6"/>
  <c r="M47" i="6"/>
  <c r="N47" i="6"/>
  <c r="O47" i="6"/>
  <c r="P47" i="6"/>
  <c r="Q47" i="6"/>
  <c r="R47" i="6"/>
  <c r="C48" i="6"/>
  <c r="D48" i="6"/>
  <c r="E48" i="6"/>
  <c r="F48" i="6"/>
  <c r="G48" i="6"/>
  <c r="H48" i="6"/>
  <c r="I48" i="6"/>
  <c r="J48" i="6"/>
  <c r="K48" i="6"/>
  <c r="L48" i="6"/>
  <c r="M48" i="6"/>
  <c r="N48" i="6"/>
  <c r="O48" i="6"/>
  <c r="P48" i="6"/>
  <c r="Q48" i="6"/>
  <c r="R48" i="6"/>
  <c r="C49" i="6"/>
  <c r="D49" i="6"/>
  <c r="E49" i="6"/>
  <c r="F49" i="6"/>
  <c r="G49" i="6"/>
  <c r="H49" i="6"/>
  <c r="I49" i="6"/>
  <c r="J49" i="6"/>
  <c r="K49" i="6"/>
  <c r="L49" i="6"/>
  <c r="M49" i="6"/>
  <c r="N49" i="6"/>
  <c r="O49" i="6"/>
  <c r="P49" i="6"/>
  <c r="Q49" i="6"/>
  <c r="R49" i="6"/>
  <c r="C50" i="6"/>
  <c r="D50" i="6"/>
  <c r="E50" i="6"/>
  <c r="F50" i="6"/>
  <c r="G50" i="6"/>
  <c r="H50" i="6"/>
  <c r="I50" i="6"/>
  <c r="J50" i="6"/>
  <c r="K50" i="6"/>
  <c r="L50" i="6"/>
  <c r="M50" i="6"/>
  <c r="N50" i="6"/>
  <c r="O50" i="6"/>
  <c r="P50" i="6"/>
  <c r="Q50" i="6"/>
  <c r="R50" i="6"/>
  <c r="C51" i="6"/>
  <c r="D51" i="6"/>
  <c r="E51" i="6"/>
  <c r="F51" i="6"/>
  <c r="G51" i="6"/>
  <c r="H51" i="6"/>
  <c r="I51" i="6"/>
  <c r="J51" i="6"/>
  <c r="K51" i="6"/>
  <c r="L51" i="6"/>
  <c r="M51" i="6"/>
  <c r="N51" i="6"/>
  <c r="O51" i="6"/>
  <c r="P51" i="6"/>
  <c r="Q51" i="6"/>
  <c r="R51" i="6"/>
  <c r="C52" i="6"/>
  <c r="D52" i="6"/>
  <c r="E52" i="6"/>
  <c r="F52" i="6"/>
  <c r="G52" i="6"/>
  <c r="H52" i="6"/>
  <c r="I52" i="6"/>
  <c r="J52" i="6"/>
  <c r="K52" i="6"/>
  <c r="L52" i="6"/>
  <c r="M52" i="6"/>
  <c r="N52" i="6"/>
  <c r="O52" i="6"/>
  <c r="P52" i="6"/>
  <c r="Q52" i="6"/>
  <c r="R52" i="6"/>
  <c r="C53" i="6"/>
  <c r="D53" i="6"/>
  <c r="E53" i="6"/>
  <c r="F53" i="6"/>
  <c r="G53" i="6"/>
  <c r="H53" i="6"/>
  <c r="I53" i="6"/>
  <c r="J53" i="6"/>
  <c r="K53" i="6"/>
  <c r="L53" i="6"/>
  <c r="M53" i="6"/>
  <c r="N53" i="6"/>
  <c r="O53" i="6"/>
  <c r="P53" i="6"/>
  <c r="Q53" i="6"/>
  <c r="R53" i="6"/>
  <c r="C54" i="6"/>
  <c r="D54" i="6"/>
  <c r="E54" i="6"/>
  <c r="F54" i="6"/>
  <c r="G54" i="6"/>
  <c r="H54" i="6"/>
  <c r="I54" i="6"/>
  <c r="J54" i="6"/>
  <c r="K54" i="6"/>
  <c r="L54" i="6"/>
  <c r="M54" i="6"/>
  <c r="N54" i="6"/>
  <c r="O54" i="6"/>
  <c r="P54" i="6"/>
  <c r="Q54" i="6"/>
  <c r="R54" i="6"/>
  <c r="C55" i="6"/>
  <c r="D55" i="6"/>
  <c r="E55" i="6"/>
  <c r="F55" i="6"/>
  <c r="G55" i="6"/>
  <c r="H55" i="6"/>
  <c r="I55" i="6"/>
  <c r="J55" i="6"/>
  <c r="K55" i="6"/>
  <c r="L55" i="6"/>
  <c r="M55" i="6"/>
  <c r="N55" i="6"/>
  <c r="O55" i="6"/>
  <c r="P55" i="6"/>
  <c r="Q55" i="6"/>
  <c r="R55" i="6"/>
  <c r="C56" i="6"/>
  <c r="D56" i="6"/>
  <c r="E56" i="6"/>
  <c r="F56" i="6"/>
  <c r="G56" i="6"/>
  <c r="H56" i="6"/>
  <c r="I56" i="6"/>
  <c r="J56" i="6"/>
  <c r="K56" i="6"/>
  <c r="L56" i="6"/>
  <c r="M56" i="6"/>
  <c r="N56" i="6"/>
  <c r="O56" i="6"/>
  <c r="P56" i="6"/>
  <c r="Q56" i="6"/>
  <c r="R56" i="6"/>
  <c r="C57" i="6"/>
  <c r="D57" i="6"/>
  <c r="E57" i="6"/>
  <c r="F57" i="6"/>
  <c r="G57" i="6"/>
  <c r="H57" i="6"/>
  <c r="I57" i="6"/>
  <c r="J57" i="6"/>
  <c r="K57" i="6"/>
  <c r="L57" i="6"/>
  <c r="M57" i="6"/>
  <c r="N57" i="6"/>
  <c r="O57" i="6"/>
  <c r="P57" i="6"/>
  <c r="Q57" i="6"/>
  <c r="R57" i="6"/>
  <c r="C58" i="6"/>
  <c r="D58" i="6"/>
  <c r="E58" i="6"/>
  <c r="F58" i="6"/>
  <c r="G58" i="6"/>
  <c r="H58" i="6"/>
  <c r="I58" i="6"/>
  <c r="J58" i="6"/>
  <c r="K58" i="6"/>
  <c r="L58" i="6"/>
  <c r="M58" i="6"/>
  <c r="N58" i="6"/>
  <c r="O58" i="6"/>
  <c r="P58" i="6"/>
  <c r="Q58" i="6"/>
  <c r="R58" i="6"/>
  <c r="C59" i="6"/>
  <c r="D59" i="6"/>
  <c r="E59" i="6"/>
  <c r="F59" i="6"/>
  <c r="G59" i="6"/>
  <c r="H59" i="6"/>
  <c r="I59" i="6"/>
  <c r="J59" i="6"/>
  <c r="K59" i="6"/>
  <c r="L59" i="6"/>
  <c r="M59" i="6"/>
  <c r="N59" i="6"/>
  <c r="O59" i="6"/>
  <c r="P59" i="6"/>
  <c r="Q59" i="6"/>
  <c r="R59" i="6"/>
  <c r="C60" i="6"/>
  <c r="D60" i="6"/>
  <c r="E60" i="6"/>
  <c r="F60" i="6"/>
  <c r="G60" i="6"/>
  <c r="H60" i="6"/>
  <c r="I60" i="6"/>
  <c r="J60" i="6"/>
  <c r="K60" i="6"/>
  <c r="L60" i="6"/>
  <c r="M60" i="6"/>
  <c r="N60" i="6"/>
  <c r="O60" i="6"/>
  <c r="P60" i="6"/>
  <c r="Q60" i="6"/>
  <c r="R60" i="6"/>
  <c r="B10"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T12" i="1"/>
  <c r="C10" i="5" s="1"/>
  <c r="C12" i="1"/>
  <c r="C3" i="5"/>
  <c r="G4" i="5"/>
  <c r="K8" i="5"/>
  <c r="L8" i="5"/>
  <c r="N8" i="5"/>
  <c r="O8" i="5"/>
  <c r="P8" i="5"/>
  <c r="Q8" i="5"/>
  <c r="R8" i="5"/>
  <c r="K9" i="5"/>
  <c r="L9" i="5"/>
  <c r="M9" i="5"/>
  <c r="K19" i="2" s="1"/>
  <c r="N9" i="5"/>
  <c r="O9" i="5"/>
  <c r="P9" i="5"/>
  <c r="Q9" i="5"/>
  <c r="R9" i="5"/>
  <c r="J19" i="2" s="1"/>
  <c r="D10" i="5"/>
  <c r="F10" i="5"/>
  <c r="G10" i="5"/>
  <c r="H10" i="5"/>
  <c r="I10" i="5"/>
  <c r="J10" i="5"/>
  <c r="K10" i="5"/>
  <c r="L10" i="5"/>
  <c r="N10" i="5"/>
  <c r="O10" i="5"/>
  <c r="P10" i="5"/>
  <c r="Q10" i="5"/>
  <c r="R10" i="5"/>
  <c r="J20" i="2" s="1"/>
  <c r="K11" i="5"/>
  <c r="L11" i="5"/>
  <c r="N11" i="5"/>
  <c r="O11" i="5"/>
  <c r="P11" i="5"/>
  <c r="Q11" i="5"/>
  <c r="R11" i="5"/>
  <c r="K12" i="5"/>
  <c r="L12" i="5"/>
  <c r="N12" i="5"/>
  <c r="O12" i="5"/>
  <c r="P12" i="5"/>
  <c r="Q12" i="5"/>
  <c r="R12" i="5"/>
  <c r="K13" i="5"/>
  <c r="L13" i="5"/>
  <c r="M13" i="5"/>
  <c r="N13" i="5"/>
  <c r="O13" i="5"/>
  <c r="P13" i="5"/>
  <c r="Q13" i="5"/>
  <c r="R13" i="5"/>
  <c r="I14" i="5"/>
  <c r="K14" i="5"/>
  <c r="L14" i="5"/>
  <c r="N14" i="5"/>
  <c r="O14" i="5"/>
  <c r="P14" i="5"/>
  <c r="Q14" i="5"/>
  <c r="R14" i="5"/>
  <c r="G15" i="5"/>
  <c r="K15" i="5"/>
  <c r="L15" i="5"/>
  <c r="N15" i="5"/>
  <c r="O15" i="5"/>
  <c r="P15" i="5"/>
  <c r="Q15" i="5"/>
  <c r="R15" i="5"/>
  <c r="K16" i="5"/>
  <c r="L16" i="5"/>
  <c r="N16" i="5"/>
  <c r="O16" i="5"/>
  <c r="P16" i="5"/>
  <c r="Q16" i="5"/>
  <c r="R16" i="5"/>
  <c r="K17" i="5"/>
  <c r="L17" i="5"/>
  <c r="N17" i="5"/>
  <c r="O17" i="5"/>
  <c r="P17" i="5"/>
  <c r="Q17" i="5"/>
  <c r="R17" i="5"/>
  <c r="J27" i="2" s="1"/>
  <c r="K18" i="5"/>
  <c r="L18" i="5"/>
  <c r="N18" i="5"/>
  <c r="O18" i="5"/>
  <c r="P18" i="5"/>
  <c r="Q18" i="5"/>
  <c r="R18" i="5"/>
  <c r="H19" i="5"/>
  <c r="K19" i="5"/>
  <c r="L19" i="5"/>
  <c r="N19" i="5"/>
  <c r="O19" i="5"/>
  <c r="P19" i="5"/>
  <c r="Q19" i="5"/>
  <c r="R19" i="5"/>
  <c r="K20" i="5"/>
  <c r="L20" i="5"/>
  <c r="N20" i="5"/>
  <c r="O20" i="5"/>
  <c r="P20" i="5"/>
  <c r="Q20" i="5"/>
  <c r="R20" i="5"/>
  <c r="K21" i="5"/>
  <c r="L21" i="5"/>
  <c r="N21" i="5"/>
  <c r="O21" i="5"/>
  <c r="P21" i="5"/>
  <c r="Q21" i="5"/>
  <c r="R21" i="5"/>
  <c r="K22" i="5"/>
  <c r="L22" i="5"/>
  <c r="N22" i="5"/>
  <c r="O22" i="5"/>
  <c r="P22" i="5"/>
  <c r="Q22" i="5"/>
  <c r="R22" i="5"/>
  <c r="H23" i="5"/>
  <c r="K23" i="5"/>
  <c r="L23" i="5"/>
  <c r="N23" i="5"/>
  <c r="O23" i="5"/>
  <c r="P23" i="5"/>
  <c r="Q23" i="5"/>
  <c r="R23" i="5"/>
  <c r="C25" i="5"/>
  <c r="D25" i="5"/>
  <c r="E25" i="5"/>
  <c r="F25" i="5"/>
  <c r="G25" i="5"/>
  <c r="H25" i="5"/>
  <c r="I25" i="5"/>
  <c r="J25" i="5"/>
  <c r="K25" i="5"/>
  <c r="L25" i="5"/>
  <c r="M25" i="5"/>
  <c r="N25" i="5"/>
  <c r="O25" i="5"/>
  <c r="P25" i="5"/>
  <c r="Q25" i="5"/>
  <c r="R25" i="5"/>
  <c r="C26" i="5"/>
  <c r="D26" i="5"/>
  <c r="E26" i="5"/>
  <c r="F26" i="5"/>
  <c r="G26" i="5"/>
  <c r="H26" i="5"/>
  <c r="I26" i="5"/>
  <c r="J26" i="5"/>
  <c r="K26" i="5"/>
  <c r="L26" i="5"/>
  <c r="M26" i="5"/>
  <c r="N26" i="5"/>
  <c r="O26" i="5"/>
  <c r="P26" i="5"/>
  <c r="Q26" i="5"/>
  <c r="R26" i="5"/>
  <c r="C27" i="5"/>
  <c r="D27" i="5"/>
  <c r="E27" i="5"/>
  <c r="F27" i="5"/>
  <c r="G27" i="5"/>
  <c r="H27" i="5"/>
  <c r="I27" i="5"/>
  <c r="J27" i="5"/>
  <c r="K27" i="5"/>
  <c r="L27" i="5"/>
  <c r="M27" i="5"/>
  <c r="N27" i="5"/>
  <c r="O27" i="5"/>
  <c r="P27" i="5"/>
  <c r="Q27" i="5"/>
  <c r="R27" i="5"/>
  <c r="C28" i="5"/>
  <c r="D28" i="5"/>
  <c r="E28" i="5"/>
  <c r="F28" i="5"/>
  <c r="G28" i="5"/>
  <c r="H28" i="5"/>
  <c r="I28" i="5"/>
  <c r="J28" i="5"/>
  <c r="K28" i="5"/>
  <c r="L28" i="5"/>
  <c r="M28" i="5"/>
  <c r="N28" i="5"/>
  <c r="O28" i="5"/>
  <c r="P28" i="5"/>
  <c r="Q28" i="5"/>
  <c r="R28" i="5"/>
  <c r="C29" i="5"/>
  <c r="D29" i="5"/>
  <c r="E29" i="5"/>
  <c r="F29" i="5"/>
  <c r="G29" i="5"/>
  <c r="H29" i="5"/>
  <c r="I29" i="5"/>
  <c r="J29" i="5"/>
  <c r="K29" i="5"/>
  <c r="L29" i="5"/>
  <c r="M29" i="5"/>
  <c r="N29" i="5"/>
  <c r="O29" i="5"/>
  <c r="P29" i="5"/>
  <c r="Q29" i="5"/>
  <c r="R29" i="5"/>
  <c r="C30" i="5"/>
  <c r="D30" i="5"/>
  <c r="E30" i="5"/>
  <c r="F30" i="5"/>
  <c r="G30" i="5"/>
  <c r="H30" i="5"/>
  <c r="I30" i="5"/>
  <c r="J30" i="5"/>
  <c r="K30" i="5"/>
  <c r="L30" i="5"/>
  <c r="M30" i="5"/>
  <c r="N30" i="5"/>
  <c r="O30" i="5"/>
  <c r="P30" i="5"/>
  <c r="Q30" i="5"/>
  <c r="R30" i="5"/>
  <c r="C31" i="5"/>
  <c r="D31" i="5"/>
  <c r="E31" i="5"/>
  <c r="F31" i="5"/>
  <c r="G31" i="5"/>
  <c r="H31" i="5"/>
  <c r="I31" i="5"/>
  <c r="J31" i="5"/>
  <c r="K31" i="5"/>
  <c r="L31" i="5"/>
  <c r="M31" i="5"/>
  <c r="N31" i="5"/>
  <c r="O31" i="5"/>
  <c r="P31" i="5"/>
  <c r="Q31" i="5"/>
  <c r="R31" i="5"/>
  <c r="C32" i="5"/>
  <c r="D32" i="5"/>
  <c r="E32" i="5"/>
  <c r="F32" i="5"/>
  <c r="G32" i="5"/>
  <c r="H32" i="5"/>
  <c r="I32" i="5"/>
  <c r="J32" i="5"/>
  <c r="K32" i="5"/>
  <c r="L32" i="5"/>
  <c r="M32" i="5"/>
  <c r="N32" i="5"/>
  <c r="O32" i="5"/>
  <c r="P32" i="5"/>
  <c r="Q32" i="5"/>
  <c r="R32" i="5"/>
  <c r="C33" i="5"/>
  <c r="D33" i="5"/>
  <c r="E33" i="5"/>
  <c r="F33" i="5"/>
  <c r="G33" i="5"/>
  <c r="H33" i="5"/>
  <c r="I33" i="5"/>
  <c r="J33" i="5"/>
  <c r="K33" i="5"/>
  <c r="L33" i="5"/>
  <c r="M33" i="5"/>
  <c r="N33" i="5"/>
  <c r="O33" i="5"/>
  <c r="P33" i="5"/>
  <c r="Q33" i="5"/>
  <c r="R33" i="5"/>
  <c r="C34" i="5"/>
  <c r="D34" i="5"/>
  <c r="E34" i="5"/>
  <c r="F34" i="5"/>
  <c r="G34" i="5"/>
  <c r="H34" i="5"/>
  <c r="I34" i="5"/>
  <c r="J34" i="5"/>
  <c r="K34" i="5"/>
  <c r="L34" i="5"/>
  <c r="M34" i="5"/>
  <c r="N34" i="5"/>
  <c r="O34" i="5"/>
  <c r="P34" i="5"/>
  <c r="Q34" i="5"/>
  <c r="R34" i="5"/>
  <c r="C35" i="5"/>
  <c r="D35" i="5"/>
  <c r="E35" i="5"/>
  <c r="F35" i="5"/>
  <c r="G35" i="5"/>
  <c r="H35" i="5"/>
  <c r="I35" i="5"/>
  <c r="J35" i="5"/>
  <c r="K35" i="5"/>
  <c r="L35" i="5"/>
  <c r="M35" i="5"/>
  <c r="N35" i="5"/>
  <c r="O35" i="5"/>
  <c r="P35" i="5"/>
  <c r="Q35" i="5"/>
  <c r="R35" i="5"/>
  <c r="C36" i="5"/>
  <c r="D36" i="5"/>
  <c r="E36" i="5"/>
  <c r="F36" i="5"/>
  <c r="G36" i="5"/>
  <c r="H36" i="5"/>
  <c r="I36" i="5"/>
  <c r="J36" i="5"/>
  <c r="K36" i="5"/>
  <c r="L36" i="5"/>
  <c r="M36" i="5"/>
  <c r="N36" i="5"/>
  <c r="O36" i="5"/>
  <c r="P36" i="5"/>
  <c r="Q36" i="5"/>
  <c r="R36" i="5"/>
  <c r="C37" i="5"/>
  <c r="D37" i="5"/>
  <c r="E37" i="5"/>
  <c r="F37" i="5"/>
  <c r="G37" i="5"/>
  <c r="H37" i="5"/>
  <c r="I37" i="5"/>
  <c r="J37" i="5"/>
  <c r="K37" i="5"/>
  <c r="L37" i="5"/>
  <c r="M37" i="5"/>
  <c r="N37" i="5"/>
  <c r="O37" i="5"/>
  <c r="P37" i="5"/>
  <c r="Q37" i="5"/>
  <c r="R37" i="5"/>
  <c r="C38" i="5"/>
  <c r="D38" i="5"/>
  <c r="E38" i="5"/>
  <c r="F38" i="5"/>
  <c r="G38" i="5"/>
  <c r="H38" i="5"/>
  <c r="I38" i="5"/>
  <c r="J38" i="5"/>
  <c r="K38" i="5"/>
  <c r="L38" i="5"/>
  <c r="M38" i="5"/>
  <c r="N38" i="5"/>
  <c r="O38" i="5"/>
  <c r="P38" i="5"/>
  <c r="Q38" i="5"/>
  <c r="R38" i="5"/>
  <c r="C39" i="5"/>
  <c r="D39" i="5"/>
  <c r="E39" i="5"/>
  <c r="F39" i="5"/>
  <c r="G39" i="5"/>
  <c r="H39" i="5"/>
  <c r="I39" i="5"/>
  <c r="J39" i="5"/>
  <c r="K39" i="5"/>
  <c r="L39" i="5"/>
  <c r="M39" i="5"/>
  <c r="N39" i="5"/>
  <c r="O39" i="5"/>
  <c r="P39" i="5"/>
  <c r="Q39" i="5"/>
  <c r="R39" i="5"/>
  <c r="C40" i="5"/>
  <c r="D40" i="5"/>
  <c r="E40" i="5"/>
  <c r="F40" i="5"/>
  <c r="G40" i="5"/>
  <c r="H40" i="5"/>
  <c r="I40" i="5"/>
  <c r="J40" i="5"/>
  <c r="K40" i="5"/>
  <c r="L40" i="5"/>
  <c r="M40" i="5"/>
  <c r="N40" i="5"/>
  <c r="O40" i="5"/>
  <c r="P40" i="5"/>
  <c r="Q40" i="5"/>
  <c r="R40" i="5"/>
  <c r="C41" i="5"/>
  <c r="D41" i="5"/>
  <c r="E41" i="5"/>
  <c r="F41" i="5"/>
  <c r="G41" i="5"/>
  <c r="H41" i="5"/>
  <c r="I41" i="5"/>
  <c r="J41" i="5"/>
  <c r="K41" i="5"/>
  <c r="L41" i="5"/>
  <c r="M41" i="5"/>
  <c r="N41" i="5"/>
  <c r="O41" i="5"/>
  <c r="P41" i="5"/>
  <c r="Q41" i="5"/>
  <c r="R41" i="5"/>
  <c r="C42" i="5"/>
  <c r="D42" i="5"/>
  <c r="E42" i="5"/>
  <c r="F42" i="5"/>
  <c r="G42" i="5"/>
  <c r="H42" i="5"/>
  <c r="I42" i="5"/>
  <c r="J42" i="5"/>
  <c r="K42" i="5"/>
  <c r="L42" i="5"/>
  <c r="M42" i="5"/>
  <c r="N42" i="5"/>
  <c r="O42" i="5"/>
  <c r="P42" i="5"/>
  <c r="Q42" i="5"/>
  <c r="R42" i="5"/>
  <c r="C43" i="5"/>
  <c r="D43" i="5"/>
  <c r="E43" i="5"/>
  <c r="F43" i="5"/>
  <c r="G43" i="5"/>
  <c r="H43" i="5"/>
  <c r="I43" i="5"/>
  <c r="J43" i="5"/>
  <c r="K43" i="5"/>
  <c r="L43" i="5"/>
  <c r="M43" i="5"/>
  <c r="N43" i="5"/>
  <c r="O43" i="5"/>
  <c r="P43" i="5"/>
  <c r="Q43" i="5"/>
  <c r="R43" i="5"/>
  <c r="C44" i="5"/>
  <c r="D44" i="5"/>
  <c r="E44" i="5"/>
  <c r="F44" i="5"/>
  <c r="G44" i="5"/>
  <c r="H44" i="5"/>
  <c r="I44" i="5"/>
  <c r="J44" i="5"/>
  <c r="K44" i="5"/>
  <c r="L44" i="5"/>
  <c r="M44" i="5"/>
  <c r="N44" i="5"/>
  <c r="O44" i="5"/>
  <c r="P44" i="5"/>
  <c r="Q44" i="5"/>
  <c r="R44" i="5"/>
  <c r="C45" i="5"/>
  <c r="D45" i="5"/>
  <c r="E45" i="5"/>
  <c r="F45" i="5"/>
  <c r="G45" i="5"/>
  <c r="H45" i="5"/>
  <c r="I45" i="5"/>
  <c r="J45" i="5"/>
  <c r="K45" i="5"/>
  <c r="L45" i="5"/>
  <c r="M45" i="5"/>
  <c r="N45" i="5"/>
  <c r="O45" i="5"/>
  <c r="P45" i="5"/>
  <c r="Q45" i="5"/>
  <c r="R45" i="5"/>
  <c r="C46" i="5"/>
  <c r="D46" i="5"/>
  <c r="E46" i="5"/>
  <c r="F46" i="5"/>
  <c r="G46" i="5"/>
  <c r="H46" i="5"/>
  <c r="I46" i="5"/>
  <c r="J46" i="5"/>
  <c r="K46" i="5"/>
  <c r="L46" i="5"/>
  <c r="M46" i="5"/>
  <c r="N46" i="5"/>
  <c r="O46" i="5"/>
  <c r="P46" i="5"/>
  <c r="Q46" i="5"/>
  <c r="R46" i="5"/>
  <c r="C47" i="5"/>
  <c r="D47" i="5"/>
  <c r="E47" i="5"/>
  <c r="F47" i="5"/>
  <c r="G47" i="5"/>
  <c r="H47" i="5"/>
  <c r="I47" i="5"/>
  <c r="J47" i="5"/>
  <c r="K47" i="5"/>
  <c r="L47" i="5"/>
  <c r="M47" i="5"/>
  <c r="N47" i="5"/>
  <c r="O47" i="5"/>
  <c r="P47" i="5"/>
  <c r="Q47" i="5"/>
  <c r="R47" i="5"/>
  <c r="C48" i="5"/>
  <c r="D48" i="5"/>
  <c r="E48" i="5"/>
  <c r="F48" i="5"/>
  <c r="G48" i="5"/>
  <c r="H48" i="5"/>
  <c r="I48" i="5"/>
  <c r="J48" i="5"/>
  <c r="K48" i="5"/>
  <c r="L48" i="5"/>
  <c r="M48" i="5"/>
  <c r="N48" i="5"/>
  <c r="O48" i="5"/>
  <c r="P48" i="5"/>
  <c r="Q48" i="5"/>
  <c r="R48" i="5"/>
  <c r="C49" i="5"/>
  <c r="D49" i="5"/>
  <c r="E49" i="5"/>
  <c r="F49" i="5"/>
  <c r="G49" i="5"/>
  <c r="H49" i="5"/>
  <c r="I49" i="5"/>
  <c r="J49" i="5"/>
  <c r="K49" i="5"/>
  <c r="L49" i="5"/>
  <c r="M49" i="5"/>
  <c r="N49" i="5"/>
  <c r="O49" i="5"/>
  <c r="P49" i="5"/>
  <c r="Q49" i="5"/>
  <c r="R49" i="5"/>
  <c r="C50" i="5"/>
  <c r="D50" i="5"/>
  <c r="E50" i="5"/>
  <c r="F50" i="5"/>
  <c r="G50" i="5"/>
  <c r="H50" i="5"/>
  <c r="I50" i="5"/>
  <c r="J50" i="5"/>
  <c r="K50" i="5"/>
  <c r="L50" i="5"/>
  <c r="M50" i="5"/>
  <c r="N50" i="5"/>
  <c r="O50" i="5"/>
  <c r="P50" i="5"/>
  <c r="Q50" i="5"/>
  <c r="R50" i="5"/>
  <c r="C51" i="5"/>
  <c r="D51" i="5"/>
  <c r="E51" i="5"/>
  <c r="F51" i="5"/>
  <c r="G51" i="5"/>
  <c r="H51" i="5"/>
  <c r="I51" i="5"/>
  <c r="J51" i="5"/>
  <c r="K51" i="5"/>
  <c r="L51" i="5"/>
  <c r="M51" i="5"/>
  <c r="N51" i="5"/>
  <c r="O51" i="5"/>
  <c r="P51" i="5"/>
  <c r="Q51" i="5"/>
  <c r="R51" i="5"/>
  <c r="C52" i="5"/>
  <c r="D52" i="5"/>
  <c r="E52" i="5"/>
  <c r="F52" i="5"/>
  <c r="G52" i="5"/>
  <c r="H52" i="5"/>
  <c r="I52" i="5"/>
  <c r="J52" i="5"/>
  <c r="K52" i="5"/>
  <c r="L52" i="5"/>
  <c r="M52" i="5"/>
  <c r="N52" i="5"/>
  <c r="O52" i="5"/>
  <c r="P52" i="5"/>
  <c r="Q52" i="5"/>
  <c r="R52" i="5"/>
  <c r="C53" i="5"/>
  <c r="D53" i="5"/>
  <c r="E53" i="5"/>
  <c r="F53" i="5"/>
  <c r="G53" i="5"/>
  <c r="H53" i="5"/>
  <c r="I53" i="5"/>
  <c r="J53" i="5"/>
  <c r="K53" i="5"/>
  <c r="L53" i="5"/>
  <c r="M53" i="5"/>
  <c r="N53" i="5"/>
  <c r="O53" i="5"/>
  <c r="P53" i="5"/>
  <c r="Q53" i="5"/>
  <c r="R53" i="5"/>
  <c r="C54" i="5"/>
  <c r="D54" i="5"/>
  <c r="E54" i="5"/>
  <c r="F54" i="5"/>
  <c r="G54" i="5"/>
  <c r="H54" i="5"/>
  <c r="I54" i="5"/>
  <c r="J54" i="5"/>
  <c r="K54" i="5"/>
  <c r="L54" i="5"/>
  <c r="M54" i="5"/>
  <c r="N54" i="5"/>
  <c r="O54" i="5"/>
  <c r="P54" i="5"/>
  <c r="Q54" i="5"/>
  <c r="R54" i="5"/>
  <c r="C55" i="5"/>
  <c r="D55" i="5"/>
  <c r="E55" i="5"/>
  <c r="F55" i="5"/>
  <c r="G55" i="5"/>
  <c r="H55" i="5"/>
  <c r="I55" i="5"/>
  <c r="J55" i="5"/>
  <c r="K55" i="5"/>
  <c r="L55" i="5"/>
  <c r="M55" i="5"/>
  <c r="N55" i="5"/>
  <c r="O55" i="5"/>
  <c r="P55" i="5"/>
  <c r="Q55" i="5"/>
  <c r="R55" i="5"/>
  <c r="C56" i="5"/>
  <c r="D56" i="5"/>
  <c r="E56" i="5"/>
  <c r="F56" i="5"/>
  <c r="G56" i="5"/>
  <c r="H56" i="5"/>
  <c r="I56" i="5"/>
  <c r="J56" i="5"/>
  <c r="K56" i="5"/>
  <c r="L56" i="5"/>
  <c r="M56" i="5"/>
  <c r="N56" i="5"/>
  <c r="O56" i="5"/>
  <c r="P56" i="5"/>
  <c r="Q56" i="5"/>
  <c r="R56" i="5"/>
  <c r="C57" i="5"/>
  <c r="D57" i="5"/>
  <c r="E57" i="5"/>
  <c r="F57" i="5"/>
  <c r="G57" i="5"/>
  <c r="H57" i="5"/>
  <c r="I57" i="5"/>
  <c r="J57" i="5"/>
  <c r="K57" i="5"/>
  <c r="L57" i="5"/>
  <c r="M57" i="5"/>
  <c r="N57" i="5"/>
  <c r="O57" i="5"/>
  <c r="P57" i="5"/>
  <c r="Q57" i="5"/>
  <c r="R57" i="5"/>
  <c r="C58" i="5"/>
  <c r="D58" i="5"/>
  <c r="E58" i="5"/>
  <c r="F58" i="5"/>
  <c r="G58" i="5"/>
  <c r="H58" i="5"/>
  <c r="I58" i="5"/>
  <c r="J58" i="5"/>
  <c r="K58" i="5"/>
  <c r="L58" i="5"/>
  <c r="M58" i="5"/>
  <c r="N58" i="5"/>
  <c r="O58" i="5"/>
  <c r="P58" i="5"/>
  <c r="Q58" i="5"/>
  <c r="R58" i="5"/>
  <c r="C59" i="5"/>
  <c r="D59" i="5"/>
  <c r="E59" i="5"/>
  <c r="F59" i="5"/>
  <c r="G59" i="5"/>
  <c r="H59" i="5"/>
  <c r="I59" i="5"/>
  <c r="J59" i="5"/>
  <c r="K59" i="5"/>
  <c r="L59" i="5"/>
  <c r="M59" i="5"/>
  <c r="N59" i="5"/>
  <c r="O59" i="5"/>
  <c r="P59" i="5"/>
  <c r="Q59" i="5"/>
  <c r="R59" i="5"/>
  <c r="C60" i="5"/>
  <c r="D60" i="5"/>
  <c r="E60" i="5"/>
  <c r="F60" i="5"/>
  <c r="G60" i="5"/>
  <c r="H60" i="5"/>
  <c r="I60" i="5"/>
  <c r="J60" i="5"/>
  <c r="K60" i="5"/>
  <c r="L60" i="5"/>
  <c r="M60" i="5"/>
  <c r="N60" i="5"/>
  <c r="O60" i="5"/>
  <c r="P60" i="5"/>
  <c r="Q60" i="5"/>
  <c r="R60" i="5"/>
  <c r="B10" i="5"/>
  <c r="B23"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G13" i="2"/>
  <c r="E13" i="2"/>
  <c r="C18" i="2"/>
  <c r="AH6" i="3"/>
  <c r="AI6" i="3"/>
  <c r="AI8" i="3" s="1"/>
  <c r="AH5" i="3"/>
  <c r="AH8" i="3" s="1"/>
  <c r="AI5" i="3"/>
  <c r="AD25" i="4"/>
  <c r="AD24" i="4"/>
  <c r="AD23" i="4"/>
  <c r="AD22" i="4"/>
  <c r="AD21" i="4"/>
  <c r="AD20" i="4"/>
  <c r="AD19" i="4"/>
  <c r="AD18" i="4"/>
  <c r="AD17" i="4"/>
  <c r="AD16" i="4"/>
  <c r="AD15" i="4"/>
  <c r="AD14" i="4"/>
  <c r="AD13" i="4"/>
  <c r="AD12" i="4"/>
  <c r="AD11" i="4"/>
  <c r="AD10" i="4"/>
  <c r="AD25" i="3"/>
  <c r="AD24" i="3"/>
  <c r="AD23" i="3"/>
  <c r="AD22" i="3"/>
  <c r="AD21" i="3"/>
  <c r="AD20" i="3"/>
  <c r="AD19" i="3"/>
  <c r="AD18" i="3"/>
  <c r="AD17" i="3"/>
  <c r="AD16" i="3"/>
  <c r="AD15" i="3"/>
  <c r="AD14" i="3"/>
  <c r="AD13" i="3"/>
  <c r="AD12" i="3"/>
  <c r="AD11" i="3"/>
  <c r="AD10" i="3"/>
  <c r="AD5" i="3"/>
  <c r="AD10" i="1"/>
  <c r="AD11" i="1"/>
  <c r="AD12" i="1"/>
  <c r="AD13" i="1"/>
  <c r="AD14" i="1"/>
  <c r="AD15" i="1"/>
  <c r="AD16" i="1"/>
  <c r="AD17" i="1"/>
  <c r="AD18" i="1"/>
  <c r="AD19" i="1"/>
  <c r="AD20" i="1"/>
  <c r="AD21" i="1"/>
  <c r="AD22" i="1"/>
  <c r="AD23" i="1"/>
  <c r="AD24" i="1"/>
  <c r="AD25" i="1"/>
  <c r="AD5" i="1"/>
  <c r="AE6" i="3"/>
  <c r="AE8" i="3" s="1"/>
  <c r="AE5" i="3"/>
  <c r="AC6" i="3"/>
  <c r="AC5" i="3"/>
  <c r="AC8" i="3"/>
  <c r="AI6" i="1"/>
  <c r="AE6" i="1"/>
  <c r="AD6" i="1" s="1"/>
  <c r="M4" i="5" s="1"/>
  <c r="AI5" i="1"/>
  <c r="AI8" i="1" s="1"/>
  <c r="AE5" i="1"/>
  <c r="G19" i="2"/>
  <c r="G20" i="2"/>
  <c r="G21" i="2"/>
  <c r="G22" i="2"/>
  <c r="G23" i="2"/>
  <c r="G24" i="2"/>
  <c r="H24" i="2"/>
  <c r="G25" i="2"/>
  <c r="H25" i="2"/>
  <c r="G26" i="2"/>
  <c r="G27" i="2"/>
  <c r="G28" i="2"/>
  <c r="H28" i="2"/>
  <c r="G29" i="2"/>
  <c r="H29" i="2"/>
  <c r="G30" i="2"/>
  <c r="G31" i="2"/>
  <c r="G32" i="2"/>
  <c r="H32" i="2"/>
  <c r="G33" i="2"/>
  <c r="H33" i="2"/>
  <c r="G18" i="2"/>
  <c r="H18" i="2"/>
  <c r="M11" i="3"/>
  <c r="M12" i="3"/>
  <c r="M13" i="3"/>
  <c r="F21" i="2"/>
  <c r="M14" i="3"/>
  <c r="F22" i="2"/>
  <c r="M15" i="3"/>
  <c r="M16" i="3"/>
  <c r="M17" i="3"/>
  <c r="F25" i="2"/>
  <c r="M18" i="3"/>
  <c r="M16" i="6" s="1"/>
  <c r="M26" i="2" s="1"/>
  <c r="F26" i="2"/>
  <c r="M19" i="3"/>
  <c r="M20" i="3"/>
  <c r="M21" i="3"/>
  <c r="F29" i="2"/>
  <c r="M22" i="3"/>
  <c r="F30" i="2"/>
  <c r="M23" i="3"/>
  <c r="M24" i="3"/>
  <c r="M25" i="3"/>
  <c r="F33" i="2"/>
  <c r="M10" i="3"/>
  <c r="M8" i="6" s="1"/>
  <c r="M18" i="2" s="1"/>
  <c r="F18" i="2"/>
  <c r="R6" i="3"/>
  <c r="R8" i="3" s="1"/>
  <c r="N6" i="3"/>
  <c r="N4" i="6" s="1"/>
  <c r="L6" i="3"/>
  <c r="R5" i="3"/>
  <c r="R3" i="6" s="1"/>
  <c r="N5" i="3"/>
  <c r="L5" i="3"/>
  <c r="E19" i="2"/>
  <c r="E20" i="2"/>
  <c r="E21" i="2"/>
  <c r="E22" i="2"/>
  <c r="E23" i="2"/>
  <c r="E24" i="2"/>
  <c r="E25" i="2"/>
  <c r="E26" i="2"/>
  <c r="E27" i="2"/>
  <c r="E28" i="2"/>
  <c r="E29" i="2"/>
  <c r="E30" i="2"/>
  <c r="E31" i="2"/>
  <c r="E32" i="2"/>
  <c r="E33" i="2"/>
  <c r="E18" i="2"/>
  <c r="R6" i="1"/>
  <c r="N6" i="1"/>
  <c r="M6" i="1" s="1"/>
  <c r="L6" i="1"/>
  <c r="M10" i="1"/>
  <c r="D18" i="2"/>
  <c r="M11" i="1"/>
  <c r="D19" i="2"/>
  <c r="M12" i="1"/>
  <c r="D20" i="2" s="1"/>
  <c r="M13" i="1"/>
  <c r="M11" i="5" s="1"/>
  <c r="D21" i="2"/>
  <c r="M14" i="1"/>
  <c r="M12" i="5" s="1"/>
  <c r="D22" i="2"/>
  <c r="M15" i="1"/>
  <c r="D23" i="2"/>
  <c r="M16" i="1"/>
  <c r="D24" i="2" s="1"/>
  <c r="M17" i="1"/>
  <c r="M15" i="5" s="1"/>
  <c r="D25" i="2"/>
  <c r="M18" i="1"/>
  <c r="D26" i="2" s="1"/>
  <c r="M19" i="1"/>
  <c r="M17" i="5" s="1"/>
  <c r="D27" i="2"/>
  <c r="M20" i="1"/>
  <c r="M18" i="5" s="1"/>
  <c r="M21" i="1"/>
  <c r="M19" i="5" s="1"/>
  <c r="D29" i="2"/>
  <c r="M22" i="1"/>
  <c r="M20" i="5" s="1"/>
  <c r="M23" i="1"/>
  <c r="D31" i="2"/>
  <c r="M24" i="1"/>
  <c r="M22" i="5" s="1"/>
  <c r="M25" i="1"/>
  <c r="M23" i="5" s="1"/>
  <c r="D33" i="2"/>
  <c r="R5" i="1"/>
  <c r="N5" i="1"/>
  <c r="N3" i="5" s="1"/>
  <c r="L5" i="1"/>
  <c r="C19" i="2"/>
  <c r="C20" i="2"/>
  <c r="C21" i="2"/>
  <c r="C22" i="2"/>
  <c r="C23" i="2"/>
  <c r="C24" i="2"/>
  <c r="C25" i="2"/>
  <c r="C26" i="2"/>
  <c r="C27" i="2"/>
  <c r="C28" i="2"/>
  <c r="C29" i="2"/>
  <c r="C30" i="2"/>
  <c r="C31" i="2"/>
  <c r="C32" i="2"/>
  <c r="C33" i="2"/>
  <c r="Q6" i="3"/>
  <c r="Q4" i="6" s="1"/>
  <c r="Q5" i="3"/>
  <c r="Q8" i="3"/>
  <c r="AG5" i="3"/>
  <c r="AG8" i="3" s="1"/>
  <c r="P5" i="3"/>
  <c r="P6" i="3"/>
  <c r="P8" i="3"/>
  <c r="P5" i="1"/>
  <c r="Q5" i="1"/>
  <c r="P6" i="1"/>
  <c r="P8" i="1" s="1"/>
  <c r="AG5" i="1"/>
  <c r="AH5" i="1"/>
  <c r="AH8" i="1" s="1"/>
  <c r="AG6" i="1"/>
  <c r="AH6" i="1"/>
  <c r="S5" i="1"/>
  <c r="S10" i="1"/>
  <c r="S11" i="1"/>
  <c r="S13" i="1"/>
  <c r="S14" i="1"/>
  <c r="S15" i="1"/>
  <c r="S16" i="1"/>
  <c r="S17" i="1"/>
  <c r="S18" i="1"/>
  <c r="S19" i="1"/>
  <c r="S20" i="1"/>
  <c r="S21" i="1"/>
  <c r="S22" i="1"/>
  <c r="S23" i="1"/>
  <c r="S24" i="1"/>
  <c r="S25" i="1"/>
  <c r="T10" i="1"/>
  <c r="T11" i="1"/>
  <c r="T13" i="1"/>
  <c r="T14" i="1"/>
  <c r="T15" i="1"/>
  <c r="T16" i="1"/>
  <c r="T17" i="1"/>
  <c r="T18" i="1"/>
  <c r="T19" i="1"/>
  <c r="T20" i="1"/>
  <c r="T21" i="1"/>
  <c r="T22" i="1"/>
  <c r="T23" i="1"/>
  <c r="T24" i="1"/>
  <c r="T25" i="1"/>
  <c r="Q6" i="1"/>
  <c r="Q4" i="5" s="1"/>
  <c r="AG6" i="3"/>
  <c r="AH5" i="4"/>
  <c r="AG5" i="4"/>
  <c r="AI5" i="4"/>
  <c r="AH6" i="4"/>
  <c r="AH8" i="4" s="1"/>
  <c r="AG6" i="4"/>
  <c r="AI6" i="4"/>
  <c r="Q5" i="4"/>
  <c r="Q3" i="7" s="1"/>
  <c r="P5" i="4"/>
  <c r="R5" i="4"/>
  <c r="Q6" i="4"/>
  <c r="P6" i="4"/>
  <c r="R6" i="4"/>
  <c r="G14" i="2" s="1"/>
  <c r="R8" i="4"/>
  <c r="AA25" i="4"/>
  <c r="Z25" i="4"/>
  <c r="Y25" i="4"/>
  <c r="X25" i="4"/>
  <c r="W25" i="4"/>
  <c r="V25" i="4"/>
  <c r="U25" i="4"/>
  <c r="T25" i="4"/>
  <c r="S25" i="4"/>
  <c r="M25" i="4"/>
  <c r="J25" i="4"/>
  <c r="J23" i="7" s="1"/>
  <c r="I25" i="4"/>
  <c r="I23" i="7" s="1"/>
  <c r="H25" i="4"/>
  <c r="H23" i="7" s="1"/>
  <c r="G25" i="4"/>
  <c r="F25" i="4"/>
  <c r="F23" i="7" s="1"/>
  <c r="E25" i="4"/>
  <c r="E23" i="7" s="1"/>
  <c r="D25" i="4"/>
  <c r="D23" i="7" s="1"/>
  <c r="C25" i="4"/>
  <c r="B25" i="4"/>
  <c r="B23" i="7" s="1"/>
  <c r="AA24" i="4"/>
  <c r="Z24" i="4"/>
  <c r="Y24" i="4"/>
  <c r="X24" i="4"/>
  <c r="W24" i="4"/>
  <c r="V24" i="4"/>
  <c r="U24" i="4"/>
  <c r="T24" i="4"/>
  <c r="S24" i="4"/>
  <c r="M24" i="4"/>
  <c r="J24" i="4"/>
  <c r="I24" i="4"/>
  <c r="I22" i="7" s="1"/>
  <c r="H24" i="4"/>
  <c r="H22" i="7" s="1"/>
  <c r="G24" i="4"/>
  <c r="G22" i="7" s="1"/>
  <c r="F24" i="4"/>
  <c r="E24" i="4"/>
  <c r="E22" i="7" s="1"/>
  <c r="D24" i="4"/>
  <c r="D22" i="7" s="1"/>
  <c r="C24" i="4"/>
  <c r="C22" i="7" s="1"/>
  <c r="B24" i="4"/>
  <c r="AA23" i="4"/>
  <c r="Z23" i="4"/>
  <c r="Y23" i="4"/>
  <c r="X23" i="4"/>
  <c r="W23" i="4"/>
  <c r="V23" i="4"/>
  <c r="U23" i="4"/>
  <c r="T23" i="4"/>
  <c r="S23" i="4"/>
  <c r="M23" i="4"/>
  <c r="J23" i="4"/>
  <c r="J21" i="7" s="1"/>
  <c r="I23" i="4"/>
  <c r="H23" i="4"/>
  <c r="H21" i="7" s="1"/>
  <c r="G23" i="4"/>
  <c r="G21" i="7" s="1"/>
  <c r="F23" i="4"/>
  <c r="E23" i="4"/>
  <c r="D23" i="4"/>
  <c r="D21" i="7" s="1"/>
  <c r="C23" i="4"/>
  <c r="C21" i="7" s="1"/>
  <c r="B23" i="4"/>
  <c r="B21" i="7" s="1"/>
  <c r="AA22" i="4"/>
  <c r="Z22" i="4"/>
  <c r="Y22" i="4"/>
  <c r="X22" i="4"/>
  <c r="W22" i="4"/>
  <c r="V22" i="4"/>
  <c r="U22" i="4"/>
  <c r="T22" i="4"/>
  <c r="S22" i="4"/>
  <c r="M22" i="4"/>
  <c r="J22" i="4"/>
  <c r="J20" i="7" s="1"/>
  <c r="I22" i="4"/>
  <c r="H22" i="4"/>
  <c r="G22" i="4"/>
  <c r="G20" i="7" s="1"/>
  <c r="F22" i="4"/>
  <c r="F20" i="7" s="1"/>
  <c r="E22" i="4"/>
  <c r="E20" i="7" s="1"/>
  <c r="D22" i="4"/>
  <c r="C22" i="4"/>
  <c r="C20" i="7" s="1"/>
  <c r="B22" i="4"/>
  <c r="B20" i="7" s="1"/>
  <c r="AA21" i="4"/>
  <c r="Z21" i="4"/>
  <c r="Y21" i="4"/>
  <c r="X21" i="4"/>
  <c r="W21" i="4"/>
  <c r="V21" i="4"/>
  <c r="U21" i="4"/>
  <c r="T21" i="4"/>
  <c r="S21" i="4"/>
  <c r="M21" i="4"/>
  <c r="M19" i="7" s="1"/>
  <c r="O29" i="2" s="1"/>
  <c r="J21" i="4"/>
  <c r="J19" i="7" s="1"/>
  <c r="I21" i="4"/>
  <c r="I19" i="7" s="1"/>
  <c r="H21" i="4"/>
  <c r="H19" i="7" s="1"/>
  <c r="G21" i="4"/>
  <c r="F21" i="4"/>
  <c r="F19" i="7" s="1"/>
  <c r="E21" i="4"/>
  <c r="E19" i="7" s="1"/>
  <c r="D21" i="4"/>
  <c r="C21" i="4"/>
  <c r="B21" i="4"/>
  <c r="B19" i="7" s="1"/>
  <c r="AA20" i="4"/>
  <c r="Z20" i="4"/>
  <c r="Y20" i="4"/>
  <c r="X20" i="4"/>
  <c r="W20" i="4"/>
  <c r="V20" i="4"/>
  <c r="U20" i="4"/>
  <c r="T20" i="4"/>
  <c r="S20" i="4"/>
  <c r="M20" i="4"/>
  <c r="J20" i="4"/>
  <c r="I20" i="4"/>
  <c r="I18" i="7" s="1"/>
  <c r="H20" i="4"/>
  <c r="H18" i="7" s="1"/>
  <c r="G20" i="4"/>
  <c r="F20" i="4"/>
  <c r="E20" i="4"/>
  <c r="E18" i="7" s="1"/>
  <c r="D20" i="4"/>
  <c r="D18" i="7" s="1"/>
  <c r="C20" i="4"/>
  <c r="C18" i="7" s="1"/>
  <c r="B20" i="4"/>
  <c r="AA19" i="4"/>
  <c r="Z19" i="4"/>
  <c r="Z6" i="4" s="1"/>
  <c r="Y19" i="4"/>
  <c r="X19" i="4"/>
  <c r="W19" i="4"/>
  <c r="V19" i="4"/>
  <c r="U19" i="4"/>
  <c r="T19" i="4"/>
  <c r="S19" i="4"/>
  <c r="M19" i="4"/>
  <c r="J19" i="4"/>
  <c r="I19" i="4"/>
  <c r="H19" i="4"/>
  <c r="H17" i="7" s="1"/>
  <c r="G19" i="4"/>
  <c r="G17" i="7" s="1"/>
  <c r="F19" i="4"/>
  <c r="F17" i="7" s="1"/>
  <c r="E19" i="4"/>
  <c r="D19" i="4"/>
  <c r="D17" i="7" s="1"/>
  <c r="C19" i="4"/>
  <c r="C17" i="7" s="1"/>
  <c r="B19" i="4"/>
  <c r="AA18" i="4"/>
  <c r="Z18" i="4"/>
  <c r="Y18" i="4"/>
  <c r="X18" i="4"/>
  <c r="W18" i="4"/>
  <c r="V18" i="4"/>
  <c r="U18" i="4"/>
  <c r="T18" i="4"/>
  <c r="S18" i="4"/>
  <c r="M18" i="4"/>
  <c r="M16" i="7" s="1"/>
  <c r="O26" i="2" s="1"/>
  <c r="J18" i="4"/>
  <c r="J16" i="7" s="1"/>
  <c r="I18" i="4"/>
  <c r="I16" i="7" s="1"/>
  <c r="H18" i="4"/>
  <c r="G18" i="4"/>
  <c r="G16" i="7" s="1"/>
  <c r="F18" i="4"/>
  <c r="F16" i="7" s="1"/>
  <c r="E18" i="4"/>
  <c r="D18" i="4"/>
  <c r="C18" i="4"/>
  <c r="C16" i="7" s="1"/>
  <c r="B18" i="4"/>
  <c r="B16" i="7" s="1"/>
  <c r="AA17" i="4"/>
  <c r="Z17" i="4"/>
  <c r="Y17" i="4"/>
  <c r="X17" i="4"/>
  <c r="W17" i="4"/>
  <c r="V17" i="4"/>
  <c r="U17" i="4"/>
  <c r="T17" i="4"/>
  <c r="S17" i="4"/>
  <c r="M17" i="4"/>
  <c r="J17" i="4"/>
  <c r="J15" i="7" s="1"/>
  <c r="I17" i="4"/>
  <c r="I15" i="7" s="1"/>
  <c r="H17" i="4"/>
  <c r="G17" i="4"/>
  <c r="F17" i="4"/>
  <c r="F15" i="7" s="1"/>
  <c r="E17" i="4"/>
  <c r="E15" i="7" s="1"/>
  <c r="D17" i="4"/>
  <c r="D15" i="7" s="1"/>
  <c r="C17" i="4"/>
  <c r="B17" i="4"/>
  <c r="B15" i="7" s="1"/>
  <c r="AA16" i="4"/>
  <c r="Z16" i="4"/>
  <c r="Y16" i="4"/>
  <c r="X16" i="4"/>
  <c r="W16" i="4"/>
  <c r="V16" i="4"/>
  <c r="U16" i="4"/>
  <c r="T16" i="4"/>
  <c r="S16" i="4"/>
  <c r="M16" i="4"/>
  <c r="J16" i="4"/>
  <c r="I16" i="4"/>
  <c r="I14" i="7" s="1"/>
  <c r="H16" i="4"/>
  <c r="H14" i="7" s="1"/>
  <c r="G16" i="4"/>
  <c r="G14" i="7" s="1"/>
  <c r="F16" i="4"/>
  <c r="E16" i="4"/>
  <c r="E14" i="7" s="1"/>
  <c r="D16" i="4"/>
  <c r="D14" i="7" s="1"/>
  <c r="C16" i="4"/>
  <c r="C14" i="7" s="1"/>
  <c r="B16" i="4"/>
  <c r="AA15" i="4"/>
  <c r="Z15" i="4"/>
  <c r="Y15" i="4"/>
  <c r="X15" i="4"/>
  <c r="W15" i="4"/>
  <c r="V15" i="4"/>
  <c r="U15" i="4"/>
  <c r="T15" i="4"/>
  <c r="S15" i="4"/>
  <c r="M15" i="4"/>
  <c r="J15" i="4"/>
  <c r="J13" i="7" s="1"/>
  <c r="I15" i="4"/>
  <c r="H15" i="4"/>
  <c r="H13" i="7" s="1"/>
  <c r="G15" i="4"/>
  <c r="G13" i="7" s="1"/>
  <c r="F15" i="4"/>
  <c r="E15" i="4"/>
  <c r="D15" i="4"/>
  <c r="D13" i="7" s="1"/>
  <c r="C15" i="4"/>
  <c r="C13" i="7" s="1"/>
  <c r="B15" i="4"/>
  <c r="B13" i="7" s="1"/>
  <c r="AA14" i="4"/>
  <c r="Z14" i="4"/>
  <c r="Y14" i="4"/>
  <c r="X14" i="4"/>
  <c r="W14" i="4"/>
  <c r="V14" i="4"/>
  <c r="U14" i="4"/>
  <c r="T14" i="4"/>
  <c r="S14" i="4"/>
  <c r="M14" i="4"/>
  <c r="J14" i="4"/>
  <c r="J12" i="7" s="1"/>
  <c r="I14" i="4"/>
  <c r="H14" i="4"/>
  <c r="G14" i="4"/>
  <c r="G12" i="7" s="1"/>
  <c r="F14" i="4"/>
  <c r="F12" i="7" s="1"/>
  <c r="E14" i="4"/>
  <c r="E12" i="7" s="1"/>
  <c r="D14" i="4"/>
  <c r="C14" i="4"/>
  <c r="C12" i="7" s="1"/>
  <c r="B14" i="4"/>
  <c r="B12" i="7" s="1"/>
  <c r="AA13" i="4"/>
  <c r="Z13" i="4"/>
  <c r="Y13" i="4"/>
  <c r="X13" i="4"/>
  <c r="W13" i="4"/>
  <c r="V13" i="4"/>
  <c r="U13" i="4"/>
  <c r="T13" i="4"/>
  <c r="S13" i="4"/>
  <c r="M13" i="4"/>
  <c r="M11" i="7" s="1"/>
  <c r="O21" i="2" s="1"/>
  <c r="J13" i="4"/>
  <c r="I13" i="4"/>
  <c r="I11" i="7" s="1"/>
  <c r="H13" i="4"/>
  <c r="H11" i="7" s="1"/>
  <c r="G13" i="4"/>
  <c r="F13" i="4"/>
  <c r="F11" i="7" s="1"/>
  <c r="E13" i="4"/>
  <c r="E11" i="7" s="1"/>
  <c r="D13" i="4"/>
  <c r="C13" i="4"/>
  <c r="B13" i="4"/>
  <c r="M12" i="4"/>
  <c r="M10" i="7" s="1"/>
  <c r="AA11" i="4"/>
  <c r="Z11" i="4"/>
  <c r="Y11" i="4"/>
  <c r="Y6" i="4" s="1"/>
  <c r="Y8" i="4" s="1"/>
  <c r="X11" i="4"/>
  <c r="X6" i="4" s="1"/>
  <c r="X8" i="4" s="1"/>
  <c r="W11" i="4"/>
  <c r="V11" i="4"/>
  <c r="U11" i="4"/>
  <c r="T11" i="4"/>
  <c r="S11" i="4"/>
  <c r="M11" i="4"/>
  <c r="J11" i="4"/>
  <c r="J9" i="7" s="1"/>
  <c r="I11" i="4"/>
  <c r="I9" i="7" s="1"/>
  <c r="H11" i="4"/>
  <c r="G11" i="4"/>
  <c r="F11" i="4"/>
  <c r="E11" i="4"/>
  <c r="E9" i="7" s="1"/>
  <c r="D11" i="4"/>
  <c r="D9" i="7" s="1"/>
  <c r="C11" i="4"/>
  <c r="B11" i="4"/>
  <c r="B9" i="7" s="1"/>
  <c r="AA10" i="4"/>
  <c r="AA6" i="4" s="1"/>
  <c r="AA8" i="4" s="1"/>
  <c r="Z10" i="4"/>
  <c r="Y10" i="4"/>
  <c r="X10" i="4"/>
  <c r="W10" i="4"/>
  <c r="V10" i="4"/>
  <c r="U10" i="4"/>
  <c r="T10" i="4"/>
  <c r="T6" i="4" s="1"/>
  <c r="T8" i="4" s="1"/>
  <c r="S10" i="4"/>
  <c r="S6" i="4" s="1"/>
  <c r="M10" i="4"/>
  <c r="M8" i="7" s="1"/>
  <c r="O18" i="2" s="1"/>
  <c r="J10" i="4"/>
  <c r="I10" i="4"/>
  <c r="H10" i="4"/>
  <c r="H8" i="7" s="1"/>
  <c r="G10" i="4"/>
  <c r="G8" i="7" s="1"/>
  <c r="F10" i="4"/>
  <c r="E10" i="4"/>
  <c r="E8" i="7" s="1"/>
  <c r="D10" i="4"/>
  <c r="D8" i="7" s="1"/>
  <c r="C10" i="4"/>
  <c r="C8" i="7" s="1"/>
  <c r="B10" i="4"/>
  <c r="B8" i="7" s="1"/>
  <c r="AF6" i="4"/>
  <c r="AF5" i="4"/>
  <c r="AF8" i="4" s="1"/>
  <c r="AE6" i="4"/>
  <c r="AD6" i="4" s="1"/>
  <c r="AE5" i="4"/>
  <c r="AD5" i="4" s="1"/>
  <c r="AE8" i="4"/>
  <c r="AC6" i="4"/>
  <c r="AC8" i="4" s="1"/>
  <c r="AC5" i="4"/>
  <c r="AB6" i="4"/>
  <c r="AB8" i="4" s="1"/>
  <c r="AB5" i="4"/>
  <c r="AA5" i="4"/>
  <c r="Z5" i="4"/>
  <c r="Z8" i="4"/>
  <c r="Y5" i="4"/>
  <c r="X5" i="4"/>
  <c r="W5" i="4"/>
  <c r="V5" i="4"/>
  <c r="U5" i="4"/>
  <c r="S5" i="4"/>
  <c r="S8" i="4"/>
  <c r="O6" i="4"/>
  <c r="O4" i="7" s="1"/>
  <c r="O5" i="4"/>
  <c r="N6" i="4"/>
  <c r="N5" i="4"/>
  <c r="M5" i="4" s="1"/>
  <c r="M3" i="7" s="1"/>
  <c r="L6" i="4"/>
  <c r="L5" i="4"/>
  <c r="K6" i="4"/>
  <c r="K4" i="7" s="1"/>
  <c r="K5" i="4"/>
  <c r="J5" i="4"/>
  <c r="J3" i="7" s="1"/>
  <c r="I5" i="4"/>
  <c r="I3" i="7" s="1"/>
  <c r="H5" i="4"/>
  <c r="H3" i="7" s="1"/>
  <c r="G6" i="4"/>
  <c r="G5" i="4"/>
  <c r="G3" i="7" s="1"/>
  <c r="F5" i="4"/>
  <c r="E5" i="4"/>
  <c r="D5" i="4"/>
  <c r="D3" i="7" s="1"/>
  <c r="B5" i="4"/>
  <c r="M6" i="4"/>
  <c r="AA25" i="3"/>
  <c r="Z25" i="3"/>
  <c r="Y25" i="3"/>
  <c r="X25" i="3"/>
  <c r="W25" i="3"/>
  <c r="V25" i="3"/>
  <c r="U25" i="3"/>
  <c r="T25" i="3"/>
  <c r="S25" i="3"/>
  <c r="J25" i="3"/>
  <c r="I25" i="3"/>
  <c r="I23" i="6" s="1"/>
  <c r="H25" i="3"/>
  <c r="G25" i="3"/>
  <c r="G23" i="6" s="1"/>
  <c r="F25" i="3"/>
  <c r="F23" i="6" s="1"/>
  <c r="E25" i="3"/>
  <c r="E23" i="6" s="1"/>
  <c r="D25" i="3"/>
  <c r="C25" i="3"/>
  <c r="C23" i="6" s="1"/>
  <c r="B25" i="3"/>
  <c r="AA24" i="3"/>
  <c r="Z24" i="3"/>
  <c r="Y24" i="3"/>
  <c r="X24" i="3"/>
  <c r="W24" i="3"/>
  <c r="V24" i="3"/>
  <c r="U24" i="3"/>
  <c r="T24" i="3"/>
  <c r="S24" i="3"/>
  <c r="J24" i="3"/>
  <c r="I24" i="3"/>
  <c r="H24" i="3"/>
  <c r="H22" i="6" s="1"/>
  <c r="G24" i="3"/>
  <c r="G22" i="6" s="1"/>
  <c r="F24" i="3"/>
  <c r="F22" i="6" s="1"/>
  <c r="E24" i="3"/>
  <c r="E22" i="6" s="1"/>
  <c r="D24" i="3"/>
  <c r="C24" i="3"/>
  <c r="C22" i="6" s="1"/>
  <c r="B24" i="3"/>
  <c r="AA23" i="3"/>
  <c r="Z23" i="3"/>
  <c r="Y23" i="3"/>
  <c r="X23" i="3"/>
  <c r="W23" i="3"/>
  <c r="F21" i="6" s="1"/>
  <c r="V23" i="3"/>
  <c r="U23" i="3"/>
  <c r="T23" i="3"/>
  <c r="S23" i="3"/>
  <c r="J23" i="3"/>
  <c r="J21" i="6" s="1"/>
  <c r="I23" i="3"/>
  <c r="I21" i="6" s="1"/>
  <c r="H23" i="3"/>
  <c r="G23" i="3"/>
  <c r="G21" i="6" s="1"/>
  <c r="F23" i="3"/>
  <c r="E23" i="3"/>
  <c r="E21" i="6" s="1"/>
  <c r="D23" i="3"/>
  <c r="C23" i="3"/>
  <c r="C21" i="6" s="1"/>
  <c r="B23" i="3"/>
  <c r="B21" i="6" s="1"/>
  <c r="AA22" i="3"/>
  <c r="Z22" i="3"/>
  <c r="Y22" i="3"/>
  <c r="X22" i="3"/>
  <c r="W22" i="3"/>
  <c r="V22" i="3"/>
  <c r="U22" i="3"/>
  <c r="T22" i="3"/>
  <c r="S22" i="3"/>
  <c r="J22" i="3"/>
  <c r="I22" i="3"/>
  <c r="I20" i="6" s="1"/>
  <c r="H22" i="3"/>
  <c r="G22" i="3"/>
  <c r="G20" i="6" s="1"/>
  <c r="F22" i="3"/>
  <c r="E22" i="3"/>
  <c r="D22" i="3"/>
  <c r="D20" i="6" s="1"/>
  <c r="C22" i="3"/>
  <c r="C20" i="6" s="1"/>
  <c r="B22" i="3"/>
  <c r="AA21" i="3"/>
  <c r="Z21" i="3"/>
  <c r="Y21" i="3"/>
  <c r="X21" i="3"/>
  <c r="W21" i="3"/>
  <c r="V21" i="3"/>
  <c r="U21" i="3"/>
  <c r="T21" i="3"/>
  <c r="S21" i="3"/>
  <c r="J21" i="3"/>
  <c r="I21" i="3"/>
  <c r="I19" i="6" s="1"/>
  <c r="H21" i="3"/>
  <c r="G21" i="3"/>
  <c r="G19" i="6" s="1"/>
  <c r="F21" i="3"/>
  <c r="F19" i="6" s="1"/>
  <c r="E21" i="3"/>
  <c r="E19" i="6" s="1"/>
  <c r="D21" i="3"/>
  <c r="C21" i="3"/>
  <c r="C19" i="6" s="1"/>
  <c r="B21" i="3"/>
  <c r="AA20" i="3"/>
  <c r="Z20" i="3"/>
  <c r="Y20" i="3"/>
  <c r="X20" i="3"/>
  <c r="W20" i="3"/>
  <c r="V20" i="3"/>
  <c r="U20" i="3"/>
  <c r="T20" i="3"/>
  <c r="S20" i="3"/>
  <c r="J20" i="3"/>
  <c r="I20" i="3"/>
  <c r="H20" i="3"/>
  <c r="H18" i="6" s="1"/>
  <c r="G20" i="3"/>
  <c r="G18" i="6" s="1"/>
  <c r="F20" i="3"/>
  <c r="F18" i="6" s="1"/>
  <c r="E20" i="3"/>
  <c r="E18" i="6" s="1"/>
  <c r="D20" i="3"/>
  <c r="C20" i="3"/>
  <c r="B20" i="3"/>
  <c r="B18" i="6" s="1"/>
  <c r="AA19" i="3"/>
  <c r="Z19" i="3"/>
  <c r="Y19" i="3"/>
  <c r="X19" i="3"/>
  <c r="W19" i="3"/>
  <c r="V19" i="3"/>
  <c r="U19" i="3"/>
  <c r="T19" i="3"/>
  <c r="S19" i="3"/>
  <c r="J19" i="3"/>
  <c r="J17" i="6" s="1"/>
  <c r="I19" i="3"/>
  <c r="I17" i="6" s="1"/>
  <c r="H19" i="3"/>
  <c r="G19" i="3"/>
  <c r="G17" i="6" s="1"/>
  <c r="F19" i="3"/>
  <c r="F17" i="6" s="1"/>
  <c r="E19" i="3"/>
  <c r="D19" i="3"/>
  <c r="C19" i="3"/>
  <c r="C17" i="6" s="1"/>
  <c r="B19" i="3"/>
  <c r="B17" i="6" s="1"/>
  <c r="AA18" i="3"/>
  <c r="Z18" i="3"/>
  <c r="Y18" i="3"/>
  <c r="X18" i="3"/>
  <c r="W18" i="3"/>
  <c r="V18" i="3"/>
  <c r="U18" i="3"/>
  <c r="T18" i="3"/>
  <c r="S18" i="3"/>
  <c r="J18" i="3"/>
  <c r="I18" i="3"/>
  <c r="I16" i="6" s="1"/>
  <c r="H18" i="3"/>
  <c r="G18" i="3"/>
  <c r="G16" i="6" s="1"/>
  <c r="F18" i="3"/>
  <c r="E18" i="3"/>
  <c r="D18" i="3"/>
  <c r="D16" i="6" s="1"/>
  <c r="C18" i="3"/>
  <c r="C16" i="6" s="1"/>
  <c r="B18" i="3"/>
  <c r="AA17" i="3"/>
  <c r="Z17" i="3"/>
  <c r="Y17" i="3"/>
  <c r="X17" i="3"/>
  <c r="W17" i="3"/>
  <c r="V17" i="3"/>
  <c r="U17" i="3"/>
  <c r="T17" i="3"/>
  <c r="S17" i="3"/>
  <c r="J17" i="3"/>
  <c r="I17" i="3"/>
  <c r="I15" i="6" s="1"/>
  <c r="H17" i="3"/>
  <c r="G17" i="3"/>
  <c r="G15" i="6" s="1"/>
  <c r="F17" i="3"/>
  <c r="F15" i="6" s="1"/>
  <c r="E17" i="3"/>
  <c r="E15" i="6" s="1"/>
  <c r="D17" i="3"/>
  <c r="C17" i="3"/>
  <c r="C15" i="6" s="1"/>
  <c r="B17" i="3"/>
  <c r="AA16" i="3"/>
  <c r="Z16" i="3"/>
  <c r="Y16" i="3"/>
  <c r="X16" i="3"/>
  <c r="W16" i="3"/>
  <c r="V16" i="3"/>
  <c r="U16" i="3"/>
  <c r="T16" i="3"/>
  <c r="S16" i="3"/>
  <c r="J16" i="3"/>
  <c r="I16" i="3"/>
  <c r="I14" i="6" s="1"/>
  <c r="H16" i="3"/>
  <c r="H14" i="6" s="1"/>
  <c r="G16" i="3"/>
  <c r="G14" i="6" s="1"/>
  <c r="F16" i="3"/>
  <c r="F14" i="6" s="1"/>
  <c r="E16" i="3"/>
  <c r="E14" i="6" s="1"/>
  <c r="D16" i="3"/>
  <c r="C16" i="3"/>
  <c r="B16" i="3"/>
  <c r="AA15" i="3"/>
  <c r="Z15" i="3"/>
  <c r="Y15" i="3"/>
  <c r="Y6" i="3" s="1"/>
  <c r="X15" i="3"/>
  <c r="W15" i="3"/>
  <c r="V15" i="3"/>
  <c r="U15" i="3"/>
  <c r="T15" i="3"/>
  <c r="S15" i="3"/>
  <c r="J15" i="3"/>
  <c r="J13" i="6" s="1"/>
  <c r="I15" i="3"/>
  <c r="I13" i="6" s="1"/>
  <c r="H15" i="3"/>
  <c r="G15" i="3"/>
  <c r="G13" i="6" s="1"/>
  <c r="F15" i="3"/>
  <c r="F13" i="6" s="1"/>
  <c r="E15" i="3"/>
  <c r="E13" i="6" s="1"/>
  <c r="D15" i="3"/>
  <c r="C15" i="3"/>
  <c r="C13" i="6" s="1"/>
  <c r="B15" i="3"/>
  <c r="B13" i="6" s="1"/>
  <c r="AA14" i="3"/>
  <c r="AA6" i="3" s="1"/>
  <c r="AA8" i="3" s="1"/>
  <c r="Z14" i="3"/>
  <c r="Y14" i="3"/>
  <c r="X14" i="3"/>
  <c r="W14" i="3"/>
  <c r="V14" i="3"/>
  <c r="U14" i="3"/>
  <c r="T14" i="3"/>
  <c r="S14" i="3"/>
  <c r="J14" i="3"/>
  <c r="I14" i="3"/>
  <c r="I12" i="6" s="1"/>
  <c r="H14" i="3"/>
  <c r="G14" i="3"/>
  <c r="G12" i="6" s="1"/>
  <c r="F14" i="3"/>
  <c r="E14" i="3"/>
  <c r="E12" i="6" s="1"/>
  <c r="D14" i="3"/>
  <c r="D12" i="6" s="1"/>
  <c r="C14" i="3"/>
  <c r="C12" i="6" s="1"/>
  <c r="B14" i="3"/>
  <c r="AA13" i="3"/>
  <c r="Z13" i="3"/>
  <c r="Y13" i="3"/>
  <c r="X13" i="3"/>
  <c r="W13" i="3"/>
  <c r="V13" i="3"/>
  <c r="U13" i="3"/>
  <c r="U6" i="3" s="1"/>
  <c r="U8" i="3" s="1"/>
  <c r="T13" i="3"/>
  <c r="S13" i="3"/>
  <c r="J13" i="3"/>
  <c r="I13" i="3"/>
  <c r="I11" i="6" s="1"/>
  <c r="H13" i="3"/>
  <c r="G13" i="3"/>
  <c r="G11" i="6" s="1"/>
  <c r="F13" i="3"/>
  <c r="F11" i="6" s="1"/>
  <c r="E13" i="3"/>
  <c r="D13" i="3"/>
  <c r="C13" i="3"/>
  <c r="C11" i="6" s="1"/>
  <c r="B13" i="3"/>
  <c r="AA11" i="3"/>
  <c r="Z11" i="3"/>
  <c r="Y11" i="3"/>
  <c r="X11" i="3"/>
  <c r="W11" i="3"/>
  <c r="V11" i="3"/>
  <c r="U11" i="3"/>
  <c r="T11" i="3"/>
  <c r="S11" i="3"/>
  <c r="K11" i="3"/>
  <c r="K9" i="6" s="1"/>
  <c r="J11" i="3"/>
  <c r="J9" i="6" s="1"/>
  <c r="I11" i="3"/>
  <c r="I9" i="6" s="1"/>
  <c r="H11" i="3"/>
  <c r="H9" i="6" s="1"/>
  <c r="G11" i="3"/>
  <c r="F11" i="3"/>
  <c r="E11" i="3"/>
  <c r="E9" i="6" s="1"/>
  <c r="D11" i="3"/>
  <c r="C11" i="3"/>
  <c r="C9" i="6" s="1"/>
  <c r="B11" i="3"/>
  <c r="B9" i="6" s="1"/>
  <c r="AA10" i="3"/>
  <c r="Z10" i="3"/>
  <c r="Z6" i="3" s="1"/>
  <c r="Z8" i="3" s="1"/>
  <c r="Y10" i="3"/>
  <c r="X10" i="3"/>
  <c r="X6" i="3" s="1"/>
  <c r="X8" i="3" s="1"/>
  <c r="W10" i="3"/>
  <c r="W6" i="3" s="1"/>
  <c r="W8" i="3" s="1"/>
  <c r="V10" i="3"/>
  <c r="U10" i="3"/>
  <c r="T10" i="3"/>
  <c r="T6" i="3" s="1"/>
  <c r="T8" i="3" s="1"/>
  <c r="S10" i="3"/>
  <c r="K10" i="3"/>
  <c r="K8" i="6" s="1"/>
  <c r="J10" i="3"/>
  <c r="I10" i="3"/>
  <c r="H10" i="3"/>
  <c r="H8" i="6" s="1"/>
  <c r="G10" i="3"/>
  <c r="G8" i="6" s="1"/>
  <c r="F10" i="3"/>
  <c r="E10" i="3"/>
  <c r="E8" i="6" s="1"/>
  <c r="D10" i="3"/>
  <c r="D8" i="6" s="1"/>
  <c r="C10" i="3"/>
  <c r="C8" i="6" s="1"/>
  <c r="B10" i="3"/>
  <c r="AF6" i="3"/>
  <c r="AF8" i="3" s="1"/>
  <c r="AF5" i="3"/>
  <c r="AB6" i="3"/>
  <c r="AB5" i="3"/>
  <c r="AB8" i="3"/>
  <c r="AA5" i="3"/>
  <c r="Z5" i="3"/>
  <c r="Y5" i="3"/>
  <c r="Y8" i="3"/>
  <c r="X5" i="3"/>
  <c r="W5" i="3"/>
  <c r="V6" i="3"/>
  <c r="V8" i="3" s="1"/>
  <c r="V5" i="3"/>
  <c r="U5" i="3"/>
  <c r="S6" i="3"/>
  <c r="S5" i="3"/>
  <c r="O6" i="3"/>
  <c r="O4" i="6" s="1"/>
  <c r="O5" i="3"/>
  <c r="O3" i="6" s="1"/>
  <c r="N8" i="3"/>
  <c r="K5" i="3"/>
  <c r="J5" i="3"/>
  <c r="J3" i="6" s="1"/>
  <c r="I5" i="3"/>
  <c r="I3" i="6" s="1"/>
  <c r="H5" i="3"/>
  <c r="G5" i="3"/>
  <c r="F6" i="3"/>
  <c r="F8" i="3" s="1"/>
  <c r="F5" i="3"/>
  <c r="F3" i="6" s="1"/>
  <c r="E5" i="3"/>
  <c r="D5" i="3"/>
  <c r="D3" i="6" s="1"/>
  <c r="C6" i="3"/>
  <c r="B5" i="3"/>
  <c r="L8" i="1"/>
  <c r="AF5" i="1"/>
  <c r="AF8" i="1" s="1"/>
  <c r="O5" i="1"/>
  <c r="AC5" i="1"/>
  <c r="AB5" i="1"/>
  <c r="K5" i="1"/>
  <c r="K3" i="5" s="1"/>
  <c r="AA5" i="1"/>
  <c r="J5" i="1"/>
  <c r="J3" i="5" s="1"/>
  <c r="Z5" i="1"/>
  <c r="I5" i="1"/>
  <c r="I3" i="5" s="1"/>
  <c r="Y5" i="1"/>
  <c r="H5" i="1"/>
  <c r="H3" i="5" s="1"/>
  <c r="X5" i="1"/>
  <c r="G5" i="1"/>
  <c r="W5" i="1"/>
  <c r="F5" i="1"/>
  <c r="F3" i="5" s="1"/>
  <c r="V5" i="1"/>
  <c r="E5" i="1"/>
  <c r="E3" i="5" s="1"/>
  <c r="U5" i="1"/>
  <c r="D5" i="1"/>
  <c r="D3" i="5" s="1"/>
  <c r="B5" i="1"/>
  <c r="B3" i="5" s="1"/>
  <c r="E12" i="1"/>
  <c r="E10" i="5" s="1"/>
  <c r="AF6" i="1"/>
  <c r="AE8" i="1"/>
  <c r="O6" i="1"/>
  <c r="AA25" i="1"/>
  <c r="Z25" i="1"/>
  <c r="Y25" i="1"/>
  <c r="X25" i="1"/>
  <c r="W25" i="1"/>
  <c r="V25" i="1"/>
  <c r="U25" i="1"/>
  <c r="J25" i="1"/>
  <c r="I25" i="1"/>
  <c r="I23" i="5" s="1"/>
  <c r="H25" i="1"/>
  <c r="G25" i="1"/>
  <c r="G23" i="5" s="1"/>
  <c r="F25" i="1"/>
  <c r="E25" i="1"/>
  <c r="D25" i="1"/>
  <c r="D23" i="5" s="1"/>
  <c r="C25" i="1"/>
  <c r="C23" i="5" s="1"/>
  <c r="B25" i="1"/>
  <c r="AA24" i="1"/>
  <c r="Z24" i="1"/>
  <c r="Y24" i="1"/>
  <c r="X24" i="1"/>
  <c r="W24" i="1"/>
  <c r="W6" i="1" s="1"/>
  <c r="V24" i="1"/>
  <c r="U24" i="1"/>
  <c r="J24" i="1"/>
  <c r="I24" i="1"/>
  <c r="I22" i="5" s="1"/>
  <c r="H24" i="1"/>
  <c r="H22" i="5" s="1"/>
  <c r="G24" i="1"/>
  <c r="G22" i="5" s="1"/>
  <c r="F24" i="1"/>
  <c r="E24" i="1"/>
  <c r="D24" i="1"/>
  <c r="C24" i="1"/>
  <c r="B24" i="1"/>
  <c r="B22" i="5" s="1"/>
  <c r="AA23" i="1"/>
  <c r="Z23" i="1"/>
  <c r="Y23" i="1"/>
  <c r="X23" i="1"/>
  <c r="W23" i="1"/>
  <c r="V23" i="1"/>
  <c r="U23" i="1"/>
  <c r="J23" i="1"/>
  <c r="I23" i="1"/>
  <c r="I21" i="5" s="1"/>
  <c r="H23" i="1"/>
  <c r="H21" i="5" s="1"/>
  <c r="G23" i="1"/>
  <c r="G21" i="5" s="1"/>
  <c r="F23" i="1"/>
  <c r="E23" i="1"/>
  <c r="D23" i="1"/>
  <c r="C23" i="1"/>
  <c r="C21" i="5" s="1"/>
  <c r="B23" i="1"/>
  <c r="AA22" i="1"/>
  <c r="Z22" i="1"/>
  <c r="Y22" i="1"/>
  <c r="X22" i="1"/>
  <c r="W22" i="1"/>
  <c r="V22" i="1"/>
  <c r="U22" i="1"/>
  <c r="J22" i="1"/>
  <c r="I22" i="1"/>
  <c r="I20" i="5" s="1"/>
  <c r="H22" i="1"/>
  <c r="H20" i="5" s="1"/>
  <c r="G22" i="1"/>
  <c r="G20" i="5" s="1"/>
  <c r="F22" i="1"/>
  <c r="E22" i="1"/>
  <c r="D22" i="1"/>
  <c r="C22" i="1"/>
  <c r="C20" i="5" s="1"/>
  <c r="B22" i="1"/>
  <c r="B20" i="5" s="1"/>
  <c r="AA21" i="1"/>
  <c r="Z21" i="1"/>
  <c r="Y21" i="1"/>
  <c r="X21" i="1"/>
  <c r="W21" i="1"/>
  <c r="V21" i="1"/>
  <c r="U21" i="1"/>
  <c r="J21" i="1"/>
  <c r="I21" i="1"/>
  <c r="I19" i="5" s="1"/>
  <c r="H21" i="1"/>
  <c r="G21" i="1"/>
  <c r="G19" i="5" s="1"/>
  <c r="F21" i="1"/>
  <c r="E21" i="1"/>
  <c r="D21" i="1"/>
  <c r="C21" i="1"/>
  <c r="C19" i="5" s="1"/>
  <c r="B21" i="1"/>
  <c r="B19" i="5" s="1"/>
  <c r="AA20" i="1"/>
  <c r="Z20" i="1"/>
  <c r="Y20" i="1"/>
  <c r="X20" i="1"/>
  <c r="W20" i="1"/>
  <c r="V20" i="1"/>
  <c r="U20" i="1"/>
  <c r="J20" i="1"/>
  <c r="I20" i="1"/>
  <c r="I18" i="5" s="1"/>
  <c r="H20" i="1"/>
  <c r="H18" i="5" s="1"/>
  <c r="G20" i="1"/>
  <c r="G18" i="5" s="1"/>
  <c r="F20" i="1"/>
  <c r="E20" i="1"/>
  <c r="D20" i="1"/>
  <c r="C20" i="1"/>
  <c r="C18" i="5" s="1"/>
  <c r="B20" i="1"/>
  <c r="B18" i="5" s="1"/>
  <c r="AA19" i="1"/>
  <c r="Z19" i="1"/>
  <c r="Y19" i="1"/>
  <c r="X19" i="1"/>
  <c r="W19" i="1"/>
  <c r="V19" i="1"/>
  <c r="U19" i="1"/>
  <c r="J19" i="1"/>
  <c r="I19" i="1"/>
  <c r="I17" i="5" s="1"/>
  <c r="H19" i="1"/>
  <c r="H17" i="5" s="1"/>
  <c r="G19" i="1"/>
  <c r="G17" i="5" s="1"/>
  <c r="F19" i="1"/>
  <c r="E19" i="1"/>
  <c r="D19" i="1"/>
  <c r="C19" i="1"/>
  <c r="C17" i="5" s="1"/>
  <c r="B19" i="1"/>
  <c r="B17" i="5" s="1"/>
  <c r="AA18" i="1"/>
  <c r="Z18" i="1"/>
  <c r="Y18" i="1"/>
  <c r="X18" i="1"/>
  <c r="W18" i="1"/>
  <c r="V18" i="1"/>
  <c r="U18" i="1"/>
  <c r="J18" i="1"/>
  <c r="I18" i="1"/>
  <c r="I16" i="5" s="1"/>
  <c r="H18" i="1"/>
  <c r="H16" i="5" s="1"/>
  <c r="G18" i="1"/>
  <c r="G16" i="5" s="1"/>
  <c r="F18" i="1"/>
  <c r="E18" i="1"/>
  <c r="D18" i="1"/>
  <c r="C18" i="1"/>
  <c r="C16" i="5" s="1"/>
  <c r="B18" i="1"/>
  <c r="B16" i="5" s="1"/>
  <c r="AA17" i="1"/>
  <c r="Z17" i="1"/>
  <c r="Y17" i="1"/>
  <c r="X17" i="1"/>
  <c r="W17" i="1"/>
  <c r="V17" i="1"/>
  <c r="U17" i="1"/>
  <c r="J17" i="1"/>
  <c r="J15" i="5" s="1"/>
  <c r="I17" i="1"/>
  <c r="I15" i="5" s="1"/>
  <c r="H17" i="1"/>
  <c r="H15" i="5" s="1"/>
  <c r="G17" i="1"/>
  <c r="F17" i="1"/>
  <c r="E17" i="1"/>
  <c r="D17" i="1"/>
  <c r="C17" i="1"/>
  <c r="C15" i="5" s="1"/>
  <c r="B17" i="1"/>
  <c r="B15" i="5" s="1"/>
  <c r="AA16" i="1"/>
  <c r="Z16" i="1"/>
  <c r="Y16" i="1"/>
  <c r="X16" i="1"/>
  <c r="W16" i="1"/>
  <c r="V16" i="1"/>
  <c r="U16" i="1"/>
  <c r="J16" i="1"/>
  <c r="I16" i="1"/>
  <c r="H16" i="1"/>
  <c r="G16" i="1"/>
  <c r="G14" i="5" s="1"/>
  <c r="F16" i="1"/>
  <c r="F14" i="5" s="1"/>
  <c r="E16" i="1"/>
  <c r="D16" i="1"/>
  <c r="C16" i="1"/>
  <c r="B16" i="1"/>
  <c r="B14" i="5" s="1"/>
  <c r="AA15" i="1"/>
  <c r="Z15" i="1"/>
  <c r="Y15" i="1"/>
  <c r="X15" i="1"/>
  <c r="W15" i="1"/>
  <c r="V15" i="1"/>
  <c r="U15" i="1"/>
  <c r="J15" i="1"/>
  <c r="I15" i="1"/>
  <c r="I13" i="5" s="1"/>
  <c r="H15" i="1"/>
  <c r="H13" i="5" s="1"/>
  <c r="G15" i="1"/>
  <c r="G13" i="5" s="1"/>
  <c r="F15" i="1"/>
  <c r="E15" i="1"/>
  <c r="D15" i="1"/>
  <c r="C15" i="1"/>
  <c r="C13" i="5" s="1"/>
  <c r="B15" i="1"/>
  <c r="AA14" i="1"/>
  <c r="Z14" i="1"/>
  <c r="Y14" i="1"/>
  <c r="X14" i="1"/>
  <c r="W14" i="1"/>
  <c r="V14" i="1"/>
  <c r="U14" i="1"/>
  <c r="J14" i="1"/>
  <c r="I14" i="1"/>
  <c r="I12" i="5" s="1"/>
  <c r="H14" i="1"/>
  <c r="G14" i="1"/>
  <c r="G12" i="5" s="1"/>
  <c r="F14" i="1"/>
  <c r="E14" i="1"/>
  <c r="D14" i="1"/>
  <c r="C14" i="1"/>
  <c r="C12" i="5" s="1"/>
  <c r="B14" i="1"/>
  <c r="B12" i="5" s="1"/>
  <c r="AA13" i="1"/>
  <c r="Z13" i="1"/>
  <c r="Y13" i="1"/>
  <c r="X13" i="1"/>
  <c r="W13" i="1"/>
  <c r="V13" i="1"/>
  <c r="U13" i="1"/>
  <c r="J13" i="1"/>
  <c r="I13" i="1"/>
  <c r="I11" i="5" s="1"/>
  <c r="H13" i="1"/>
  <c r="H11" i="5" s="1"/>
  <c r="G13" i="1"/>
  <c r="G11" i="5" s="1"/>
  <c r="F13" i="1"/>
  <c r="E13" i="1"/>
  <c r="D13" i="1"/>
  <c r="C13" i="1"/>
  <c r="C11" i="5" s="1"/>
  <c r="B13" i="1"/>
  <c r="B11" i="5" s="1"/>
  <c r="AA11" i="1"/>
  <c r="Z11" i="1"/>
  <c r="Y11" i="1"/>
  <c r="X11" i="1"/>
  <c r="W11" i="1"/>
  <c r="V11" i="1"/>
  <c r="U11" i="1"/>
  <c r="J11" i="1"/>
  <c r="I11" i="1"/>
  <c r="I9" i="5" s="1"/>
  <c r="H11" i="1"/>
  <c r="G11" i="1"/>
  <c r="G9" i="5" s="1"/>
  <c r="F11" i="1"/>
  <c r="E11" i="1"/>
  <c r="D11" i="1"/>
  <c r="C11" i="1"/>
  <c r="C9" i="5" s="1"/>
  <c r="B11" i="1"/>
  <c r="B9" i="5" s="1"/>
  <c r="AA10" i="1"/>
  <c r="AA6" i="1" s="1"/>
  <c r="AA8" i="1" s="1"/>
  <c r="Z10" i="1"/>
  <c r="Y10" i="1"/>
  <c r="X10" i="1"/>
  <c r="W10" i="1"/>
  <c r="V10" i="1"/>
  <c r="U10" i="1"/>
  <c r="U6" i="1" s="1"/>
  <c r="U8" i="1" s="1"/>
  <c r="J10" i="1"/>
  <c r="I10" i="1"/>
  <c r="I8" i="5" s="1"/>
  <c r="H10" i="1"/>
  <c r="G10" i="1"/>
  <c r="G8" i="5" s="1"/>
  <c r="F10" i="1"/>
  <c r="E10" i="1"/>
  <c r="D10" i="1"/>
  <c r="C10" i="1"/>
  <c r="B10" i="1"/>
  <c r="B8" i="5" s="1"/>
  <c r="AC6" i="1"/>
  <c r="AC8" i="1" s="1"/>
  <c r="AB6" i="1"/>
  <c r="AB8" i="1" s="1"/>
  <c r="Z6" i="1"/>
  <c r="Z8" i="1" s="1"/>
  <c r="Y6" i="1"/>
  <c r="Y8" i="1" s="1"/>
  <c r="X6" i="1"/>
  <c r="X8" i="1" s="1"/>
  <c r="W8" i="1"/>
  <c r="V6" i="1"/>
  <c r="V8" i="1" s="1"/>
  <c r="K6" i="1"/>
  <c r="K4" i="5" s="1"/>
  <c r="J6" i="1"/>
  <c r="J8" i="1"/>
  <c r="I6" i="1"/>
  <c r="H6" i="1"/>
  <c r="H4" i="5" s="1"/>
  <c r="G6" i="1"/>
  <c r="G8" i="1" s="1"/>
  <c r="F6" i="1"/>
  <c r="F8" i="1"/>
  <c r="E6" i="1"/>
  <c r="G16" i="2"/>
  <c r="E4" i="5" l="1"/>
  <c r="E8" i="1"/>
  <c r="B13" i="5"/>
  <c r="B21" i="5"/>
  <c r="C22" i="5"/>
  <c r="G4" i="7"/>
  <c r="G8" i="4"/>
  <c r="Q4" i="7"/>
  <c r="Q8" i="4"/>
  <c r="L3" i="6"/>
  <c r="L8" i="3"/>
  <c r="M8" i="3" s="1"/>
  <c r="M5" i="3"/>
  <c r="M3" i="6" s="1"/>
  <c r="M18" i="6"/>
  <c r="F28" i="2"/>
  <c r="D8" i="5"/>
  <c r="D6" i="1"/>
  <c r="D9" i="5"/>
  <c r="D13" i="5"/>
  <c r="D14" i="5"/>
  <c r="D15" i="5"/>
  <c r="D17" i="5"/>
  <c r="D18" i="5"/>
  <c r="D19" i="5"/>
  <c r="D21" i="5"/>
  <c r="S8" i="3"/>
  <c r="M4" i="7"/>
  <c r="H14" i="2"/>
  <c r="E9" i="5"/>
  <c r="E13" i="5"/>
  <c r="E11" i="6"/>
  <c r="E6" i="3"/>
  <c r="I4" i="5"/>
  <c r="I8" i="1"/>
  <c r="AD8" i="4"/>
  <c r="C8" i="5"/>
  <c r="C6" i="1"/>
  <c r="D11" i="5"/>
  <c r="D12" i="5"/>
  <c r="D16" i="5"/>
  <c r="D20" i="5"/>
  <c r="D22" i="5"/>
  <c r="C4" i="6"/>
  <c r="C8" i="3"/>
  <c r="E12" i="5"/>
  <c r="K6" i="3"/>
  <c r="K8" i="4"/>
  <c r="K3" i="7"/>
  <c r="O4" i="5"/>
  <c r="O8" i="1"/>
  <c r="C14" i="5"/>
  <c r="O3" i="5"/>
  <c r="B6" i="3"/>
  <c r="H3" i="6"/>
  <c r="I8" i="6"/>
  <c r="F9" i="6"/>
  <c r="N4" i="7"/>
  <c r="N8" i="4"/>
  <c r="R4" i="5"/>
  <c r="C14" i="2"/>
  <c r="C16" i="2" s="1"/>
  <c r="D14" i="2"/>
  <c r="R8" i="1"/>
  <c r="M14" i="6"/>
  <c r="F24" i="2"/>
  <c r="J21" i="2"/>
  <c r="K21" i="2"/>
  <c r="J8" i="5"/>
  <c r="J9" i="5"/>
  <c r="J11" i="5"/>
  <c r="J12" i="5"/>
  <c r="J13" i="5"/>
  <c r="J14" i="5"/>
  <c r="J16" i="5"/>
  <c r="J17" i="5"/>
  <c r="J18" i="5"/>
  <c r="J19" i="5"/>
  <c r="J20" i="5"/>
  <c r="J21" i="5"/>
  <c r="J22" i="5"/>
  <c r="J23" i="5"/>
  <c r="H6" i="3"/>
  <c r="K3" i="6"/>
  <c r="B8" i="6"/>
  <c r="J8" i="6"/>
  <c r="G9" i="6"/>
  <c r="D11" i="6"/>
  <c r="B12" i="6"/>
  <c r="J12" i="6"/>
  <c r="H13" i="6"/>
  <c r="D15" i="6"/>
  <c r="B16" i="6"/>
  <c r="J16" i="6"/>
  <c r="H17" i="6"/>
  <c r="D19" i="6"/>
  <c r="B20" i="6"/>
  <c r="J20" i="6"/>
  <c r="H21" i="6"/>
  <c r="D23" i="6"/>
  <c r="D6" i="4"/>
  <c r="O3" i="7"/>
  <c r="J8" i="7"/>
  <c r="J6" i="4"/>
  <c r="G9" i="7"/>
  <c r="C11" i="7"/>
  <c r="H12" i="7"/>
  <c r="E13" i="7"/>
  <c r="C19" i="7"/>
  <c r="P4" i="7"/>
  <c r="P8" i="4"/>
  <c r="AG8" i="1"/>
  <c r="P3" i="6"/>
  <c r="R3" i="5"/>
  <c r="D13" i="2"/>
  <c r="C13" i="2"/>
  <c r="M13" i="6"/>
  <c r="F23" i="2"/>
  <c r="AD8" i="3"/>
  <c r="K25" i="2"/>
  <c r="M17" i="6"/>
  <c r="F27" i="2"/>
  <c r="I6" i="3"/>
  <c r="E6" i="4"/>
  <c r="U6" i="4"/>
  <c r="U8" i="4" s="1"/>
  <c r="M12" i="7"/>
  <c r="O22" i="2" s="1"/>
  <c r="H22" i="2"/>
  <c r="M20" i="7"/>
  <c r="H30" i="2"/>
  <c r="P3" i="7"/>
  <c r="M22" i="6"/>
  <c r="F32" i="2"/>
  <c r="H21" i="2"/>
  <c r="AD8" i="1"/>
  <c r="E8" i="5"/>
  <c r="E14" i="5"/>
  <c r="E15" i="5"/>
  <c r="E16" i="5"/>
  <c r="E20" i="5"/>
  <c r="E21" i="5"/>
  <c r="E22" i="5"/>
  <c r="E23" i="5"/>
  <c r="H6" i="4"/>
  <c r="B6" i="1"/>
  <c r="K8" i="1"/>
  <c r="F8" i="5"/>
  <c r="F9" i="5"/>
  <c r="F11" i="5"/>
  <c r="F12" i="5"/>
  <c r="F13" i="5"/>
  <c r="F15" i="5"/>
  <c r="F16" i="5"/>
  <c r="F17" i="5"/>
  <c r="F18" i="5"/>
  <c r="F19" i="5"/>
  <c r="F20" i="5"/>
  <c r="F21" i="5"/>
  <c r="F22" i="5"/>
  <c r="F23" i="5"/>
  <c r="N8" i="1"/>
  <c r="M8" i="1" s="1"/>
  <c r="D6" i="3"/>
  <c r="G3" i="6"/>
  <c r="F8" i="6"/>
  <c r="H11" i="6"/>
  <c r="F12" i="6"/>
  <c r="D13" i="6"/>
  <c r="B14" i="6"/>
  <c r="J14" i="6"/>
  <c r="H15" i="6"/>
  <c r="F16" i="6"/>
  <c r="D17" i="6"/>
  <c r="J18" i="6"/>
  <c r="H19" i="6"/>
  <c r="F20" i="6"/>
  <c r="D21" i="6"/>
  <c r="B22" i="6"/>
  <c r="J22" i="6"/>
  <c r="H23" i="6"/>
  <c r="B6" i="4"/>
  <c r="L3" i="7"/>
  <c r="C9" i="7"/>
  <c r="C15" i="7"/>
  <c r="C23" i="7"/>
  <c r="S6" i="1"/>
  <c r="S8" i="1" s="1"/>
  <c r="Q3" i="5"/>
  <c r="M8" i="5"/>
  <c r="K18" i="2" s="1"/>
  <c r="L4" i="6"/>
  <c r="M6" i="3"/>
  <c r="M21" i="6"/>
  <c r="M31" i="2" s="1"/>
  <c r="F31" i="2"/>
  <c r="F4" i="6"/>
  <c r="J4" i="5"/>
  <c r="E19" i="5"/>
  <c r="G3" i="5"/>
  <c r="G6" i="3"/>
  <c r="O8" i="3"/>
  <c r="D9" i="6"/>
  <c r="C14" i="6"/>
  <c r="E17" i="6"/>
  <c r="C18" i="6"/>
  <c r="I6" i="4"/>
  <c r="L4" i="7"/>
  <c r="L8" i="4"/>
  <c r="V6" i="4"/>
  <c r="V8" i="4" s="1"/>
  <c r="M18" i="7"/>
  <c r="O28" i="2" s="1"/>
  <c r="AI8" i="4"/>
  <c r="P3" i="5"/>
  <c r="M5" i="1"/>
  <c r="M3" i="5" s="1"/>
  <c r="M21" i="5"/>
  <c r="L4" i="5"/>
  <c r="M10" i="6"/>
  <c r="M20" i="2" s="1"/>
  <c r="F20" i="2"/>
  <c r="H20" i="2"/>
  <c r="M17" i="7"/>
  <c r="O27" i="2" s="1"/>
  <c r="H27" i="2"/>
  <c r="F4" i="5"/>
  <c r="E11" i="5"/>
  <c r="E17" i="5"/>
  <c r="E18" i="5"/>
  <c r="H8" i="1"/>
  <c r="H8" i="5"/>
  <c r="H9" i="5"/>
  <c r="H12" i="5"/>
  <c r="H14" i="5"/>
  <c r="B3" i="6"/>
  <c r="E3" i="6"/>
  <c r="J6" i="3"/>
  <c r="B11" i="6"/>
  <c r="J11" i="6"/>
  <c r="H12" i="6"/>
  <c r="D14" i="6"/>
  <c r="B15" i="6"/>
  <c r="J15" i="6"/>
  <c r="H16" i="6"/>
  <c r="D18" i="6"/>
  <c r="B19" i="6"/>
  <c r="J19" i="6"/>
  <c r="B23" i="6"/>
  <c r="F6" i="4"/>
  <c r="N3" i="7"/>
  <c r="W6" i="4"/>
  <c r="W8" i="4" s="1"/>
  <c r="M13" i="7"/>
  <c r="O23" i="2" s="1"/>
  <c r="H23" i="2"/>
  <c r="M21" i="7"/>
  <c r="H31" i="2"/>
  <c r="AG8" i="4"/>
  <c r="Q8" i="1"/>
  <c r="D30" i="2"/>
  <c r="M16" i="5"/>
  <c r="K26" i="2" s="1"/>
  <c r="R4" i="6"/>
  <c r="F14" i="2"/>
  <c r="E14" i="2"/>
  <c r="E16" i="2" s="1"/>
  <c r="M9" i="6"/>
  <c r="M19" i="2" s="1"/>
  <c r="F19" i="2"/>
  <c r="E16" i="6"/>
  <c r="I18" i="6"/>
  <c r="E20" i="6"/>
  <c r="I22" i="6"/>
  <c r="B3" i="7"/>
  <c r="E3" i="7"/>
  <c r="F8" i="7"/>
  <c r="M9" i="7"/>
  <c r="G11" i="7"/>
  <c r="D12" i="7"/>
  <c r="I13" i="7"/>
  <c r="F14" i="7"/>
  <c r="M15" i="7"/>
  <c r="O25" i="2" s="1"/>
  <c r="H16" i="7"/>
  <c r="E17" i="7"/>
  <c r="B18" i="7"/>
  <c r="J18" i="7"/>
  <c r="G19" i="7"/>
  <c r="D20" i="7"/>
  <c r="I21" i="7"/>
  <c r="F22" i="7"/>
  <c r="M23" i="7"/>
  <c r="O33" i="2" s="1"/>
  <c r="R3" i="7"/>
  <c r="P4" i="6"/>
  <c r="L3" i="5"/>
  <c r="F13" i="2"/>
  <c r="K33" i="2"/>
  <c r="J32" i="2"/>
  <c r="K32" i="2"/>
  <c r="J31" i="2"/>
  <c r="K31" i="2"/>
  <c r="J30" i="2"/>
  <c r="K30" i="2"/>
  <c r="J29" i="2"/>
  <c r="K29" i="2"/>
  <c r="J28" i="2"/>
  <c r="K28" i="2"/>
  <c r="J26" i="2"/>
  <c r="J33" i="2"/>
  <c r="H20" i="6"/>
  <c r="D22" i="6"/>
  <c r="J23" i="6"/>
  <c r="C6" i="4"/>
  <c r="F3" i="7"/>
  <c r="O8" i="4"/>
  <c r="I8" i="7"/>
  <c r="F9" i="7"/>
  <c r="B11" i="7"/>
  <c r="J11" i="7"/>
  <c r="T6" i="1"/>
  <c r="T8" i="1" s="1"/>
  <c r="M20" i="6"/>
  <c r="M12" i="6"/>
  <c r="H19" i="2"/>
  <c r="AD6" i="3"/>
  <c r="M14" i="5"/>
  <c r="J22" i="2"/>
  <c r="K22" i="2"/>
  <c r="M10" i="5"/>
  <c r="K20" i="2" s="1"/>
  <c r="B14" i="7"/>
  <c r="J14" i="7"/>
  <c r="G15" i="7"/>
  <c r="D16" i="7"/>
  <c r="I17" i="7"/>
  <c r="F18" i="7"/>
  <c r="H20" i="7"/>
  <c r="E21" i="7"/>
  <c r="B22" i="7"/>
  <c r="J22" i="7"/>
  <c r="G23" i="7"/>
  <c r="P4" i="5"/>
  <c r="Q3" i="6"/>
  <c r="M13" i="2"/>
  <c r="L13" i="2"/>
  <c r="K27" i="2"/>
  <c r="H9" i="7"/>
  <c r="D11" i="7"/>
  <c r="I12" i="7"/>
  <c r="F13" i="7"/>
  <c r="M14" i="7"/>
  <c r="H15" i="7"/>
  <c r="E16" i="7"/>
  <c r="B17" i="7"/>
  <c r="J17" i="7"/>
  <c r="G18" i="7"/>
  <c r="D19" i="7"/>
  <c r="I20" i="7"/>
  <c r="F21" i="7"/>
  <c r="M22" i="7"/>
  <c r="O32" i="2" s="1"/>
  <c r="R4" i="7"/>
  <c r="D32" i="2"/>
  <c r="D28" i="2"/>
  <c r="M23" i="6"/>
  <c r="M33" i="2" s="1"/>
  <c r="M19" i="6"/>
  <c r="M29" i="2" s="1"/>
  <c r="M15" i="6"/>
  <c r="M25" i="2" s="1"/>
  <c r="M11" i="6"/>
  <c r="M21" i="2" s="1"/>
  <c r="H13" i="2"/>
  <c r="H26" i="2"/>
  <c r="J23" i="2"/>
  <c r="K23" i="2"/>
  <c r="O31" i="2"/>
  <c r="O19" i="2"/>
  <c r="N4" i="5"/>
  <c r="J24" i="2"/>
  <c r="K24" i="2"/>
  <c r="O30" i="2"/>
  <c r="O24" i="2"/>
  <c r="J18" i="2"/>
  <c r="M27" i="2"/>
  <c r="N24" i="2"/>
  <c r="N32" i="2"/>
  <c r="M28" i="2"/>
  <c r="O20" i="2"/>
  <c r="M22" i="2"/>
  <c r="M30" i="2"/>
  <c r="M23" i="2"/>
  <c r="M24" i="2"/>
  <c r="M32" i="2"/>
  <c r="C4" i="7" l="1"/>
  <c r="C8" i="4"/>
  <c r="J4" i="6"/>
  <c r="J8" i="3"/>
  <c r="G4" i="6"/>
  <c r="G8" i="3"/>
  <c r="B4" i="7"/>
  <c r="B8" i="4"/>
  <c r="I4" i="6"/>
  <c r="I8" i="3"/>
  <c r="H4" i="6"/>
  <c r="H8" i="3"/>
  <c r="D4" i="5"/>
  <c r="D8" i="1"/>
  <c r="E4" i="6"/>
  <c r="E8" i="3"/>
  <c r="B8" i="1"/>
  <c r="B4" i="5"/>
  <c r="J4" i="7"/>
  <c r="J8" i="4"/>
  <c r="K4" i="6"/>
  <c r="K8" i="3"/>
  <c r="O14" i="2"/>
  <c r="N14" i="2"/>
  <c r="N16" i="2" s="1"/>
  <c r="K13" i="2"/>
  <c r="J13" i="2"/>
  <c r="I4" i="7"/>
  <c r="I8" i="4"/>
  <c r="D4" i="6"/>
  <c r="D8" i="3"/>
  <c r="F4" i="7"/>
  <c r="F8" i="4"/>
  <c r="H4" i="7"/>
  <c r="H8" i="4"/>
  <c r="B4" i="6"/>
  <c r="B8" i="3"/>
  <c r="C4" i="5"/>
  <c r="C8" i="1"/>
  <c r="L14" i="2"/>
  <c r="L16" i="2" s="1"/>
  <c r="O13" i="2"/>
  <c r="N13" i="2"/>
  <c r="K14" i="2"/>
  <c r="J14" i="2"/>
  <c r="J16" i="2" s="1"/>
  <c r="D4" i="7"/>
  <c r="D8" i="4"/>
  <c r="M4" i="6"/>
  <c r="M14" i="2" s="1"/>
  <c r="E4" i="7"/>
  <c r="E8" i="4"/>
  <c r="M8" i="4"/>
</calcChain>
</file>

<file path=xl/comments1.xml><?xml version="1.0" encoding="utf-8"?>
<comments xmlns="http://schemas.openxmlformats.org/spreadsheetml/2006/main">
  <authors>
    <author>jmarks</author>
    <author>mloverde</author>
    <author>jennifer berg</author>
  </authors>
  <commentList>
    <comment ref="M3" authorId="0" shapeId="0">
      <text>
        <r>
          <rPr>
            <b/>
            <sz val="8"/>
            <color indexed="81"/>
            <rFont val="Tahoma"/>
            <family val="2"/>
          </rPr>
          <t xml:space="preserve">extrapolated
</t>
        </r>
      </text>
    </comment>
    <comment ref="AD3" authorId="1" shapeId="0">
      <text>
        <r>
          <rPr>
            <b/>
            <sz val="8"/>
            <color indexed="81"/>
            <rFont val="Tahoma"/>
          </rPr>
          <t>jmarks:
extrapolated</t>
        </r>
      </text>
    </comment>
    <comment ref="A5" authorId="0" shapeId="0">
      <text>
        <r>
          <rPr>
            <b/>
            <sz val="8"/>
            <color indexed="81"/>
            <rFont val="Tahoma"/>
          </rPr>
          <t>U.S. total is 50 states plus DC</t>
        </r>
      </text>
    </comment>
    <comment ref="C5" authorId="2" shapeId="0">
      <text>
        <r>
          <rPr>
            <b/>
            <sz val="8"/>
            <color indexed="81"/>
            <rFont val="Tahoma"/>
          </rPr>
          <t>nothing subtracted from total b/c not sure where data came from</t>
        </r>
      </text>
    </comment>
    <comment ref="G5" authorId="2" shapeId="0">
      <text>
        <r>
          <rPr>
            <b/>
            <sz val="8"/>
            <color indexed="81"/>
            <rFont val="Tahoma"/>
          </rPr>
          <t>no 89-90 Virgin Islands data so could not subtract it from US total (same throughout all sections)</t>
        </r>
      </text>
    </comment>
    <comment ref="I5" authorId="2" shapeId="0">
      <text>
        <r>
          <rPr>
            <b/>
            <sz val="8"/>
            <color indexed="81"/>
            <rFont val="Tahoma"/>
          </rPr>
          <t>Puerto Rico is only outlying area subtracted from 91-92 US total b/c no other data available (same throughout all sections of data)</t>
        </r>
      </text>
    </comment>
    <comment ref="C12" authorId="0" shapeId="0">
      <text>
        <r>
          <rPr>
            <b/>
            <sz val="8"/>
            <color indexed="81"/>
            <rFont val="Tahoma"/>
          </rPr>
          <t>jmarks:</t>
        </r>
        <r>
          <rPr>
            <sz val="8"/>
            <color indexed="81"/>
            <rFont val="Tahoma"/>
          </rPr>
          <t xml:space="preserve">
extrapolated</t>
        </r>
      </text>
    </comment>
    <comment ref="T12" authorId="0" shapeId="0">
      <text>
        <r>
          <rPr>
            <b/>
            <sz val="8"/>
            <color indexed="81"/>
            <rFont val="Tahoma"/>
          </rPr>
          <t>jmarks:</t>
        </r>
        <r>
          <rPr>
            <sz val="8"/>
            <color indexed="81"/>
            <rFont val="Tahoma"/>
          </rPr>
          <t xml:space="preserve">
extrapolated</t>
        </r>
      </text>
    </comment>
  </commentList>
</comments>
</file>

<file path=xl/comments2.xml><?xml version="1.0" encoding="utf-8"?>
<comments xmlns="http://schemas.openxmlformats.org/spreadsheetml/2006/main">
  <authors>
    <author>jmarks</author>
    <author>jennifer berg</author>
  </authors>
  <commentList>
    <comment ref="A3" authorId="0" shapeId="0">
      <text>
        <r>
          <rPr>
            <b/>
            <sz val="8"/>
            <color indexed="81"/>
            <rFont val="Tahoma"/>
          </rPr>
          <t>U.S. total is 50 states plus DC</t>
        </r>
      </text>
    </comment>
    <comment ref="C3" authorId="1" shapeId="0">
      <text>
        <r>
          <rPr>
            <b/>
            <sz val="8"/>
            <color indexed="81"/>
            <rFont val="Tahoma"/>
          </rPr>
          <t>nothing subtracted from total b/c not sure where data came from</t>
        </r>
      </text>
    </comment>
    <comment ref="G3" authorId="1" shapeId="0">
      <text>
        <r>
          <rPr>
            <b/>
            <sz val="8"/>
            <color indexed="81"/>
            <rFont val="Tahoma"/>
          </rPr>
          <t>no 89-90 Virgin Islands data so could not subtract it from US total (same throughout all sections)</t>
        </r>
      </text>
    </comment>
    <comment ref="I3" authorId="1" shapeId="0">
      <text>
        <r>
          <rPr>
            <b/>
            <sz val="8"/>
            <color indexed="81"/>
            <rFont val="Tahoma"/>
          </rPr>
          <t>Puerto Rico is only outlying area subtracted from 91-92 US total b/c no other data available (same throughout all sections of data)</t>
        </r>
      </text>
    </comment>
  </commentList>
</comments>
</file>

<file path=xl/comments3.xml><?xml version="1.0" encoding="utf-8"?>
<comments xmlns="http://schemas.openxmlformats.org/spreadsheetml/2006/main">
  <authors>
    <author>mloverde</author>
    <author>jmarks</author>
  </authors>
  <commentList>
    <comment ref="AD3" authorId="0" shapeId="0">
      <text>
        <r>
          <rPr>
            <b/>
            <sz val="8"/>
            <color indexed="81"/>
            <rFont val="Tahoma"/>
          </rPr>
          <t>extrapolated</t>
        </r>
      </text>
    </comment>
    <comment ref="A5" authorId="1" shapeId="0">
      <text>
        <r>
          <rPr>
            <b/>
            <sz val="8"/>
            <color indexed="81"/>
            <rFont val="Tahoma"/>
          </rPr>
          <t>U.S. total is 50 states plus DC</t>
        </r>
      </text>
    </comment>
  </commentList>
</comments>
</file>

<file path=xl/comments4.xml><?xml version="1.0" encoding="utf-8"?>
<comments xmlns="http://schemas.openxmlformats.org/spreadsheetml/2006/main">
  <authors>
    <author>jmarks</author>
  </authors>
  <commentList>
    <comment ref="A3" authorId="0" shapeId="0">
      <text>
        <r>
          <rPr>
            <b/>
            <sz val="8"/>
            <color indexed="81"/>
            <rFont val="Tahoma"/>
          </rPr>
          <t>U.S. total is 50 states plus DC</t>
        </r>
      </text>
    </comment>
  </commentList>
</comments>
</file>

<file path=xl/comments5.xml><?xml version="1.0" encoding="utf-8"?>
<comments xmlns="http://schemas.openxmlformats.org/spreadsheetml/2006/main">
  <authors>
    <author>jmarks</author>
    <author>mloverde</author>
  </authors>
  <commentList>
    <comment ref="M3" authorId="0" shapeId="0">
      <text>
        <r>
          <rPr>
            <b/>
            <sz val="8"/>
            <color indexed="81"/>
            <rFont val="Tahoma"/>
          </rPr>
          <t>jmarks:</t>
        </r>
        <r>
          <rPr>
            <sz val="8"/>
            <color indexed="81"/>
            <rFont val="Tahoma"/>
          </rPr>
          <t xml:space="preserve">
extrapolated</t>
        </r>
      </text>
    </comment>
    <comment ref="AD3" authorId="1" shapeId="0">
      <text>
        <r>
          <rPr>
            <b/>
            <sz val="8"/>
            <color indexed="81"/>
            <rFont val="Tahoma"/>
          </rPr>
          <t>extrapolated</t>
        </r>
        <r>
          <rPr>
            <sz val="8"/>
            <color indexed="81"/>
            <rFont val="Tahoma"/>
          </rPr>
          <t xml:space="preserve">
</t>
        </r>
      </text>
    </comment>
    <comment ref="A5" authorId="0" shapeId="0">
      <text>
        <r>
          <rPr>
            <b/>
            <sz val="8"/>
            <color indexed="81"/>
            <rFont val="Tahoma"/>
          </rPr>
          <t>U.S. total is 50 states plus DC</t>
        </r>
      </text>
    </comment>
  </commentList>
</comments>
</file>

<file path=xl/comments6.xml><?xml version="1.0" encoding="utf-8"?>
<comments xmlns="http://schemas.openxmlformats.org/spreadsheetml/2006/main">
  <authors>
    <author>jmarks</author>
  </authors>
  <commentList>
    <comment ref="M1" authorId="0" shapeId="0">
      <text>
        <r>
          <rPr>
            <b/>
            <sz val="8"/>
            <color indexed="81"/>
            <rFont val="Tahoma"/>
          </rPr>
          <t>jmarks:</t>
        </r>
        <r>
          <rPr>
            <sz val="8"/>
            <color indexed="81"/>
            <rFont val="Tahoma"/>
          </rPr>
          <t xml:space="preserve">
extrapolated</t>
        </r>
      </text>
    </comment>
    <comment ref="A3" authorId="0" shapeId="0">
      <text>
        <r>
          <rPr>
            <b/>
            <sz val="8"/>
            <color indexed="81"/>
            <rFont val="Tahoma"/>
          </rPr>
          <t>U.S. total is 50 states plus DC</t>
        </r>
      </text>
    </comment>
  </commentList>
</comments>
</file>

<file path=xl/sharedStrings.xml><?xml version="1.0" encoding="utf-8"?>
<sst xmlns="http://schemas.openxmlformats.org/spreadsheetml/2006/main" count="2244" uniqueCount="218">
  <si>
    <t>Federal</t>
  </si>
  <si>
    <t>-</t>
  </si>
  <si>
    <t>Campus-Based</t>
  </si>
  <si>
    <t>Financial Aid*</t>
  </si>
  <si>
    <t>College Work Study Program</t>
  </si>
  <si>
    <t>Perkins Loans -- (National Direct Student Loans until 1987)----------------</t>
  </si>
  <si>
    <t>Supplemental Educational Opportunity Grants</t>
  </si>
  <si>
    <t>Funding (000s)</t>
  </si>
  <si>
    <t>Recipients</t>
  </si>
  <si>
    <t>1982-83</t>
  </si>
  <si>
    <t>1985-86</t>
  </si>
  <si>
    <t>1986-87</t>
  </si>
  <si>
    <t>1987-88</t>
  </si>
  <si>
    <t>1988-89</t>
  </si>
  <si>
    <t>1989-90</t>
  </si>
  <si>
    <t>1990-91</t>
  </si>
  <si>
    <t>1991-92</t>
  </si>
  <si>
    <t>1992-93</t>
  </si>
  <si>
    <t>1993-94</t>
  </si>
  <si>
    <t>1994-95</t>
  </si>
  <si>
    <t>United States</t>
  </si>
  <si>
    <t>SREB States</t>
  </si>
  <si>
    <t>SREB States as a</t>
  </si>
  <si>
    <t xml:space="preserve">   Percent of U.S.</t>
  </si>
  <si>
    <t>Alabama</t>
  </si>
  <si>
    <t>Arkansas</t>
  </si>
  <si>
    <t>Florida</t>
  </si>
  <si>
    <t>Georgia</t>
  </si>
  <si>
    <t>Kentucky</t>
  </si>
  <si>
    <t>Louisiana</t>
  </si>
  <si>
    <t>Maryland</t>
  </si>
  <si>
    <t>Mississippi</t>
  </si>
  <si>
    <t>North Carolina</t>
  </si>
  <si>
    <t>Oklahoma</t>
  </si>
  <si>
    <t>South Carolina</t>
  </si>
  <si>
    <t>Tennessee</t>
  </si>
  <si>
    <t>Texas</t>
  </si>
  <si>
    <t>Virginia</t>
  </si>
  <si>
    <t>West Virginia</t>
  </si>
  <si>
    <t>* Columns</t>
  </si>
  <si>
    <t>"Distribution</t>
  </si>
  <si>
    <t>U.S.</t>
  </si>
  <si>
    <t>Distribution</t>
  </si>
  <si>
    <t>from the</t>
  </si>
  <si>
    <t>of</t>
  </si>
  <si>
    <t>Dept of</t>
  </si>
  <si>
    <t>"Distribution"</t>
  </si>
  <si>
    <t>Awards</t>
  </si>
  <si>
    <t>Education,</t>
  </si>
  <si>
    <t>reports</t>
  </si>
  <si>
    <t>in the</t>
  </si>
  <si>
    <t>Office</t>
  </si>
  <si>
    <t>represent</t>
  </si>
  <si>
    <t>total</t>
  </si>
  <si>
    <t>Programs</t>
  </si>
  <si>
    <t>Student</t>
  </si>
  <si>
    <t>from all</t>
  </si>
  <si>
    <t>for</t>
  </si>
  <si>
    <t>Financial</t>
  </si>
  <si>
    <t>sources</t>
  </si>
  <si>
    <t>1982-83,"</t>
  </si>
  <si>
    <t>Assistance,</t>
  </si>
  <si>
    <t>1986-87,"</t>
  </si>
  <si>
    <t>1987-88,"</t>
  </si>
  <si>
    <t>1988-89,"</t>
  </si>
  <si>
    <t>1989-90,"</t>
  </si>
  <si>
    <t>1990-91,"</t>
  </si>
  <si>
    <t>1991-92,"</t>
  </si>
  <si>
    <t>1992-93,"</t>
  </si>
  <si>
    <t>of funds;</t>
  </si>
  <si>
    <t>information</t>
  </si>
  <si>
    <t>"Notification</t>
  </si>
  <si>
    <t>Division</t>
  </si>
  <si>
    <t>the total</t>
  </si>
  <si>
    <t>received</t>
  </si>
  <si>
    <t>to</t>
  </si>
  <si>
    <t>of Policy</t>
  </si>
  <si>
    <t>of Analysis</t>
  </si>
  <si>
    <t>Members</t>
  </si>
  <si>
    <t xml:space="preserve">and </t>
  </si>
  <si>
    <t>"Notification"</t>
  </si>
  <si>
    <t>Program</t>
  </si>
  <si>
    <t>Forecasting,</t>
  </si>
  <si>
    <t>Congress,</t>
  </si>
  <si>
    <t>Development,</t>
  </si>
  <si>
    <t>U. S.</t>
  </si>
  <si>
    <t>contain</t>
  </si>
  <si>
    <t>1986,"</t>
  </si>
  <si>
    <t>Department</t>
  </si>
  <si>
    <t>federal</t>
  </si>
  <si>
    <t>advance</t>
  </si>
  <si>
    <t>funds</t>
  </si>
  <si>
    <t>data</t>
  </si>
  <si>
    <t>only.  We</t>
  </si>
  <si>
    <t>(1986).</t>
  </si>
  <si>
    <t>February</t>
  </si>
  <si>
    <t>April</t>
  </si>
  <si>
    <t>need to</t>
  </si>
  <si>
    <t>1993.</t>
  </si>
  <si>
    <t>1994.</t>
  </si>
  <si>
    <t>separate</t>
  </si>
  <si>
    <t>1992.</t>
  </si>
  <si>
    <t>the</t>
  </si>
  <si>
    <t>September</t>
  </si>
  <si>
    <t>July</t>
  </si>
  <si>
    <t>and</t>
  </si>
  <si>
    <t>1988.</t>
  </si>
  <si>
    <t>1990.</t>
  </si>
  <si>
    <t>1991.</t>
  </si>
  <si>
    <t>develop</t>
  </si>
  <si>
    <t>two</t>
  </si>
  <si>
    <t>series of</t>
  </si>
  <si>
    <t>these</t>
  </si>
  <si>
    <t>data.</t>
  </si>
  <si>
    <t>Study Program</t>
  </si>
  <si>
    <t>Opportunity Grants</t>
  </si>
  <si>
    <t>Percent</t>
  </si>
  <si>
    <t>October</t>
  </si>
  <si>
    <t>1996</t>
  </si>
  <si>
    <t>1995</t>
  </si>
  <si>
    <t>Delaware</t>
  </si>
  <si>
    <t>1996-97</t>
  </si>
  <si>
    <t>1997-98</t>
  </si>
  <si>
    <t>SREB states as a</t>
  </si>
  <si>
    <t>SREB states</t>
  </si>
  <si>
    <t>Increase,</t>
  </si>
  <si>
    <t xml:space="preserve"> percentage of nation</t>
  </si>
  <si>
    <t>College Work/</t>
  </si>
  <si>
    <t xml:space="preserve"> </t>
  </si>
  <si>
    <t>Sources:</t>
  </si>
  <si>
    <t>Change,</t>
  </si>
  <si>
    <t>Campus-</t>
  </si>
  <si>
    <t>Based</t>
  </si>
  <si>
    <t>of Awards</t>
  </si>
  <si>
    <t>for 1997-</t>
  </si>
  <si>
    <t>Book 1999.</t>
  </si>
  <si>
    <t>Forecasting</t>
  </si>
  <si>
    <t>&amp; Policy</t>
  </si>
  <si>
    <t>Analysis</t>
  </si>
  <si>
    <t>Unit, U.S.</t>
  </si>
  <si>
    <t>Dept. of</t>
  </si>
  <si>
    <t>May</t>
  </si>
  <si>
    <r>
      <t xml:space="preserve">98, </t>
    </r>
    <r>
      <rPr>
        <i/>
        <sz val="9"/>
        <rFont val="SWISS-C"/>
      </rPr>
      <t>Data</t>
    </r>
  </si>
  <si>
    <t>p. 3-18.</t>
  </si>
  <si>
    <t>p. 3-14.</t>
  </si>
  <si>
    <t>p. 3-16.</t>
  </si>
  <si>
    <t>1998-99</t>
  </si>
  <si>
    <t>for 1998-</t>
  </si>
  <si>
    <r>
      <t xml:space="preserve">99, </t>
    </r>
    <r>
      <rPr>
        <i/>
        <sz val="9"/>
        <rFont val="SWISS-C"/>
      </rPr>
      <t>Data</t>
    </r>
  </si>
  <si>
    <t>Book 2000.</t>
  </si>
  <si>
    <t>August</t>
  </si>
  <si>
    <t>continued</t>
  </si>
  <si>
    <t>1999-2000</t>
  </si>
  <si>
    <t>Perkins Loans</t>
  </si>
  <si>
    <t>Notes:</t>
  </si>
  <si>
    <t>Federal Perkins Loans are low-interest (5 percent) loans for undergraduate and graduate students with exceptional financial need. (Perkins Loans were called National Direct Student Loans until 1987.)</t>
  </si>
  <si>
    <t>Federal Supplemental Educational Opportunity Grants are for undergraduates with exceptional financial need -- those with the lowest expected family contributions. The program gives priority to students who also receive Pell Grants.</t>
  </si>
  <si>
    <t>Amount (in thousands)</t>
  </si>
  <si>
    <t>The federal College Work/Study Program provides jobs for undergraduate and graduate students with financial need, allowing them to earn money to help pay educational expenses. If the student works on campus, it is usually for the school. If the student works off campus, the employer usually will be a private, nonprofit organization or a public agency, and the work performed must be in the public interest.</t>
  </si>
  <si>
    <t>2000-01</t>
  </si>
  <si>
    <t>Alaska</t>
  </si>
  <si>
    <t>Arizona</t>
  </si>
  <si>
    <t>California</t>
  </si>
  <si>
    <t>Colorado</t>
  </si>
  <si>
    <t>Connecticut</t>
  </si>
  <si>
    <t>District of Columbia</t>
  </si>
  <si>
    <t>Hawaii</t>
  </si>
  <si>
    <t>Idaho</t>
  </si>
  <si>
    <t>Illinois</t>
  </si>
  <si>
    <t>Indiana</t>
  </si>
  <si>
    <t>Iowa</t>
  </si>
  <si>
    <t>Kansas</t>
  </si>
  <si>
    <t>Maine</t>
  </si>
  <si>
    <t>Massachusetts</t>
  </si>
  <si>
    <t>Michigan</t>
  </si>
  <si>
    <t>Minnesota</t>
  </si>
  <si>
    <t>Missouri</t>
  </si>
  <si>
    <t>Montana</t>
  </si>
  <si>
    <t>Nebraska</t>
  </si>
  <si>
    <t>Nevada</t>
  </si>
  <si>
    <t>New Hampshire</t>
  </si>
  <si>
    <t>New Jersey</t>
  </si>
  <si>
    <t>New Mexico</t>
  </si>
  <si>
    <t>New York</t>
  </si>
  <si>
    <t>North Dakota</t>
  </si>
  <si>
    <t>Ohio</t>
  </si>
  <si>
    <t>Oregon</t>
  </si>
  <si>
    <t>Pennsylvania</t>
  </si>
  <si>
    <t>Rhode Island</t>
  </si>
  <si>
    <t>South Dakota</t>
  </si>
  <si>
    <t>Utah</t>
  </si>
  <si>
    <t>Vermont</t>
  </si>
  <si>
    <t>Washington</t>
  </si>
  <si>
    <t>Wisconsin</t>
  </si>
  <si>
    <t>Wyoming</t>
  </si>
  <si>
    <t>1995-96</t>
  </si>
  <si>
    <t>http://www.ed.gov/offices/OPE/Data/databook2000/databook2000html</t>
  </si>
  <si>
    <t>December</t>
  </si>
  <si>
    <t>Book 2001.</t>
  </si>
  <si>
    <t>Book 2002.</t>
  </si>
  <si>
    <t>for 2000-</t>
  </si>
  <si>
    <r>
      <t xml:space="preserve">2001, </t>
    </r>
    <r>
      <rPr>
        <i/>
        <sz val="9"/>
        <rFont val="SWISS-C"/>
      </rPr>
      <t>Data</t>
    </r>
  </si>
  <si>
    <t>for 1999-</t>
  </si>
  <si>
    <r>
      <t xml:space="preserve">2000, </t>
    </r>
    <r>
      <rPr>
        <i/>
        <sz val="9"/>
        <rFont val="SWISS-C"/>
      </rPr>
      <t>Data</t>
    </r>
  </si>
  <si>
    <t>1995-96 to</t>
  </si>
  <si>
    <t>November</t>
  </si>
  <si>
    <t>figures are</t>
  </si>
  <si>
    <t>an exptrapo-</t>
  </si>
  <si>
    <t xml:space="preserve">lation using </t>
  </si>
  <si>
    <t>1994 &amp; 1996</t>
  </si>
  <si>
    <t>as references</t>
  </si>
  <si>
    <t>Supplemental Educational</t>
  </si>
  <si>
    <t>Average Amount Per Recipient</t>
  </si>
  <si>
    <t>Federal Campus-Based Financial Aid to Students</t>
  </si>
  <si>
    <r>
      <t>SREB states</t>
    </r>
    <r>
      <rPr>
        <vertAlign val="superscript"/>
        <sz val="10"/>
        <rFont val="Arial"/>
        <family val="2"/>
      </rPr>
      <t>1</t>
    </r>
  </si>
  <si>
    <r>
      <t>1</t>
    </r>
    <r>
      <rPr>
        <sz val="10"/>
        <rFont val="Arial"/>
        <family val="2"/>
      </rPr>
      <t>Totals may not equal the sums of the figures shown because of rounding.</t>
    </r>
  </si>
  <si>
    <t>Division of Analysis and Forecasting, Office of Postsecondary Education, U.S. Department of Education: "Distribution of Awards in the Campus-Based Programs for 2000-01" (2002) and unpublished data.</t>
  </si>
  <si>
    <t>Table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</si>
</sst>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164" formatCode="0.0_)"/>
    <numFmt numFmtId="165" formatCode="#,##0.0_);\(#,##0.0\)"/>
    <numFmt numFmtId="166" formatCode="#,##0.0"/>
    <numFmt numFmtId="167" formatCode="&quot;$&quot;#,##0"/>
  </numFmts>
  <fonts count="16">
    <font>
      <sz val="10"/>
      <name val="SWISS-C"/>
    </font>
    <font>
      <sz val="10"/>
      <name val="SWISS-C"/>
    </font>
    <font>
      <sz val="10"/>
      <color indexed="11"/>
      <name val="SWISS-C"/>
    </font>
    <font>
      <sz val="10"/>
      <name val="Arial"/>
      <family val="2"/>
    </font>
    <font>
      <sz val="9"/>
      <name val="SWISS-C"/>
    </font>
    <font>
      <i/>
      <sz val="9"/>
      <name val="SWISS-C"/>
    </font>
    <font>
      <b/>
      <sz val="8"/>
      <color indexed="81"/>
      <name val="Tahoma"/>
    </font>
    <font>
      <sz val="10"/>
      <color indexed="12"/>
      <name val="SWISS-C"/>
    </font>
    <font>
      <sz val="8"/>
      <name val="SWISS-C"/>
    </font>
    <font>
      <sz val="10"/>
      <name val="Arial"/>
    </font>
    <font>
      <sz val="10"/>
      <color indexed="20"/>
      <name val="SWISS-C"/>
    </font>
    <font>
      <sz val="8"/>
      <color indexed="81"/>
      <name val="Tahoma"/>
    </font>
    <font>
      <u/>
      <sz val="7.5"/>
      <color indexed="12"/>
      <name val="SWISS-C"/>
    </font>
    <font>
      <b/>
      <sz val="8"/>
      <color indexed="81"/>
      <name val="Tahoma"/>
      <family val="2"/>
    </font>
    <font>
      <i/>
      <sz val="10"/>
      <name val="Arial"/>
      <family val="2"/>
    </font>
    <font>
      <vertAlign val="superscript"/>
      <sz val="10"/>
      <name val="Arial"/>
      <family val="2"/>
    </font>
  </fonts>
  <fills count="6">
    <fill>
      <patternFill patternType="none"/>
    </fill>
    <fill>
      <patternFill patternType="gray125"/>
    </fill>
    <fill>
      <patternFill patternType="solid">
        <fgColor indexed="13"/>
        <bgColor indexed="13"/>
      </patternFill>
    </fill>
    <fill>
      <patternFill patternType="solid">
        <fgColor indexed="43"/>
        <bgColor indexed="64"/>
      </patternFill>
    </fill>
    <fill>
      <patternFill patternType="solid">
        <fgColor indexed="43"/>
        <bgColor indexed="13"/>
      </patternFill>
    </fill>
    <fill>
      <patternFill patternType="solid">
        <fgColor indexed="44"/>
        <bgColor indexed="64"/>
      </patternFill>
    </fill>
  </fills>
  <borders count="15">
    <border>
      <left/>
      <right/>
      <top/>
      <bottom/>
      <diagonal/>
    </border>
    <border>
      <left style="thin">
        <color indexed="8"/>
      </left>
      <right/>
      <top/>
      <bottom/>
      <diagonal/>
    </border>
    <border>
      <left/>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top/>
      <bottom style="thin">
        <color indexed="64"/>
      </bottom>
      <diagonal/>
    </border>
    <border>
      <left style="thin">
        <color indexed="64"/>
      </left>
      <right/>
      <top/>
      <bottom/>
      <diagonal/>
    </border>
    <border>
      <left style="thin">
        <color indexed="64"/>
      </left>
      <right/>
      <top/>
      <bottom style="thin">
        <color indexed="8"/>
      </bottom>
      <diagonal/>
    </border>
    <border>
      <left style="thin">
        <color indexed="8"/>
      </left>
      <right/>
      <top/>
      <bottom style="thin">
        <color indexed="64"/>
      </bottom>
      <diagonal/>
    </border>
    <border>
      <left style="thin">
        <color indexed="64"/>
      </left>
      <right/>
      <top style="thin">
        <color indexed="64"/>
      </top>
      <bottom/>
      <diagonal/>
    </border>
    <border>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diagonal/>
    </border>
  </borders>
  <cellStyleXfs count="3">
    <xf numFmtId="37" fontId="0" fillId="0" borderId="0"/>
    <xf numFmtId="0" fontId="12" fillId="0" borderId="0" applyNumberFormat="0" applyFill="0" applyBorder="0" applyAlignment="0" applyProtection="0">
      <alignment vertical="top"/>
      <protection locked="0"/>
    </xf>
    <xf numFmtId="0" fontId="9" fillId="0" borderId="0"/>
  </cellStyleXfs>
  <cellXfs count="190">
    <xf numFmtId="37" fontId="0" fillId="0" borderId="0" xfId="0"/>
    <xf numFmtId="37" fontId="1" fillId="0" borderId="0" xfId="0" applyFont="1" applyProtection="1"/>
    <xf numFmtId="37" fontId="1" fillId="0" borderId="0" xfId="0" applyFont="1" applyAlignment="1" applyProtection="1">
      <alignment horizontal="right"/>
    </xf>
    <xf numFmtId="37" fontId="1" fillId="0" borderId="0" xfId="0" applyNumberFormat="1" applyFont="1" applyProtection="1"/>
    <xf numFmtId="37" fontId="1" fillId="2" borderId="0" xfId="0" applyNumberFormat="1" applyFont="1" applyFill="1" applyProtection="1"/>
    <xf numFmtId="37" fontId="2" fillId="0" borderId="0" xfId="0" applyNumberFormat="1" applyFont="1" applyProtection="1"/>
    <xf numFmtId="164" fontId="1" fillId="0" borderId="0" xfId="0" applyNumberFormat="1" applyFont="1" applyProtection="1"/>
    <xf numFmtId="164" fontId="1" fillId="2" borderId="0" xfId="0" applyNumberFormat="1" applyFont="1" applyFill="1" applyProtection="1"/>
    <xf numFmtId="37" fontId="1" fillId="2" borderId="0" xfId="0" applyFont="1" applyFill="1" applyProtection="1"/>
    <xf numFmtId="39" fontId="1" fillId="0" borderId="0" xfId="0" applyNumberFormat="1" applyFont="1" applyProtection="1"/>
    <xf numFmtId="37" fontId="1" fillId="0" borderId="0" xfId="0" applyFont="1" applyAlignment="1" applyProtection="1">
      <alignment horizontal="fill"/>
    </xf>
    <xf numFmtId="37" fontId="1" fillId="0" borderId="0" xfId="0" applyFont="1" applyAlignment="1" applyProtection="1">
      <alignment horizontal="left"/>
    </xf>
    <xf numFmtId="37" fontId="1" fillId="0" borderId="1" xfId="0" applyFont="1" applyBorder="1" applyProtection="1"/>
    <xf numFmtId="37" fontId="1" fillId="0" borderId="1" xfId="0" applyFont="1" applyBorder="1" applyAlignment="1" applyProtection="1">
      <alignment horizontal="right"/>
    </xf>
    <xf numFmtId="37" fontId="1" fillId="0" borderId="1" xfId="0" applyNumberFormat="1" applyFont="1" applyBorder="1" applyProtection="1"/>
    <xf numFmtId="37" fontId="2" fillId="0" borderId="1" xfId="0" applyNumberFormat="1" applyFont="1" applyBorder="1" applyProtection="1"/>
    <xf numFmtId="164" fontId="1" fillId="0" borderId="1" xfId="0" applyNumberFormat="1" applyFont="1" applyBorder="1" applyProtection="1"/>
    <xf numFmtId="49" fontId="1" fillId="0" borderId="0" xfId="0" quotePrefix="1" applyNumberFormat="1" applyFont="1" applyProtection="1"/>
    <xf numFmtId="37" fontId="1" fillId="0" borderId="0" xfId="0" quotePrefix="1" applyFont="1" applyProtection="1"/>
    <xf numFmtId="37" fontId="1" fillId="0" borderId="0" xfId="0" quotePrefix="1" applyFont="1" applyAlignment="1" applyProtection="1">
      <alignment horizontal="right"/>
    </xf>
    <xf numFmtId="37" fontId="3" fillId="0" borderId="0" xfId="0" applyFont="1" applyAlignment="1">
      <alignment horizontal="centerContinuous"/>
    </xf>
    <xf numFmtId="37" fontId="3" fillId="0" borderId="0" xfId="0" applyFont="1"/>
    <xf numFmtId="37" fontId="3" fillId="0" borderId="2" xfId="0" applyFont="1" applyBorder="1" applyAlignment="1">
      <alignment horizontal="centerContinuous"/>
    </xf>
    <xf numFmtId="37" fontId="3" fillId="0" borderId="2" xfId="0" applyFont="1" applyBorder="1"/>
    <xf numFmtId="37" fontId="3" fillId="0" borderId="0" xfId="0" applyFont="1" applyAlignment="1">
      <alignment horizontal="left"/>
    </xf>
    <xf numFmtId="37" fontId="3" fillId="0" borderId="3" xfId="0" applyFont="1" applyBorder="1" applyAlignment="1">
      <alignment horizontal="centerContinuous"/>
    </xf>
    <xf numFmtId="37" fontId="3" fillId="0" borderId="0" xfId="0" quotePrefix="1" applyFont="1" applyBorder="1" applyAlignment="1">
      <alignment horizontal="center"/>
    </xf>
    <xf numFmtId="5" fontId="3" fillId="0" borderId="0" xfId="0" applyNumberFormat="1" applyFont="1" applyAlignment="1" applyProtection="1">
      <alignment horizontal="right"/>
    </xf>
    <xf numFmtId="37" fontId="3" fillId="0" borderId="0" xfId="0" applyNumberFormat="1" applyFont="1" applyAlignment="1" applyProtection="1">
      <alignment horizontal="right"/>
    </xf>
    <xf numFmtId="37" fontId="3" fillId="0" borderId="0" xfId="0" applyFont="1" applyBorder="1" applyAlignment="1">
      <alignment horizontal="center"/>
    </xf>
    <xf numFmtId="37" fontId="3" fillId="0" borderId="0" xfId="0" applyFont="1" applyBorder="1" applyAlignment="1">
      <alignment horizontal="centerContinuous"/>
    </xf>
    <xf numFmtId="37" fontId="3" fillId="0" borderId="0" xfId="0" applyFont="1" applyBorder="1"/>
    <xf numFmtId="164" fontId="3" fillId="0" borderId="0" xfId="0" applyNumberFormat="1" applyFont="1" applyBorder="1" applyAlignment="1" applyProtection="1">
      <alignment horizontal="center"/>
    </xf>
    <xf numFmtId="37" fontId="3" fillId="0" borderId="0" xfId="0" applyFont="1" applyAlignment="1">
      <alignment horizontal="right"/>
    </xf>
    <xf numFmtId="37" fontId="4" fillId="0" borderId="0" xfId="0" applyFont="1" applyProtection="1"/>
    <xf numFmtId="0" fontId="4" fillId="0" borderId="0" xfId="0" quotePrefix="1" applyNumberFormat="1" applyFont="1" applyProtection="1"/>
    <xf numFmtId="37" fontId="5" fillId="0" borderId="0" xfId="0" applyFont="1" applyProtection="1"/>
    <xf numFmtId="0" fontId="4" fillId="0" borderId="0" xfId="0" quotePrefix="1" applyNumberFormat="1" applyFont="1" applyAlignment="1" applyProtection="1">
      <alignment horizontal="left"/>
    </xf>
    <xf numFmtId="37" fontId="4" fillId="0" borderId="0" xfId="0" quotePrefix="1" applyFont="1" applyProtection="1"/>
    <xf numFmtId="37" fontId="3" fillId="0" borderId="0" xfId="0" applyFont="1" applyBorder="1" applyAlignment="1">
      <alignment horizontal="right"/>
    </xf>
    <xf numFmtId="37" fontId="3" fillId="0" borderId="0" xfId="0" applyFont="1" applyBorder="1" applyAlignment="1">
      <alignment vertical="top"/>
    </xf>
    <xf numFmtId="37" fontId="7" fillId="0" borderId="0" xfId="0" quotePrefix="1" applyFont="1" applyProtection="1"/>
    <xf numFmtId="37" fontId="3" fillId="0" borderId="2" xfId="0" applyFont="1" applyBorder="1" applyAlignment="1">
      <alignment horizontal="right"/>
    </xf>
    <xf numFmtId="37" fontId="3" fillId="0" borderId="3" xfId="0" applyFont="1" applyBorder="1" applyAlignment="1">
      <alignment horizontal="right"/>
    </xf>
    <xf numFmtId="37" fontId="3" fillId="0" borderId="4" xfId="0" quotePrefix="1" applyFont="1" applyBorder="1" applyAlignment="1">
      <alignment horizontal="right"/>
    </xf>
    <xf numFmtId="37" fontId="3" fillId="0" borderId="5" xfId="0" quotePrefix="1" applyFont="1" applyBorder="1" applyAlignment="1">
      <alignment horizontal="right"/>
    </xf>
    <xf numFmtId="164" fontId="3" fillId="0" borderId="3" xfId="0" applyNumberFormat="1" applyFont="1" applyBorder="1" applyAlignment="1" applyProtection="1">
      <alignment horizontal="right"/>
    </xf>
    <xf numFmtId="164" fontId="3" fillId="0" borderId="0" xfId="0" applyNumberFormat="1" applyFont="1" applyAlignment="1" applyProtection="1">
      <alignment horizontal="right"/>
    </xf>
    <xf numFmtId="164" fontId="3" fillId="0" borderId="0" xfId="0" applyNumberFormat="1" applyFont="1" applyBorder="1" applyAlignment="1" applyProtection="1">
      <alignment horizontal="right"/>
    </xf>
    <xf numFmtId="37" fontId="1" fillId="0" borderId="4" xfId="0" applyFont="1" applyBorder="1" applyProtection="1"/>
    <xf numFmtId="37" fontId="1" fillId="0" borderId="4" xfId="0" applyNumberFormat="1" applyFont="1" applyBorder="1" applyProtection="1"/>
    <xf numFmtId="37" fontId="1" fillId="2" borderId="4" xfId="0" applyNumberFormat="1" applyFont="1" applyFill="1" applyBorder="1" applyProtection="1"/>
    <xf numFmtId="37" fontId="1" fillId="0" borderId="6" xfId="0" applyNumberFormat="1" applyFont="1" applyBorder="1" applyProtection="1"/>
    <xf numFmtId="0" fontId="9" fillId="0" borderId="0" xfId="2"/>
    <xf numFmtId="37" fontId="10" fillId="0" borderId="0" xfId="0" applyFont="1" applyProtection="1"/>
    <xf numFmtId="37" fontId="10" fillId="0" borderId="0" xfId="0" applyFont="1" applyAlignment="1" applyProtection="1">
      <alignment horizontal="fill"/>
    </xf>
    <xf numFmtId="37" fontId="10" fillId="0" borderId="0" xfId="0" applyFont="1"/>
    <xf numFmtId="37" fontId="10" fillId="0" borderId="0" xfId="0" quotePrefix="1" applyFont="1" applyProtection="1"/>
    <xf numFmtId="37" fontId="1" fillId="0" borderId="0" xfId="0" applyFont="1" applyFill="1" applyProtection="1"/>
    <xf numFmtId="37" fontId="1" fillId="0" borderId="0" xfId="0" applyFont="1" applyFill="1" applyAlignment="1" applyProtection="1">
      <alignment horizontal="fill"/>
    </xf>
    <xf numFmtId="37" fontId="1" fillId="0" borderId="0" xfId="0" applyNumberFormat="1" applyFont="1" applyFill="1" applyProtection="1"/>
    <xf numFmtId="37" fontId="2" fillId="0" borderId="0" xfId="0" applyNumberFormat="1" applyFont="1" applyFill="1" applyProtection="1"/>
    <xf numFmtId="164" fontId="1" fillId="0" borderId="0" xfId="0" applyNumberFormat="1" applyFont="1" applyFill="1" applyProtection="1"/>
    <xf numFmtId="37" fontId="0" fillId="0" borderId="0" xfId="0" applyFill="1"/>
    <xf numFmtId="37" fontId="7" fillId="0" borderId="0" xfId="0" quotePrefix="1" applyFont="1" applyAlignment="1" applyProtection="1">
      <alignment horizontal="right"/>
    </xf>
    <xf numFmtId="37" fontId="7" fillId="0" borderId="0" xfId="0" applyFont="1" applyProtection="1"/>
    <xf numFmtId="165" fontId="7" fillId="0" borderId="0" xfId="0" applyNumberFormat="1" applyFont="1" applyProtection="1"/>
    <xf numFmtId="37" fontId="1" fillId="0" borderId="4" xfId="0" applyNumberFormat="1" applyFont="1" applyFill="1" applyBorder="1" applyProtection="1"/>
    <xf numFmtId="37" fontId="1" fillId="0" borderId="0" xfId="0" applyFont="1" applyBorder="1" applyProtection="1"/>
    <xf numFmtId="37" fontId="7" fillId="0" borderId="0" xfId="0" quotePrefix="1" applyFont="1" applyBorder="1" applyProtection="1"/>
    <xf numFmtId="37" fontId="0" fillId="0" borderId="0" xfId="0" applyBorder="1"/>
    <xf numFmtId="37" fontId="1" fillId="0" borderId="7" xfId="0" applyFont="1" applyBorder="1" applyProtection="1"/>
    <xf numFmtId="37" fontId="1" fillId="0" borderId="8" xfId="0" applyFont="1" applyBorder="1" applyProtection="1"/>
    <xf numFmtId="37" fontId="1" fillId="0" borderId="8" xfId="0" applyFont="1" applyBorder="1" applyAlignment="1" applyProtection="1">
      <alignment horizontal="right"/>
    </xf>
    <xf numFmtId="37" fontId="1" fillId="0" borderId="8" xfId="0" applyNumberFormat="1" applyFont="1" applyBorder="1" applyProtection="1"/>
    <xf numFmtId="37" fontId="2" fillId="0" borderId="8" xfId="0" applyNumberFormat="1" applyFont="1" applyBorder="1" applyProtection="1"/>
    <xf numFmtId="164" fontId="1" fillId="0" borderId="8" xfId="0" applyNumberFormat="1" applyFont="1" applyBorder="1" applyProtection="1"/>
    <xf numFmtId="37" fontId="1" fillId="0" borderId="9" xfId="0" applyNumberFormat="1" applyFont="1" applyBorder="1" applyProtection="1"/>
    <xf numFmtId="37" fontId="0" fillId="0" borderId="8" xfId="0" applyBorder="1"/>
    <xf numFmtId="37" fontId="1" fillId="0" borderId="0" xfId="0" applyFont="1" applyFill="1" applyAlignment="1" applyProtection="1">
      <alignment horizontal="right"/>
    </xf>
    <xf numFmtId="37" fontId="1" fillId="0" borderId="0" xfId="0" applyFont="1" applyAlignment="1" applyProtection="1">
      <alignment horizontal="center"/>
    </xf>
    <xf numFmtId="37" fontId="0" fillId="0" borderId="0" xfId="0" applyAlignment="1">
      <alignment horizontal="center"/>
    </xf>
    <xf numFmtId="37" fontId="1" fillId="0" borderId="10" xfId="0" applyNumberFormat="1" applyFont="1" applyBorder="1" applyProtection="1"/>
    <xf numFmtId="37" fontId="1" fillId="0" borderId="11" xfId="0" applyFont="1" applyBorder="1" applyProtection="1"/>
    <xf numFmtId="37" fontId="7" fillId="0" borderId="7" xfId="0" applyFont="1" applyBorder="1" applyProtection="1"/>
    <xf numFmtId="37" fontId="1" fillId="3" borderId="0" xfId="0" applyFont="1" applyFill="1" applyProtection="1"/>
    <xf numFmtId="37" fontId="1" fillId="4" borderId="0" xfId="0" applyFont="1" applyFill="1" applyProtection="1"/>
    <xf numFmtId="37" fontId="4" fillId="3" borderId="0" xfId="0" applyFont="1" applyFill="1" applyProtection="1"/>
    <xf numFmtId="37" fontId="0" fillId="3" borderId="0" xfId="0" applyFill="1"/>
    <xf numFmtId="37" fontId="1" fillId="3" borderId="8" xfId="0" applyFont="1" applyFill="1" applyBorder="1" applyProtection="1"/>
    <xf numFmtId="38" fontId="0" fillId="0" borderId="0" xfId="0" applyNumberFormat="1"/>
    <xf numFmtId="37" fontId="0" fillId="0" borderId="7" xfId="0" applyBorder="1"/>
    <xf numFmtId="38" fontId="0" fillId="0" borderId="7" xfId="0" applyNumberFormat="1" applyBorder="1"/>
    <xf numFmtId="3" fontId="0" fillId="0" borderId="0" xfId="0" applyNumberFormat="1"/>
    <xf numFmtId="3" fontId="0" fillId="0" borderId="7" xfId="0" applyNumberFormat="1" applyBorder="1"/>
    <xf numFmtId="3" fontId="1" fillId="0" borderId="0" xfId="0" applyNumberFormat="1" applyFont="1" applyAlignment="1" applyProtection="1">
      <alignment horizontal="fill"/>
    </xf>
    <xf numFmtId="3" fontId="7" fillId="0" borderId="0" xfId="0" quotePrefix="1" applyNumberFormat="1" applyFont="1" applyBorder="1" applyProtection="1"/>
    <xf numFmtId="3" fontId="1" fillId="0" borderId="0" xfId="0" applyNumberFormat="1" applyFont="1" applyBorder="1" applyProtection="1"/>
    <xf numFmtId="3" fontId="0" fillId="0" borderId="0" xfId="0" applyNumberFormat="1" applyBorder="1"/>
    <xf numFmtId="37" fontId="1" fillId="0" borderId="0" xfId="0" quotePrefix="1" applyFont="1" applyFill="1" applyAlignment="1" applyProtection="1">
      <alignment horizontal="center"/>
    </xf>
    <xf numFmtId="37" fontId="1" fillId="0" borderId="0" xfId="0" quotePrefix="1" applyFont="1" applyAlignment="1" applyProtection="1">
      <alignment horizontal="center"/>
    </xf>
    <xf numFmtId="37" fontId="0" fillId="0" borderId="0" xfId="0" quotePrefix="1" applyAlignment="1">
      <alignment horizontal="center"/>
    </xf>
    <xf numFmtId="38" fontId="0" fillId="0" borderId="4" xfId="0" applyNumberFormat="1" applyBorder="1"/>
    <xf numFmtId="3" fontId="0" fillId="0" borderId="0" xfId="0" applyNumberFormat="1" applyAlignment="1">
      <alignment horizontal="center"/>
    </xf>
    <xf numFmtId="37" fontId="12" fillId="0" borderId="0" xfId="1" applyNumberFormat="1" applyFill="1" applyAlignment="1" applyProtection="1"/>
    <xf numFmtId="37" fontId="7" fillId="0" borderId="4" xfId="0" applyFont="1" applyBorder="1" applyProtection="1"/>
    <xf numFmtId="37" fontId="7" fillId="0" borderId="0" xfId="0" applyFont="1" applyBorder="1" applyProtection="1"/>
    <xf numFmtId="37" fontId="1" fillId="0" borderId="0" xfId="0" quotePrefix="1" applyFont="1" applyFill="1" applyAlignment="1" applyProtection="1">
      <alignment horizontal="right"/>
    </xf>
    <xf numFmtId="37" fontId="0" fillId="0" borderId="0" xfId="0" applyAlignment="1">
      <alignment horizontal="right"/>
    </xf>
    <xf numFmtId="37" fontId="3" fillId="0" borderId="0" xfId="0" applyFont="1" applyBorder="1" applyAlignment="1">
      <alignment vertical="top" wrapText="1"/>
    </xf>
    <xf numFmtId="37" fontId="1" fillId="0" borderId="0" xfId="0" applyFont="1" applyBorder="1" applyAlignment="1" applyProtection="1">
      <alignment horizontal="right"/>
    </xf>
    <xf numFmtId="37" fontId="1" fillId="0" borderId="0" xfId="0" applyNumberFormat="1" applyFont="1" applyBorder="1" applyProtection="1"/>
    <xf numFmtId="37" fontId="2" fillId="0" borderId="0" xfId="0" applyNumberFormat="1" applyFont="1" applyBorder="1" applyProtection="1"/>
    <xf numFmtId="164" fontId="1" fillId="0" borderId="0" xfId="0" applyNumberFormat="1" applyFont="1" applyBorder="1" applyProtection="1"/>
    <xf numFmtId="37" fontId="1" fillId="0" borderId="3" xfId="0" applyFont="1" applyBorder="1" applyAlignment="1" applyProtection="1">
      <alignment horizontal="fill"/>
    </xf>
    <xf numFmtId="37" fontId="1" fillId="0" borderId="3" xfId="0" quotePrefix="1" applyFont="1" applyBorder="1" applyAlignment="1" applyProtection="1">
      <alignment horizontal="center"/>
    </xf>
    <xf numFmtId="37" fontId="7" fillId="0" borderId="3" xfId="0" quotePrefix="1" applyFont="1" applyBorder="1" applyProtection="1"/>
    <xf numFmtId="37" fontId="1" fillId="0" borderId="3" xfId="0" applyFont="1" applyBorder="1" applyProtection="1"/>
    <xf numFmtId="37" fontId="2" fillId="0" borderId="3" xfId="0" applyNumberFormat="1" applyFont="1" applyBorder="1" applyProtection="1"/>
    <xf numFmtId="164" fontId="1" fillId="0" borderId="3" xfId="0" applyNumberFormat="1" applyFont="1" applyBorder="1" applyProtection="1"/>
    <xf numFmtId="38" fontId="0" fillId="0" borderId="3" xfId="0" applyNumberFormat="1" applyBorder="1"/>
    <xf numFmtId="38" fontId="0" fillId="0" borderId="5" xfId="0" applyNumberFormat="1" applyBorder="1"/>
    <xf numFmtId="37" fontId="1" fillId="0" borderId="2" xfId="0" applyFont="1" applyBorder="1" applyProtection="1"/>
    <xf numFmtId="37" fontId="7" fillId="0" borderId="2" xfId="0" applyFont="1" applyBorder="1" applyProtection="1"/>
    <xf numFmtId="37" fontId="1" fillId="0" borderId="12" xfId="0" applyFont="1" applyBorder="1" applyProtection="1"/>
    <xf numFmtId="37" fontId="1" fillId="0" borderId="2" xfId="0" applyNumberFormat="1" applyFont="1" applyBorder="1" applyProtection="1"/>
    <xf numFmtId="37" fontId="1" fillId="0" borderId="2" xfId="0" applyNumberFormat="1" applyFont="1" applyFill="1" applyBorder="1" applyProtection="1"/>
    <xf numFmtId="37" fontId="1" fillId="0" borderId="0" xfId="0" applyFont="1" applyBorder="1" applyAlignment="1" applyProtection="1">
      <alignment horizontal="left"/>
    </xf>
    <xf numFmtId="164" fontId="3" fillId="0" borderId="3" xfId="0" applyNumberFormat="1" applyFont="1" applyFill="1" applyBorder="1" applyAlignment="1" applyProtection="1">
      <alignment horizontal="right"/>
    </xf>
    <xf numFmtId="37" fontId="0" fillId="0" borderId="0" xfId="0" applyFill="1" applyBorder="1"/>
    <xf numFmtId="37" fontId="7" fillId="0" borderId="0" xfId="0" applyFont="1" applyAlignment="1" applyProtection="1">
      <alignment horizontal="fill"/>
    </xf>
    <xf numFmtId="37" fontId="7" fillId="0" borderId="0" xfId="0" applyNumberFormat="1" applyFont="1" applyProtection="1"/>
    <xf numFmtId="164" fontId="7" fillId="0" borderId="0" xfId="0" applyNumberFormat="1" applyFont="1" applyProtection="1"/>
    <xf numFmtId="37" fontId="7" fillId="0" borderId="0" xfId="0" applyFont="1"/>
    <xf numFmtId="37" fontId="7" fillId="3" borderId="0" xfId="0" applyFont="1" applyFill="1" applyProtection="1"/>
    <xf numFmtId="37" fontId="7" fillId="0" borderId="0" xfId="0" applyFont="1" applyAlignment="1" applyProtection="1">
      <alignment horizontal="right"/>
    </xf>
    <xf numFmtId="166" fontId="3" fillId="0" borderId="3" xfId="0" applyNumberFormat="1" applyFont="1" applyBorder="1"/>
    <xf numFmtId="37" fontId="3" fillId="0" borderId="0" xfId="0" applyFont="1" applyFill="1"/>
    <xf numFmtId="164" fontId="3" fillId="0" borderId="0" xfId="0" applyNumberFormat="1" applyFont="1" applyFill="1" applyBorder="1" applyAlignment="1" applyProtection="1">
      <alignment horizontal="right"/>
    </xf>
    <xf numFmtId="164" fontId="3" fillId="0" borderId="0" xfId="0" applyNumberFormat="1" applyFont="1" applyFill="1" applyAlignment="1" applyProtection="1">
      <alignment horizontal="right"/>
    </xf>
    <xf numFmtId="37" fontId="3" fillId="0" borderId="13" xfId="0" applyFont="1" applyBorder="1" applyAlignment="1">
      <alignment horizontal="centerContinuous"/>
    </xf>
    <xf numFmtId="37" fontId="3" fillId="5" borderId="0" xfId="0" applyFont="1" applyFill="1"/>
    <xf numFmtId="5" fontId="3" fillId="5" borderId="0" xfId="0" applyNumberFormat="1" applyFont="1" applyFill="1" applyAlignment="1" applyProtection="1">
      <alignment horizontal="right"/>
    </xf>
    <xf numFmtId="164" fontId="3" fillId="5" borderId="3" xfId="0" applyNumberFormat="1" applyFont="1" applyFill="1" applyBorder="1" applyAlignment="1" applyProtection="1">
      <alignment horizontal="right"/>
    </xf>
    <xf numFmtId="164" fontId="3" fillId="5" borderId="0" xfId="0" applyNumberFormat="1" applyFont="1" applyFill="1" applyBorder="1" applyAlignment="1" applyProtection="1">
      <alignment horizontal="right"/>
    </xf>
    <xf numFmtId="37" fontId="3" fillId="5" borderId="0" xfId="0" applyFont="1" applyFill="1" applyAlignment="1">
      <alignment horizontal="right"/>
    </xf>
    <xf numFmtId="37" fontId="3" fillId="5" borderId="3" xfId="0" applyFont="1" applyFill="1" applyBorder="1" applyAlignment="1">
      <alignment horizontal="right"/>
    </xf>
    <xf numFmtId="37" fontId="3" fillId="5" borderId="0" xfId="0" applyFont="1" applyFill="1" applyBorder="1" applyAlignment="1">
      <alignment horizontal="right"/>
    </xf>
    <xf numFmtId="164" fontId="3" fillId="5" borderId="0" xfId="0" applyNumberFormat="1" applyFont="1" applyFill="1" applyAlignment="1" applyProtection="1">
      <alignment horizontal="right"/>
    </xf>
    <xf numFmtId="37" fontId="3" fillId="5" borderId="0" xfId="0" applyNumberFormat="1" applyFont="1" applyFill="1" applyAlignment="1" applyProtection="1">
      <alignment horizontal="right"/>
    </xf>
    <xf numFmtId="37" fontId="3" fillId="0" borderId="0" xfId="0" applyFont="1" applyFill="1" applyBorder="1" applyAlignment="1">
      <alignment horizontal="right"/>
    </xf>
    <xf numFmtId="37" fontId="3" fillId="5" borderId="3" xfId="0" applyFont="1" applyFill="1" applyBorder="1"/>
    <xf numFmtId="37" fontId="3" fillId="0" borderId="3" xfId="0" applyFont="1" applyBorder="1"/>
    <xf numFmtId="37" fontId="3" fillId="0" borderId="2" xfId="0" applyFont="1" applyBorder="1" applyAlignment="1">
      <alignment horizontal="center"/>
    </xf>
    <xf numFmtId="37" fontId="3" fillId="0" borderId="12" xfId="0" applyFont="1" applyBorder="1" applyAlignment="1">
      <alignment horizontal="center"/>
    </xf>
    <xf numFmtId="37" fontId="3" fillId="0" borderId="3" xfId="0" applyFont="1" applyBorder="1" applyAlignment="1">
      <alignment horizontal="center"/>
    </xf>
    <xf numFmtId="37" fontId="3" fillId="0" borderId="3" xfId="0" quotePrefix="1" applyFont="1" applyBorder="1" applyAlignment="1">
      <alignment horizontal="center"/>
    </xf>
    <xf numFmtId="37" fontId="3" fillId="0" borderId="14" xfId="0" applyFont="1" applyBorder="1" applyAlignment="1">
      <alignment horizontal="center"/>
    </xf>
    <xf numFmtId="37" fontId="3" fillId="0" borderId="0" xfId="0" applyFont="1" applyAlignment="1">
      <alignment horizontal="center"/>
    </xf>
    <xf numFmtId="166" fontId="3" fillId="5" borderId="3" xfId="0" applyNumberFormat="1" applyFont="1" applyFill="1" applyBorder="1"/>
    <xf numFmtId="37" fontId="3" fillId="0" borderId="4" xfId="0" applyFont="1" applyBorder="1" applyAlignment="1">
      <alignment horizontal="right"/>
    </xf>
    <xf numFmtId="37" fontId="3" fillId="0" borderId="0" xfId="0" applyFont="1" applyFill="1" applyAlignment="1">
      <alignment horizontal="right"/>
    </xf>
    <xf numFmtId="3" fontId="3" fillId="5" borderId="0" xfId="0" applyNumberFormat="1" applyFont="1" applyFill="1" applyAlignment="1" applyProtection="1">
      <alignment horizontal="right"/>
    </xf>
    <xf numFmtId="3" fontId="3" fillId="5" borderId="0" xfId="0" applyNumberFormat="1" applyFont="1" applyFill="1" applyAlignment="1">
      <alignment horizontal="right"/>
    </xf>
    <xf numFmtId="3" fontId="3" fillId="0" borderId="0" xfId="0" applyNumberFormat="1" applyFont="1" applyAlignment="1">
      <alignment horizontal="right"/>
    </xf>
    <xf numFmtId="3" fontId="3" fillId="0" borderId="0" xfId="0" applyNumberFormat="1" applyFont="1" applyAlignment="1" applyProtection="1">
      <alignment horizontal="right"/>
    </xf>
    <xf numFmtId="166" fontId="3" fillId="5" borderId="0" xfId="0" applyNumberFormat="1" applyFont="1" applyFill="1" applyAlignment="1" applyProtection="1">
      <alignment horizontal="right"/>
    </xf>
    <xf numFmtId="166" fontId="3" fillId="5" borderId="3" xfId="0" applyNumberFormat="1" applyFont="1" applyFill="1" applyBorder="1" applyAlignment="1" applyProtection="1">
      <alignment horizontal="right"/>
    </xf>
    <xf numFmtId="37" fontId="7" fillId="2" borderId="0" xfId="0" applyNumberFormat="1" applyFont="1" applyFill="1" applyProtection="1"/>
    <xf numFmtId="37" fontId="7" fillId="0" borderId="0" xfId="0" applyNumberFormat="1" applyFont="1" applyFill="1" applyProtection="1"/>
    <xf numFmtId="165" fontId="3" fillId="5" borderId="3" xfId="0" applyNumberFormat="1" applyFont="1" applyFill="1" applyBorder="1"/>
    <xf numFmtId="5" fontId="3" fillId="5" borderId="0" xfId="0" applyNumberFormat="1" applyFont="1" applyFill="1"/>
    <xf numFmtId="167" fontId="3" fillId="0" borderId="0" xfId="0" applyNumberFormat="1" applyFont="1"/>
    <xf numFmtId="167" fontId="3" fillId="0" borderId="0" xfId="0" applyNumberFormat="1" applyFont="1" applyAlignment="1" applyProtection="1">
      <alignment horizontal="right"/>
    </xf>
    <xf numFmtId="37" fontId="1" fillId="0" borderId="7" xfId="0" applyNumberFormat="1" applyFont="1" applyBorder="1" applyProtection="1"/>
    <xf numFmtId="37" fontId="14" fillId="0" borderId="0" xfId="0" applyFont="1" applyAlignment="1">
      <alignment horizontal="right"/>
    </xf>
    <xf numFmtId="37" fontId="3" fillId="0" borderId="0" xfId="0" applyFont="1" applyBorder="1" applyAlignment="1" applyProtection="1">
      <alignment horizontal="centerContinuous"/>
    </xf>
    <xf numFmtId="37" fontId="3" fillId="0" borderId="0" xfId="0" applyFont="1" applyBorder="1" applyAlignment="1"/>
    <xf numFmtId="37" fontId="3" fillId="5" borderId="0" xfId="0" applyFont="1" applyFill="1" applyBorder="1"/>
    <xf numFmtId="37" fontId="3" fillId="5" borderId="0" xfId="0" applyNumberFormat="1" applyFont="1" applyFill="1" applyBorder="1" applyAlignment="1" applyProtection="1">
      <alignment horizontal="right"/>
    </xf>
    <xf numFmtId="37" fontId="15" fillId="0" borderId="4" xfId="0" applyFont="1" applyBorder="1" applyAlignment="1" applyProtection="1">
      <alignment horizontal="left" vertical="top"/>
    </xf>
    <xf numFmtId="37" fontId="3" fillId="0" borderId="4" xfId="0" applyFont="1" applyBorder="1" applyAlignment="1"/>
    <xf numFmtId="37" fontId="3" fillId="0" borderId="4" xfId="0" applyFont="1" applyFill="1" applyBorder="1" applyAlignment="1" applyProtection="1">
      <alignment horizontal="centerContinuous"/>
    </xf>
    <xf numFmtId="37" fontId="3" fillId="0" borderId="4" xfId="0" applyFont="1" applyBorder="1"/>
    <xf numFmtId="37" fontId="3" fillId="0" borderId="4" xfId="0" applyFont="1" applyBorder="1" applyAlignment="1" applyProtection="1">
      <alignment horizontal="centerContinuous"/>
    </xf>
    <xf numFmtId="37" fontId="3" fillId="0" borderId="0" xfId="0" applyFont="1" applyFill="1" applyBorder="1" applyAlignment="1" applyProtection="1">
      <alignment horizontal="centerContinuous"/>
    </xf>
    <xf numFmtId="37" fontId="15" fillId="0" borderId="0" xfId="0" quotePrefix="1" applyFont="1" applyBorder="1" applyAlignment="1" applyProtection="1">
      <alignment horizontal="left" vertical="top" wrapText="1"/>
    </xf>
    <xf numFmtId="37" fontId="3" fillId="0" borderId="0" xfId="0" applyFont="1" applyBorder="1" applyAlignment="1">
      <alignment wrapText="1"/>
    </xf>
    <xf numFmtId="37" fontId="3" fillId="0" borderId="0" xfId="0" applyFont="1" applyBorder="1" applyAlignment="1">
      <alignment horizontal="left" vertical="top" wrapText="1"/>
    </xf>
    <xf numFmtId="37" fontId="3" fillId="0" borderId="0" xfId="0" applyFont="1" applyBorder="1" applyAlignment="1">
      <alignment vertical="top" wrapText="1"/>
    </xf>
  </cellXfs>
  <cellStyles count="3">
    <cellStyle name="Hyperlink" xfId="1" builtinId="8"/>
    <cellStyle name="Normal" xfId="0" builtinId="0"/>
    <cellStyle name="Normal_Alloc200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d.gov/offices/OPE/Data/databook2000/databook2000html" TargetMode="External"/><Relationship Id="rId1" Type="http://schemas.openxmlformats.org/officeDocument/2006/relationships/hyperlink" Target="http://www.ed.gov/offices/OPE/Data/databook2000/databook2000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d.gov/offices/OPE/Data/databook2000/databook2000html" TargetMode="External"/><Relationship Id="rId1" Type="http://schemas.openxmlformats.org/officeDocument/2006/relationships/hyperlink" Target="http://www.ed.gov/offices/OPE/Data/databook2000/databook2000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transitionEntry="1"/>
  <dimension ref="A1:AI121"/>
  <sheetViews>
    <sheetView showGridLines="0" defaultGridColor="0" topLeftCell="E58" colorId="22" zoomScale="75" workbookViewId="0">
      <selection activeCell="E26" sqref="E26"/>
    </sheetView>
  </sheetViews>
  <sheetFormatPr defaultColWidth="9.6640625" defaultRowHeight="13.2"/>
  <cols>
    <col min="1" max="1" width="17.6640625" customWidth="1"/>
    <col min="2" max="2" width="11.5546875" customWidth="1"/>
    <col min="3" max="3" width="10.109375" customWidth="1"/>
    <col min="4" max="12" width="8.88671875" customWidth="1"/>
    <col min="13" max="13" width="9.6640625" style="56"/>
    <col min="14" max="15" width="8.88671875" customWidth="1"/>
    <col min="16" max="18" width="10.6640625" customWidth="1"/>
    <col min="19" max="19" width="10.5546875" customWidth="1"/>
    <col min="20" max="20" width="9.6640625" style="63"/>
    <col min="21" max="35" width="8.88671875" customWidth="1"/>
    <col min="36" max="16384" width="9.6640625" style="129"/>
  </cols>
  <sheetData>
    <row r="1" spans="1:35">
      <c r="A1" s="11" t="s">
        <v>0</v>
      </c>
      <c r="B1" s="1" t="s">
        <v>4</v>
      </c>
      <c r="C1" s="1"/>
      <c r="D1" s="10"/>
      <c r="E1" s="10"/>
      <c r="F1" s="10"/>
      <c r="G1" s="10"/>
      <c r="H1" s="10"/>
      <c r="I1" s="10"/>
      <c r="J1" s="10"/>
      <c r="K1" s="10"/>
      <c r="L1" s="10"/>
      <c r="M1" s="55"/>
      <c r="N1" s="10"/>
      <c r="O1" s="10"/>
      <c r="P1" s="10"/>
      <c r="Q1" s="10"/>
      <c r="R1" s="10"/>
      <c r="S1" s="10"/>
      <c r="T1" s="59"/>
      <c r="U1" s="10"/>
      <c r="V1" s="10"/>
      <c r="W1" s="10"/>
      <c r="X1" s="10"/>
      <c r="Y1" s="10"/>
      <c r="Z1" s="10"/>
      <c r="AA1" s="10"/>
      <c r="AB1" s="10"/>
      <c r="AC1" s="10"/>
      <c r="AD1" s="10"/>
      <c r="AE1" s="10"/>
      <c r="AF1" s="10"/>
      <c r="AG1" s="10"/>
    </row>
    <row r="2" spans="1:35">
      <c r="A2" s="11" t="s">
        <v>2</v>
      </c>
      <c r="B2" s="1" t="s">
        <v>7</v>
      </c>
      <c r="C2" s="10"/>
      <c r="D2" s="10" t="s">
        <v>1</v>
      </c>
      <c r="E2" s="10" t="s">
        <v>1</v>
      </c>
      <c r="F2" s="10" t="s">
        <v>1</v>
      </c>
      <c r="G2" s="10" t="s">
        <v>1</v>
      </c>
      <c r="H2" s="10" t="s">
        <v>1</v>
      </c>
      <c r="I2" s="10" t="s">
        <v>1</v>
      </c>
      <c r="J2" s="10" t="s">
        <v>1</v>
      </c>
      <c r="K2" s="10" t="s">
        <v>1</v>
      </c>
      <c r="L2" s="10" t="s">
        <v>1</v>
      </c>
      <c r="M2" s="55"/>
      <c r="N2" s="10"/>
      <c r="O2" s="10"/>
      <c r="P2" s="10"/>
      <c r="Q2" s="10"/>
      <c r="R2" s="114"/>
      <c r="S2" s="68" t="s">
        <v>8</v>
      </c>
      <c r="T2" s="59" t="s">
        <v>1</v>
      </c>
      <c r="U2" s="10" t="s">
        <v>1</v>
      </c>
      <c r="V2" s="10" t="s">
        <v>1</v>
      </c>
      <c r="W2" s="10" t="s">
        <v>1</v>
      </c>
      <c r="X2" s="10" t="s">
        <v>1</v>
      </c>
      <c r="Y2" s="10" t="s">
        <v>1</v>
      </c>
      <c r="Z2" s="10" t="s">
        <v>1</v>
      </c>
      <c r="AA2" s="10" t="s">
        <v>1</v>
      </c>
      <c r="AB2" s="10" t="s">
        <v>1</v>
      </c>
      <c r="AC2" s="10" t="s">
        <v>1</v>
      </c>
      <c r="AD2" s="10"/>
      <c r="AE2" s="10"/>
      <c r="AF2" s="10"/>
      <c r="AG2" s="10"/>
      <c r="AH2" s="10"/>
      <c r="AI2" s="10"/>
    </row>
    <row r="3" spans="1:35">
      <c r="A3" s="127" t="s">
        <v>3</v>
      </c>
      <c r="B3" s="110" t="s">
        <v>9</v>
      </c>
      <c r="C3" s="110" t="s">
        <v>10</v>
      </c>
      <c r="D3" s="110" t="s">
        <v>11</v>
      </c>
      <c r="E3" s="110" t="s">
        <v>12</v>
      </c>
      <c r="F3" s="110" t="s">
        <v>13</v>
      </c>
      <c r="G3" s="110" t="s">
        <v>14</v>
      </c>
      <c r="H3" s="110" t="s">
        <v>15</v>
      </c>
      <c r="I3" s="2" t="s">
        <v>16</v>
      </c>
      <c r="J3" s="2" t="s">
        <v>17</v>
      </c>
      <c r="K3" s="2" t="s">
        <v>18</v>
      </c>
      <c r="L3" s="2" t="s">
        <v>19</v>
      </c>
      <c r="M3" s="64" t="s">
        <v>195</v>
      </c>
      <c r="N3" s="19" t="s">
        <v>121</v>
      </c>
      <c r="O3" s="19" t="s">
        <v>122</v>
      </c>
      <c r="P3" s="100" t="s">
        <v>146</v>
      </c>
      <c r="Q3" s="101" t="s">
        <v>152</v>
      </c>
      <c r="R3" s="115" t="s">
        <v>159</v>
      </c>
      <c r="S3" s="110" t="s">
        <v>9</v>
      </c>
      <c r="T3" s="79" t="s">
        <v>10</v>
      </c>
      <c r="U3" s="2" t="s">
        <v>11</v>
      </c>
      <c r="V3" s="2" t="s">
        <v>12</v>
      </c>
      <c r="W3" s="2" t="s">
        <v>13</v>
      </c>
      <c r="X3" s="2" t="s">
        <v>14</v>
      </c>
      <c r="Y3" s="2" t="s">
        <v>15</v>
      </c>
      <c r="Z3" s="2" t="s">
        <v>16</v>
      </c>
      <c r="AA3" s="2" t="s">
        <v>17</v>
      </c>
      <c r="AB3" s="2" t="s">
        <v>18</v>
      </c>
      <c r="AC3" s="2" t="s">
        <v>19</v>
      </c>
      <c r="AD3" s="64" t="s">
        <v>195</v>
      </c>
      <c r="AE3" s="19" t="s">
        <v>121</v>
      </c>
      <c r="AF3" s="19" t="s">
        <v>122</v>
      </c>
      <c r="AG3" s="100" t="s">
        <v>146</v>
      </c>
      <c r="AH3" s="101" t="s">
        <v>152</v>
      </c>
      <c r="AI3" s="101" t="s">
        <v>159</v>
      </c>
    </row>
    <row r="4" spans="1:35">
      <c r="A4" s="1"/>
      <c r="B4" s="49"/>
      <c r="C4" s="49"/>
      <c r="D4" s="49"/>
      <c r="E4" s="49"/>
      <c r="F4" s="49"/>
      <c r="G4" s="49"/>
      <c r="H4" s="49"/>
      <c r="I4" s="1"/>
      <c r="J4" s="1"/>
      <c r="K4" s="1"/>
      <c r="L4" s="1"/>
      <c r="M4" s="65"/>
      <c r="N4" s="1"/>
      <c r="O4" s="1"/>
      <c r="P4" s="41"/>
      <c r="Q4" s="41"/>
      <c r="R4" s="116"/>
      <c r="S4" s="68"/>
      <c r="T4" s="58"/>
      <c r="U4" s="1"/>
      <c r="V4" s="1"/>
      <c r="W4" s="1"/>
      <c r="X4" s="1"/>
      <c r="Y4" s="1"/>
      <c r="Z4" s="1"/>
      <c r="AA4" s="1"/>
      <c r="AB4" s="1"/>
      <c r="AC4" s="1"/>
      <c r="AD4" s="65"/>
      <c r="AE4" s="1"/>
      <c r="AF4" s="1"/>
      <c r="AG4" s="41"/>
    </row>
    <row r="5" spans="1:35">
      <c r="A5" s="122" t="s">
        <v>20</v>
      </c>
      <c r="B5" s="3">
        <f>615053-11798.534-229.836-313.954-58.332</f>
        <v>602652.34399999992</v>
      </c>
      <c r="C5" s="4">
        <v>590399</v>
      </c>
      <c r="D5" s="3">
        <f>629235-13109.178-246.101-112.102-48.081</f>
        <v>615719.53800000006</v>
      </c>
      <c r="E5" s="3">
        <f>635073450/1000-13962.235-346.394-386.213-47.105</f>
        <v>620331.50300000003</v>
      </c>
      <c r="F5" s="3">
        <f>625430260/1000-13731.362-576.231-276.326-81.131</f>
        <v>610765.21</v>
      </c>
      <c r="G5" s="3">
        <f>663451378/1000-13729.436-486.293-282.408</f>
        <v>648953.24100000004</v>
      </c>
      <c r="H5" s="3">
        <f>727836971/1000-14575.485-493.186-307.888-78.687</f>
        <v>712381.72499999998</v>
      </c>
      <c r="I5" s="122">
        <f>759845.146-14372.137</f>
        <v>745473.00899999996</v>
      </c>
      <c r="J5" s="122">
        <f>780033.257-13663.934-387.992-326.15-52.704</f>
        <v>765602.47699999996</v>
      </c>
      <c r="K5" s="122">
        <f>771445.222-14120.452-453.387-304.538-49.581</f>
        <v>756517.26399999997</v>
      </c>
      <c r="L5" s="122">
        <f>757276.055-13676.556-437.342-354.399-0</f>
        <v>742807.75800000015</v>
      </c>
      <c r="M5" s="123">
        <f>((N5-L5)/2)+L5</f>
        <v>752414.25950000016</v>
      </c>
      <c r="N5" s="122">
        <f>776118.025-13382.292-357.252-302.583-55.137</f>
        <v>762020.76100000006</v>
      </c>
      <c r="O5" s="122">
        <f>906434.485-15743.853-459.739-302.09-86.779</f>
        <v>889842.02400000009</v>
      </c>
      <c r="P5" s="122">
        <f>SUM(P10:P62)</f>
        <v>897782.77199999988</v>
      </c>
      <c r="Q5" s="122">
        <f>SUM(Q10:Q62)</f>
        <v>901383.67499999981</v>
      </c>
      <c r="R5" s="124">
        <f>SUM(R10:R62)</f>
        <v>923333.1590000001</v>
      </c>
      <c r="S5" s="125">
        <f>721836-27642-200-703-70</f>
        <v>693221</v>
      </c>
      <c r="T5" s="126">
        <v>872660</v>
      </c>
      <c r="U5" s="125">
        <f>689812-25096-281-402-59</f>
        <v>663974</v>
      </c>
      <c r="V5" s="125">
        <f>685505-25739-298-552-53</f>
        <v>658863</v>
      </c>
      <c r="W5" s="125">
        <f>672692-29542-436-679-67</f>
        <v>641968</v>
      </c>
      <c r="X5" s="125">
        <f>676650-26244-350-693</f>
        <v>649363</v>
      </c>
      <c r="Y5" s="125">
        <f>687436-26394-354-679-97</f>
        <v>659912</v>
      </c>
      <c r="Z5" s="122">
        <f>697304-26515</f>
        <v>670789</v>
      </c>
      <c r="AA5" s="122">
        <f>714440-27706-226-958-53</f>
        <v>685497</v>
      </c>
      <c r="AB5" s="122">
        <f>711906-24908-320-1054-57</f>
        <v>685567</v>
      </c>
      <c r="AC5" s="122">
        <f>700805-25673-302-972-0</f>
        <v>673858</v>
      </c>
      <c r="AD5" s="123">
        <f>((AE5-AC5)/2)+AC5</f>
        <v>671505.5</v>
      </c>
      <c r="AE5" s="122">
        <f>691115-20778-259-886-39</f>
        <v>669153</v>
      </c>
      <c r="AF5" s="122">
        <f>745864-23662-344-873-74</f>
        <v>720911</v>
      </c>
      <c r="AG5" s="125">
        <f>SUM(AG10:AG62)</f>
        <v>718225</v>
      </c>
      <c r="AH5" s="125">
        <f>SUM(AH10:AH62)</f>
        <v>708730</v>
      </c>
      <c r="AI5" s="125">
        <f>SUM(AI10:AI62)</f>
        <v>809007</v>
      </c>
    </row>
    <row r="6" spans="1:35">
      <c r="A6" s="1" t="s">
        <v>21</v>
      </c>
      <c r="B6" s="3">
        <f t="shared" ref="B6:L6" si="0">SUM(B10:B25)</f>
        <v>182767.46899999998</v>
      </c>
      <c r="C6" s="4">
        <f t="shared" si="0"/>
        <v>180094.9645</v>
      </c>
      <c r="D6" s="3">
        <f t="shared" si="0"/>
        <v>185264.46</v>
      </c>
      <c r="E6" s="3">
        <f t="shared" si="0"/>
        <v>186209</v>
      </c>
      <c r="F6" s="3">
        <f t="shared" si="0"/>
        <v>180388.891</v>
      </c>
      <c r="G6" s="3">
        <f t="shared" si="0"/>
        <v>185575.55599999998</v>
      </c>
      <c r="H6" s="3">
        <f t="shared" si="0"/>
        <v>206733.38800000001</v>
      </c>
      <c r="I6" s="3">
        <f t="shared" si="0"/>
        <v>215153.67800000001</v>
      </c>
      <c r="J6" s="3">
        <f t="shared" si="0"/>
        <v>218973.02799999999</v>
      </c>
      <c r="K6" s="3">
        <f t="shared" si="0"/>
        <v>213452.965</v>
      </c>
      <c r="L6" s="3">
        <f t="shared" si="0"/>
        <v>204861.61599999998</v>
      </c>
      <c r="M6" s="65">
        <f t="shared" ref="M6:M25" si="1">((N6-L6)/2)+L6</f>
        <v>205135.27049999998</v>
      </c>
      <c r="N6" s="3">
        <f>SUM(N10:N25)</f>
        <v>205408.92500000002</v>
      </c>
      <c r="O6" s="3">
        <f>SUM(O10:O25)</f>
        <v>243671.57699999999</v>
      </c>
      <c r="P6" s="1">
        <f>SUM(P10:P25)</f>
        <v>247107.82499999998</v>
      </c>
      <c r="Q6" s="1">
        <f>SUM(Q10:Q25)</f>
        <v>245987.467</v>
      </c>
      <c r="R6" s="117">
        <f>SUM(R10:R25)</f>
        <v>254065.75800000003</v>
      </c>
      <c r="S6" s="111">
        <f t="shared" ref="S6:AF6" si="2">SUM(S10:S25)</f>
        <v>215819</v>
      </c>
      <c r="T6" s="60">
        <f t="shared" si="2"/>
        <v>265996.5</v>
      </c>
      <c r="U6" s="3">
        <f t="shared" si="2"/>
        <v>203914</v>
      </c>
      <c r="V6" s="3">
        <f t="shared" si="2"/>
        <v>203243</v>
      </c>
      <c r="W6" s="3">
        <f t="shared" si="2"/>
        <v>200081</v>
      </c>
      <c r="X6" s="3">
        <f t="shared" si="2"/>
        <v>201415</v>
      </c>
      <c r="Y6" s="3">
        <f t="shared" si="2"/>
        <v>203818</v>
      </c>
      <c r="Z6" s="3">
        <f t="shared" si="2"/>
        <v>201161</v>
      </c>
      <c r="AA6" s="3">
        <f t="shared" si="2"/>
        <v>204406</v>
      </c>
      <c r="AB6" s="3">
        <f t="shared" si="2"/>
        <v>196041</v>
      </c>
      <c r="AC6" s="3">
        <f t="shared" si="2"/>
        <v>190713</v>
      </c>
      <c r="AD6" s="106">
        <f t="shared" ref="AD6:AD25" si="3">((AE6-AC6)/2)+AC6</f>
        <v>187964.5</v>
      </c>
      <c r="AE6" s="3">
        <f t="shared" si="2"/>
        <v>185216</v>
      </c>
      <c r="AF6" s="3">
        <f t="shared" si="2"/>
        <v>200097</v>
      </c>
      <c r="AG6" s="3">
        <f>SUM(AG10:AG25)</f>
        <v>198488</v>
      </c>
      <c r="AH6" s="3">
        <f>SUM(AH10:AH25)</f>
        <v>199787</v>
      </c>
      <c r="AI6" s="3">
        <f>SUM(AI10:AI25)</f>
        <v>196614</v>
      </c>
    </row>
    <row r="7" spans="1:35">
      <c r="A7" s="1" t="s">
        <v>22</v>
      </c>
      <c r="B7" s="5"/>
      <c r="C7" s="5"/>
      <c r="D7" s="5"/>
      <c r="E7" s="5"/>
      <c r="F7" s="5"/>
      <c r="G7" s="5"/>
      <c r="H7" s="5"/>
      <c r="I7" s="5"/>
      <c r="J7" s="5"/>
      <c r="K7" s="5"/>
      <c r="L7" s="5"/>
      <c r="M7" s="65"/>
      <c r="N7" s="5"/>
      <c r="O7" s="5"/>
      <c r="P7" s="5"/>
      <c r="Q7" s="5"/>
      <c r="R7" s="118"/>
      <c r="S7" s="112"/>
      <c r="T7" s="61"/>
      <c r="U7" s="5"/>
      <c r="V7" s="5"/>
      <c r="W7" s="5"/>
      <c r="X7" s="5"/>
      <c r="Y7" s="5"/>
      <c r="Z7" s="5"/>
      <c r="AA7" s="5"/>
      <c r="AB7" s="5"/>
      <c r="AC7" s="5"/>
      <c r="AD7" s="106"/>
      <c r="AE7" s="5"/>
      <c r="AF7" s="5"/>
      <c r="AG7" s="5"/>
      <c r="AH7" s="5"/>
      <c r="AI7" s="5"/>
    </row>
    <row r="8" spans="1:35">
      <c r="A8" s="1" t="s">
        <v>23</v>
      </c>
      <c r="B8" s="6">
        <f t="shared" ref="B8:L8" si="4">(B6/B5)*100</f>
        <v>30.327181304384009</v>
      </c>
      <c r="C8" s="7">
        <f t="shared" si="4"/>
        <v>30.503941317651282</v>
      </c>
      <c r="D8" s="6">
        <f t="shared" si="4"/>
        <v>30.089098780555503</v>
      </c>
      <c r="E8" s="6">
        <f t="shared" si="4"/>
        <v>30.017659767313155</v>
      </c>
      <c r="F8" s="6">
        <f t="shared" si="4"/>
        <v>29.534899507455574</v>
      </c>
      <c r="G8" s="6">
        <f t="shared" si="4"/>
        <v>28.596136713030141</v>
      </c>
      <c r="H8" s="6">
        <f t="shared" si="4"/>
        <v>29.020029675803379</v>
      </c>
      <c r="I8" s="6">
        <f t="shared" si="4"/>
        <v>28.861363912908622</v>
      </c>
      <c r="J8" s="6">
        <f t="shared" si="4"/>
        <v>28.601400149336246</v>
      </c>
      <c r="K8" s="6">
        <f t="shared" si="4"/>
        <v>28.21521400204292</v>
      </c>
      <c r="L8" s="6">
        <f t="shared" si="4"/>
        <v>27.57935869592788</v>
      </c>
      <c r="M8" s="66">
        <f t="shared" si="1"/>
        <v>27.267588055493235</v>
      </c>
      <c r="N8" s="6">
        <f>(N6/N5)*100</f>
        <v>26.95581741505859</v>
      </c>
      <c r="O8" s="6">
        <f>(O6/O5)*100</f>
        <v>27.383689512061071</v>
      </c>
      <c r="P8" s="6">
        <f>(P6/P5)*100</f>
        <v>27.524233334252489</v>
      </c>
      <c r="Q8" s="6">
        <f>(Q6/Q5)*100</f>
        <v>27.289984700466206</v>
      </c>
      <c r="R8" s="119">
        <f>(R6/R5)*100</f>
        <v>27.516152271100232</v>
      </c>
      <c r="S8" s="113">
        <f t="shared" ref="S8:AF8" si="5">(S6/S5)*100</f>
        <v>31.132784494410874</v>
      </c>
      <c r="T8" s="62">
        <f t="shared" si="5"/>
        <v>30.481115210964177</v>
      </c>
      <c r="U8" s="6">
        <f t="shared" si="5"/>
        <v>30.711142303764905</v>
      </c>
      <c r="V8" s="6">
        <f t="shared" si="5"/>
        <v>30.847535830665855</v>
      </c>
      <c r="W8" s="6">
        <f t="shared" si="5"/>
        <v>31.166818283777388</v>
      </c>
      <c r="X8" s="6">
        <f t="shared" si="5"/>
        <v>31.017320050572639</v>
      </c>
      <c r="Y8" s="6">
        <f t="shared" si="5"/>
        <v>30.885633235946614</v>
      </c>
      <c r="Z8" s="6">
        <f t="shared" si="5"/>
        <v>29.988714782144609</v>
      </c>
      <c r="AA8" s="6">
        <f t="shared" si="5"/>
        <v>29.818657120308327</v>
      </c>
      <c r="AB8" s="6">
        <f t="shared" si="5"/>
        <v>28.595454565345179</v>
      </c>
      <c r="AC8" s="6">
        <f t="shared" si="5"/>
        <v>28.301659993648514</v>
      </c>
      <c r="AD8" s="106">
        <f t="shared" si="3"/>
        <v>27.990415263571919</v>
      </c>
      <c r="AE8" s="6">
        <f t="shared" si="5"/>
        <v>27.679170533495327</v>
      </c>
      <c r="AF8" s="6">
        <f t="shared" si="5"/>
        <v>27.75613078452125</v>
      </c>
      <c r="AG8" s="6">
        <f>(AG6/AG5)*100</f>
        <v>27.635907967558914</v>
      </c>
      <c r="AH8" s="6">
        <f>(AH6/AH5)*100</f>
        <v>28.189437444442877</v>
      </c>
      <c r="AI8" s="6">
        <f>(AI6/AI5)*100</f>
        <v>24.303127167008441</v>
      </c>
    </row>
    <row r="9" spans="1:35">
      <c r="A9" s="1"/>
      <c r="B9" s="1"/>
      <c r="C9" s="8"/>
      <c r="D9" s="1"/>
      <c r="E9" s="1"/>
      <c r="F9" s="1"/>
      <c r="G9" s="1"/>
      <c r="H9" s="1"/>
      <c r="I9" s="1"/>
      <c r="J9" s="1"/>
      <c r="K9" s="1"/>
      <c r="L9" s="1"/>
      <c r="M9" s="65"/>
      <c r="N9" s="1"/>
      <c r="O9" s="1"/>
      <c r="P9" s="1"/>
      <c r="Q9" s="1"/>
      <c r="R9" s="120"/>
      <c r="S9" s="68"/>
      <c r="T9" s="58"/>
      <c r="U9" s="1"/>
      <c r="V9" s="1"/>
      <c r="W9" s="1"/>
      <c r="X9" s="1"/>
      <c r="Y9" s="1"/>
      <c r="Z9" s="1"/>
      <c r="AA9" s="1"/>
      <c r="AB9" s="1"/>
      <c r="AC9" s="1"/>
      <c r="AD9" s="106"/>
      <c r="AE9" s="1"/>
      <c r="AF9" s="1"/>
      <c r="AG9" s="1"/>
    </row>
    <row r="10" spans="1:35">
      <c r="A10" s="1" t="s">
        <v>24</v>
      </c>
      <c r="B10" s="3">
        <f>ROUND(11582,0)</f>
        <v>11582</v>
      </c>
      <c r="C10" s="4">
        <f>ROUND(11743,0)</f>
        <v>11743</v>
      </c>
      <c r="D10" s="3">
        <f>ROUND(12455,0)</f>
        <v>12455</v>
      </c>
      <c r="E10" s="3">
        <f>ROUND(11901029/1000,0)</f>
        <v>11901</v>
      </c>
      <c r="F10" s="3">
        <f>ROUND(11523340/1000,0)</f>
        <v>11523</v>
      </c>
      <c r="G10" s="3">
        <f>ROUND(12008448/1000,0)</f>
        <v>12008</v>
      </c>
      <c r="H10" s="3">
        <f>ROUND(12421842/1000,0)</f>
        <v>12422</v>
      </c>
      <c r="I10" s="1">
        <f>ROUND(12594.009,0)</f>
        <v>12594</v>
      </c>
      <c r="J10" s="1">
        <f>ROUND(12641.341,0)</f>
        <v>12641</v>
      </c>
      <c r="K10" s="1">
        <v>12008.156000000001</v>
      </c>
      <c r="L10" s="1">
        <v>11125.414000000001</v>
      </c>
      <c r="M10" s="65">
        <f t="shared" si="1"/>
        <v>11341.515500000001</v>
      </c>
      <c r="N10" s="1">
        <v>11557.617</v>
      </c>
      <c r="O10" s="1">
        <v>12761.763000000001</v>
      </c>
      <c r="P10" s="1">
        <v>12597.464</v>
      </c>
      <c r="Q10" s="1">
        <v>13548.557000000001</v>
      </c>
      <c r="R10" s="120">
        <v>14174.415000000001</v>
      </c>
      <c r="S10" s="111">
        <f>ROUND(13842,0)</f>
        <v>13842</v>
      </c>
      <c r="T10" s="60">
        <f>ROUND(17363,0)</f>
        <v>17363</v>
      </c>
      <c r="U10" s="3">
        <f>ROUND(13181,0)</f>
        <v>13181</v>
      </c>
      <c r="V10" s="3">
        <f>ROUND(12618,0)</f>
        <v>12618</v>
      </c>
      <c r="W10" s="3">
        <f>ROUND(12501,0)</f>
        <v>12501</v>
      </c>
      <c r="X10" s="3">
        <f>ROUND(12842,0)</f>
        <v>12842</v>
      </c>
      <c r="Y10" s="3">
        <f>ROUND(12491,0)</f>
        <v>12491</v>
      </c>
      <c r="Z10" s="1">
        <f>ROUND(11438,0)</f>
        <v>11438</v>
      </c>
      <c r="AA10" s="1">
        <f>ROUND(11111,0)</f>
        <v>11111</v>
      </c>
      <c r="AB10" s="1">
        <v>10747</v>
      </c>
      <c r="AC10" s="1">
        <v>9892</v>
      </c>
      <c r="AD10" s="106">
        <f t="shared" si="3"/>
        <v>10140</v>
      </c>
      <c r="AE10" s="1">
        <v>10388</v>
      </c>
      <c r="AF10" s="1">
        <v>10301</v>
      </c>
      <c r="AG10" s="1">
        <v>10123</v>
      </c>
      <c r="AH10" s="90">
        <v>10964</v>
      </c>
      <c r="AI10" s="90">
        <v>10821</v>
      </c>
    </row>
    <row r="11" spans="1:35">
      <c r="A11" s="1" t="s">
        <v>25</v>
      </c>
      <c r="B11" s="3">
        <f>ROUND(6832,0)</f>
        <v>6832</v>
      </c>
      <c r="C11" s="4">
        <f>ROUND(6192,0)</f>
        <v>6192</v>
      </c>
      <c r="D11" s="3">
        <f>ROUND(6483,0)</f>
        <v>6483</v>
      </c>
      <c r="E11" s="3">
        <f>ROUND(7136194/1000,0)</f>
        <v>7136</v>
      </c>
      <c r="F11" s="3">
        <f>ROUND(6638354/1000,0)</f>
        <v>6638</v>
      </c>
      <c r="G11" s="3">
        <f>ROUND(7555623/1000,0)</f>
        <v>7556</v>
      </c>
      <c r="H11" s="3">
        <f>ROUND(7945535/1000,0)</f>
        <v>7946</v>
      </c>
      <c r="I11" s="1">
        <f>ROUND(8579.038,0)</f>
        <v>8579</v>
      </c>
      <c r="J11" s="1">
        <f>ROUND(8108.248,0)</f>
        <v>8108</v>
      </c>
      <c r="K11" s="1">
        <v>7505.8419999999996</v>
      </c>
      <c r="L11" s="1">
        <v>7107.5969999999998</v>
      </c>
      <c r="M11" s="65">
        <f t="shared" si="1"/>
        <v>7057.5185000000001</v>
      </c>
      <c r="N11" s="1">
        <v>7007.44</v>
      </c>
      <c r="O11" s="1">
        <v>7862.4309999999996</v>
      </c>
      <c r="P11" s="1">
        <v>7580.1589999999997</v>
      </c>
      <c r="Q11" s="1">
        <v>7702.6490000000003</v>
      </c>
      <c r="R11" s="120">
        <v>8064.87</v>
      </c>
      <c r="S11" s="111">
        <f>ROUND(8534,0)</f>
        <v>8534</v>
      </c>
      <c r="T11" s="60">
        <f>ROUND(9166,0)</f>
        <v>9166</v>
      </c>
      <c r="U11" s="3">
        <f>ROUND(8039,0)</f>
        <v>8039</v>
      </c>
      <c r="V11" s="3">
        <f>ROUND(8642,0)</f>
        <v>8642</v>
      </c>
      <c r="W11" s="3">
        <f>ROUND(7664,0)</f>
        <v>7664</v>
      </c>
      <c r="X11" s="3">
        <f>ROUND(9882,0)</f>
        <v>9882</v>
      </c>
      <c r="Y11" s="3">
        <f>ROUND(7835,0)</f>
        <v>7835</v>
      </c>
      <c r="Z11" s="1">
        <f>ROUND(8171,0)</f>
        <v>8171</v>
      </c>
      <c r="AA11" s="1">
        <f>ROUND(7498,0)</f>
        <v>7498</v>
      </c>
      <c r="AB11" s="1">
        <v>7189</v>
      </c>
      <c r="AC11" s="1">
        <v>7011</v>
      </c>
      <c r="AD11" s="106">
        <f t="shared" si="3"/>
        <v>6988.5</v>
      </c>
      <c r="AE11" s="1">
        <v>6966</v>
      </c>
      <c r="AF11" s="1">
        <v>7302</v>
      </c>
      <c r="AG11" s="1">
        <v>7110</v>
      </c>
      <c r="AH11" s="90">
        <v>6982</v>
      </c>
      <c r="AI11" s="90">
        <v>6855</v>
      </c>
    </row>
    <row r="12" spans="1:35">
      <c r="A12" s="1" t="s">
        <v>120</v>
      </c>
      <c r="B12" s="3">
        <v>1393.4690000000001</v>
      </c>
      <c r="C12" s="168">
        <f>((D12-B12)/2)+B12</f>
        <v>1196.9645</v>
      </c>
      <c r="D12" s="3">
        <v>1000.46</v>
      </c>
      <c r="E12" s="3">
        <f>ROUND(917200/1000,0)</f>
        <v>917</v>
      </c>
      <c r="F12" s="3">
        <v>845.89099999999996</v>
      </c>
      <c r="G12" s="3">
        <v>918.55600000000004</v>
      </c>
      <c r="H12" s="3">
        <v>1105.3879999999999</v>
      </c>
      <c r="I12" s="1">
        <v>1101.6780000000001</v>
      </c>
      <c r="J12" s="1">
        <v>1064.028</v>
      </c>
      <c r="K12" s="1">
        <v>1154.749</v>
      </c>
      <c r="L12" s="1">
        <v>1102.0450000000001</v>
      </c>
      <c r="M12" s="65">
        <f t="shared" si="1"/>
        <v>1108.2445</v>
      </c>
      <c r="N12" s="1">
        <v>1114.444</v>
      </c>
      <c r="O12" s="1">
        <v>1260.5409999999999</v>
      </c>
      <c r="P12" s="1">
        <v>1284.0740000000001</v>
      </c>
      <c r="Q12" s="1">
        <v>1054.635</v>
      </c>
      <c r="R12" s="120">
        <v>1243.444</v>
      </c>
      <c r="S12" s="111">
        <v>1857</v>
      </c>
      <c r="T12" s="169">
        <f>((U12-S12)/2)+S12</f>
        <v>1590.5</v>
      </c>
      <c r="U12" s="3">
        <v>1324</v>
      </c>
      <c r="V12" s="3">
        <v>1226</v>
      </c>
      <c r="W12" s="3">
        <v>1064</v>
      </c>
      <c r="X12" s="3">
        <v>1132</v>
      </c>
      <c r="Y12" s="3">
        <v>1074</v>
      </c>
      <c r="Z12" s="1">
        <v>1103</v>
      </c>
      <c r="AA12" s="1">
        <v>1063</v>
      </c>
      <c r="AB12" s="1">
        <v>1175</v>
      </c>
      <c r="AC12" s="1">
        <v>1182</v>
      </c>
      <c r="AD12" s="106">
        <f t="shared" si="3"/>
        <v>1265.5</v>
      </c>
      <c r="AE12" s="1">
        <v>1349</v>
      </c>
      <c r="AF12" s="1">
        <v>1240</v>
      </c>
      <c r="AG12" s="1">
        <v>979</v>
      </c>
      <c r="AH12" s="90">
        <v>799</v>
      </c>
      <c r="AI12" s="90">
        <v>1163</v>
      </c>
    </row>
    <row r="13" spans="1:35">
      <c r="A13" s="1" t="s">
        <v>26</v>
      </c>
      <c r="B13" s="3">
        <f>ROUND(18000,0)</f>
        <v>18000</v>
      </c>
      <c r="C13" s="4">
        <f>ROUND(17564,0)</f>
        <v>17564</v>
      </c>
      <c r="D13" s="3">
        <f>ROUND(17763,0)</f>
        <v>17763</v>
      </c>
      <c r="E13" s="3">
        <f>ROUND(17591686/1000,0)</f>
        <v>17592</v>
      </c>
      <c r="F13" s="3">
        <f>ROUND(18374731/1000,0)</f>
        <v>18375</v>
      </c>
      <c r="G13" s="3">
        <f>ROUND(18960001/1000,0)</f>
        <v>18960</v>
      </c>
      <c r="H13" s="3">
        <f>ROUND(20803921/1000,0)</f>
        <v>20804</v>
      </c>
      <c r="I13" s="1">
        <f>ROUND(22133.524,0)</f>
        <v>22134</v>
      </c>
      <c r="J13" s="1">
        <f>ROUND(23932.337,0)</f>
        <v>23932</v>
      </c>
      <c r="K13" s="1">
        <v>21756.454000000002</v>
      </c>
      <c r="L13" s="1">
        <v>21642.517</v>
      </c>
      <c r="M13" s="65">
        <f t="shared" si="1"/>
        <v>21555.932000000001</v>
      </c>
      <c r="N13" s="1">
        <v>21469.347000000002</v>
      </c>
      <c r="O13" s="1">
        <v>26465.907999999999</v>
      </c>
      <c r="P13" s="1">
        <v>28523.91</v>
      </c>
      <c r="Q13" s="1">
        <v>30292.126</v>
      </c>
      <c r="R13" s="120">
        <v>31636.986000000001</v>
      </c>
      <c r="S13" s="111">
        <f>ROUND(19742,0)</f>
        <v>19742</v>
      </c>
      <c r="T13" s="60">
        <f>ROUND(25930,0)</f>
        <v>25930</v>
      </c>
      <c r="U13" s="3">
        <f>ROUND(19478,0)</f>
        <v>19478</v>
      </c>
      <c r="V13" s="3">
        <f>ROUND(19382,0)</f>
        <v>19382</v>
      </c>
      <c r="W13" s="3">
        <f>ROUND(20166,0)</f>
        <v>20166</v>
      </c>
      <c r="X13" s="3">
        <f>ROUND(19945,0)</f>
        <v>19945</v>
      </c>
      <c r="Y13" s="3">
        <f>ROUND(20467,0)</f>
        <v>20467</v>
      </c>
      <c r="Z13" s="1">
        <f>ROUND(21197,0)</f>
        <v>21197</v>
      </c>
      <c r="AA13" s="1">
        <f>ROUND(23718,0)</f>
        <v>23718</v>
      </c>
      <c r="AB13" s="1">
        <v>17813</v>
      </c>
      <c r="AC13" s="1">
        <v>17863</v>
      </c>
      <c r="AD13" s="106">
        <f t="shared" si="3"/>
        <v>18306.5</v>
      </c>
      <c r="AE13" s="1">
        <v>18750</v>
      </c>
      <c r="AF13" s="1">
        <v>21481</v>
      </c>
      <c r="AG13" s="1">
        <v>20317</v>
      </c>
      <c r="AH13" s="90">
        <v>22903</v>
      </c>
      <c r="AI13" s="90">
        <v>20788</v>
      </c>
    </row>
    <row r="14" spans="1:35">
      <c r="A14" s="1" t="s">
        <v>27</v>
      </c>
      <c r="B14" s="3">
        <f>ROUND(12092,0)</f>
        <v>12092</v>
      </c>
      <c r="C14" s="4">
        <f>ROUND(12579,0)</f>
        <v>12579</v>
      </c>
      <c r="D14" s="3">
        <f>ROUND(11168,0)</f>
        <v>11168</v>
      </c>
      <c r="E14" s="3">
        <f>ROUND(11016688/1000,0)</f>
        <v>11017</v>
      </c>
      <c r="F14" s="3">
        <f>ROUND(10461248/1000,0)</f>
        <v>10461</v>
      </c>
      <c r="G14" s="3">
        <f>ROUND(11183348/1000,0)</f>
        <v>11183</v>
      </c>
      <c r="H14" s="3">
        <f>ROUND(13940787/1000,0)</f>
        <v>13941</v>
      </c>
      <c r="I14" s="1">
        <f>ROUND(12614.893,0)</f>
        <v>12615</v>
      </c>
      <c r="J14" s="1">
        <f>ROUND(13833.226,0)</f>
        <v>13833</v>
      </c>
      <c r="K14" s="1">
        <v>13989.244000000001</v>
      </c>
      <c r="L14" s="1">
        <v>14033.648999999999</v>
      </c>
      <c r="M14" s="65">
        <f t="shared" si="1"/>
        <v>13407.806</v>
      </c>
      <c r="N14" s="1">
        <v>12781.963</v>
      </c>
      <c r="O14" s="1">
        <v>16977.053</v>
      </c>
      <c r="P14" s="1">
        <v>17665.081999999999</v>
      </c>
      <c r="Q14" s="1">
        <v>17779.455000000002</v>
      </c>
      <c r="R14" s="120">
        <v>18278.577000000001</v>
      </c>
      <c r="S14" s="111">
        <f>ROUND(14275,0)</f>
        <v>14275</v>
      </c>
      <c r="T14" s="60">
        <f>ROUND(18482,0)</f>
        <v>18482</v>
      </c>
      <c r="U14" s="3">
        <f>ROUND(12714,0)</f>
        <v>12714</v>
      </c>
      <c r="V14" s="3">
        <f>ROUND(12302,0)</f>
        <v>12302</v>
      </c>
      <c r="W14" s="3">
        <f>ROUND(11859,0)</f>
        <v>11859</v>
      </c>
      <c r="X14" s="3">
        <f>ROUND(11885,0)</f>
        <v>11885</v>
      </c>
      <c r="Y14" s="3">
        <f>ROUND(12817,0)</f>
        <v>12817</v>
      </c>
      <c r="Z14" s="1">
        <f>ROUND(11857,0)</f>
        <v>11857</v>
      </c>
      <c r="AA14" s="1">
        <f>ROUND(13397,0)</f>
        <v>13397</v>
      </c>
      <c r="AB14" s="1">
        <v>12981</v>
      </c>
      <c r="AC14" s="1">
        <v>13746</v>
      </c>
      <c r="AD14" s="106">
        <f t="shared" si="3"/>
        <v>12840</v>
      </c>
      <c r="AE14" s="1">
        <v>11934</v>
      </c>
      <c r="AF14" s="1">
        <v>13935</v>
      </c>
      <c r="AG14" s="1">
        <v>13471</v>
      </c>
      <c r="AH14" s="90">
        <v>14198</v>
      </c>
      <c r="AI14" s="90">
        <v>13737</v>
      </c>
    </row>
    <row r="15" spans="1:35">
      <c r="A15" s="1" t="s">
        <v>28</v>
      </c>
      <c r="B15" s="3">
        <f>ROUND(12683,0)</f>
        <v>12683</v>
      </c>
      <c r="C15" s="4">
        <f>ROUND(9570,0)</f>
        <v>9570</v>
      </c>
      <c r="D15" s="3">
        <f>ROUND(13200,0)</f>
        <v>13200</v>
      </c>
      <c r="E15" s="3">
        <f>ROUND(13565624/1000,0)</f>
        <v>13566</v>
      </c>
      <c r="F15" s="3">
        <f>ROUND(12656566/1000,0)</f>
        <v>12657</v>
      </c>
      <c r="G15" s="3">
        <f>ROUND(13177338/1000,0)</f>
        <v>13177</v>
      </c>
      <c r="H15" s="3">
        <f>ROUND(14446618/1000,0)</f>
        <v>14447</v>
      </c>
      <c r="I15" s="1">
        <f>ROUND(15850.843,0)</f>
        <v>15851</v>
      </c>
      <c r="J15" s="1">
        <f>ROUND(15756.095,0)</f>
        <v>15756</v>
      </c>
      <c r="K15" s="1">
        <v>16115.022000000001</v>
      </c>
      <c r="L15" s="1">
        <v>15445.556</v>
      </c>
      <c r="M15" s="65">
        <f t="shared" si="1"/>
        <v>15289.407999999999</v>
      </c>
      <c r="N15" s="1">
        <v>15133.26</v>
      </c>
      <c r="O15" s="1">
        <v>16724.213</v>
      </c>
      <c r="P15" s="1">
        <v>17082.788</v>
      </c>
      <c r="Q15" s="1">
        <v>16965.690999999999</v>
      </c>
      <c r="R15" s="120">
        <v>17463.328000000001</v>
      </c>
      <c r="S15" s="111">
        <f>ROUND(12780,0)</f>
        <v>12780</v>
      </c>
      <c r="T15" s="60">
        <f>ROUND(14153,0)</f>
        <v>14153</v>
      </c>
      <c r="U15" s="3">
        <f>ROUND(12362,0)</f>
        <v>12362</v>
      </c>
      <c r="V15" s="3">
        <f>ROUND(12132,0)</f>
        <v>12132</v>
      </c>
      <c r="W15" s="3">
        <f>ROUND(11436,0)</f>
        <v>11436</v>
      </c>
      <c r="X15" s="3">
        <f>ROUND(11615,0)</f>
        <v>11615</v>
      </c>
      <c r="Y15" s="3">
        <f>ROUND(11705,0)</f>
        <v>11705</v>
      </c>
      <c r="Z15" s="1">
        <f>ROUND(11786,0)</f>
        <v>11786</v>
      </c>
      <c r="AA15" s="1">
        <f>ROUND(11495,0)</f>
        <v>11495</v>
      </c>
      <c r="AB15" s="1">
        <v>11918</v>
      </c>
      <c r="AC15" s="1">
        <v>11621</v>
      </c>
      <c r="AD15" s="106">
        <f t="shared" si="3"/>
        <v>11359</v>
      </c>
      <c r="AE15" s="1">
        <v>11097</v>
      </c>
      <c r="AF15" s="1">
        <v>11665</v>
      </c>
      <c r="AG15" s="1">
        <v>11274</v>
      </c>
      <c r="AH15" s="90">
        <v>11254</v>
      </c>
      <c r="AI15" s="90">
        <v>11230</v>
      </c>
    </row>
    <row r="16" spans="1:35">
      <c r="A16" s="1" t="s">
        <v>29</v>
      </c>
      <c r="B16" s="3">
        <f>ROUND(11579,0)</f>
        <v>11579</v>
      </c>
      <c r="C16" s="4">
        <f>ROUND(11402,0)</f>
        <v>11402</v>
      </c>
      <c r="D16" s="3">
        <f>ROUND(11772,0)</f>
        <v>11772</v>
      </c>
      <c r="E16" s="3">
        <f>ROUND(11889474/1000,0)</f>
        <v>11889</v>
      </c>
      <c r="F16" s="3">
        <f>ROUND(11470249/1000,0)</f>
        <v>11470</v>
      </c>
      <c r="G16" s="3">
        <f>ROUND(11691202/1000,0)</f>
        <v>11691</v>
      </c>
      <c r="H16" s="3">
        <f>ROUND(12452118/1000,0)</f>
        <v>12452</v>
      </c>
      <c r="I16" s="1">
        <f>ROUND(12521.847,0)</f>
        <v>12522</v>
      </c>
      <c r="J16" s="1">
        <f>ROUND(12374.082,0)</f>
        <v>12374</v>
      </c>
      <c r="K16" s="1">
        <v>12127.883</v>
      </c>
      <c r="L16" s="1">
        <v>11238.992</v>
      </c>
      <c r="M16" s="106">
        <f t="shared" si="1"/>
        <v>11465.499</v>
      </c>
      <c r="N16" s="1">
        <v>11692.005999999999</v>
      </c>
      <c r="O16" s="1">
        <v>13071.858</v>
      </c>
      <c r="P16" s="1">
        <v>13409.471</v>
      </c>
      <c r="Q16" s="1">
        <v>13327.298000000001</v>
      </c>
      <c r="R16" s="120">
        <v>13253.843999999999</v>
      </c>
      <c r="S16" s="111">
        <f>ROUND(14819,0)</f>
        <v>14819</v>
      </c>
      <c r="T16" s="60">
        <f>ROUND(16770,0)</f>
        <v>16770</v>
      </c>
      <c r="U16" s="3">
        <f>ROUND(12410,0)</f>
        <v>12410</v>
      </c>
      <c r="V16" s="3">
        <f>ROUND(11950,0)</f>
        <v>11950</v>
      </c>
      <c r="W16" s="3">
        <f>ROUND(12164,0)</f>
        <v>12164</v>
      </c>
      <c r="X16" s="3">
        <f>ROUND(12388,0)</f>
        <v>12388</v>
      </c>
      <c r="Y16" s="3">
        <f>ROUND(12851,0)</f>
        <v>12851</v>
      </c>
      <c r="Z16" s="1">
        <f>ROUND(12156,0)</f>
        <v>12156</v>
      </c>
      <c r="AA16" s="1">
        <f>ROUND(12178,0)</f>
        <v>12178</v>
      </c>
      <c r="AB16" s="1">
        <v>12050</v>
      </c>
      <c r="AC16" s="1">
        <v>10625</v>
      </c>
      <c r="AD16" s="106">
        <f t="shared" si="3"/>
        <v>10684.5</v>
      </c>
      <c r="AE16" s="1">
        <v>10744</v>
      </c>
      <c r="AF16" s="1">
        <v>11531</v>
      </c>
      <c r="AG16" s="1">
        <v>11219</v>
      </c>
      <c r="AH16" s="90">
        <v>11459</v>
      </c>
      <c r="AI16" s="90">
        <v>10842</v>
      </c>
    </row>
    <row r="17" spans="1:35">
      <c r="A17" s="1" t="s">
        <v>30</v>
      </c>
      <c r="B17" s="3">
        <f>ROUND(9729,0)</f>
        <v>9729</v>
      </c>
      <c r="C17" s="4">
        <f>ROUND(9090,0)</f>
        <v>9090</v>
      </c>
      <c r="D17" s="3">
        <f>ROUND(9416,0)</f>
        <v>9416</v>
      </c>
      <c r="E17" s="3">
        <f>ROUND(9579558/1000,0)</f>
        <v>9580</v>
      </c>
      <c r="F17" s="3">
        <f>ROUND(9133110/1000,0)</f>
        <v>9133</v>
      </c>
      <c r="G17" s="3">
        <f>ROUND(9570060/1000,0)</f>
        <v>9570</v>
      </c>
      <c r="H17" s="3">
        <f>ROUND(9952149/1000,0)</f>
        <v>9952</v>
      </c>
      <c r="I17" s="1">
        <f>ROUND(11526.896,0)</f>
        <v>11527</v>
      </c>
      <c r="J17" s="1">
        <f>ROUND(10951.895,0)</f>
        <v>10952</v>
      </c>
      <c r="K17" s="1">
        <v>10441.959000000001</v>
      </c>
      <c r="L17" s="1">
        <v>10315.656000000001</v>
      </c>
      <c r="M17" s="65">
        <f t="shared" si="1"/>
        <v>10398.4285</v>
      </c>
      <c r="N17" s="1">
        <v>10481.200999999999</v>
      </c>
      <c r="O17" s="1">
        <v>12664.904</v>
      </c>
      <c r="P17" s="1">
        <v>12634.683999999999</v>
      </c>
      <c r="Q17" s="1">
        <v>12123.535</v>
      </c>
      <c r="R17" s="120">
        <v>12654.763000000001</v>
      </c>
      <c r="S17" s="111">
        <f>ROUND(9516,0)</f>
        <v>9516</v>
      </c>
      <c r="T17" s="60">
        <f>ROUND(13449,0)</f>
        <v>13449</v>
      </c>
      <c r="U17" s="3">
        <f>ROUND(8866,0)</f>
        <v>8866</v>
      </c>
      <c r="V17" s="3">
        <f>ROUND(8844,0)</f>
        <v>8844</v>
      </c>
      <c r="W17" s="3">
        <f>ROUND(8452,0)</f>
        <v>8452</v>
      </c>
      <c r="X17" s="3">
        <f>ROUND(8689,0)</f>
        <v>8689</v>
      </c>
      <c r="Y17" s="3">
        <f>ROUND(8866,0)</f>
        <v>8866</v>
      </c>
      <c r="Z17" s="1">
        <f>ROUND(9049,0)</f>
        <v>9049</v>
      </c>
      <c r="AA17" s="1">
        <f>ROUND(9513,0)</f>
        <v>9513</v>
      </c>
      <c r="AB17" s="1">
        <v>9033</v>
      </c>
      <c r="AC17" s="1">
        <v>8921</v>
      </c>
      <c r="AD17" s="106">
        <f t="shared" si="3"/>
        <v>8711</v>
      </c>
      <c r="AE17" s="1">
        <v>8501</v>
      </c>
      <c r="AF17" s="1">
        <v>9534</v>
      </c>
      <c r="AG17" s="1">
        <v>9178</v>
      </c>
      <c r="AH17" s="90">
        <v>8648</v>
      </c>
      <c r="AI17" s="90">
        <v>8920</v>
      </c>
    </row>
    <row r="18" spans="1:35">
      <c r="A18" s="1" t="s">
        <v>31</v>
      </c>
      <c r="B18" s="3">
        <f>ROUND(9058,0)</f>
        <v>9058</v>
      </c>
      <c r="C18" s="4">
        <f>ROUND(9583,0)</f>
        <v>9583</v>
      </c>
      <c r="D18" s="3">
        <f>ROUND(10151,0)</f>
        <v>10151</v>
      </c>
      <c r="E18" s="3">
        <f>ROUND(10176886/1000,0)</f>
        <v>10177</v>
      </c>
      <c r="F18" s="3">
        <f>ROUND(9489848/1000,0)</f>
        <v>9490</v>
      </c>
      <c r="G18" s="3">
        <f>ROUND(7355280/1000,0)</f>
        <v>7355</v>
      </c>
      <c r="H18" s="3">
        <f>ROUND(10398372/1000,0)</f>
        <v>10398</v>
      </c>
      <c r="I18" s="1">
        <f>ROUND(10227.472,0)</f>
        <v>10227</v>
      </c>
      <c r="J18" s="1">
        <f>ROUND(10436.024,0)</f>
        <v>10436</v>
      </c>
      <c r="K18" s="1">
        <v>10075.708000000001</v>
      </c>
      <c r="L18" s="1">
        <v>9880.732</v>
      </c>
      <c r="M18" s="65">
        <f t="shared" si="1"/>
        <v>9630.4</v>
      </c>
      <c r="N18" s="1">
        <v>9380.0679999999993</v>
      </c>
      <c r="O18" s="1">
        <v>10607.512000000001</v>
      </c>
      <c r="P18" s="1">
        <v>11282.508</v>
      </c>
      <c r="Q18" s="1">
        <v>10838.891</v>
      </c>
      <c r="R18" s="120">
        <v>10610.531000000001</v>
      </c>
      <c r="S18" s="111">
        <f>ROUND(11674,0)</f>
        <v>11674</v>
      </c>
      <c r="T18" s="60">
        <f>ROUND(14189,0)</f>
        <v>14189</v>
      </c>
      <c r="U18" s="3">
        <f>ROUND(12338,0)</f>
        <v>12338</v>
      </c>
      <c r="V18" s="3">
        <f>ROUND(11792,0)</f>
        <v>11792</v>
      </c>
      <c r="W18" s="3">
        <f>ROUND(12055,0)</f>
        <v>12055</v>
      </c>
      <c r="X18" s="3">
        <f>ROUND(9752,0)</f>
        <v>9752</v>
      </c>
      <c r="Y18" s="3">
        <f>ROUND(12130,0)</f>
        <v>12130</v>
      </c>
      <c r="Z18" s="1">
        <f>ROUND(11370,0)</f>
        <v>11370</v>
      </c>
      <c r="AA18" s="1">
        <f>ROUND(10946,0)</f>
        <v>10946</v>
      </c>
      <c r="AB18" s="1">
        <v>10137</v>
      </c>
      <c r="AC18" s="1">
        <v>10178</v>
      </c>
      <c r="AD18" s="106">
        <f t="shared" si="3"/>
        <v>9696</v>
      </c>
      <c r="AE18" s="1">
        <v>9214</v>
      </c>
      <c r="AF18" s="1">
        <v>9383</v>
      </c>
      <c r="AG18" s="1">
        <v>10480</v>
      </c>
      <c r="AH18" s="90">
        <v>9250</v>
      </c>
      <c r="AI18" s="90">
        <v>9939</v>
      </c>
    </row>
    <row r="19" spans="1:35">
      <c r="A19" s="1" t="s">
        <v>32</v>
      </c>
      <c r="B19" s="3">
        <f>ROUND(14086,0)</f>
        <v>14086</v>
      </c>
      <c r="C19" s="4">
        <f>ROUND(14953,0)</f>
        <v>14953</v>
      </c>
      <c r="D19" s="3">
        <f>ROUND(13892,0)</f>
        <v>13892</v>
      </c>
      <c r="E19" s="3">
        <f>ROUND(13999764/1000,0)</f>
        <v>14000</v>
      </c>
      <c r="F19" s="3">
        <f>ROUND(13856140/1000,0)</f>
        <v>13856</v>
      </c>
      <c r="G19" s="3">
        <f>ROUND(14444637/1000,0)</f>
        <v>14445</v>
      </c>
      <c r="H19" s="3">
        <f>ROUND(15773366/1000,0)</f>
        <v>15773</v>
      </c>
      <c r="I19" s="1">
        <f>ROUND(16149.586,0)</f>
        <v>16150</v>
      </c>
      <c r="J19" s="1">
        <f>ROUND(16262.902,0)</f>
        <v>16263</v>
      </c>
      <c r="K19" s="1">
        <v>15713.404</v>
      </c>
      <c r="L19" s="1">
        <v>14621.088</v>
      </c>
      <c r="M19" s="65">
        <f t="shared" si="1"/>
        <v>14897.864</v>
      </c>
      <c r="N19" s="1">
        <v>15174.64</v>
      </c>
      <c r="O19" s="1">
        <v>17812.216</v>
      </c>
      <c r="P19" s="1">
        <v>18870.594000000001</v>
      </c>
      <c r="Q19" s="1">
        <v>18718.402999999998</v>
      </c>
      <c r="R19" s="120">
        <v>19443.241000000002</v>
      </c>
      <c r="S19" s="111">
        <f>ROUND(21575,0)</f>
        <v>21575</v>
      </c>
      <c r="T19" s="60">
        <f>ROUND(22144,0)</f>
        <v>22144</v>
      </c>
      <c r="U19" s="3">
        <f>ROUND(18632,0)</f>
        <v>18632</v>
      </c>
      <c r="V19" s="3">
        <f>ROUND(18360,0)</f>
        <v>18360</v>
      </c>
      <c r="W19" s="3">
        <f>ROUND(18126,0)</f>
        <v>18126</v>
      </c>
      <c r="X19" s="3">
        <f>ROUND(18629,0)</f>
        <v>18629</v>
      </c>
      <c r="Y19" s="3">
        <f>ROUND(18334,0)</f>
        <v>18334</v>
      </c>
      <c r="Z19" s="1">
        <f>ROUND(17811,0)</f>
        <v>17811</v>
      </c>
      <c r="AA19" s="1">
        <f>ROUND(18403,0)</f>
        <v>18403</v>
      </c>
      <c r="AB19" s="1">
        <v>17954</v>
      </c>
      <c r="AC19" s="1">
        <v>18016</v>
      </c>
      <c r="AD19" s="106">
        <f t="shared" si="3"/>
        <v>17478</v>
      </c>
      <c r="AE19" s="1">
        <v>16940</v>
      </c>
      <c r="AF19" s="1">
        <v>17529</v>
      </c>
      <c r="AG19" s="1">
        <v>17966</v>
      </c>
      <c r="AH19" s="90">
        <v>18217</v>
      </c>
      <c r="AI19" s="90">
        <v>18189</v>
      </c>
    </row>
    <row r="20" spans="1:35">
      <c r="A20" s="1" t="s">
        <v>33</v>
      </c>
      <c r="B20" s="3">
        <f>ROUND(7159,0)</f>
        <v>7159</v>
      </c>
      <c r="C20" s="4">
        <f>ROUND(7125,0)</f>
        <v>7125</v>
      </c>
      <c r="D20" s="3">
        <f>ROUND(7735,0)</f>
        <v>7735</v>
      </c>
      <c r="E20" s="3">
        <f>ROUND(7440855/1000,0)</f>
        <v>7441</v>
      </c>
      <c r="F20" s="3">
        <f>ROUND(7635561/1000,0)</f>
        <v>7636</v>
      </c>
      <c r="G20" s="3">
        <f>ROUND(8206435/1000,0)</f>
        <v>8206</v>
      </c>
      <c r="H20" s="3">
        <f>ROUND(9394915/1000,0)</f>
        <v>9395</v>
      </c>
      <c r="I20" s="1">
        <f>ROUND(9535.751,0)</f>
        <v>9536</v>
      </c>
      <c r="J20" s="1">
        <f>ROUND(9439.853,0)</f>
        <v>9440</v>
      </c>
      <c r="K20" s="1">
        <v>9451.5229999999992</v>
      </c>
      <c r="L20" s="1">
        <v>9110.2610000000004</v>
      </c>
      <c r="M20" s="65">
        <f t="shared" si="1"/>
        <v>9124.1419999999998</v>
      </c>
      <c r="N20" s="1">
        <v>9138.0229999999992</v>
      </c>
      <c r="O20" s="1">
        <v>10404.716</v>
      </c>
      <c r="P20" s="1">
        <v>10505.835999999999</v>
      </c>
      <c r="Q20" s="1">
        <v>10209.081</v>
      </c>
      <c r="R20" s="120">
        <v>10688.306</v>
      </c>
      <c r="S20" s="111">
        <f>ROUND(9039,0)</f>
        <v>9039</v>
      </c>
      <c r="T20" s="60">
        <f>ROUND(10552,0)</f>
        <v>10552</v>
      </c>
      <c r="U20" s="3">
        <f>ROUND(9002,0)</f>
        <v>9002</v>
      </c>
      <c r="V20" s="3">
        <f>ROUND(9221,0)</f>
        <v>9221</v>
      </c>
      <c r="W20" s="3">
        <f>ROUND(9223,0)</f>
        <v>9223</v>
      </c>
      <c r="X20" s="3">
        <f>ROUND(9573,0)</f>
        <v>9573</v>
      </c>
      <c r="Y20" s="3">
        <f>ROUND(9717,0)</f>
        <v>9717</v>
      </c>
      <c r="Z20" s="1">
        <f>ROUND(9133,0)</f>
        <v>9133</v>
      </c>
      <c r="AA20" s="1">
        <f>ROUND(8987,0)</f>
        <v>8987</v>
      </c>
      <c r="AB20" s="1">
        <v>8589</v>
      </c>
      <c r="AC20" s="1">
        <v>8512</v>
      </c>
      <c r="AD20" s="106">
        <f t="shared" si="3"/>
        <v>8232.5</v>
      </c>
      <c r="AE20" s="1">
        <v>7953</v>
      </c>
      <c r="AF20" s="1">
        <v>8281</v>
      </c>
      <c r="AG20" s="1">
        <v>8367</v>
      </c>
      <c r="AH20" s="90">
        <v>7894</v>
      </c>
      <c r="AI20" s="90">
        <v>8083</v>
      </c>
    </row>
    <row r="21" spans="1:35">
      <c r="A21" s="1" t="s">
        <v>34</v>
      </c>
      <c r="B21" s="3">
        <f>ROUND(8477,0)</f>
        <v>8477</v>
      </c>
      <c r="C21" s="4">
        <f>ROUND(8702,0)</f>
        <v>8702</v>
      </c>
      <c r="D21" s="3">
        <f>ROUND(9037,0)</f>
        <v>9037</v>
      </c>
      <c r="E21" s="3">
        <f>ROUND(9107676/1000,0)</f>
        <v>9108</v>
      </c>
      <c r="F21" s="3">
        <f>ROUND(8509675/1000,0)</f>
        <v>8510</v>
      </c>
      <c r="G21" s="3">
        <f>ROUND(8229645/1000,0)</f>
        <v>8230</v>
      </c>
      <c r="H21" s="3">
        <f>ROUND(9289161/1000,0)</f>
        <v>9289</v>
      </c>
      <c r="I21" s="1">
        <f>ROUND(9230.368,0)</f>
        <v>9230</v>
      </c>
      <c r="J21" s="1">
        <f>ROUND(9902.765,0)</f>
        <v>9903</v>
      </c>
      <c r="K21" s="1">
        <v>9451.8259999999991</v>
      </c>
      <c r="L21" s="1">
        <v>9033.482</v>
      </c>
      <c r="M21" s="65">
        <f t="shared" si="1"/>
        <v>9053.7394999999997</v>
      </c>
      <c r="N21" s="1">
        <v>9073.9969999999994</v>
      </c>
      <c r="O21" s="1">
        <v>12912.918</v>
      </c>
      <c r="P21" s="1">
        <v>9682.5499999999993</v>
      </c>
      <c r="Q21" s="1">
        <v>10127.163</v>
      </c>
      <c r="R21" s="120">
        <v>10428.725</v>
      </c>
      <c r="S21" s="111">
        <f>ROUND(10375,0)</f>
        <v>10375</v>
      </c>
      <c r="T21" s="60">
        <f>ROUND(12882,0)</f>
        <v>12882</v>
      </c>
      <c r="U21" s="3">
        <f>ROUND(10516,0)</f>
        <v>10516</v>
      </c>
      <c r="V21" s="3">
        <f>ROUND(10577,0)</f>
        <v>10577</v>
      </c>
      <c r="W21" s="3">
        <f>ROUND(9875,0)</f>
        <v>9875</v>
      </c>
      <c r="X21" s="3">
        <f>ROUND(9236,0)</f>
        <v>9236</v>
      </c>
      <c r="Y21" s="3">
        <f>ROUND(9077,0)</f>
        <v>9077</v>
      </c>
      <c r="Z21" s="1">
        <f>ROUND(9649,0)</f>
        <v>9649</v>
      </c>
      <c r="AA21" s="1">
        <f>ROUND(9495,0)</f>
        <v>9495</v>
      </c>
      <c r="AB21" s="1">
        <v>9792</v>
      </c>
      <c r="AC21" s="1">
        <v>9545</v>
      </c>
      <c r="AD21" s="106">
        <f t="shared" si="3"/>
        <v>9495.5</v>
      </c>
      <c r="AE21" s="1">
        <v>9446</v>
      </c>
      <c r="AF21" s="1">
        <v>9694</v>
      </c>
      <c r="AG21" s="1">
        <v>8842</v>
      </c>
      <c r="AH21" s="90">
        <v>9448</v>
      </c>
      <c r="AI21" s="90">
        <v>9359</v>
      </c>
    </row>
    <row r="22" spans="1:35">
      <c r="A22" s="1" t="s">
        <v>35</v>
      </c>
      <c r="B22" s="3">
        <f>ROUND(10984,0)</f>
        <v>10984</v>
      </c>
      <c r="C22" s="4">
        <f>ROUND(11069,0)</f>
        <v>11069</v>
      </c>
      <c r="D22" s="3">
        <f>ROUND(10557,0)</f>
        <v>10557</v>
      </c>
      <c r="E22" s="3">
        <f>ROUND(10791783/1000,0)</f>
        <v>10792</v>
      </c>
      <c r="F22" s="3">
        <f>ROUND(10079957/1000,0)</f>
        <v>10080</v>
      </c>
      <c r="G22" s="3">
        <f>ROUND(11255562/1000,0)</f>
        <v>11256</v>
      </c>
      <c r="H22" s="3">
        <f>ROUND(12340677/1000,0)</f>
        <v>12341</v>
      </c>
      <c r="I22" s="1">
        <f>ROUND(12669.762,0)</f>
        <v>12670</v>
      </c>
      <c r="J22" s="1">
        <f>ROUND(12670.33,0)</f>
        <v>12670</v>
      </c>
      <c r="K22" s="1">
        <v>13012.364</v>
      </c>
      <c r="L22" s="1">
        <v>11514.495999999999</v>
      </c>
      <c r="M22" s="65">
        <f t="shared" si="1"/>
        <v>11778.9545</v>
      </c>
      <c r="N22" s="1">
        <v>12043.413</v>
      </c>
      <c r="O22" s="1">
        <v>14689.19</v>
      </c>
      <c r="P22" s="1">
        <v>16074.688</v>
      </c>
      <c r="Q22" s="1">
        <v>14148.585999999999</v>
      </c>
      <c r="R22" s="120">
        <v>15774.49</v>
      </c>
      <c r="S22" s="111">
        <f>ROUND(14743,0)</f>
        <v>14743</v>
      </c>
      <c r="T22" s="60">
        <f>ROUND(16386,0)</f>
        <v>16386</v>
      </c>
      <c r="U22" s="3">
        <f>ROUND(13080,0)</f>
        <v>13080</v>
      </c>
      <c r="V22" s="3">
        <f>ROUND(13845,0)</f>
        <v>13845</v>
      </c>
      <c r="W22" s="3">
        <f>ROUND(14037,0)</f>
        <v>14037</v>
      </c>
      <c r="X22" s="3">
        <f>ROUND(14773,0)</f>
        <v>14773</v>
      </c>
      <c r="Y22" s="3">
        <f>ROUND(13091,0)</f>
        <v>13091</v>
      </c>
      <c r="Z22" s="1">
        <f>ROUND(12405,0)</f>
        <v>12405</v>
      </c>
      <c r="AA22" s="1">
        <f>ROUND(12957,0)</f>
        <v>12957</v>
      </c>
      <c r="AB22" s="1">
        <v>12950</v>
      </c>
      <c r="AC22" s="1">
        <v>11563</v>
      </c>
      <c r="AD22" s="106">
        <f t="shared" si="3"/>
        <v>11519.5</v>
      </c>
      <c r="AE22" s="1">
        <v>11476</v>
      </c>
      <c r="AF22" s="1">
        <v>12806</v>
      </c>
      <c r="AG22" s="1">
        <v>13561</v>
      </c>
      <c r="AH22" s="90">
        <v>12811</v>
      </c>
      <c r="AI22" s="90">
        <v>13151</v>
      </c>
    </row>
    <row r="23" spans="1:35">
      <c r="A23" s="1" t="s">
        <v>36</v>
      </c>
      <c r="B23" s="3">
        <f>ROUND(32018,0)</f>
        <v>32018</v>
      </c>
      <c r="C23" s="4">
        <f>ROUND(32652,0)</f>
        <v>32652</v>
      </c>
      <c r="D23" s="3">
        <f>ROUND(33557,0)</f>
        <v>33557</v>
      </c>
      <c r="E23" s="3">
        <f>ROUND(33680411/1000,0)</f>
        <v>33680</v>
      </c>
      <c r="F23" s="3">
        <f>ROUND(32558128/1000,0)</f>
        <v>32558</v>
      </c>
      <c r="G23" s="3">
        <f>ROUND(32476520/1000,0)</f>
        <v>32477</v>
      </c>
      <c r="H23" s="3">
        <f>ROUND(36538198/1000,0)</f>
        <v>36538</v>
      </c>
      <c r="I23" s="1">
        <f>ROUND(40352.026,0)</f>
        <v>40352</v>
      </c>
      <c r="J23" s="1">
        <f>ROUND(40922.506,0)</f>
        <v>40923</v>
      </c>
      <c r="K23" s="1">
        <v>40161.493999999999</v>
      </c>
      <c r="L23" s="1">
        <v>37890.050000000003</v>
      </c>
      <c r="M23" s="65">
        <f t="shared" si="1"/>
        <v>37794.362999999998</v>
      </c>
      <c r="N23" s="1">
        <v>37698.675999999999</v>
      </c>
      <c r="O23" s="1">
        <v>43958.373</v>
      </c>
      <c r="P23" s="1">
        <v>45091.557999999997</v>
      </c>
      <c r="Q23" s="1">
        <v>45626.517</v>
      </c>
      <c r="R23" s="120">
        <v>46293.720999999998</v>
      </c>
      <c r="S23" s="111">
        <f>ROUND(31102,0)</f>
        <v>31102</v>
      </c>
      <c r="T23" s="60">
        <f>ROUND(48257,0)</f>
        <v>48257</v>
      </c>
      <c r="U23" s="3">
        <f>ROUND(30901,0)</f>
        <v>30901</v>
      </c>
      <c r="V23" s="3">
        <f>ROUND(31071,0)</f>
        <v>31071</v>
      </c>
      <c r="W23" s="3">
        <f>ROUND(30702,0)</f>
        <v>30702</v>
      </c>
      <c r="X23" s="3">
        <f>ROUND(29468,0)</f>
        <v>29468</v>
      </c>
      <c r="Y23" s="3">
        <f>ROUND(31663,0)</f>
        <v>31663</v>
      </c>
      <c r="Z23" s="1">
        <f>ROUND(33465,0)</f>
        <v>33465</v>
      </c>
      <c r="AA23" s="1">
        <f>ROUND(32480,0)</f>
        <v>32480</v>
      </c>
      <c r="AB23" s="1">
        <v>31996</v>
      </c>
      <c r="AC23" s="1">
        <v>31144</v>
      </c>
      <c r="AD23" s="106">
        <f t="shared" si="3"/>
        <v>30464</v>
      </c>
      <c r="AE23" s="1">
        <v>29784</v>
      </c>
      <c r="AF23" s="1">
        <v>33483</v>
      </c>
      <c r="AG23" s="1">
        <v>33711</v>
      </c>
      <c r="AH23" s="90">
        <v>33679</v>
      </c>
      <c r="AI23" s="90">
        <v>32606</v>
      </c>
    </row>
    <row r="24" spans="1:35">
      <c r="A24" s="1" t="s">
        <v>37</v>
      </c>
      <c r="B24" s="3">
        <f>ROUND(12013,0)</f>
        <v>12013</v>
      </c>
      <c r="C24" s="4">
        <f>ROUND(11780,0)</f>
        <v>11780</v>
      </c>
      <c r="D24" s="3">
        <f>ROUND(11924,0)</f>
        <v>11924</v>
      </c>
      <c r="E24" s="3">
        <f>ROUND(12232154/1000,0)</f>
        <v>12232</v>
      </c>
      <c r="F24" s="3">
        <f>ROUND(12180527/1000,0)</f>
        <v>12181</v>
      </c>
      <c r="G24" s="3">
        <f>ROUND(12918224/1000,0)</f>
        <v>12918</v>
      </c>
      <c r="H24" s="3">
        <f>ROUND(13841318/1000,0)</f>
        <v>13841</v>
      </c>
      <c r="I24" s="1">
        <f>ROUND(13829.926,0)</f>
        <v>13830</v>
      </c>
      <c r="J24" s="1">
        <f>ROUND(14521.548,0)</f>
        <v>14522</v>
      </c>
      <c r="K24" s="1">
        <v>14526.33</v>
      </c>
      <c r="L24" s="1">
        <v>14950.401</v>
      </c>
      <c r="M24" s="65">
        <f t="shared" si="1"/>
        <v>15213.095499999999</v>
      </c>
      <c r="N24" s="1">
        <v>15475.79</v>
      </c>
      <c r="O24" s="1">
        <v>18747.083999999999</v>
      </c>
      <c r="P24" s="1">
        <v>17911.553</v>
      </c>
      <c r="Q24" s="1">
        <v>17225.202000000001</v>
      </c>
      <c r="R24" s="120">
        <v>17892.120999999999</v>
      </c>
      <c r="S24" s="111">
        <f>ROUND(14394,0)</f>
        <v>14394</v>
      </c>
      <c r="T24" s="60">
        <f>ROUND(17434,0)</f>
        <v>17434</v>
      </c>
      <c r="U24" s="3">
        <f>ROUND(13957,0)</f>
        <v>13957</v>
      </c>
      <c r="V24" s="3">
        <f>ROUND(13998,0)</f>
        <v>13998</v>
      </c>
      <c r="W24" s="3">
        <f>ROUND(13503,0)</f>
        <v>13503</v>
      </c>
      <c r="X24" s="3">
        <f>ROUND(14007,0)</f>
        <v>14007</v>
      </c>
      <c r="Y24" s="3">
        <f>ROUND(14493,0)</f>
        <v>14493</v>
      </c>
      <c r="Z24" s="1">
        <f>ROUND(13771,0)</f>
        <v>13771</v>
      </c>
      <c r="AA24" s="1">
        <f>ROUND(14570,0)</f>
        <v>14570</v>
      </c>
      <c r="AB24" s="1">
        <v>15112</v>
      </c>
      <c r="AC24" s="1">
        <v>14442</v>
      </c>
      <c r="AD24" s="106">
        <f t="shared" si="3"/>
        <v>14321</v>
      </c>
      <c r="AE24" s="1">
        <v>14200</v>
      </c>
      <c r="AF24" s="1">
        <v>15286</v>
      </c>
      <c r="AG24" s="1">
        <v>14868</v>
      </c>
      <c r="AH24" s="90">
        <v>14543</v>
      </c>
      <c r="AI24" s="90">
        <v>14382</v>
      </c>
    </row>
    <row r="25" spans="1:35">
      <c r="A25" s="49" t="s">
        <v>38</v>
      </c>
      <c r="B25" s="50">
        <f>ROUND(5082,0)</f>
        <v>5082</v>
      </c>
      <c r="C25" s="51">
        <f>ROUND(4894,0)</f>
        <v>4894</v>
      </c>
      <c r="D25" s="50">
        <f>ROUND(5154,0)</f>
        <v>5154</v>
      </c>
      <c r="E25" s="50">
        <f>ROUND(5180922/1000,0)</f>
        <v>5181</v>
      </c>
      <c r="F25" s="50">
        <f>ROUND(4975184/1000,0)</f>
        <v>4975</v>
      </c>
      <c r="G25" s="50">
        <f>ROUND(5624523/1000,0)</f>
        <v>5625</v>
      </c>
      <c r="H25" s="50">
        <f>ROUND(6089210/1000,0)</f>
        <v>6089</v>
      </c>
      <c r="I25" s="49">
        <f>ROUND(6234.818,0)</f>
        <v>6235</v>
      </c>
      <c r="J25" s="49">
        <f>ROUND(6155.873,0)</f>
        <v>6156</v>
      </c>
      <c r="K25" s="49">
        <v>5961.0069999999996</v>
      </c>
      <c r="L25" s="49">
        <v>5849.68</v>
      </c>
      <c r="M25" s="105">
        <f t="shared" si="1"/>
        <v>6018.3600000000006</v>
      </c>
      <c r="N25" s="49">
        <v>6187.04</v>
      </c>
      <c r="O25" s="49">
        <v>6750.8969999999999</v>
      </c>
      <c r="P25" s="49">
        <v>6910.9059999999999</v>
      </c>
      <c r="Q25" s="49">
        <v>6299.6779999999999</v>
      </c>
      <c r="R25" s="121">
        <v>6164.3959999999997</v>
      </c>
      <c r="S25" s="50">
        <f>ROUND(7552,0)</f>
        <v>7552</v>
      </c>
      <c r="T25" s="67">
        <f>ROUND(7249,0)</f>
        <v>7249</v>
      </c>
      <c r="U25" s="50">
        <f>ROUND(7114,0)</f>
        <v>7114</v>
      </c>
      <c r="V25" s="50">
        <f>ROUND(7283,0)</f>
        <v>7283</v>
      </c>
      <c r="W25" s="50">
        <f>ROUND(7254,0)</f>
        <v>7254</v>
      </c>
      <c r="X25" s="50">
        <f>ROUND(7599,0)</f>
        <v>7599</v>
      </c>
      <c r="Y25" s="50">
        <f>ROUND(7207,0)</f>
        <v>7207</v>
      </c>
      <c r="Z25" s="49">
        <f>ROUND(6800,0)</f>
        <v>6800</v>
      </c>
      <c r="AA25" s="49">
        <f>ROUND(6595,0)</f>
        <v>6595</v>
      </c>
      <c r="AB25" s="49">
        <v>6605</v>
      </c>
      <c r="AC25" s="49">
        <v>6452</v>
      </c>
      <c r="AD25" s="105">
        <f t="shared" si="3"/>
        <v>6463</v>
      </c>
      <c r="AE25" s="49">
        <v>6474</v>
      </c>
      <c r="AF25" s="49">
        <v>6646</v>
      </c>
      <c r="AG25" s="49">
        <v>7022</v>
      </c>
      <c r="AH25" s="102">
        <v>6738</v>
      </c>
      <c r="AI25" s="102">
        <v>6549</v>
      </c>
    </row>
    <row r="26" spans="1:35">
      <c r="A26" s="1"/>
      <c r="B26" s="1"/>
      <c r="C26" s="8"/>
      <c r="D26" s="1"/>
      <c r="E26" s="1"/>
      <c r="F26" s="1"/>
      <c r="G26" s="1"/>
      <c r="H26" s="1"/>
      <c r="I26" s="1"/>
      <c r="J26" s="1"/>
      <c r="K26" s="1"/>
      <c r="L26" s="1"/>
      <c r="M26" s="54"/>
      <c r="N26" s="1"/>
      <c r="O26" s="1"/>
      <c r="P26" s="1"/>
      <c r="Q26" s="1"/>
      <c r="R26" s="120"/>
      <c r="S26" s="68"/>
      <c r="T26" s="58"/>
      <c r="U26" s="1"/>
      <c r="V26" s="1"/>
      <c r="W26" s="1"/>
      <c r="X26" s="1"/>
      <c r="Y26" s="1"/>
      <c r="Z26" s="1"/>
      <c r="AA26" s="1"/>
      <c r="AB26" s="1"/>
      <c r="AC26" s="1"/>
      <c r="AD26" s="1"/>
      <c r="AE26" s="1"/>
      <c r="AF26" s="1"/>
      <c r="AG26" s="1"/>
      <c r="AH26" s="90"/>
      <c r="AI26" s="90"/>
    </row>
    <row r="27" spans="1:35">
      <c r="A27" s="53" t="s">
        <v>160</v>
      </c>
      <c r="P27" s="1">
        <v>966.63</v>
      </c>
      <c r="Q27" s="1">
        <v>1072.087</v>
      </c>
      <c r="R27" s="120">
        <v>830.50300000000004</v>
      </c>
      <c r="S27" s="70"/>
      <c r="AG27">
        <v>419</v>
      </c>
      <c r="AH27" s="90">
        <v>436</v>
      </c>
      <c r="AI27" s="90">
        <v>381</v>
      </c>
    </row>
    <row r="28" spans="1:35">
      <c r="A28" s="53" t="s">
        <v>161</v>
      </c>
      <c r="P28" s="1">
        <v>10332.248</v>
      </c>
      <c r="Q28" s="1">
        <v>9095.2819999999992</v>
      </c>
      <c r="R28" s="120">
        <v>10176.959000000001</v>
      </c>
      <c r="S28" s="70"/>
      <c r="AG28">
        <v>6230</v>
      </c>
      <c r="AH28" s="90">
        <v>6165</v>
      </c>
      <c r="AI28" s="90">
        <v>5861</v>
      </c>
    </row>
    <row r="29" spans="1:35">
      <c r="A29" s="53" t="s">
        <v>162</v>
      </c>
      <c r="P29" s="1">
        <v>99042.406000000003</v>
      </c>
      <c r="Q29" s="1">
        <v>103766.652</v>
      </c>
      <c r="R29" s="120">
        <v>107055.71</v>
      </c>
      <c r="S29" s="70"/>
      <c r="AG29">
        <v>60770</v>
      </c>
      <c r="AH29" s="90">
        <v>62724</v>
      </c>
      <c r="AI29" s="90">
        <v>62089</v>
      </c>
    </row>
    <row r="30" spans="1:35">
      <c r="A30" s="53" t="s">
        <v>163</v>
      </c>
      <c r="P30" s="1">
        <v>11012.468000000001</v>
      </c>
      <c r="Q30" s="1">
        <v>11418.101000000001</v>
      </c>
      <c r="R30" s="120">
        <v>11805.727000000001</v>
      </c>
      <c r="S30" s="70"/>
      <c r="AG30">
        <v>7179</v>
      </c>
      <c r="AH30" s="90">
        <v>7259</v>
      </c>
      <c r="AI30" s="90">
        <v>7019</v>
      </c>
    </row>
    <row r="31" spans="1:35">
      <c r="A31" s="53" t="s">
        <v>164</v>
      </c>
      <c r="P31" s="1">
        <v>11791.977000000001</v>
      </c>
      <c r="Q31" s="1">
        <v>11691.501</v>
      </c>
      <c r="R31" s="120">
        <v>11907.371999999999</v>
      </c>
      <c r="S31" s="70"/>
      <c r="AG31">
        <v>9856</v>
      </c>
      <c r="AH31" s="90">
        <v>9909</v>
      </c>
      <c r="AI31" s="90">
        <v>9632</v>
      </c>
    </row>
    <row r="32" spans="1:35">
      <c r="A32" s="53" t="s">
        <v>166</v>
      </c>
      <c r="P32" s="1">
        <v>1802.4359999999999</v>
      </c>
      <c r="Q32" s="1">
        <v>1763.1320000000001</v>
      </c>
      <c r="R32" s="120">
        <v>1793.8050000000001</v>
      </c>
      <c r="S32" s="70"/>
      <c r="AG32">
        <v>1280</v>
      </c>
      <c r="AH32" s="90">
        <v>1268</v>
      </c>
      <c r="AI32" s="90">
        <v>1324</v>
      </c>
    </row>
    <row r="33" spans="1:35">
      <c r="A33" s="53" t="s">
        <v>167</v>
      </c>
      <c r="P33" s="1">
        <v>2804.759</v>
      </c>
      <c r="Q33" s="1">
        <v>2782.6529999999998</v>
      </c>
      <c r="R33" s="120">
        <v>2695.038</v>
      </c>
      <c r="S33" s="70"/>
      <c r="AG33">
        <v>2702</v>
      </c>
      <c r="AH33" s="90">
        <v>2510</v>
      </c>
      <c r="AI33" s="90">
        <v>2524</v>
      </c>
    </row>
    <row r="34" spans="1:35">
      <c r="A34" s="53" t="s">
        <v>168</v>
      </c>
      <c r="P34" s="1">
        <v>37818.413999999997</v>
      </c>
      <c r="Q34" s="1">
        <v>40911.262999999999</v>
      </c>
      <c r="R34" s="120">
        <v>41765.089999999997</v>
      </c>
      <c r="S34" s="70"/>
      <c r="AG34">
        <v>29637</v>
      </c>
      <c r="AH34" s="90">
        <v>30004</v>
      </c>
      <c r="AI34" s="90">
        <v>30441</v>
      </c>
    </row>
    <row r="35" spans="1:35">
      <c r="A35" s="53" t="s">
        <v>169</v>
      </c>
      <c r="P35" s="1">
        <v>18138.383000000002</v>
      </c>
      <c r="Q35" s="1">
        <v>17361.739000000001</v>
      </c>
      <c r="R35" s="120">
        <v>17740.196</v>
      </c>
      <c r="S35" s="70"/>
      <c r="AG35">
        <v>15935</v>
      </c>
      <c r="AH35" s="90">
        <v>14701</v>
      </c>
      <c r="AI35" s="90">
        <v>14886</v>
      </c>
    </row>
    <row r="36" spans="1:35">
      <c r="A36" s="53" t="s">
        <v>170</v>
      </c>
      <c r="P36" s="1">
        <v>15595.382</v>
      </c>
      <c r="Q36" s="1">
        <v>15461.409</v>
      </c>
      <c r="R36" s="120">
        <v>15524.839</v>
      </c>
      <c r="S36" s="70"/>
      <c r="AG36">
        <v>15539</v>
      </c>
      <c r="AH36" s="90">
        <v>14960</v>
      </c>
      <c r="AI36" s="90">
        <v>14587</v>
      </c>
    </row>
    <row r="37" spans="1:35">
      <c r="A37" s="53" t="s">
        <v>171</v>
      </c>
      <c r="P37" s="1">
        <v>8523.7039999999997</v>
      </c>
      <c r="Q37" s="1">
        <v>8473.3330000000005</v>
      </c>
      <c r="R37" s="120">
        <v>8472.3770000000004</v>
      </c>
      <c r="S37" s="70"/>
      <c r="AG37">
        <v>7519</v>
      </c>
      <c r="AH37" s="90">
        <v>7799</v>
      </c>
      <c r="AI37" s="90">
        <v>7323</v>
      </c>
    </row>
    <row r="38" spans="1:35">
      <c r="A38" s="53" t="s">
        <v>172</v>
      </c>
      <c r="P38" s="1">
        <v>8823.9069999999992</v>
      </c>
      <c r="Q38" s="1">
        <v>8447.9210000000003</v>
      </c>
      <c r="R38" s="120">
        <v>8633.1630000000005</v>
      </c>
      <c r="S38" s="70"/>
      <c r="AG38">
        <v>7511</v>
      </c>
      <c r="AH38" s="90">
        <v>7133</v>
      </c>
      <c r="AI38" s="90">
        <v>6782</v>
      </c>
    </row>
    <row r="39" spans="1:35">
      <c r="A39" s="53" t="s">
        <v>173</v>
      </c>
      <c r="P39" s="1">
        <v>51716.828000000001</v>
      </c>
      <c r="Q39" s="1">
        <v>50005.095000000001</v>
      </c>
      <c r="R39" s="120">
        <v>50709.601000000002</v>
      </c>
      <c r="S39" s="70"/>
      <c r="AG39">
        <v>41266</v>
      </c>
      <c r="AH39" s="90">
        <v>39780</v>
      </c>
      <c r="AI39" s="90">
        <v>37341</v>
      </c>
    </row>
    <row r="40" spans="1:35">
      <c r="A40" s="53" t="s">
        <v>174</v>
      </c>
      <c r="P40" s="1">
        <v>25988.050999999999</v>
      </c>
      <c r="Q40" s="1">
        <v>25556.162</v>
      </c>
      <c r="R40" s="120">
        <v>24905.276999999998</v>
      </c>
      <c r="S40" s="70"/>
      <c r="AG40">
        <v>20926</v>
      </c>
      <c r="AH40" s="90">
        <v>20232</v>
      </c>
      <c r="AI40" s="90">
        <v>18844</v>
      </c>
    </row>
    <row r="41" spans="1:35">
      <c r="A41" s="53" t="s">
        <v>175</v>
      </c>
      <c r="P41" s="1">
        <v>18577.243999999999</v>
      </c>
      <c r="Q41" s="1">
        <v>18197.938999999998</v>
      </c>
      <c r="R41" s="120">
        <v>17608.215</v>
      </c>
      <c r="S41" s="70"/>
      <c r="AG41">
        <v>17759</v>
      </c>
      <c r="AH41" s="90">
        <v>14427</v>
      </c>
      <c r="AI41" s="90">
        <v>13155</v>
      </c>
    </row>
    <row r="42" spans="1:35">
      <c r="A42" s="53" t="s">
        <v>176</v>
      </c>
      <c r="P42" s="1">
        <v>19560.710999999999</v>
      </c>
      <c r="Q42" s="1">
        <v>19163.883999999998</v>
      </c>
      <c r="R42" s="120">
        <v>19169.023000000001</v>
      </c>
      <c r="S42" s="70"/>
      <c r="AG42">
        <v>15172</v>
      </c>
      <c r="AH42" s="90">
        <v>14704</v>
      </c>
      <c r="AI42" s="90">
        <v>14145</v>
      </c>
    </row>
    <row r="43" spans="1:35">
      <c r="A43" s="53" t="s">
        <v>177</v>
      </c>
      <c r="P43" s="1">
        <v>3690.665</v>
      </c>
      <c r="Q43" s="1">
        <v>4030.1320000000001</v>
      </c>
      <c r="R43" s="120">
        <v>3611.6759999999999</v>
      </c>
      <c r="S43" s="70"/>
      <c r="AG43">
        <v>3367</v>
      </c>
      <c r="AH43" s="90">
        <v>3325</v>
      </c>
      <c r="AI43" s="90">
        <v>2975</v>
      </c>
    </row>
    <row r="44" spans="1:35">
      <c r="A44" s="53" t="s">
        <v>178</v>
      </c>
      <c r="P44" s="1">
        <v>5435.01</v>
      </c>
      <c r="Q44" s="1">
        <v>5581.6580000000004</v>
      </c>
      <c r="R44" s="120">
        <v>5594.183</v>
      </c>
      <c r="S44" s="70"/>
      <c r="AG44">
        <v>5039</v>
      </c>
      <c r="AH44" s="90">
        <v>5211</v>
      </c>
      <c r="AI44" s="90">
        <v>5006</v>
      </c>
    </row>
    <row r="45" spans="1:35">
      <c r="A45" s="53" t="s">
        <v>179</v>
      </c>
      <c r="P45" s="1">
        <v>1562.806</v>
      </c>
      <c r="Q45" s="1">
        <v>1341.1420000000001</v>
      </c>
      <c r="R45" s="120">
        <v>1458.1489999999999</v>
      </c>
      <c r="S45" s="70"/>
      <c r="AG45">
        <v>792</v>
      </c>
      <c r="AH45" s="90">
        <v>931</v>
      </c>
      <c r="AI45" s="90">
        <v>777</v>
      </c>
    </row>
    <row r="46" spans="1:35">
      <c r="A46" s="53" t="s">
        <v>180</v>
      </c>
      <c r="P46" s="1">
        <v>6977.6549999999997</v>
      </c>
      <c r="Q46" s="1">
        <v>6746.2169999999996</v>
      </c>
      <c r="R46" s="120">
        <v>6145.3069999999998</v>
      </c>
      <c r="S46" s="70"/>
      <c r="AG46">
        <v>7199</v>
      </c>
      <c r="AH46" s="90">
        <v>6732</v>
      </c>
      <c r="AI46" s="90">
        <v>6353</v>
      </c>
    </row>
    <row r="47" spans="1:35">
      <c r="A47" s="53" t="s">
        <v>181</v>
      </c>
      <c r="P47" s="1">
        <v>15646.944</v>
      </c>
      <c r="Q47" s="1">
        <v>15813.138999999999</v>
      </c>
      <c r="R47" s="120">
        <v>16800.992999999999</v>
      </c>
      <c r="S47" s="70"/>
      <c r="AG47">
        <v>13912</v>
      </c>
      <c r="AH47" s="90">
        <v>13505</v>
      </c>
      <c r="AI47" s="90">
        <v>13188</v>
      </c>
    </row>
    <row r="48" spans="1:35">
      <c r="A48" s="53" t="s">
        <v>182</v>
      </c>
      <c r="P48" s="1">
        <v>7313.0280000000002</v>
      </c>
      <c r="Q48" s="1">
        <v>8192.5249999999996</v>
      </c>
      <c r="R48" s="120">
        <v>8328.6579999999994</v>
      </c>
      <c r="S48" s="68"/>
      <c r="T48" s="58"/>
      <c r="U48" s="1"/>
      <c r="V48" s="1"/>
      <c r="W48" s="1"/>
      <c r="X48" s="1"/>
      <c r="Y48" s="1"/>
      <c r="Z48" s="1"/>
      <c r="AA48" s="1"/>
      <c r="AB48" s="1"/>
      <c r="AC48" s="1"/>
      <c r="AD48" s="1"/>
      <c r="AE48" s="1"/>
      <c r="AF48" s="1"/>
      <c r="AG48" s="1">
        <v>4202</v>
      </c>
      <c r="AH48" s="90">
        <v>4466</v>
      </c>
      <c r="AI48" s="90">
        <v>4563</v>
      </c>
    </row>
    <row r="49" spans="1:35">
      <c r="A49" s="53" t="s">
        <v>183</v>
      </c>
      <c r="P49" s="1">
        <v>94001.226999999999</v>
      </c>
      <c r="Q49" s="1">
        <v>95733.823000000004</v>
      </c>
      <c r="R49" s="120">
        <v>97798.03</v>
      </c>
      <c r="S49" s="68"/>
      <c r="T49" s="58"/>
      <c r="U49" s="1"/>
      <c r="V49" s="1"/>
      <c r="W49" s="1"/>
      <c r="X49" s="1"/>
      <c r="Y49" s="1"/>
      <c r="Z49" s="1"/>
      <c r="AA49" s="1"/>
      <c r="AB49" s="1"/>
      <c r="AC49" s="1"/>
      <c r="AD49" s="1"/>
      <c r="AE49" s="1"/>
      <c r="AF49" s="1"/>
      <c r="AG49" s="1">
        <v>74729</v>
      </c>
      <c r="AH49" s="90">
        <v>75915</v>
      </c>
      <c r="AI49" s="90">
        <v>73789</v>
      </c>
    </row>
    <row r="50" spans="1:35">
      <c r="A50" s="53" t="s">
        <v>184</v>
      </c>
      <c r="P50" s="1">
        <v>3685.4589999999998</v>
      </c>
      <c r="Q50" s="1">
        <v>3682.319</v>
      </c>
      <c r="R50" s="120">
        <v>3691.5610000000001</v>
      </c>
      <c r="S50" s="68"/>
      <c r="T50" s="58"/>
      <c r="U50" s="1"/>
      <c r="V50" s="1"/>
      <c r="W50" s="1"/>
      <c r="X50" s="1"/>
      <c r="Y50" s="1"/>
      <c r="Z50" s="1"/>
      <c r="AA50" s="1"/>
      <c r="AB50" s="1"/>
      <c r="AC50" s="1"/>
      <c r="AD50" s="1"/>
      <c r="AE50" s="1"/>
      <c r="AF50" s="1"/>
      <c r="AG50" s="1">
        <v>3455</v>
      </c>
      <c r="AH50" s="90">
        <v>3480</v>
      </c>
      <c r="AI50" s="90">
        <v>3449</v>
      </c>
    </row>
    <row r="51" spans="1:35">
      <c r="A51" s="53" t="s">
        <v>185</v>
      </c>
      <c r="P51" s="1">
        <v>36339.194000000003</v>
      </c>
      <c r="Q51" s="1">
        <v>35426.682999999997</v>
      </c>
      <c r="R51" s="120">
        <v>36657.764999999999</v>
      </c>
      <c r="S51" s="68"/>
      <c r="T51" s="58"/>
      <c r="U51" s="1"/>
      <c r="V51" s="1"/>
      <c r="W51" s="1"/>
      <c r="X51" s="1"/>
      <c r="Y51" s="1"/>
      <c r="Z51" s="1"/>
      <c r="AA51" s="1"/>
      <c r="AB51" s="1"/>
      <c r="AC51" s="1"/>
      <c r="AD51" s="1"/>
      <c r="AE51" s="1"/>
      <c r="AF51" s="1"/>
      <c r="AG51" s="1">
        <v>30076</v>
      </c>
      <c r="AH51" s="90">
        <v>29054</v>
      </c>
      <c r="AI51" s="90">
        <v>29337</v>
      </c>
    </row>
    <row r="52" spans="1:35">
      <c r="A52" s="53" t="s">
        <v>186</v>
      </c>
      <c r="P52" s="1">
        <v>13383.393</v>
      </c>
      <c r="Q52" s="1">
        <v>13364.537</v>
      </c>
      <c r="R52" s="120">
        <v>14147.198</v>
      </c>
      <c r="S52" s="68"/>
      <c r="T52" s="58"/>
      <c r="U52" s="1"/>
      <c r="V52" s="1"/>
      <c r="W52" s="1"/>
      <c r="X52" s="1"/>
      <c r="Y52" s="1"/>
      <c r="Z52" s="1"/>
      <c r="AA52" s="1"/>
      <c r="AB52" s="1"/>
      <c r="AC52" s="1"/>
      <c r="AD52" s="1"/>
      <c r="AE52" s="1"/>
      <c r="AF52" s="1"/>
      <c r="AG52" s="1">
        <v>11340</v>
      </c>
      <c r="AH52" s="90">
        <v>10820</v>
      </c>
      <c r="AI52" s="90">
        <v>11182</v>
      </c>
    </row>
    <row r="53" spans="1:35">
      <c r="A53" s="53" t="s">
        <v>187</v>
      </c>
      <c r="P53" s="1">
        <v>52204.292999999998</v>
      </c>
      <c r="Q53" s="1">
        <v>52724.497000000003</v>
      </c>
      <c r="R53" s="120">
        <v>55200.508000000002</v>
      </c>
      <c r="S53" s="68"/>
      <c r="T53" s="58"/>
      <c r="U53" s="1"/>
      <c r="V53" s="1"/>
      <c r="W53" s="1"/>
      <c r="X53" s="1"/>
      <c r="Y53" s="1"/>
      <c r="Z53" s="1"/>
      <c r="AA53" s="1"/>
      <c r="AB53" s="1"/>
      <c r="AC53" s="1"/>
      <c r="AD53" s="1"/>
      <c r="AE53" s="1"/>
      <c r="AF53" s="1"/>
      <c r="AG53" s="1">
        <v>49102</v>
      </c>
      <c r="AH53" s="90">
        <v>48470</v>
      </c>
      <c r="AI53" s="90">
        <v>163494</v>
      </c>
    </row>
    <row r="54" spans="1:35">
      <c r="A54" s="53" t="s">
        <v>188</v>
      </c>
      <c r="B54" s="1"/>
      <c r="C54" s="1"/>
      <c r="D54" s="1"/>
      <c r="E54" s="1"/>
      <c r="F54" s="1"/>
      <c r="G54" s="1"/>
      <c r="H54" s="1"/>
      <c r="I54" s="1"/>
      <c r="J54" s="1"/>
      <c r="K54" s="1"/>
      <c r="L54" s="1"/>
      <c r="M54" s="54"/>
      <c r="N54" s="1"/>
      <c r="O54" s="1"/>
      <c r="P54" s="1">
        <v>8280.41</v>
      </c>
      <c r="Q54" s="1">
        <v>8265.3580000000002</v>
      </c>
      <c r="R54" s="120">
        <v>8356.3950000000004</v>
      </c>
      <c r="S54" s="68"/>
      <c r="T54" s="58"/>
      <c r="U54" s="1"/>
      <c r="V54" s="1"/>
      <c r="W54" s="1"/>
      <c r="X54" s="1"/>
      <c r="Y54" s="1"/>
      <c r="Z54" s="1"/>
      <c r="AA54" s="1"/>
      <c r="AB54" s="1"/>
      <c r="AC54" s="1"/>
      <c r="AD54" s="1"/>
      <c r="AE54" s="1"/>
      <c r="AF54" s="1"/>
      <c r="AG54" s="1">
        <v>6954</v>
      </c>
      <c r="AH54" s="90">
        <v>7149</v>
      </c>
      <c r="AI54" s="90">
        <v>6952</v>
      </c>
    </row>
    <row r="55" spans="1:35">
      <c r="A55" s="53" t="s">
        <v>189</v>
      </c>
      <c r="B55" s="1"/>
      <c r="C55" s="1"/>
      <c r="D55" s="1"/>
      <c r="E55" s="1"/>
      <c r="F55" s="1"/>
      <c r="G55" s="1"/>
      <c r="H55" s="1"/>
      <c r="I55" s="1"/>
      <c r="J55" s="1"/>
      <c r="K55" s="1"/>
      <c r="L55" s="1"/>
      <c r="M55" s="54"/>
      <c r="N55" s="1"/>
      <c r="O55" s="1"/>
      <c r="P55" s="1">
        <v>4667.9949999999999</v>
      </c>
      <c r="Q55" s="1">
        <v>4296.3029999999999</v>
      </c>
      <c r="R55" s="120">
        <v>4651.9070000000002</v>
      </c>
      <c r="S55" s="68"/>
      <c r="T55" s="58"/>
      <c r="U55" s="1"/>
      <c r="V55" s="1"/>
      <c r="W55" s="1"/>
      <c r="X55" s="1"/>
      <c r="Y55" s="1"/>
      <c r="Z55" s="1"/>
      <c r="AA55" s="1"/>
      <c r="AB55" s="1"/>
      <c r="AC55" s="1"/>
      <c r="AD55" s="1"/>
      <c r="AE55" s="1"/>
      <c r="AF55" s="1"/>
      <c r="AG55" s="1">
        <v>3880</v>
      </c>
      <c r="AH55" s="90">
        <v>3729</v>
      </c>
      <c r="AI55" s="90">
        <v>4004</v>
      </c>
    </row>
    <row r="56" spans="1:35">
      <c r="A56" s="53" t="s">
        <v>190</v>
      </c>
      <c r="B56" s="1"/>
      <c r="C56" s="1"/>
      <c r="D56" s="1"/>
      <c r="E56" s="1"/>
      <c r="F56" s="1"/>
      <c r="G56" s="1"/>
      <c r="H56" s="1"/>
      <c r="I56" s="1"/>
      <c r="J56" s="1"/>
      <c r="K56" s="1"/>
      <c r="L56" s="1"/>
      <c r="M56" s="54"/>
      <c r="N56" s="1"/>
      <c r="O56" s="1"/>
      <c r="P56" s="1">
        <v>4819.6189999999997</v>
      </c>
      <c r="Q56" s="1">
        <v>4969.9229999999998</v>
      </c>
      <c r="R56" s="120">
        <v>4677.1049999999996</v>
      </c>
      <c r="S56" s="68"/>
      <c r="T56" s="58"/>
      <c r="U56" s="1"/>
      <c r="V56" s="1"/>
      <c r="W56" s="1"/>
      <c r="X56" s="1"/>
      <c r="Y56" s="1"/>
      <c r="Z56" s="1"/>
      <c r="AA56" s="1"/>
      <c r="AB56" s="1"/>
      <c r="AC56" s="1"/>
      <c r="AD56" s="1"/>
      <c r="AE56" s="1"/>
      <c r="AF56" s="1"/>
      <c r="AG56" s="1">
        <v>2669</v>
      </c>
      <c r="AH56" s="90">
        <v>2538</v>
      </c>
      <c r="AI56" s="90">
        <v>2406</v>
      </c>
    </row>
    <row r="57" spans="1:35">
      <c r="A57" s="53" t="s">
        <v>191</v>
      </c>
      <c r="B57" s="1"/>
      <c r="C57" s="1"/>
      <c r="D57" s="1"/>
      <c r="E57" s="1"/>
      <c r="F57" s="1"/>
      <c r="G57" s="1"/>
      <c r="H57" s="1"/>
      <c r="I57" s="1"/>
      <c r="J57" s="1"/>
      <c r="K57" s="1"/>
      <c r="L57" s="1"/>
      <c r="M57" s="54"/>
      <c r="N57" s="1"/>
      <c r="O57" s="1"/>
      <c r="P57" s="1">
        <v>6608.7619999999997</v>
      </c>
      <c r="Q57" s="1">
        <v>6849.3770000000004</v>
      </c>
      <c r="R57" s="120">
        <v>6422.5630000000001</v>
      </c>
      <c r="S57" s="68"/>
      <c r="T57" s="58"/>
      <c r="U57" s="1"/>
      <c r="V57" s="1"/>
      <c r="W57" s="1"/>
      <c r="X57" s="1"/>
      <c r="Y57" s="1"/>
      <c r="Z57" s="1"/>
      <c r="AA57" s="1"/>
      <c r="AB57" s="1"/>
      <c r="AC57" s="1"/>
      <c r="AD57" s="1"/>
      <c r="AE57" s="1"/>
      <c r="AF57" s="1"/>
      <c r="AG57" s="1">
        <v>6203</v>
      </c>
      <c r="AH57" s="90">
        <v>6112</v>
      </c>
      <c r="AI57" s="90">
        <v>5529</v>
      </c>
    </row>
    <row r="58" spans="1:35">
      <c r="A58" s="53" t="s">
        <v>192</v>
      </c>
      <c r="B58" s="1"/>
      <c r="C58" s="1"/>
      <c r="D58" s="1"/>
      <c r="E58" s="1"/>
      <c r="F58" s="1"/>
      <c r="G58" s="1"/>
      <c r="H58" s="1"/>
      <c r="I58" s="1"/>
      <c r="J58" s="1"/>
      <c r="K58" s="1"/>
      <c r="L58" s="1"/>
      <c r="M58" s="54"/>
      <c r="N58" s="1"/>
      <c r="O58" s="1"/>
      <c r="P58" s="1">
        <v>16459.990000000002</v>
      </c>
      <c r="Q58" s="1">
        <v>17059.805</v>
      </c>
      <c r="R58" s="120">
        <v>17222.495999999999</v>
      </c>
      <c r="S58" s="68"/>
      <c r="T58" s="58"/>
      <c r="U58" s="1"/>
      <c r="V58" s="1"/>
      <c r="W58" s="1"/>
      <c r="X58" s="1"/>
      <c r="Y58" s="1"/>
      <c r="Z58" s="1"/>
      <c r="AA58" s="1"/>
      <c r="AB58" s="1"/>
      <c r="AC58" s="1"/>
      <c r="AD58" s="1"/>
      <c r="AE58" s="1"/>
      <c r="AF58" s="1"/>
      <c r="AG58" s="1">
        <v>12352</v>
      </c>
      <c r="AH58" s="90">
        <v>11859</v>
      </c>
      <c r="AI58" s="90">
        <v>11476</v>
      </c>
    </row>
    <row r="59" spans="1:35">
      <c r="A59" s="53" t="s">
        <v>193</v>
      </c>
      <c r="B59" s="1"/>
      <c r="C59" s="1"/>
      <c r="D59" s="1"/>
      <c r="E59" s="1"/>
      <c r="F59" s="1"/>
      <c r="G59" s="1"/>
      <c r="H59" s="1"/>
      <c r="I59" s="1"/>
      <c r="J59" s="1"/>
      <c r="K59" s="1"/>
      <c r="L59" s="1"/>
      <c r="M59" s="54"/>
      <c r="N59" s="1"/>
      <c r="O59" s="1"/>
      <c r="P59" s="1">
        <v>18019.097000000002</v>
      </c>
      <c r="Q59" s="1">
        <v>17264.456999999999</v>
      </c>
      <c r="R59" s="120">
        <v>17559.929</v>
      </c>
      <c r="S59" s="68"/>
      <c r="T59" s="58"/>
      <c r="U59" s="1"/>
      <c r="V59" s="1"/>
      <c r="W59" s="1"/>
      <c r="X59" s="1"/>
      <c r="Y59" s="1"/>
      <c r="Z59" s="1"/>
      <c r="AA59" s="1"/>
      <c r="AB59" s="1"/>
      <c r="AC59" s="1"/>
      <c r="AD59" s="1"/>
      <c r="AE59" s="1"/>
      <c r="AF59" s="1"/>
      <c r="AG59" s="1">
        <v>18463</v>
      </c>
      <c r="AH59" s="90">
        <v>15814</v>
      </c>
      <c r="AI59" s="90">
        <v>15463</v>
      </c>
    </row>
    <row r="60" spans="1:35">
      <c r="A60" s="53" t="s">
        <v>194</v>
      </c>
      <c r="B60" s="1"/>
      <c r="C60" s="1"/>
      <c r="D60" s="1"/>
      <c r="E60" s="1"/>
      <c r="F60" s="1"/>
      <c r="G60" s="1"/>
      <c r="H60" s="1"/>
      <c r="I60" s="1"/>
      <c r="J60" s="1"/>
      <c r="K60" s="1"/>
      <c r="L60" s="1"/>
      <c r="M60" s="54"/>
      <c r="N60" s="1"/>
      <c r="O60" s="1"/>
      <c r="P60" s="1">
        <v>1022.652</v>
      </c>
      <c r="Q60" s="1">
        <v>1047.9839999999999</v>
      </c>
      <c r="R60" s="120">
        <v>1194.279</v>
      </c>
      <c r="S60" s="68"/>
      <c r="T60" s="58"/>
      <c r="U60" s="1"/>
      <c r="V60" s="1"/>
      <c r="W60" s="1"/>
      <c r="X60" s="1"/>
      <c r="Y60" s="1"/>
      <c r="Z60" s="1"/>
      <c r="AA60" s="1"/>
      <c r="AB60" s="1"/>
      <c r="AC60" s="1"/>
      <c r="AD60" s="1"/>
      <c r="AE60" s="1"/>
      <c r="AF60" s="1"/>
      <c r="AG60" s="1">
        <v>1071</v>
      </c>
      <c r="AH60" s="90">
        <v>1064</v>
      </c>
      <c r="AI60" s="90">
        <v>1190</v>
      </c>
    </row>
    <row r="61" spans="1:35">
      <c r="A61" s="1"/>
      <c r="B61" s="1"/>
      <c r="C61" s="1"/>
      <c r="D61" s="1"/>
      <c r="E61" s="1"/>
      <c r="F61" s="1"/>
      <c r="G61" s="1"/>
      <c r="H61" s="1"/>
      <c r="I61" s="1"/>
      <c r="J61" s="1"/>
      <c r="K61" s="1"/>
      <c r="L61" s="1"/>
      <c r="M61" s="54"/>
      <c r="N61" s="1"/>
      <c r="O61" s="1"/>
      <c r="P61" s="1"/>
      <c r="Q61" s="1"/>
      <c r="R61" s="120"/>
      <c r="S61" s="68"/>
      <c r="T61" s="58"/>
      <c r="U61" s="1"/>
      <c r="V61" s="1"/>
      <c r="W61" s="1"/>
      <c r="X61" s="1"/>
      <c r="Y61" s="1"/>
      <c r="Z61" s="1"/>
      <c r="AA61" s="1"/>
      <c r="AB61" s="1"/>
      <c r="AC61" s="1"/>
      <c r="AD61" s="1"/>
      <c r="AE61" s="1"/>
      <c r="AF61" s="1"/>
      <c r="AG61" s="1"/>
      <c r="AH61" s="90"/>
      <c r="AI61" s="90"/>
    </row>
    <row r="62" spans="1:35">
      <c r="A62" s="53" t="s">
        <v>165</v>
      </c>
      <c r="P62" s="1">
        <v>8061.2</v>
      </c>
      <c r="Q62" s="1">
        <v>7838.1760000000004</v>
      </c>
      <c r="R62" s="120">
        <v>8955.8040000000001</v>
      </c>
      <c r="S62" s="68"/>
      <c r="T62" s="58"/>
      <c r="U62" s="1"/>
      <c r="V62" s="1"/>
      <c r="W62" s="1"/>
      <c r="X62" s="1"/>
      <c r="Y62" s="1"/>
      <c r="Z62" s="1"/>
      <c r="AA62" s="1"/>
      <c r="AB62" s="1"/>
      <c r="AC62" s="1"/>
      <c r="AD62" s="1"/>
      <c r="AE62" s="1"/>
      <c r="AF62" s="34"/>
      <c r="AG62" s="34">
        <v>5232</v>
      </c>
      <c r="AH62" s="90">
        <v>4758</v>
      </c>
      <c r="AI62" s="90">
        <v>4926</v>
      </c>
    </row>
    <row r="63" spans="1:35" ht="12.75" customHeight="1">
      <c r="A63" s="53"/>
      <c r="P63" s="1"/>
      <c r="Q63" s="1"/>
      <c r="S63" s="1"/>
      <c r="T63" s="58"/>
      <c r="U63" s="1"/>
      <c r="V63" s="1"/>
      <c r="W63" s="1"/>
      <c r="X63" s="1"/>
      <c r="Y63" s="1"/>
      <c r="Z63" s="1"/>
      <c r="AA63" s="1"/>
      <c r="AB63" s="1"/>
      <c r="AC63" s="1"/>
      <c r="AD63" s="1"/>
      <c r="AE63" s="1"/>
      <c r="AF63" s="34"/>
      <c r="AG63" s="34"/>
    </row>
    <row r="64" spans="1:35" ht="12.75" customHeight="1">
      <c r="A64" s="85" t="s">
        <v>39</v>
      </c>
      <c r="B64" s="85" t="s">
        <v>40</v>
      </c>
      <c r="C64" s="86" t="s">
        <v>41</v>
      </c>
      <c r="D64" s="85" t="s">
        <v>40</v>
      </c>
      <c r="E64" s="85" t="s">
        <v>40</v>
      </c>
      <c r="F64" s="85" t="s">
        <v>40</v>
      </c>
      <c r="G64" s="85" t="s">
        <v>40</v>
      </c>
      <c r="H64" s="85" t="s">
        <v>40</v>
      </c>
      <c r="I64" s="85" t="s">
        <v>40</v>
      </c>
      <c r="J64" s="85" t="s">
        <v>40</v>
      </c>
      <c r="K64" s="85" t="s">
        <v>40</v>
      </c>
      <c r="L64" s="85" t="s">
        <v>40</v>
      </c>
      <c r="M64" s="134" t="s">
        <v>206</v>
      </c>
      <c r="N64" s="85"/>
      <c r="O64" s="87" t="s">
        <v>42</v>
      </c>
      <c r="P64" s="87" t="s">
        <v>42</v>
      </c>
      <c r="Q64" s="87" t="s">
        <v>42</v>
      </c>
      <c r="R64" s="87" t="s">
        <v>42</v>
      </c>
      <c r="S64" s="85"/>
      <c r="T64" s="85"/>
      <c r="U64" s="85"/>
      <c r="V64" s="85" t="s">
        <v>42</v>
      </c>
      <c r="W64" s="86" t="s">
        <v>41</v>
      </c>
      <c r="X64" s="85" t="s">
        <v>42</v>
      </c>
      <c r="Y64" s="85" t="s">
        <v>40</v>
      </c>
      <c r="Z64" s="85" t="s">
        <v>40</v>
      </c>
      <c r="AA64" s="85" t="s">
        <v>40</v>
      </c>
      <c r="AB64" s="85" t="s">
        <v>40</v>
      </c>
      <c r="AC64" s="85" t="s">
        <v>40</v>
      </c>
      <c r="AD64" s="134" t="s">
        <v>206</v>
      </c>
      <c r="AE64" s="85" t="s">
        <v>40</v>
      </c>
      <c r="AF64" s="87" t="s">
        <v>42</v>
      </c>
      <c r="AG64" s="87" t="s">
        <v>42</v>
      </c>
      <c r="AH64" s="87" t="s">
        <v>42</v>
      </c>
      <c r="AI64" s="87" t="s">
        <v>42</v>
      </c>
    </row>
    <row r="65" spans="1:35" ht="12.75" customHeight="1">
      <c r="A65" s="1" t="s">
        <v>43</v>
      </c>
      <c r="B65" s="1" t="s">
        <v>44</v>
      </c>
      <c r="C65" s="8" t="s">
        <v>45</v>
      </c>
      <c r="D65" s="1" t="s">
        <v>44</v>
      </c>
      <c r="E65" s="1" t="s">
        <v>44</v>
      </c>
      <c r="F65" s="1" t="s">
        <v>44</v>
      </c>
      <c r="G65" s="1" t="s">
        <v>44</v>
      </c>
      <c r="H65" s="1" t="s">
        <v>44</v>
      </c>
      <c r="I65" s="1" t="s">
        <v>44</v>
      </c>
      <c r="J65" s="1" t="s">
        <v>44</v>
      </c>
      <c r="K65" s="1" t="s">
        <v>44</v>
      </c>
      <c r="L65" s="1" t="s">
        <v>44</v>
      </c>
      <c r="M65" s="65" t="s">
        <v>207</v>
      </c>
      <c r="N65" s="1"/>
      <c r="O65" s="34" t="s">
        <v>133</v>
      </c>
      <c r="P65" s="34" t="s">
        <v>133</v>
      </c>
      <c r="Q65" s="34" t="s">
        <v>133</v>
      </c>
      <c r="R65" s="34" t="s">
        <v>133</v>
      </c>
      <c r="S65" s="1"/>
      <c r="T65" s="58"/>
      <c r="U65" s="1"/>
      <c r="V65" s="1" t="s">
        <v>44</v>
      </c>
      <c r="W65" s="8" t="s">
        <v>45</v>
      </c>
      <c r="X65" s="1" t="s">
        <v>44</v>
      </c>
      <c r="Y65" s="1" t="s">
        <v>44</v>
      </c>
      <c r="Z65" s="1" t="s">
        <v>44</v>
      </c>
      <c r="AA65" s="1" t="s">
        <v>44</v>
      </c>
      <c r="AB65" s="1" t="s">
        <v>44</v>
      </c>
      <c r="AC65" s="1" t="s">
        <v>44</v>
      </c>
      <c r="AD65" s="65" t="s">
        <v>207</v>
      </c>
      <c r="AE65" s="1" t="s">
        <v>44</v>
      </c>
      <c r="AF65" s="34" t="s">
        <v>133</v>
      </c>
      <c r="AG65" s="34" t="s">
        <v>133</v>
      </c>
      <c r="AH65" s="34" t="s">
        <v>133</v>
      </c>
      <c r="AI65" s="34" t="s">
        <v>133</v>
      </c>
    </row>
    <row r="66" spans="1:35" ht="12.75" customHeight="1">
      <c r="A66" s="1" t="s">
        <v>46</v>
      </c>
      <c r="B66" s="1" t="s">
        <v>47</v>
      </c>
      <c r="C66" s="8" t="s">
        <v>48</v>
      </c>
      <c r="D66" s="1" t="s">
        <v>47</v>
      </c>
      <c r="E66" s="1" t="s">
        <v>47</v>
      </c>
      <c r="F66" s="1" t="s">
        <v>47</v>
      </c>
      <c r="G66" s="1" t="s">
        <v>47</v>
      </c>
      <c r="H66" s="1" t="s">
        <v>47</v>
      </c>
      <c r="I66" s="1" t="s">
        <v>47</v>
      </c>
      <c r="J66" s="1" t="s">
        <v>47</v>
      </c>
      <c r="K66" s="1" t="s">
        <v>47</v>
      </c>
      <c r="L66" s="1" t="s">
        <v>47</v>
      </c>
      <c r="M66" s="65" t="s">
        <v>208</v>
      </c>
      <c r="N66" s="1"/>
      <c r="O66" s="34" t="s">
        <v>50</v>
      </c>
      <c r="P66" s="34" t="s">
        <v>50</v>
      </c>
      <c r="Q66" s="34" t="s">
        <v>50</v>
      </c>
      <c r="R66" s="34" t="s">
        <v>50</v>
      </c>
      <c r="S66" s="1"/>
      <c r="T66" s="58"/>
      <c r="U66" s="1"/>
      <c r="V66" s="1" t="s">
        <v>47</v>
      </c>
      <c r="W66" s="8" t="s">
        <v>48</v>
      </c>
      <c r="X66" s="1" t="s">
        <v>47</v>
      </c>
      <c r="Y66" s="1" t="s">
        <v>47</v>
      </c>
      <c r="Z66" s="1" t="s">
        <v>47</v>
      </c>
      <c r="AA66" s="1" t="s">
        <v>47</v>
      </c>
      <c r="AB66" s="1" t="s">
        <v>47</v>
      </c>
      <c r="AC66" s="1" t="s">
        <v>47</v>
      </c>
      <c r="AD66" s="65" t="s">
        <v>208</v>
      </c>
      <c r="AE66" s="1" t="s">
        <v>47</v>
      </c>
      <c r="AF66" s="34" t="s">
        <v>50</v>
      </c>
      <c r="AG66" s="34" t="s">
        <v>50</v>
      </c>
      <c r="AH66" s="34" t="s">
        <v>50</v>
      </c>
      <c r="AI66" s="34" t="s">
        <v>50</v>
      </c>
    </row>
    <row r="67" spans="1:35" ht="12.75" customHeight="1">
      <c r="A67" s="1" t="s">
        <v>49</v>
      </c>
      <c r="B67" s="1" t="s">
        <v>50</v>
      </c>
      <c r="C67" s="8" t="s">
        <v>51</v>
      </c>
      <c r="D67" s="1" t="s">
        <v>50</v>
      </c>
      <c r="E67" s="1" t="s">
        <v>50</v>
      </c>
      <c r="F67" s="1" t="s">
        <v>50</v>
      </c>
      <c r="G67" s="1" t="s">
        <v>50</v>
      </c>
      <c r="H67" s="1" t="s">
        <v>50</v>
      </c>
      <c r="I67" s="1" t="s">
        <v>50</v>
      </c>
      <c r="J67" s="1" t="s">
        <v>50</v>
      </c>
      <c r="K67" s="1" t="s">
        <v>50</v>
      </c>
      <c r="L67" s="1" t="s">
        <v>50</v>
      </c>
      <c r="M67" s="65" t="s">
        <v>209</v>
      </c>
      <c r="N67" s="1"/>
      <c r="O67" s="34" t="s">
        <v>131</v>
      </c>
      <c r="P67" s="34" t="s">
        <v>131</v>
      </c>
      <c r="Q67" s="34" t="s">
        <v>131</v>
      </c>
      <c r="R67" s="34" t="s">
        <v>131</v>
      </c>
      <c r="S67" s="1"/>
      <c r="T67" s="58"/>
      <c r="U67" s="1"/>
      <c r="V67" s="1" t="s">
        <v>50</v>
      </c>
      <c r="W67" s="8" t="s">
        <v>51</v>
      </c>
      <c r="X67" s="1" t="s">
        <v>50</v>
      </c>
      <c r="Y67" s="1" t="s">
        <v>50</v>
      </c>
      <c r="Z67" s="1" t="s">
        <v>50</v>
      </c>
      <c r="AA67" s="1" t="s">
        <v>50</v>
      </c>
      <c r="AB67" s="1" t="s">
        <v>50</v>
      </c>
      <c r="AC67" s="1" t="s">
        <v>50</v>
      </c>
      <c r="AD67" s="65" t="s">
        <v>209</v>
      </c>
      <c r="AE67" s="1" t="s">
        <v>50</v>
      </c>
      <c r="AF67" s="34" t="s">
        <v>131</v>
      </c>
      <c r="AG67" s="34" t="s">
        <v>131</v>
      </c>
      <c r="AH67" s="34" t="s">
        <v>131</v>
      </c>
      <c r="AI67" s="34" t="s">
        <v>131</v>
      </c>
    </row>
    <row r="68" spans="1:35" ht="12.75" customHeight="1">
      <c r="A68" s="1" t="s">
        <v>52</v>
      </c>
      <c r="B68" s="1" t="s">
        <v>2</v>
      </c>
      <c r="C68" s="8" t="s">
        <v>44</v>
      </c>
      <c r="D68" s="1" t="s">
        <v>2</v>
      </c>
      <c r="E68" s="1" t="s">
        <v>2</v>
      </c>
      <c r="F68" s="1" t="s">
        <v>2</v>
      </c>
      <c r="G68" s="1" t="s">
        <v>2</v>
      </c>
      <c r="H68" s="1" t="s">
        <v>2</v>
      </c>
      <c r="I68" s="1" t="s">
        <v>2</v>
      </c>
      <c r="J68" s="1" t="s">
        <v>2</v>
      </c>
      <c r="K68" s="1" t="s">
        <v>2</v>
      </c>
      <c r="L68" s="1" t="s">
        <v>2</v>
      </c>
      <c r="M68" s="65" t="s">
        <v>210</v>
      </c>
      <c r="N68" s="1"/>
      <c r="O68" s="34" t="s">
        <v>132</v>
      </c>
      <c r="P68" s="34" t="s">
        <v>132</v>
      </c>
      <c r="Q68" s="34" t="s">
        <v>132</v>
      </c>
      <c r="R68" s="34" t="s">
        <v>132</v>
      </c>
      <c r="S68" s="1"/>
      <c r="T68" s="58"/>
      <c r="U68" s="1"/>
      <c r="V68" s="1" t="s">
        <v>2</v>
      </c>
      <c r="W68" s="8" t="s">
        <v>44</v>
      </c>
      <c r="X68" s="1" t="s">
        <v>2</v>
      </c>
      <c r="Y68" s="1" t="s">
        <v>2</v>
      </c>
      <c r="Z68" s="1" t="s">
        <v>2</v>
      </c>
      <c r="AA68" s="1" t="s">
        <v>2</v>
      </c>
      <c r="AB68" s="1" t="s">
        <v>2</v>
      </c>
      <c r="AC68" s="1" t="s">
        <v>2</v>
      </c>
      <c r="AD68" s="65" t="s">
        <v>210</v>
      </c>
      <c r="AE68" s="1" t="s">
        <v>2</v>
      </c>
      <c r="AF68" s="34" t="s">
        <v>132</v>
      </c>
      <c r="AG68" s="34" t="s">
        <v>132</v>
      </c>
      <c r="AH68" s="34" t="s">
        <v>132</v>
      </c>
      <c r="AI68" s="34" t="s">
        <v>132</v>
      </c>
    </row>
    <row r="69" spans="1:35" ht="12.75" customHeight="1">
      <c r="A69" s="1" t="s">
        <v>53</v>
      </c>
      <c r="B69" s="1" t="s">
        <v>54</v>
      </c>
      <c r="C69" s="8" t="s">
        <v>55</v>
      </c>
      <c r="D69" s="1" t="s">
        <v>54</v>
      </c>
      <c r="E69" s="1" t="s">
        <v>54</v>
      </c>
      <c r="F69" s="1" t="s">
        <v>54</v>
      </c>
      <c r="G69" s="1" t="s">
        <v>54</v>
      </c>
      <c r="H69" s="1" t="s">
        <v>54</v>
      </c>
      <c r="I69" s="1" t="s">
        <v>54</v>
      </c>
      <c r="J69" s="1" t="s">
        <v>54</v>
      </c>
      <c r="K69" s="1" t="s">
        <v>54</v>
      </c>
      <c r="L69" s="1" t="s">
        <v>54</v>
      </c>
      <c r="M69" s="65"/>
      <c r="N69" s="1"/>
      <c r="O69" s="34" t="s">
        <v>134</v>
      </c>
      <c r="P69" s="34" t="s">
        <v>147</v>
      </c>
      <c r="Q69" s="34" t="s">
        <v>202</v>
      </c>
      <c r="R69" s="34" t="s">
        <v>200</v>
      </c>
      <c r="S69" s="1"/>
      <c r="T69" s="58"/>
      <c r="U69" s="1"/>
      <c r="V69" s="1" t="s">
        <v>57</v>
      </c>
      <c r="W69" s="8" t="s">
        <v>58</v>
      </c>
      <c r="X69" s="1" t="s">
        <v>57</v>
      </c>
      <c r="Y69" s="1" t="s">
        <v>57</v>
      </c>
      <c r="Z69" s="1" t="s">
        <v>57</v>
      </c>
      <c r="AA69" s="1" t="s">
        <v>57</v>
      </c>
      <c r="AB69" s="1" t="s">
        <v>57</v>
      </c>
      <c r="AC69" s="1" t="s">
        <v>57</v>
      </c>
      <c r="AD69" s="1"/>
      <c r="AE69" s="1" t="s">
        <v>57</v>
      </c>
      <c r="AF69" s="34" t="s">
        <v>134</v>
      </c>
      <c r="AG69" s="34" t="s">
        <v>147</v>
      </c>
      <c r="AH69" s="34" t="s">
        <v>202</v>
      </c>
      <c r="AI69" s="34" t="s">
        <v>200</v>
      </c>
    </row>
    <row r="70" spans="1:35" ht="12.75" customHeight="1">
      <c r="A70" s="1" t="s">
        <v>56</v>
      </c>
      <c r="B70" s="1" t="s">
        <v>57</v>
      </c>
      <c r="C70" s="8" t="s">
        <v>58</v>
      </c>
      <c r="D70" s="1" t="s">
        <v>57</v>
      </c>
      <c r="E70" s="1" t="s">
        <v>57</v>
      </c>
      <c r="F70" s="1" t="s">
        <v>57</v>
      </c>
      <c r="G70" s="1" t="s">
        <v>57</v>
      </c>
      <c r="H70" s="1" t="s">
        <v>57</v>
      </c>
      <c r="I70" s="1" t="s">
        <v>57</v>
      </c>
      <c r="J70" s="1" t="s">
        <v>57</v>
      </c>
      <c r="K70" s="1" t="s">
        <v>57</v>
      </c>
      <c r="L70" s="1" t="s">
        <v>57</v>
      </c>
      <c r="M70" s="65"/>
      <c r="N70" s="1"/>
      <c r="O70" s="35" t="s">
        <v>142</v>
      </c>
      <c r="P70" s="35" t="s">
        <v>148</v>
      </c>
      <c r="Q70" s="35" t="s">
        <v>203</v>
      </c>
      <c r="R70" s="35" t="s">
        <v>201</v>
      </c>
      <c r="S70" s="1"/>
      <c r="T70" s="58"/>
      <c r="U70" s="1"/>
      <c r="V70" s="1" t="s">
        <v>60</v>
      </c>
      <c r="W70" s="8" t="s">
        <v>61</v>
      </c>
      <c r="X70" s="1" t="s">
        <v>62</v>
      </c>
      <c r="Y70" s="1" t="s">
        <v>63</v>
      </c>
      <c r="Z70" s="1" t="s">
        <v>64</v>
      </c>
      <c r="AA70" s="1" t="s">
        <v>65</v>
      </c>
      <c r="AB70" s="1" t="s">
        <v>66</v>
      </c>
      <c r="AC70" s="1" t="s">
        <v>67</v>
      </c>
      <c r="AD70" s="1"/>
      <c r="AE70" s="1" t="s">
        <v>68</v>
      </c>
      <c r="AF70" s="35" t="s">
        <v>142</v>
      </c>
      <c r="AG70" s="35" t="s">
        <v>148</v>
      </c>
      <c r="AH70" s="35" t="s">
        <v>203</v>
      </c>
      <c r="AI70" s="35" t="s">
        <v>201</v>
      </c>
    </row>
    <row r="71" spans="1:35" ht="12.75" customHeight="1">
      <c r="A71" s="1" t="s">
        <v>59</v>
      </c>
      <c r="B71" s="1" t="s">
        <v>60</v>
      </c>
      <c r="C71" s="8" t="s">
        <v>61</v>
      </c>
      <c r="D71" s="1" t="s">
        <v>62</v>
      </c>
      <c r="E71" s="1" t="s">
        <v>63</v>
      </c>
      <c r="F71" s="1" t="s">
        <v>64</v>
      </c>
      <c r="G71" s="1" t="s">
        <v>65</v>
      </c>
      <c r="H71" s="1" t="s">
        <v>66</v>
      </c>
      <c r="I71" s="1" t="s">
        <v>67</v>
      </c>
      <c r="J71" s="1" t="s">
        <v>68</v>
      </c>
      <c r="K71" s="17" t="s">
        <v>18</v>
      </c>
      <c r="L71" s="17" t="s">
        <v>19</v>
      </c>
      <c r="M71" s="65"/>
      <c r="N71" s="1"/>
      <c r="O71" s="36" t="s">
        <v>135</v>
      </c>
      <c r="P71" s="36" t="s">
        <v>149</v>
      </c>
      <c r="Q71" s="36" t="s">
        <v>198</v>
      </c>
      <c r="R71" s="36" t="s">
        <v>199</v>
      </c>
      <c r="S71" s="1"/>
      <c r="T71" s="58"/>
      <c r="U71" s="1"/>
      <c r="V71" s="1" t="s">
        <v>70</v>
      </c>
      <c r="W71" s="8" t="s">
        <v>71</v>
      </c>
      <c r="X71" s="1" t="s">
        <v>70</v>
      </c>
      <c r="Y71" s="1" t="s">
        <v>70</v>
      </c>
      <c r="Z71" s="1" t="s">
        <v>70</v>
      </c>
      <c r="AA71" s="1" t="s">
        <v>70</v>
      </c>
      <c r="AB71" s="1" t="s">
        <v>70</v>
      </c>
      <c r="AC71" s="1" t="s">
        <v>72</v>
      </c>
      <c r="AD71" s="1"/>
      <c r="AE71" s="1" t="s">
        <v>72</v>
      </c>
      <c r="AF71" s="36" t="s">
        <v>135</v>
      </c>
      <c r="AG71" s="36" t="s">
        <v>149</v>
      </c>
      <c r="AH71" s="36" t="s">
        <v>198</v>
      </c>
      <c r="AI71" s="36" t="s">
        <v>199</v>
      </c>
    </row>
    <row r="72" spans="1:35" ht="12.75" customHeight="1">
      <c r="A72" s="1" t="s">
        <v>69</v>
      </c>
      <c r="B72" s="1" t="s">
        <v>70</v>
      </c>
      <c r="C72" s="8" t="s">
        <v>71</v>
      </c>
      <c r="D72" s="1" t="s">
        <v>70</v>
      </c>
      <c r="E72" s="1" t="s">
        <v>70</v>
      </c>
      <c r="F72" s="1" t="s">
        <v>70</v>
      </c>
      <c r="G72" s="1" t="s">
        <v>70</v>
      </c>
      <c r="H72" s="1" t="s">
        <v>72</v>
      </c>
      <c r="I72" s="1" t="s">
        <v>72</v>
      </c>
      <c r="J72" s="1" t="s">
        <v>72</v>
      </c>
      <c r="K72" s="1" t="s">
        <v>72</v>
      </c>
      <c r="L72" s="1" t="s">
        <v>72</v>
      </c>
      <c r="M72" s="65"/>
      <c r="N72" s="1"/>
      <c r="O72" s="34" t="s">
        <v>136</v>
      </c>
      <c r="P72" s="34" t="s">
        <v>136</v>
      </c>
      <c r="Q72" s="34" t="s">
        <v>136</v>
      </c>
      <c r="R72" s="34" t="s">
        <v>136</v>
      </c>
      <c r="S72" s="1"/>
      <c r="T72" s="58"/>
      <c r="U72" s="1"/>
      <c r="V72" s="1" t="s">
        <v>74</v>
      </c>
      <c r="W72" s="8" t="s">
        <v>75</v>
      </c>
      <c r="X72" s="1" t="s">
        <v>74</v>
      </c>
      <c r="Y72" s="1" t="s">
        <v>74</v>
      </c>
      <c r="Z72" s="1" t="s">
        <v>74</v>
      </c>
      <c r="AA72" s="1" t="s">
        <v>74</v>
      </c>
      <c r="AB72" s="1" t="s">
        <v>74</v>
      </c>
      <c r="AC72" s="1" t="s">
        <v>77</v>
      </c>
      <c r="AD72" s="1"/>
      <c r="AE72" s="1" t="s">
        <v>77</v>
      </c>
      <c r="AF72" s="34" t="s">
        <v>136</v>
      </c>
      <c r="AG72" s="34" t="s">
        <v>136</v>
      </c>
      <c r="AH72" s="34" t="s">
        <v>136</v>
      </c>
      <c r="AI72" s="34" t="s">
        <v>136</v>
      </c>
    </row>
    <row r="73" spans="1:35" ht="12.75" customHeight="1">
      <c r="A73" s="1" t="s">
        <v>73</v>
      </c>
      <c r="B73" s="1" t="s">
        <v>74</v>
      </c>
      <c r="C73" s="8" t="s">
        <v>75</v>
      </c>
      <c r="D73" s="1" t="s">
        <v>74</v>
      </c>
      <c r="E73" s="1" t="s">
        <v>74</v>
      </c>
      <c r="F73" s="1" t="s">
        <v>74</v>
      </c>
      <c r="G73" s="1" t="s">
        <v>74</v>
      </c>
      <c r="H73" s="1" t="s">
        <v>76</v>
      </c>
      <c r="I73" s="1" t="s">
        <v>77</v>
      </c>
      <c r="J73" s="1" t="s">
        <v>77</v>
      </c>
      <c r="K73" s="1" t="s">
        <v>77</v>
      </c>
      <c r="L73" s="1" t="s">
        <v>77</v>
      </c>
      <c r="M73" s="65"/>
      <c r="N73" s="1"/>
      <c r="O73" s="34" t="s">
        <v>137</v>
      </c>
      <c r="P73" s="34" t="s">
        <v>137</v>
      </c>
      <c r="Q73" s="34" t="s">
        <v>137</v>
      </c>
      <c r="R73" s="34" t="s">
        <v>137</v>
      </c>
      <c r="S73" s="1"/>
      <c r="T73" s="58"/>
      <c r="U73" s="1"/>
      <c r="V73" s="1" t="s">
        <v>43</v>
      </c>
      <c r="W73" s="8" t="s">
        <v>78</v>
      </c>
      <c r="X73" s="1" t="s">
        <v>43</v>
      </c>
      <c r="Y73" s="1" t="s">
        <v>43</v>
      </c>
      <c r="Z73" s="1" t="s">
        <v>43</v>
      </c>
      <c r="AA73" s="1" t="s">
        <v>43</v>
      </c>
      <c r="AB73" s="1" t="s">
        <v>43</v>
      </c>
      <c r="AC73" s="1" t="s">
        <v>79</v>
      </c>
      <c r="AD73" s="1"/>
      <c r="AE73" s="1" t="s">
        <v>79</v>
      </c>
      <c r="AF73" s="34" t="s">
        <v>137</v>
      </c>
      <c r="AG73" s="34" t="s">
        <v>137</v>
      </c>
      <c r="AH73" s="34" t="s">
        <v>137</v>
      </c>
      <c r="AI73" s="34" t="s">
        <v>137</v>
      </c>
    </row>
    <row r="74" spans="1:35" ht="12.75" customHeight="1">
      <c r="A74" s="1" t="s">
        <v>50</v>
      </c>
      <c r="B74" s="1" t="s">
        <v>43</v>
      </c>
      <c r="C74" s="8" t="s">
        <v>78</v>
      </c>
      <c r="D74" s="1" t="s">
        <v>43</v>
      </c>
      <c r="E74" s="1" t="s">
        <v>43</v>
      </c>
      <c r="F74" s="1" t="s">
        <v>43</v>
      </c>
      <c r="G74" s="1" t="s">
        <v>43</v>
      </c>
      <c r="H74" s="1" t="s">
        <v>79</v>
      </c>
      <c r="I74" s="1" t="s">
        <v>79</v>
      </c>
      <c r="J74" s="1" t="s">
        <v>79</v>
      </c>
      <c r="K74" s="1" t="s">
        <v>79</v>
      </c>
      <c r="L74" s="1" t="s">
        <v>79</v>
      </c>
      <c r="M74" s="65"/>
      <c r="N74" s="1"/>
      <c r="O74" s="34" t="s">
        <v>138</v>
      </c>
      <c r="P74" s="34" t="s">
        <v>138</v>
      </c>
      <c r="Q74" s="34" t="s">
        <v>138</v>
      </c>
      <c r="R74" s="34" t="s">
        <v>138</v>
      </c>
      <c r="S74" s="1"/>
      <c r="T74" s="58"/>
      <c r="U74" s="1"/>
      <c r="V74" s="1" t="s">
        <v>51</v>
      </c>
      <c r="W74" s="8" t="s">
        <v>44</v>
      </c>
      <c r="X74" s="1" t="s">
        <v>51</v>
      </c>
      <c r="Y74" s="1" t="s">
        <v>72</v>
      </c>
      <c r="Z74" s="1" t="s">
        <v>72</v>
      </c>
      <c r="AA74" s="1" t="s">
        <v>72</v>
      </c>
      <c r="AB74" s="1" t="s">
        <v>72</v>
      </c>
      <c r="AC74" s="1" t="s">
        <v>82</v>
      </c>
      <c r="AD74" s="1"/>
      <c r="AE74" s="1" t="s">
        <v>82</v>
      </c>
      <c r="AF74" s="34" t="s">
        <v>138</v>
      </c>
      <c r="AG74" s="34" t="s">
        <v>138</v>
      </c>
      <c r="AH74" s="34" t="s">
        <v>138</v>
      </c>
      <c r="AI74" s="34" t="s">
        <v>138</v>
      </c>
    </row>
    <row r="75" spans="1:35" ht="12.75" customHeight="1">
      <c r="A75" s="1" t="s">
        <v>80</v>
      </c>
      <c r="B75" s="1" t="s">
        <v>51</v>
      </c>
      <c r="C75" s="8" t="s">
        <v>44</v>
      </c>
      <c r="D75" s="1" t="s">
        <v>51</v>
      </c>
      <c r="E75" s="1" t="s">
        <v>72</v>
      </c>
      <c r="F75" s="1" t="s">
        <v>72</v>
      </c>
      <c r="G75" s="1" t="s">
        <v>72</v>
      </c>
      <c r="H75" s="1" t="s">
        <v>81</v>
      </c>
      <c r="I75" s="1" t="s">
        <v>82</v>
      </c>
      <c r="J75" s="1" t="s">
        <v>82</v>
      </c>
      <c r="K75" s="1" t="s">
        <v>82</v>
      </c>
      <c r="L75" s="1" t="s">
        <v>82</v>
      </c>
      <c r="M75" s="65"/>
      <c r="N75" s="1"/>
      <c r="O75" s="34" t="s">
        <v>139</v>
      </c>
      <c r="P75" s="34" t="s">
        <v>139</v>
      </c>
      <c r="Q75" s="34" t="s">
        <v>139</v>
      </c>
      <c r="R75" s="34" t="s">
        <v>139</v>
      </c>
      <c r="S75" s="1"/>
      <c r="T75" s="58"/>
      <c r="U75" s="1"/>
      <c r="V75" s="1" t="s">
        <v>44</v>
      </c>
      <c r="W75" s="8" t="s">
        <v>83</v>
      </c>
      <c r="X75" s="1" t="s">
        <v>44</v>
      </c>
      <c r="Y75" s="1" t="s">
        <v>76</v>
      </c>
      <c r="Z75" s="1" t="s">
        <v>76</v>
      </c>
      <c r="AA75" s="1" t="s">
        <v>76</v>
      </c>
      <c r="AB75" s="1" t="s">
        <v>76</v>
      </c>
      <c r="AC75" s="1" t="s">
        <v>85</v>
      </c>
      <c r="AD75" s="1"/>
      <c r="AE75" s="1" t="s">
        <v>85</v>
      </c>
      <c r="AF75" s="34" t="s">
        <v>139</v>
      </c>
      <c r="AG75" s="34" t="s">
        <v>139</v>
      </c>
      <c r="AH75" s="34" t="s">
        <v>139</v>
      </c>
      <c r="AI75" s="34" t="s">
        <v>139</v>
      </c>
    </row>
    <row r="76" spans="1:35" ht="12.75" customHeight="1">
      <c r="A76" s="1" t="s">
        <v>49</v>
      </c>
      <c r="B76" s="1" t="s">
        <v>44</v>
      </c>
      <c r="C76" s="8" t="s">
        <v>83</v>
      </c>
      <c r="D76" s="1" t="s">
        <v>44</v>
      </c>
      <c r="E76" s="1" t="s">
        <v>76</v>
      </c>
      <c r="F76" s="1" t="s">
        <v>76</v>
      </c>
      <c r="G76" s="1" t="s">
        <v>76</v>
      </c>
      <c r="H76" s="1" t="s">
        <v>84</v>
      </c>
      <c r="I76" s="1" t="s">
        <v>85</v>
      </c>
      <c r="J76" s="1" t="s">
        <v>85</v>
      </c>
      <c r="K76" s="1" t="s">
        <v>85</v>
      </c>
      <c r="L76" s="1" t="s">
        <v>85</v>
      </c>
      <c r="M76" s="65"/>
      <c r="N76" s="1"/>
      <c r="O76" s="34" t="s">
        <v>140</v>
      </c>
      <c r="P76" s="34" t="s">
        <v>140</v>
      </c>
      <c r="Q76" s="34" t="s">
        <v>140</v>
      </c>
      <c r="R76" s="34" t="s">
        <v>140</v>
      </c>
      <c r="S76" s="1"/>
      <c r="T76" s="58"/>
      <c r="U76" s="1"/>
      <c r="V76" s="1" t="s">
        <v>55</v>
      </c>
      <c r="W76" s="8" t="s">
        <v>87</v>
      </c>
      <c r="X76" s="1" t="s">
        <v>55</v>
      </c>
      <c r="Y76" s="1" t="s">
        <v>79</v>
      </c>
      <c r="Z76" s="1" t="s">
        <v>79</v>
      </c>
      <c r="AA76" s="1" t="s">
        <v>79</v>
      </c>
      <c r="AB76" s="1" t="s">
        <v>79</v>
      </c>
      <c r="AC76" s="1" t="s">
        <v>88</v>
      </c>
      <c r="AD76" s="1"/>
      <c r="AE76" s="1" t="s">
        <v>88</v>
      </c>
      <c r="AF76" s="34" t="s">
        <v>140</v>
      </c>
      <c r="AG76" s="34" t="s">
        <v>140</v>
      </c>
      <c r="AH76" s="34" t="s">
        <v>140</v>
      </c>
      <c r="AI76" s="34" t="s">
        <v>140</v>
      </c>
    </row>
    <row r="77" spans="1:35" ht="12.75" customHeight="1">
      <c r="A77" s="1" t="s">
        <v>86</v>
      </c>
      <c r="B77" s="1" t="s">
        <v>55</v>
      </c>
      <c r="C77" s="8" t="s">
        <v>87</v>
      </c>
      <c r="D77" s="1" t="s">
        <v>55</v>
      </c>
      <c r="E77" s="1" t="s">
        <v>79</v>
      </c>
      <c r="F77" s="1" t="s">
        <v>79</v>
      </c>
      <c r="G77" s="1" t="s">
        <v>79</v>
      </c>
      <c r="H77" s="1" t="s">
        <v>85</v>
      </c>
      <c r="I77" s="1" t="s">
        <v>88</v>
      </c>
      <c r="J77" s="1" t="s">
        <v>88</v>
      </c>
      <c r="K77" s="1" t="s">
        <v>88</v>
      </c>
      <c r="L77" s="1" t="s">
        <v>88</v>
      </c>
      <c r="M77" s="65"/>
      <c r="N77" s="1"/>
      <c r="O77" s="34" t="s">
        <v>48</v>
      </c>
      <c r="P77" s="34" t="s">
        <v>48</v>
      </c>
      <c r="Q77" s="34" t="s">
        <v>48</v>
      </c>
      <c r="R77" s="34" t="s">
        <v>48</v>
      </c>
      <c r="S77" s="1"/>
      <c r="T77" s="58"/>
      <c r="U77" s="1"/>
      <c r="V77" s="1" t="s">
        <v>58</v>
      </c>
      <c r="W77" s="8" t="s">
        <v>90</v>
      </c>
      <c r="X77" s="1" t="s">
        <v>58</v>
      </c>
      <c r="Y77" s="1" t="s">
        <v>81</v>
      </c>
      <c r="Z77" s="1" t="s">
        <v>81</v>
      </c>
      <c r="AA77" s="1" t="s">
        <v>81</v>
      </c>
      <c r="AB77" s="1" t="s">
        <v>81</v>
      </c>
      <c r="AC77" s="1" t="s">
        <v>44</v>
      </c>
      <c r="AD77" s="1"/>
      <c r="AE77" s="1" t="s">
        <v>44</v>
      </c>
      <c r="AF77" s="34" t="s">
        <v>48</v>
      </c>
      <c r="AG77" s="34" t="s">
        <v>48</v>
      </c>
      <c r="AH77" s="34" t="s">
        <v>48</v>
      </c>
      <c r="AI77" s="34" t="s">
        <v>48</v>
      </c>
    </row>
    <row r="78" spans="1:35" ht="12.75" customHeight="1">
      <c r="A78" s="1" t="s">
        <v>89</v>
      </c>
      <c r="B78" s="1" t="s">
        <v>58</v>
      </c>
      <c r="C78" s="8" t="s">
        <v>90</v>
      </c>
      <c r="D78" s="1" t="s">
        <v>58</v>
      </c>
      <c r="E78" s="1" t="s">
        <v>81</v>
      </c>
      <c r="F78" s="1" t="s">
        <v>81</v>
      </c>
      <c r="G78" s="1" t="s">
        <v>81</v>
      </c>
      <c r="H78" s="1" t="s">
        <v>88</v>
      </c>
      <c r="I78" s="1" t="s">
        <v>44</v>
      </c>
      <c r="J78" s="1" t="s">
        <v>44</v>
      </c>
      <c r="K78" s="1" t="s">
        <v>44</v>
      </c>
      <c r="L78" s="1" t="s">
        <v>44</v>
      </c>
      <c r="M78" s="65"/>
      <c r="N78" s="1"/>
      <c r="O78" s="34" t="s">
        <v>141</v>
      </c>
      <c r="P78" s="34" t="s">
        <v>205</v>
      </c>
      <c r="Q78" s="34" t="s">
        <v>205</v>
      </c>
      <c r="R78" s="34" t="s">
        <v>205</v>
      </c>
      <c r="S78" s="1"/>
      <c r="T78" s="58"/>
      <c r="U78" s="1"/>
      <c r="V78" s="1" t="s">
        <v>61</v>
      </c>
      <c r="W78" s="8" t="s">
        <v>92</v>
      </c>
      <c r="X78" s="1" t="s">
        <v>61</v>
      </c>
      <c r="Y78" s="1" t="s">
        <v>84</v>
      </c>
      <c r="Z78" s="1" t="s">
        <v>84</v>
      </c>
      <c r="AA78" s="1" t="s">
        <v>84</v>
      </c>
      <c r="AB78" s="1" t="s">
        <v>84</v>
      </c>
      <c r="AC78" s="1" t="s">
        <v>48</v>
      </c>
      <c r="AD78" s="1"/>
      <c r="AE78" s="1" t="s">
        <v>48</v>
      </c>
      <c r="AF78" s="34" t="s">
        <v>141</v>
      </c>
      <c r="AG78" s="34" t="s">
        <v>205</v>
      </c>
      <c r="AH78" s="34" t="s">
        <v>205</v>
      </c>
      <c r="AI78" s="34" t="s">
        <v>205</v>
      </c>
    </row>
    <row r="79" spans="1:35" ht="12.75" customHeight="1">
      <c r="A79" s="1" t="s">
        <v>91</v>
      </c>
      <c r="B79" s="1" t="s">
        <v>61</v>
      </c>
      <c r="C79" s="8" t="s">
        <v>92</v>
      </c>
      <c r="D79" s="1" t="s">
        <v>61</v>
      </c>
      <c r="E79" s="1" t="s">
        <v>84</v>
      </c>
      <c r="F79" s="1" t="s">
        <v>84</v>
      </c>
      <c r="G79" s="1" t="s">
        <v>84</v>
      </c>
      <c r="H79" s="1" t="s">
        <v>44</v>
      </c>
      <c r="I79" s="1" t="s">
        <v>48</v>
      </c>
      <c r="J79" s="1" t="s">
        <v>48</v>
      </c>
      <c r="K79" s="1" t="s">
        <v>48</v>
      </c>
      <c r="L79" s="1" t="s">
        <v>48</v>
      </c>
      <c r="M79" s="65"/>
      <c r="N79" s="1"/>
      <c r="O79" s="37">
        <v>2000</v>
      </c>
      <c r="P79" s="37">
        <v>2001</v>
      </c>
      <c r="Q79" s="37">
        <v>2001</v>
      </c>
      <c r="R79" s="37">
        <v>2001</v>
      </c>
      <c r="S79" s="1"/>
      <c r="T79" s="58"/>
      <c r="U79" s="1"/>
      <c r="V79" s="1" t="s">
        <v>85</v>
      </c>
      <c r="W79" s="8" t="s">
        <v>94</v>
      </c>
      <c r="X79" s="1" t="s">
        <v>85</v>
      </c>
      <c r="Y79" s="1" t="s">
        <v>85</v>
      </c>
      <c r="Z79" s="1" t="s">
        <v>85</v>
      </c>
      <c r="AA79" s="1" t="s">
        <v>85</v>
      </c>
      <c r="AB79" s="1" t="s">
        <v>85</v>
      </c>
      <c r="AC79" s="1" t="s">
        <v>95</v>
      </c>
      <c r="AD79" s="1"/>
      <c r="AE79" s="1" t="s">
        <v>96</v>
      </c>
      <c r="AF79" s="37">
        <v>2000</v>
      </c>
      <c r="AG79" s="37">
        <v>2001</v>
      </c>
      <c r="AH79" s="37">
        <v>2001</v>
      </c>
      <c r="AI79" s="37">
        <v>2001</v>
      </c>
    </row>
    <row r="80" spans="1:35" ht="12.75" customHeight="1">
      <c r="A80" s="1" t="s">
        <v>93</v>
      </c>
      <c r="B80" s="1" t="s">
        <v>85</v>
      </c>
      <c r="C80" s="8" t="s">
        <v>94</v>
      </c>
      <c r="D80" s="1" t="s">
        <v>85</v>
      </c>
      <c r="E80" s="1" t="s">
        <v>85</v>
      </c>
      <c r="F80" s="1" t="s">
        <v>85</v>
      </c>
      <c r="G80" s="1" t="s">
        <v>85</v>
      </c>
      <c r="H80" s="1" t="s">
        <v>48</v>
      </c>
      <c r="I80" s="1" t="s">
        <v>95</v>
      </c>
      <c r="J80" s="1" t="s">
        <v>96</v>
      </c>
      <c r="K80" s="1" t="s">
        <v>117</v>
      </c>
      <c r="L80" s="1" t="s">
        <v>95</v>
      </c>
      <c r="M80" s="65"/>
      <c r="N80" s="1"/>
      <c r="O80" s="38" t="s">
        <v>144</v>
      </c>
      <c r="P80" s="38"/>
      <c r="Q80" s="1"/>
      <c r="S80" s="1"/>
      <c r="T80" s="58"/>
      <c r="U80" s="1"/>
      <c r="V80" s="1" t="s">
        <v>88</v>
      </c>
      <c r="W80" s="8"/>
      <c r="X80" s="1" t="s">
        <v>88</v>
      </c>
      <c r="Y80" s="1" t="s">
        <v>88</v>
      </c>
      <c r="Z80" s="1" t="s">
        <v>88</v>
      </c>
      <c r="AA80" s="1" t="s">
        <v>88</v>
      </c>
      <c r="AB80" s="1" t="s">
        <v>88</v>
      </c>
      <c r="AC80" s="1" t="s">
        <v>98</v>
      </c>
      <c r="AD80" s="1"/>
      <c r="AE80" s="1" t="s">
        <v>99</v>
      </c>
      <c r="AF80" s="38" t="s">
        <v>144</v>
      </c>
      <c r="AG80" s="38"/>
      <c r="AH80" s="1"/>
    </row>
    <row r="81" spans="1:35" ht="12.75" customHeight="1">
      <c r="A81" s="1" t="s">
        <v>97</v>
      </c>
      <c r="B81" s="1" t="s">
        <v>88</v>
      </c>
      <c r="C81" s="8"/>
      <c r="D81" s="1" t="s">
        <v>88</v>
      </c>
      <c r="E81" s="1" t="s">
        <v>88</v>
      </c>
      <c r="F81" s="1" t="s">
        <v>88</v>
      </c>
      <c r="G81" s="1" t="s">
        <v>88</v>
      </c>
      <c r="H81" s="1" t="s">
        <v>96</v>
      </c>
      <c r="I81" s="1" t="s">
        <v>98</v>
      </c>
      <c r="J81" s="1" t="s">
        <v>99</v>
      </c>
      <c r="K81" s="18" t="s">
        <v>119</v>
      </c>
      <c r="L81" s="18" t="s">
        <v>118</v>
      </c>
      <c r="M81" s="57"/>
      <c r="N81" s="18"/>
      <c r="O81" s="38"/>
      <c r="P81" s="38"/>
      <c r="Q81" s="34"/>
      <c r="R81" s="104" t="s">
        <v>196</v>
      </c>
      <c r="S81" s="1"/>
      <c r="T81" s="58"/>
      <c r="U81" s="1"/>
      <c r="V81" s="1" t="s">
        <v>44</v>
      </c>
      <c r="W81" s="8"/>
      <c r="X81" s="1" t="s">
        <v>44</v>
      </c>
      <c r="Y81" s="1" t="s">
        <v>44</v>
      </c>
      <c r="Z81" s="1" t="s">
        <v>44</v>
      </c>
      <c r="AA81" s="1" t="s">
        <v>44</v>
      </c>
      <c r="AB81" s="1" t="s">
        <v>44</v>
      </c>
      <c r="AC81" s="1"/>
      <c r="AD81" s="1"/>
      <c r="AE81" s="1"/>
      <c r="AF81" s="38"/>
      <c r="AG81" s="38"/>
      <c r="AH81" s="34"/>
      <c r="AI81" s="104" t="s">
        <v>196</v>
      </c>
    </row>
    <row r="82" spans="1:35" ht="12.75" customHeight="1">
      <c r="A82" s="1" t="s">
        <v>100</v>
      </c>
      <c r="B82" s="1" t="s">
        <v>44</v>
      </c>
      <c r="C82" s="8"/>
      <c r="D82" s="1" t="s">
        <v>44</v>
      </c>
      <c r="E82" s="1" t="s">
        <v>44</v>
      </c>
      <c r="F82" s="1" t="s">
        <v>44</v>
      </c>
      <c r="G82" s="1" t="s">
        <v>44</v>
      </c>
      <c r="H82" s="1" t="s">
        <v>101</v>
      </c>
      <c r="I82" s="1"/>
      <c r="J82" s="1"/>
      <c r="K82" s="1"/>
      <c r="L82" s="1"/>
      <c r="M82" s="54"/>
      <c r="N82" s="1"/>
      <c r="O82" s="1"/>
      <c r="P82" s="1"/>
      <c r="Q82" s="34"/>
      <c r="R82" s="1"/>
      <c r="S82" s="1"/>
      <c r="T82" s="58"/>
      <c r="U82" s="1"/>
      <c r="V82" s="1" t="s">
        <v>48</v>
      </c>
      <c r="W82" s="8"/>
      <c r="X82" s="1" t="s">
        <v>48</v>
      </c>
      <c r="Y82" s="1" t="s">
        <v>48</v>
      </c>
      <c r="Z82" s="1" t="s">
        <v>48</v>
      </c>
      <c r="AA82" s="1" t="s">
        <v>48</v>
      </c>
      <c r="AB82" s="1" t="s">
        <v>48</v>
      </c>
      <c r="AC82" s="1"/>
      <c r="AD82" s="1"/>
      <c r="AE82" s="1"/>
      <c r="AF82" s="1"/>
      <c r="AG82" s="1"/>
      <c r="AH82" s="1"/>
      <c r="AI82" s="1"/>
    </row>
    <row r="83" spans="1:35" ht="12.75" customHeight="1">
      <c r="A83" s="1" t="s">
        <v>102</v>
      </c>
      <c r="B83" s="1" t="s">
        <v>48</v>
      </c>
      <c r="C83" s="8"/>
      <c r="D83" s="1" t="s">
        <v>48</v>
      </c>
      <c r="E83" s="1" t="s">
        <v>48</v>
      </c>
      <c r="F83" s="1" t="s">
        <v>48</v>
      </c>
      <c r="G83" s="1" t="s">
        <v>48</v>
      </c>
      <c r="H83" s="1"/>
      <c r="I83" s="1"/>
      <c r="J83" s="1"/>
      <c r="K83" s="1"/>
      <c r="L83" s="1"/>
      <c r="M83" s="54"/>
      <c r="N83" s="1"/>
      <c r="O83" s="1"/>
      <c r="P83" s="1"/>
      <c r="Q83" s="34"/>
      <c r="R83" s="1"/>
      <c r="S83" s="1"/>
      <c r="T83" s="58"/>
      <c r="U83" s="1"/>
      <c r="V83" s="1" t="s">
        <v>103</v>
      </c>
      <c r="W83" s="1"/>
      <c r="X83" s="1" t="s">
        <v>103</v>
      </c>
      <c r="Y83" s="1" t="s">
        <v>104</v>
      </c>
      <c r="Z83" s="1" t="s">
        <v>104</v>
      </c>
      <c r="AA83" s="1" t="s">
        <v>95</v>
      </c>
      <c r="AB83" s="1" t="s">
        <v>96</v>
      </c>
      <c r="AC83" s="1"/>
      <c r="AD83" s="1"/>
      <c r="AE83" s="1"/>
      <c r="AF83" s="1"/>
      <c r="AG83" s="1"/>
      <c r="AH83" s="1"/>
      <c r="AI83" s="1"/>
    </row>
    <row r="84" spans="1:35" ht="12.75" customHeight="1">
      <c r="A84" s="1" t="s">
        <v>59</v>
      </c>
      <c r="B84" s="1" t="s">
        <v>103</v>
      </c>
      <c r="C84" s="8"/>
      <c r="D84" s="1" t="s">
        <v>103</v>
      </c>
      <c r="E84" s="1" t="s">
        <v>104</v>
      </c>
      <c r="F84" s="1" t="s">
        <v>104</v>
      </c>
      <c r="G84" s="1" t="s">
        <v>95</v>
      </c>
      <c r="H84" s="1"/>
      <c r="I84" s="1"/>
      <c r="J84" s="1"/>
      <c r="K84" s="1"/>
      <c r="L84" s="1"/>
      <c r="M84" s="54"/>
      <c r="N84" s="1"/>
      <c r="O84" s="1"/>
      <c r="P84" s="1"/>
      <c r="Q84" s="1"/>
      <c r="R84" s="1"/>
      <c r="S84" s="1"/>
      <c r="T84" s="58"/>
      <c r="U84" s="1"/>
      <c r="V84" s="1" t="s">
        <v>106</v>
      </c>
      <c r="W84" s="1"/>
      <c r="X84" s="1" t="s">
        <v>106</v>
      </c>
      <c r="Y84" s="1" t="s">
        <v>107</v>
      </c>
      <c r="Z84" s="1" t="s">
        <v>107</v>
      </c>
      <c r="AA84" s="1" t="s">
        <v>108</v>
      </c>
      <c r="AB84" s="1" t="s">
        <v>101</v>
      </c>
      <c r="AC84" s="1"/>
      <c r="AD84" s="1"/>
      <c r="AE84" s="1"/>
      <c r="AF84" s="1"/>
      <c r="AG84" s="1"/>
      <c r="AH84" s="1"/>
      <c r="AI84" s="1"/>
    </row>
    <row r="85" spans="1:35" ht="12.75" customHeight="1">
      <c r="A85" s="1" t="s">
        <v>105</v>
      </c>
      <c r="B85" s="1" t="s">
        <v>106</v>
      </c>
      <c r="C85" s="8"/>
      <c r="D85" s="1" t="s">
        <v>106</v>
      </c>
      <c r="E85" s="1" t="s">
        <v>107</v>
      </c>
      <c r="F85" s="1" t="s">
        <v>107</v>
      </c>
      <c r="G85" s="1" t="s">
        <v>108</v>
      </c>
      <c r="H85" s="1"/>
      <c r="I85" s="1"/>
      <c r="J85" s="1"/>
      <c r="K85" s="1"/>
      <c r="L85" s="1"/>
      <c r="M85" s="54"/>
      <c r="N85" s="1"/>
      <c r="O85" s="1"/>
      <c r="P85" s="1"/>
      <c r="Q85" s="1"/>
      <c r="R85" s="1"/>
      <c r="S85" s="1"/>
      <c r="T85" s="58"/>
      <c r="U85" s="1"/>
      <c r="V85" s="1"/>
      <c r="W85" s="1"/>
      <c r="X85" s="1"/>
      <c r="Y85" s="1"/>
      <c r="Z85" s="1"/>
      <c r="AA85" s="1"/>
      <c r="AB85" s="1"/>
      <c r="AC85" s="1"/>
      <c r="AD85" s="1"/>
      <c r="AE85" s="1"/>
      <c r="AF85" s="1"/>
      <c r="AG85" s="1"/>
      <c r="AH85" s="1"/>
      <c r="AI85" s="1"/>
    </row>
    <row r="86" spans="1:35" ht="12.75" customHeight="1">
      <c r="A86" s="1" t="s">
        <v>109</v>
      </c>
      <c r="B86" s="1"/>
      <c r="C86" s="1"/>
      <c r="D86" s="1"/>
      <c r="E86" s="1"/>
      <c r="F86" s="1"/>
      <c r="G86" s="1"/>
      <c r="H86" s="1"/>
      <c r="I86" s="1"/>
      <c r="J86" s="1"/>
      <c r="K86" s="1"/>
      <c r="L86" s="1"/>
      <c r="M86" s="54"/>
      <c r="N86" s="1"/>
      <c r="O86" s="1"/>
      <c r="P86" s="1"/>
      <c r="Q86" s="1"/>
      <c r="R86" s="1"/>
      <c r="S86" s="1"/>
      <c r="T86" s="58"/>
      <c r="U86" s="1"/>
      <c r="V86" s="1"/>
      <c r="W86" s="1"/>
      <c r="X86" s="1"/>
      <c r="Y86" s="1"/>
      <c r="Z86" s="1"/>
      <c r="AA86" s="1"/>
      <c r="AB86" s="1"/>
      <c r="AC86" s="1"/>
      <c r="AD86" s="1"/>
      <c r="AE86" s="1"/>
      <c r="AF86" s="1"/>
      <c r="AG86" s="1"/>
      <c r="AH86" s="1"/>
      <c r="AI86" s="1"/>
    </row>
    <row r="87" spans="1:35" ht="12.75" customHeight="1">
      <c r="A87" s="1" t="s">
        <v>110</v>
      </c>
      <c r="B87" s="1"/>
      <c r="C87" s="1"/>
      <c r="D87" s="1"/>
      <c r="E87" s="1"/>
      <c r="F87" s="1"/>
      <c r="G87" s="1"/>
      <c r="H87" s="1"/>
      <c r="I87" s="1"/>
      <c r="J87" s="1"/>
      <c r="K87" s="1"/>
      <c r="L87" s="1"/>
      <c r="M87" s="54"/>
      <c r="N87" s="1"/>
      <c r="O87" s="1"/>
      <c r="P87" s="1"/>
      <c r="Q87" s="1"/>
      <c r="R87" s="1"/>
      <c r="S87" s="1"/>
      <c r="T87" s="58"/>
      <c r="U87" s="1"/>
      <c r="V87" s="1"/>
      <c r="W87" s="1"/>
      <c r="X87" s="1"/>
      <c r="Y87" s="1"/>
      <c r="Z87" s="1"/>
      <c r="AA87" s="1"/>
      <c r="AB87" s="1"/>
      <c r="AC87" s="1"/>
      <c r="AD87" s="1"/>
      <c r="AE87" s="1"/>
      <c r="AF87" s="1"/>
      <c r="AG87" s="1"/>
      <c r="AH87" s="1"/>
      <c r="AI87" s="1"/>
    </row>
    <row r="88" spans="1:35" ht="12.75" customHeight="1">
      <c r="A88" s="1" t="s">
        <v>100</v>
      </c>
      <c r="B88" s="1"/>
      <c r="C88" s="1"/>
      <c r="D88" s="1"/>
      <c r="E88" s="1"/>
      <c r="F88" s="1"/>
      <c r="G88" s="1"/>
      <c r="H88" s="1"/>
      <c r="I88" s="1"/>
      <c r="J88" s="1"/>
      <c r="K88" s="1"/>
      <c r="L88" s="1"/>
      <c r="M88" s="54"/>
      <c r="N88" s="1"/>
      <c r="O88" s="1"/>
      <c r="P88" s="1"/>
      <c r="Q88" s="1"/>
      <c r="R88" s="1"/>
      <c r="S88" s="1"/>
      <c r="T88" s="58"/>
      <c r="U88" s="1"/>
      <c r="V88" s="1"/>
      <c r="W88" s="1"/>
      <c r="X88" s="1"/>
      <c r="Y88" s="1"/>
      <c r="Z88" s="1"/>
      <c r="AA88" s="1"/>
      <c r="AB88" s="1"/>
      <c r="AC88" s="1"/>
      <c r="AD88" s="1"/>
      <c r="AE88" s="1"/>
      <c r="AF88" s="1"/>
      <c r="AG88" s="1"/>
      <c r="AH88" s="1"/>
      <c r="AI88" s="1"/>
    </row>
    <row r="89" spans="1:35" ht="12.75" customHeight="1">
      <c r="A89" s="1" t="s">
        <v>111</v>
      </c>
      <c r="B89" s="1"/>
      <c r="C89" s="1"/>
      <c r="D89" s="1"/>
      <c r="E89" s="1"/>
      <c r="F89" s="1"/>
      <c r="G89" s="1"/>
      <c r="H89" s="1"/>
      <c r="I89" s="1"/>
      <c r="J89" s="1"/>
      <c r="K89" s="1"/>
      <c r="L89" s="1"/>
      <c r="M89" s="54"/>
      <c r="N89" s="1"/>
      <c r="O89" s="1"/>
      <c r="P89" s="1"/>
      <c r="Q89" s="1"/>
      <c r="R89" s="1"/>
      <c r="S89" s="1"/>
      <c r="T89" s="58"/>
      <c r="U89" s="1"/>
      <c r="V89" s="1"/>
      <c r="W89" s="1"/>
      <c r="X89" s="1"/>
      <c r="Y89" s="1"/>
      <c r="Z89" s="1"/>
      <c r="AA89" s="1"/>
      <c r="AB89" s="1"/>
      <c r="AC89" s="1"/>
      <c r="AD89" s="1"/>
      <c r="AE89" s="1"/>
      <c r="AF89" s="1"/>
      <c r="AG89" s="1"/>
      <c r="AH89" s="1"/>
      <c r="AI89" s="1"/>
    </row>
    <row r="90" spans="1:35" ht="12.75" customHeight="1">
      <c r="A90" s="1" t="s">
        <v>112</v>
      </c>
      <c r="B90" s="1"/>
      <c r="C90" s="1"/>
      <c r="D90" s="1"/>
      <c r="E90" s="1"/>
      <c r="F90" s="1"/>
      <c r="G90" s="1"/>
      <c r="H90" s="1"/>
      <c r="I90" s="1"/>
      <c r="J90" s="1"/>
      <c r="K90" s="1"/>
      <c r="L90" s="1"/>
      <c r="M90" s="54"/>
      <c r="N90" s="1"/>
      <c r="O90" s="1"/>
      <c r="P90" s="1"/>
      <c r="Q90" s="1"/>
      <c r="R90" s="1"/>
      <c r="S90" s="1"/>
      <c r="T90" s="58"/>
      <c r="U90" s="1"/>
      <c r="V90" s="1"/>
      <c r="W90" s="1"/>
      <c r="X90" s="1"/>
      <c r="Y90" s="1"/>
      <c r="Z90" s="1"/>
      <c r="AA90" s="1"/>
      <c r="AB90" s="1"/>
      <c r="AC90" s="1"/>
      <c r="AD90" s="1"/>
      <c r="AE90" s="1"/>
      <c r="AF90" s="1"/>
      <c r="AG90" s="1"/>
      <c r="AH90" s="1"/>
      <c r="AI90" s="1"/>
    </row>
    <row r="91" spans="1:35" ht="12.75" customHeight="1">
      <c r="A91" s="1" t="s">
        <v>113</v>
      </c>
      <c r="B91" s="1"/>
      <c r="C91" s="1"/>
      <c r="D91" s="1"/>
      <c r="E91" s="1"/>
      <c r="F91" s="1"/>
      <c r="G91" s="1"/>
      <c r="H91" s="1"/>
      <c r="I91" s="1"/>
      <c r="J91" s="1"/>
      <c r="K91" s="1"/>
      <c r="L91" s="1"/>
      <c r="M91" s="54"/>
      <c r="N91" s="1"/>
      <c r="O91" s="1"/>
      <c r="P91" s="1"/>
      <c r="Q91" s="1"/>
      <c r="R91" s="1"/>
      <c r="S91" s="1"/>
      <c r="T91" s="58"/>
      <c r="U91" s="1"/>
      <c r="V91" s="1"/>
      <c r="W91" s="1"/>
      <c r="X91" s="1"/>
      <c r="Y91" s="1"/>
      <c r="Z91" s="1"/>
      <c r="AA91" s="1"/>
      <c r="AB91" s="1"/>
      <c r="AC91" s="1"/>
      <c r="AD91" s="1"/>
      <c r="AE91" s="1"/>
      <c r="AF91" s="1"/>
      <c r="AG91" s="1"/>
      <c r="AH91" s="1"/>
      <c r="AI91" s="1"/>
    </row>
    <row r="92" spans="1:35" ht="12.75" customHeight="1">
      <c r="A92" s="1"/>
      <c r="B92" s="1"/>
      <c r="C92" s="1"/>
      <c r="D92" s="1"/>
      <c r="E92" s="1"/>
      <c r="F92" s="1"/>
      <c r="G92" s="1"/>
      <c r="H92" s="1"/>
      <c r="I92" s="1"/>
      <c r="J92" s="1"/>
      <c r="K92" s="1"/>
      <c r="L92" s="1"/>
      <c r="M92" s="54"/>
      <c r="N92" s="1"/>
      <c r="O92" s="1"/>
      <c r="P92" s="1"/>
      <c r="Q92" s="1"/>
      <c r="R92" s="1"/>
      <c r="S92" s="1"/>
      <c r="T92" s="58"/>
      <c r="U92" s="1"/>
      <c r="V92" s="1"/>
      <c r="W92" s="1"/>
      <c r="X92" s="1"/>
      <c r="Y92" s="1"/>
      <c r="Z92" s="1"/>
      <c r="AA92" s="1"/>
      <c r="AB92" s="1"/>
      <c r="AC92" s="1"/>
      <c r="AD92" s="1"/>
      <c r="AE92" s="1"/>
      <c r="AF92" s="1"/>
      <c r="AG92" s="1"/>
      <c r="AH92" s="1"/>
      <c r="AI92" s="1"/>
    </row>
    <row r="93" spans="1:35" ht="12.75" customHeight="1">
      <c r="A93" s="1"/>
      <c r="B93" s="1"/>
      <c r="C93" s="1"/>
      <c r="D93" s="1"/>
      <c r="E93" s="1"/>
      <c r="F93" s="1"/>
      <c r="G93" s="1"/>
      <c r="H93" s="1"/>
      <c r="I93" s="1"/>
      <c r="J93" s="1"/>
      <c r="K93" s="1"/>
      <c r="L93" s="1"/>
      <c r="M93" s="54"/>
      <c r="N93" s="1"/>
      <c r="O93" s="1"/>
      <c r="P93" s="1"/>
      <c r="Q93" s="1"/>
      <c r="R93" s="1"/>
      <c r="S93" s="1"/>
      <c r="T93" s="58"/>
      <c r="U93" s="1"/>
      <c r="V93" s="1"/>
      <c r="W93" s="1"/>
      <c r="X93" s="1"/>
      <c r="Y93" s="1"/>
      <c r="Z93" s="1"/>
      <c r="AA93" s="1"/>
      <c r="AB93" s="1"/>
      <c r="AC93" s="1"/>
      <c r="AD93" s="1"/>
      <c r="AE93" s="1"/>
      <c r="AF93" s="1"/>
      <c r="AG93" s="1"/>
      <c r="AH93" s="1"/>
      <c r="AI93" s="1"/>
    </row>
    <row r="94" spans="1:35" ht="12.75" customHeight="1">
      <c r="A94" s="1"/>
      <c r="B94" s="1"/>
      <c r="C94" s="1"/>
      <c r="D94" s="1"/>
      <c r="E94" s="1"/>
      <c r="F94" s="1"/>
      <c r="G94" s="1"/>
      <c r="H94" s="1"/>
      <c r="I94" s="1"/>
      <c r="J94" s="1"/>
      <c r="K94" s="1"/>
      <c r="L94" s="1"/>
      <c r="M94" s="54"/>
      <c r="N94" s="1"/>
      <c r="O94" s="1"/>
      <c r="P94" s="1"/>
      <c r="Q94" s="1"/>
      <c r="R94" s="1"/>
      <c r="S94" s="1"/>
      <c r="T94" s="58"/>
      <c r="U94" s="1"/>
      <c r="V94" s="1"/>
      <c r="W94" s="1"/>
      <c r="X94" s="1"/>
      <c r="Y94" s="1"/>
      <c r="Z94" s="1"/>
      <c r="AA94" s="1"/>
      <c r="AB94" s="1"/>
      <c r="AC94" s="1"/>
      <c r="AD94" s="1"/>
      <c r="AE94" s="1"/>
      <c r="AF94" s="1"/>
      <c r="AG94" s="1"/>
      <c r="AH94" s="1"/>
      <c r="AI94" s="1"/>
    </row>
    <row r="95" spans="1:35" ht="12.75" customHeight="1">
      <c r="A95" s="1"/>
      <c r="B95" s="1"/>
      <c r="C95" s="1"/>
      <c r="D95" s="1"/>
      <c r="E95" s="1"/>
      <c r="F95" s="1"/>
      <c r="G95" s="1"/>
      <c r="H95" s="1"/>
      <c r="I95" s="1"/>
      <c r="J95" s="1"/>
      <c r="K95" s="1"/>
      <c r="L95" s="1"/>
      <c r="M95" s="54"/>
      <c r="N95" s="1"/>
      <c r="O95" s="1"/>
      <c r="P95" s="1"/>
      <c r="Q95" s="1"/>
      <c r="R95" s="1"/>
      <c r="S95" s="1"/>
      <c r="T95" s="58"/>
      <c r="U95" s="1"/>
      <c r="V95" s="1"/>
      <c r="W95" s="1"/>
      <c r="X95" s="1"/>
      <c r="Y95" s="1"/>
      <c r="Z95" s="1"/>
      <c r="AA95" s="1"/>
      <c r="AB95" s="1"/>
      <c r="AC95" s="1"/>
      <c r="AD95" s="1"/>
      <c r="AE95" s="1"/>
      <c r="AF95" s="1"/>
      <c r="AG95" s="1"/>
      <c r="AH95" s="1"/>
      <c r="AI95" s="1"/>
    </row>
    <row r="96" spans="1:35" ht="12.75" customHeight="1">
      <c r="A96" s="1"/>
      <c r="B96" s="1"/>
      <c r="C96" s="1"/>
      <c r="D96" s="1"/>
      <c r="E96" s="1"/>
      <c r="F96" s="1"/>
      <c r="G96" s="1"/>
      <c r="H96" s="1"/>
      <c r="I96" s="1"/>
      <c r="J96" s="1"/>
      <c r="K96" s="1"/>
      <c r="L96" s="1"/>
      <c r="M96" s="54"/>
      <c r="N96" s="1"/>
      <c r="O96" s="1"/>
      <c r="P96" s="1"/>
      <c r="Q96" s="1"/>
      <c r="R96" s="1"/>
      <c r="S96" s="1"/>
      <c r="T96" s="58"/>
      <c r="U96" s="1"/>
      <c r="V96" s="1"/>
      <c r="W96" s="1"/>
      <c r="X96" s="1"/>
      <c r="Y96" s="1"/>
      <c r="Z96" s="1"/>
      <c r="AA96" s="1"/>
      <c r="AB96" s="1"/>
      <c r="AC96" s="1"/>
      <c r="AD96" s="1"/>
      <c r="AE96" s="1"/>
      <c r="AF96" s="1"/>
      <c r="AG96" s="1"/>
      <c r="AH96" s="1"/>
      <c r="AI96" s="1"/>
    </row>
    <row r="97" spans="1:35" ht="12.75" customHeight="1">
      <c r="A97" s="1"/>
      <c r="B97" s="1"/>
      <c r="C97" s="1"/>
      <c r="D97" s="1"/>
      <c r="E97" s="1"/>
      <c r="F97" s="1"/>
      <c r="G97" s="1"/>
      <c r="H97" s="1"/>
      <c r="I97" s="1"/>
      <c r="J97" s="1"/>
      <c r="K97" s="1"/>
      <c r="L97" s="1"/>
      <c r="M97" s="54"/>
      <c r="N97" s="1"/>
      <c r="O97" s="1"/>
      <c r="P97" s="1"/>
      <c r="Q97" s="1"/>
      <c r="R97" s="1"/>
      <c r="S97" s="1"/>
      <c r="T97" s="58"/>
      <c r="U97" s="1"/>
      <c r="V97" s="1"/>
      <c r="W97" s="1"/>
      <c r="X97" s="1"/>
      <c r="Y97" s="1"/>
      <c r="Z97" s="1"/>
      <c r="AA97" s="1"/>
      <c r="AB97" s="1"/>
      <c r="AC97" s="1"/>
      <c r="AD97" s="1"/>
      <c r="AE97" s="1"/>
      <c r="AF97" s="1"/>
      <c r="AG97" s="1"/>
      <c r="AH97" s="1"/>
      <c r="AI97" s="1"/>
    </row>
    <row r="98" spans="1:35" ht="12.75" customHeight="1">
      <c r="A98" s="1"/>
      <c r="B98" s="1"/>
      <c r="C98" s="1"/>
      <c r="D98" s="1"/>
      <c r="E98" s="1"/>
      <c r="F98" s="1"/>
      <c r="G98" s="1"/>
      <c r="H98" s="1"/>
      <c r="I98" s="1"/>
      <c r="J98" s="1"/>
      <c r="K98" s="1"/>
      <c r="L98" s="1"/>
      <c r="M98" s="54"/>
      <c r="N98" s="1"/>
      <c r="O98" s="1"/>
      <c r="P98" s="1"/>
      <c r="Q98" s="1"/>
      <c r="R98" s="1"/>
      <c r="S98" s="1"/>
      <c r="T98" s="58"/>
      <c r="U98" s="1"/>
      <c r="V98" s="1"/>
      <c r="W98" s="1"/>
      <c r="X98" s="1"/>
      <c r="Y98" s="1"/>
      <c r="Z98" s="1"/>
      <c r="AA98" s="1"/>
      <c r="AB98" s="1"/>
      <c r="AC98" s="1"/>
      <c r="AD98" s="1"/>
      <c r="AE98" s="1"/>
      <c r="AF98" s="1"/>
      <c r="AG98" s="1"/>
      <c r="AH98" s="1"/>
      <c r="AI98" s="1"/>
    </row>
    <row r="99" spans="1:35" ht="12.75" customHeight="1">
      <c r="A99" s="1"/>
      <c r="B99" s="1"/>
      <c r="C99" s="1"/>
      <c r="D99" s="1"/>
      <c r="E99" s="1"/>
      <c r="F99" s="1"/>
      <c r="G99" s="1"/>
      <c r="H99" s="1"/>
      <c r="I99" s="1"/>
      <c r="J99" s="1"/>
      <c r="K99" s="1"/>
      <c r="L99" s="1"/>
      <c r="M99" s="54"/>
      <c r="N99" s="1"/>
      <c r="O99" s="1"/>
      <c r="P99" s="1"/>
      <c r="Q99" s="1"/>
      <c r="R99" s="1"/>
      <c r="S99" s="1"/>
      <c r="T99" s="58"/>
      <c r="U99" s="1"/>
      <c r="V99" s="1"/>
      <c r="W99" s="1"/>
      <c r="X99" s="1"/>
      <c r="Y99" s="1"/>
      <c r="Z99" s="1"/>
      <c r="AA99" s="1"/>
      <c r="AB99" s="1"/>
      <c r="AC99" s="1"/>
      <c r="AD99" s="1"/>
      <c r="AE99" s="1"/>
      <c r="AF99" s="1"/>
      <c r="AG99" s="1"/>
      <c r="AH99" s="1"/>
      <c r="AI99" s="1"/>
    </row>
    <row r="100" spans="1:35" ht="12.75" customHeight="1">
      <c r="A100" s="1"/>
      <c r="B100" s="1"/>
      <c r="C100" s="1"/>
      <c r="D100" s="1"/>
      <c r="E100" s="1"/>
      <c r="F100" s="1"/>
      <c r="G100" s="1"/>
      <c r="H100" s="1"/>
      <c r="I100" s="1"/>
      <c r="J100" s="1"/>
      <c r="K100" s="1"/>
      <c r="L100" s="1"/>
      <c r="M100" s="54"/>
      <c r="N100" s="1"/>
      <c r="O100" s="1"/>
      <c r="P100" s="1"/>
      <c r="Q100" s="1"/>
      <c r="R100" s="1"/>
      <c r="S100" s="1"/>
      <c r="T100" s="58"/>
      <c r="U100" s="1"/>
      <c r="V100" s="1"/>
      <c r="W100" s="1"/>
      <c r="X100" s="1"/>
      <c r="Y100" s="1"/>
      <c r="Z100" s="1"/>
      <c r="AA100" s="1"/>
      <c r="AB100" s="1"/>
      <c r="AC100" s="1"/>
      <c r="AD100" s="1"/>
      <c r="AE100" s="1"/>
      <c r="AF100" s="1"/>
      <c r="AG100" s="1"/>
      <c r="AH100" s="1"/>
      <c r="AI100" s="1"/>
    </row>
    <row r="101" spans="1:35" ht="12.75" customHeight="1">
      <c r="A101" s="1"/>
      <c r="B101" s="1"/>
      <c r="C101" s="1"/>
      <c r="D101" s="1"/>
      <c r="E101" s="1"/>
      <c r="F101" s="1"/>
      <c r="G101" s="1"/>
      <c r="H101" s="1"/>
      <c r="I101" s="1"/>
      <c r="J101" s="1"/>
      <c r="K101" s="1"/>
      <c r="L101" s="1"/>
      <c r="M101" s="54"/>
      <c r="N101" s="1"/>
      <c r="O101" s="1"/>
      <c r="P101" s="1"/>
      <c r="Q101" s="1"/>
      <c r="R101" s="1"/>
      <c r="S101" s="1"/>
      <c r="T101" s="58"/>
      <c r="U101" s="1"/>
      <c r="V101" s="1"/>
      <c r="W101" s="1"/>
      <c r="X101" s="1"/>
      <c r="Y101" s="1"/>
      <c r="Z101" s="1"/>
      <c r="AA101" s="1"/>
      <c r="AB101" s="1"/>
      <c r="AC101" s="1"/>
      <c r="AD101" s="1"/>
      <c r="AE101" s="1"/>
      <c r="AF101" s="1"/>
      <c r="AG101" s="1"/>
      <c r="AH101" s="1"/>
      <c r="AI101" s="1"/>
    </row>
    <row r="102" spans="1:35" ht="12.75" customHeight="1">
      <c r="A102" s="1"/>
      <c r="B102" s="1"/>
      <c r="C102" s="1"/>
      <c r="D102" s="1"/>
      <c r="E102" s="1"/>
      <c r="F102" s="1"/>
      <c r="G102" s="1"/>
      <c r="H102" s="1"/>
      <c r="I102" s="1"/>
      <c r="J102" s="1"/>
      <c r="K102" s="1"/>
      <c r="L102" s="1"/>
      <c r="M102" s="54"/>
      <c r="N102" s="1"/>
      <c r="O102" s="1"/>
      <c r="P102" s="1"/>
      <c r="Q102" s="1"/>
      <c r="R102" s="1"/>
      <c r="S102" s="1"/>
      <c r="T102" s="58"/>
      <c r="U102" s="1"/>
      <c r="V102" s="1"/>
      <c r="W102" s="1"/>
      <c r="X102" s="1"/>
      <c r="Y102" s="1"/>
      <c r="Z102" s="1"/>
      <c r="AA102" s="1"/>
      <c r="AB102" s="1"/>
      <c r="AC102" s="1"/>
      <c r="AD102" s="1"/>
      <c r="AE102" s="1"/>
      <c r="AF102" s="1"/>
      <c r="AG102" s="1"/>
      <c r="AH102" s="1"/>
      <c r="AI102" s="1"/>
    </row>
    <row r="103" spans="1:35" ht="12.75" customHeight="1">
      <c r="A103" s="1"/>
      <c r="B103" s="1"/>
      <c r="C103" s="1"/>
      <c r="D103" s="1"/>
      <c r="E103" s="1"/>
      <c r="F103" s="1"/>
      <c r="G103" s="1"/>
      <c r="H103" s="1"/>
      <c r="I103" s="1"/>
      <c r="J103" s="1"/>
      <c r="K103" s="1"/>
      <c r="L103" s="1"/>
      <c r="M103" s="54"/>
      <c r="N103" s="1"/>
      <c r="O103" s="1"/>
      <c r="P103" s="1"/>
      <c r="Q103" s="1"/>
      <c r="R103" s="1"/>
      <c r="S103" s="1"/>
      <c r="T103" s="58"/>
      <c r="U103" s="1"/>
      <c r="V103" s="1"/>
      <c r="W103" s="1"/>
      <c r="X103" s="1"/>
      <c r="Y103" s="1"/>
      <c r="Z103" s="1"/>
      <c r="AA103" s="1"/>
      <c r="AB103" s="1"/>
      <c r="AC103" s="1"/>
      <c r="AD103" s="1"/>
      <c r="AE103" s="1"/>
      <c r="AF103" s="1"/>
      <c r="AG103" s="1"/>
      <c r="AH103" s="1"/>
      <c r="AI103" s="1"/>
    </row>
    <row r="104" spans="1:35" ht="12.75" customHeight="1">
      <c r="A104" s="1"/>
      <c r="B104" s="1"/>
      <c r="C104" s="1"/>
      <c r="D104" s="1"/>
      <c r="E104" s="1"/>
      <c r="F104" s="1"/>
      <c r="G104" s="1"/>
      <c r="H104" s="1"/>
      <c r="I104" s="1"/>
      <c r="J104" s="1"/>
      <c r="K104" s="1"/>
      <c r="L104" s="1"/>
      <c r="M104" s="54"/>
      <c r="N104" s="1"/>
      <c r="O104" s="1"/>
      <c r="P104" s="1"/>
      <c r="Q104" s="1"/>
      <c r="R104" s="1"/>
      <c r="S104" s="1"/>
      <c r="T104" s="58"/>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54"/>
      <c r="N105" s="1"/>
      <c r="O105" s="1"/>
      <c r="P105" s="1"/>
      <c r="Q105" s="1"/>
      <c r="R105" s="1"/>
      <c r="S105" s="1"/>
      <c r="T105" s="58"/>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54"/>
      <c r="N106" s="1"/>
      <c r="O106" s="1"/>
      <c r="P106" s="1"/>
      <c r="Q106" s="1"/>
      <c r="R106" s="1"/>
      <c r="S106" s="1"/>
      <c r="T106" s="58"/>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54"/>
      <c r="N107" s="1"/>
      <c r="O107" s="1"/>
      <c r="P107" s="1"/>
      <c r="Q107" s="1"/>
      <c r="R107" s="1"/>
      <c r="S107" s="1"/>
      <c r="T107" s="58"/>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54"/>
      <c r="N108" s="1"/>
      <c r="O108" s="1"/>
      <c r="P108" s="1"/>
      <c r="Q108" s="1"/>
      <c r="R108" s="1"/>
      <c r="S108" s="1"/>
      <c r="T108" s="58"/>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54"/>
      <c r="N109" s="1"/>
      <c r="O109" s="1"/>
      <c r="P109" s="1"/>
      <c r="Q109" s="1"/>
      <c r="R109" s="1"/>
      <c r="S109" s="1"/>
      <c r="T109" s="58"/>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54"/>
      <c r="N110" s="1"/>
      <c r="O110" s="1"/>
      <c r="P110" s="1"/>
      <c r="Q110" s="1"/>
      <c r="R110" s="1"/>
      <c r="S110" s="1"/>
      <c r="T110" s="58"/>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54"/>
      <c r="N111" s="1"/>
      <c r="O111" s="1"/>
      <c r="P111" s="1"/>
      <c r="Q111" s="1"/>
      <c r="R111" s="1"/>
      <c r="S111" s="1"/>
      <c r="T111" s="58"/>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54"/>
      <c r="N112" s="1"/>
      <c r="O112" s="1"/>
      <c r="P112" s="1"/>
      <c r="Q112" s="1"/>
      <c r="R112" s="1"/>
      <c r="S112" s="1"/>
      <c r="T112" s="58"/>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54"/>
      <c r="N113" s="1"/>
      <c r="O113" s="1"/>
      <c r="P113" s="1"/>
      <c r="Q113" s="1"/>
      <c r="R113" s="1"/>
      <c r="S113" s="1"/>
      <c r="T113" s="58"/>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54"/>
      <c r="N114" s="1"/>
      <c r="O114" s="1"/>
      <c r="P114" s="1"/>
      <c r="Q114" s="1"/>
      <c r="R114" s="1"/>
      <c r="S114" s="1"/>
      <c r="T114" s="58"/>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54"/>
      <c r="N115" s="1"/>
      <c r="O115" s="1"/>
      <c r="P115" s="1"/>
      <c r="Q115" s="1"/>
      <c r="R115" s="1"/>
      <c r="S115" s="1"/>
      <c r="T115" s="58"/>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54"/>
      <c r="N116" s="1"/>
      <c r="O116" s="1"/>
      <c r="P116" s="1"/>
      <c r="Q116" s="1"/>
      <c r="R116" s="1"/>
      <c r="S116" s="1"/>
      <c r="T116" s="58"/>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54"/>
      <c r="N117" s="1"/>
      <c r="O117" s="1"/>
      <c r="P117" s="1"/>
      <c r="Q117" s="1"/>
      <c r="R117" s="1"/>
      <c r="S117" s="1"/>
      <c r="T117" s="58"/>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54"/>
      <c r="N118" s="1"/>
      <c r="O118" s="1"/>
      <c r="P118" s="1"/>
      <c r="Q118" s="1"/>
      <c r="R118" s="1"/>
      <c r="S118" s="1"/>
      <c r="T118" s="58"/>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54"/>
      <c r="N119" s="1"/>
      <c r="O119" s="1"/>
      <c r="P119" s="1"/>
      <c r="Q119" s="1"/>
      <c r="R119" s="1"/>
      <c r="S119" s="1"/>
      <c r="T119" s="58"/>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54"/>
      <c r="N120" s="1"/>
      <c r="O120" s="1"/>
      <c r="P120" s="1"/>
      <c r="Q120" s="1"/>
      <c r="R120" s="1"/>
      <c r="S120" s="1"/>
      <c r="T120" s="58"/>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54"/>
      <c r="N121" s="1"/>
      <c r="S121" s="1"/>
      <c r="T121" s="58"/>
      <c r="U121" s="1"/>
      <c r="V121" s="1"/>
      <c r="W121" s="1"/>
      <c r="X121" s="1"/>
      <c r="Y121" s="1"/>
      <c r="Z121" s="1"/>
      <c r="AA121" s="1"/>
      <c r="AB121" s="1"/>
      <c r="AC121" s="1"/>
      <c r="AD121" s="1"/>
      <c r="AE121" s="1"/>
      <c r="AF121" s="1"/>
      <c r="AG121" s="1"/>
      <c r="AH121" s="1"/>
      <c r="AI121" s="1"/>
    </row>
  </sheetData>
  <phoneticPr fontId="8" type="noConversion"/>
  <hyperlinks>
    <hyperlink ref="R81" r:id="rId1"/>
    <hyperlink ref="AI81" r:id="rId2"/>
  </hyperlinks>
  <pageMargins left="0.75" right="0.5" top="0.5" bottom="0.55000000000000004" header="0.5" footer="0.5"/>
  <pageSetup orientation="portrait" verticalDpi="300" r:id="rId3"/>
  <headerFooter alignWithMargins="0">
    <oddFooter>&amp;LSREB Fact Book 1996/1997&amp;CDraft&amp;R&amp;D</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0"/>
  <sheetViews>
    <sheetView zoomScale="75" workbookViewId="0">
      <selection activeCell="F28" sqref="F28"/>
    </sheetView>
  </sheetViews>
  <sheetFormatPr defaultRowHeight="13.2"/>
  <sheetData>
    <row r="1" spans="1:22">
      <c r="A1" s="127"/>
      <c r="B1" s="110" t="s">
        <v>9</v>
      </c>
      <c r="C1" s="110" t="s">
        <v>10</v>
      </c>
      <c r="D1" s="110" t="s">
        <v>11</v>
      </c>
      <c r="E1" s="110" t="s">
        <v>12</v>
      </c>
      <c r="F1" s="110" t="s">
        <v>13</v>
      </c>
      <c r="G1" s="110" t="s">
        <v>14</v>
      </c>
      <c r="H1" s="110" t="s">
        <v>15</v>
      </c>
      <c r="I1" s="2" t="s">
        <v>16</v>
      </c>
      <c r="J1" s="2" t="s">
        <v>17</v>
      </c>
      <c r="K1" s="2" t="s">
        <v>18</v>
      </c>
      <c r="L1" s="2" t="s">
        <v>19</v>
      </c>
      <c r="M1" s="19" t="s">
        <v>195</v>
      </c>
      <c r="N1" s="19" t="s">
        <v>121</v>
      </c>
      <c r="O1" s="19" t="s">
        <v>122</v>
      </c>
      <c r="P1" s="100" t="s">
        <v>146</v>
      </c>
      <c r="Q1" s="101" t="s">
        <v>152</v>
      </c>
      <c r="R1" s="115" t="s">
        <v>159</v>
      </c>
    </row>
    <row r="2" spans="1:22">
      <c r="A2" s="1"/>
      <c r="B2" s="49"/>
      <c r="C2" s="49"/>
      <c r="D2" s="49"/>
      <c r="E2" s="49"/>
      <c r="F2" s="49"/>
      <c r="G2" s="49"/>
      <c r="H2" s="49"/>
      <c r="I2" s="1"/>
      <c r="J2" s="1"/>
      <c r="K2" s="1"/>
      <c r="L2" s="1"/>
      <c r="M2" s="65"/>
      <c r="N2" s="1"/>
      <c r="O2" s="1"/>
      <c r="P2" s="41"/>
      <c r="Q2" s="41"/>
      <c r="R2" s="116"/>
    </row>
    <row r="3" spans="1:22">
      <c r="A3" s="122" t="s">
        <v>20</v>
      </c>
      <c r="B3" s="3">
        <f>('College Work-Study'!B5*1000)/'College Work-Study'!S5</f>
        <v>869.35096311277334</v>
      </c>
      <c r="C3" s="3">
        <f>('College Work-Study'!C5*1000)/'College Work-Study'!T5</f>
        <v>676.5510049733</v>
      </c>
      <c r="D3" s="3">
        <f>('College Work-Study'!D5*1000)/'College Work-Study'!U5</f>
        <v>927.32477175311078</v>
      </c>
      <c r="E3" s="3">
        <f>('College Work-Study'!E5*1000)/'College Work-Study'!V5</f>
        <v>941.51819574023739</v>
      </c>
      <c r="F3" s="3">
        <f>('College Work-Study'!F5*1000)/'College Work-Study'!W5</f>
        <v>951.39510069037703</v>
      </c>
      <c r="G3" s="3">
        <f>('College Work-Study'!G5*1000)/'College Work-Study'!X5</f>
        <v>999.36898314194059</v>
      </c>
      <c r="H3" s="3">
        <f>('College Work-Study'!H5*1000)/'College Work-Study'!Y5</f>
        <v>1079.5101846912921</v>
      </c>
      <c r="I3" s="3">
        <f>('College Work-Study'!I5*1000)/'College Work-Study'!Z5</f>
        <v>1111.3375577118886</v>
      </c>
      <c r="J3" s="3">
        <f>('College Work-Study'!J5*1000)/'College Work-Study'!AA5</f>
        <v>1116.8575165172131</v>
      </c>
      <c r="K3" s="3">
        <f>('College Work-Study'!K5*1000)/'College Work-Study'!AB5</f>
        <v>1103.4913640825769</v>
      </c>
      <c r="L3" s="3">
        <f>('College Work-Study'!L5*1000)/'College Work-Study'!AC5</f>
        <v>1102.3209014362078</v>
      </c>
      <c r="M3" s="3">
        <f>('College Work-Study'!M5*1000)/'College Work-Study'!AD5</f>
        <v>1120.4886028483759</v>
      </c>
      <c r="N3" s="3">
        <f>('College Work-Study'!N5*1000)/'College Work-Study'!AE5</f>
        <v>1138.7840463989551</v>
      </c>
      <c r="O3" s="3">
        <f>('College Work-Study'!O5*1000)/'College Work-Study'!AF5</f>
        <v>1234.3299297694168</v>
      </c>
      <c r="P3" s="3">
        <f>('College Work-Study'!P5*1000)/'College Work-Study'!AG5</f>
        <v>1250.0021191130911</v>
      </c>
      <c r="Q3" s="3">
        <f>('College Work-Study'!Q5*1000)/'College Work-Study'!AH5</f>
        <v>1271.8294343402986</v>
      </c>
      <c r="R3" s="3">
        <f>('College Work-Study'!R5*1000)/'College Work-Study'!AI5</f>
        <v>1141.3166499177389</v>
      </c>
      <c r="S3" s="3"/>
      <c r="T3" s="3"/>
      <c r="U3" s="3"/>
      <c r="V3" s="3"/>
    </row>
    <row r="4" spans="1:22">
      <c r="A4" s="1" t="s">
        <v>21</v>
      </c>
      <c r="B4" s="3">
        <f>('College Work-Study'!B6*1000)/'College Work-Study'!S6</f>
        <v>846.85532321065318</v>
      </c>
      <c r="C4" s="3">
        <f>('College Work-Study'!C6*1000)/'College Work-Study'!T6</f>
        <v>677.05764737505945</v>
      </c>
      <c r="D4" s="3">
        <f>('College Work-Study'!D6*1000)/'College Work-Study'!U6</f>
        <v>908.54213050599765</v>
      </c>
      <c r="E4" s="3">
        <f>('College Work-Study'!E6*1000)/'College Work-Study'!V6</f>
        <v>916.18899543895736</v>
      </c>
      <c r="F4" s="3">
        <f>('College Work-Study'!F6*1000)/'College Work-Study'!W6</f>
        <v>901.57931537727222</v>
      </c>
      <c r="G4" s="3">
        <f>('College Work-Study'!G6*1000)/'College Work-Study'!X6</f>
        <v>921.35916391529906</v>
      </c>
      <c r="H4" s="3">
        <f>('College Work-Study'!H6*1000)/'College Work-Study'!Y6</f>
        <v>1014.3038789508287</v>
      </c>
      <c r="I4" s="3">
        <f>('College Work-Study'!I6*1000)/'College Work-Study'!Z6</f>
        <v>1069.5595965420732</v>
      </c>
      <c r="J4" s="3">
        <f>('College Work-Study'!J6*1000)/'College Work-Study'!AA6</f>
        <v>1071.2651683414381</v>
      </c>
      <c r="K4" s="3">
        <f>('College Work-Study'!K6*1000)/'College Work-Study'!AB6</f>
        <v>1088.8179768517809</v>
      </c>
      <c r="L4" s="3">
        <f>('College Work-Study'!L6*1000)/'College Work-Study'!AC6</f>
        <v>1074.1879997692868</v>
      </c>
      <c r="M4" s="3">
        <f>('College Work-Study'!M6*1000)/'College Work-Study'!AD6</f>
        <v>1091.3511354537691</v>
      </c>
      <c r="N4" s="3">
        <f>('College Work-Study'!N6*1000)/'College Work-Study'!AE6</f>
        <v>1109.0236534640637</v>
      </c>
      <c r="O4" s="3">
        <f>('College Work-Study'!O6*1000)/'College Work-Study'!AF6</f>
        <v>1217.7672678750805</v>
      </c>
      <c r="P4" s="3">
        <f>('College Work-Study'!P6*1000)/'College Work-Study'!AG6</f>
        <v>1244.9509542138567</v>
      </c>
      <c r="Q4" s="3">
        <f>('College Work-Study'!Q6*1000)/'College Work-Study'!AH6</f>
        <v>1231.2486147747352</v>
      </c>
      <c r="R4" s="3">
        <f>('College Work-Study'!R6*1000)/'College Work-Study'!AI6</f>
        <v>1292.2058347828743</v>
      </c>
      <c r="S4" s="3"/>
      <c r="T4" s="3"/>
      <c r="U4" s="3"/>
      <c r="V4" s="3"/>
    </row>
    <row r="5" spans="1:22">
      <c r="A5" s="1"/>
      <c r="B5" s="3"/>
      <c r="C5" s="3"/>
      <c r="D5" s="3"/>
      <c r="E5" s="3"/>
      <c r="F5" s="3"/>
      <c r="G5" s="3"/>
      <c r="H5" s="3"/>
      <c r="I5" s="3"/>
      <c r="J5" s="3"/>
      <c r="K5" s="3"/>
      <c r="L5" s="3"/>
      <c r="M5" s="3"/>
      <c r="N5" s="3"/>
      <c r="O5" s="3"/>
      <c r="P5" s="3"/>
      <c r="Q5" s="3"/>
      <c r="R5" s="3"/>
      <c r="S5" s="3"/>
      <c r="T5" s="3"/>
      <c r="U5" s="3"/>
      <c r="V5" s="3"/>
    </row>
    <row r="6" spans="1:22">
      <c r="A6" s="1"/>
      <c r="B6" s="3"/>
      <c r="C6" s="3"/>
      <c r="D6" s="3"/>
      <c r="E6" s="3"/>
      <c r="F6" s="3"/>
      <c r="G6" s="3"/>
      <c r="H6" s="3"/>
      <c r="I6" s="3"/>
      <c r="J6" s="3"/>
      <c r="K6" s="3"/>
      <c r="L6" s="3"/>
      <c r="M6" s="3"/>
      <c r="N6" s="3"/>
      <c r="O6" s="3"/>
      <c r="P6" s="3"/>
      <c r="Q6" s="3"/>
      <c r="R6" s="3"/>
      <c r="S6" s="3"/>
      <c r="T6" s="3"/>
      <c r="U6" s="3"/>
      <c r="V6" s="3"/>
    </row>
    <row r="7" spans="1:22">
      <c r="A7" s="1"/>
      <c r="B7" s="3"/>
      <c r="C7" s="3"/>
      <c r="D7" s="3"/>
      <c r="E7" s="3"/>
      <c r="F7" s="3"/>
      <c r="G7" s="3"/>
      <c r="H7" s="3"/>
      <c r="I7" s="3"/>
      <c r="J7" s="3"/>
      <c r="K7" s="3"/>
      <c r="L7" s="3"/>
      <c r="M7" s="3"/>
      <c r="N7" s="3"/>
      <c r="O7" s="3"/>
      <c r="P7" s="3"/>
      <c r="Q7" s="3"/>
      <c r="R7" s="3"/>
      <c r="S7" s="3"/>
      <c r="T7" s="3"/>
      <c r="U7" s="3"/>
      <c r="V7" s="3"/>
    </row>
    <row r="8" spans="1:22">
      <c r="A8" s="1" t="s">
        <v>24</v>
      </c>
      <c r="B8" s="3">
        <f>('College Work-Study'!B10*1000)/'College Work-Study'!S10</f>
        <v>836.72879641670283</v>
      </c>
      <c r="C8" s="3">
        <f>('College Work-Study'!C10*1000)/'College Work-Study'!T10</f>
        <v>676.32321603409548</v>
      </c>
      <c r="D8" s="3">
        <f>('College Work-Study'!D10*1000)/'College Work-Study'!U10</f>
        <v>944.92071921705485</v>
      </c>
      <c r="E8" s="3">
        <f>('College Work-Study'!E10*1000)/'College Work-Study'!V10</f>
        <v>943.17641464574422</v>
      </c>
      <c r="F8" s="3">
        <f>('College Work-Study'!F10*1000)/'College Work-Study'!W10</f>
        <v>921.7662586993041</v>
      </c>
      <c r="G8" s="3">
        <f>('College Work-Study'!G10*1000)/'College Work-Study'!X10</f>
        <v>935.05684472823543</v>
      </c>
      <c r="H8" s="3">
        <f>('College Work-Study'!H10*1000)/'College Work-Study'!Y10</f>
        <v>994.47602273637017</v>
      </c>
      <c r="I8" s="3">
        <f>('College Work-Study'!I10*1000)/'College Work-Study'!Z10</f>
        <v>1101.0666200384683</v>
      </c>
      <c r="J8" s="3">
        <f>('College Work-Study'!J10*1000)/'College Work-Study'!AA10</f>
        <v>1137.7013770137701</v>
      </c>
      <c r="K8" s="3">
        <f>('College Work-Study'!K10*1000)/'College Work-Study'!AB10</f>
        <v>1117.3495859309576</v>
      </c>
      <c r="L8" s="3">
        <f>('College Work-Study'!L10*1000)/'College Work-Study'!AC10</f>
        <v>1124.6880307319045</v>
      </c>
      <c r="M8" s="3">
        <f>('College Work-Study'!M10*1000)/'College Work-Study'!AD10</f>
        <v>1118.4926528599608</v>
      </c>
      <c r="N8" s="3">
        <f>('College Work-Study'!N10*1000)/'College Work-Study'!AE10</f>
        <v>1112.5930881786676</v>
      </c>
      <c r="O8" s="3">
        <f>('College Work-Study'!O10*1000)/'College Work-Study'!AF10</f>
        <v>1238.8858363265701</v>
      </c>
      <c r="P8" s="3">
        <f>('College Work-Study'!P10*1000)/'College Work-Study'!AG10</f>
        <v>1244.4397905759163</v>
      </c>
      <c r="Q8" s="3">
        <f>('College Work-Study'!Q10*1000)/'College Work-Study'!AH10</f>
        <v>1235.7312112367749</v>
      </c>
      <c r="R8" s="3">
        <f>('College Work-Study'!R10*1000)/'College Work-Study'!AI10</f>
        <v>1309.8988078735792</v>
      </c>
      <c r="S8" s="3"/>
      <c r="T8" s="3"/>
      <c r="U8" s="3"/>
      <c r="V8" s="3"/>
    </row>
    <row r="9" spans="1:22">
      <c r="A9" s="1" t="s">
        <v>25</v>
      </c>
      <c r="B9" s="3">
        <f>('College Work-Study'!B11*1000)/'College Work-Study'!S11</f>
        <v>800.56245605812046</v>
      </c>
      <c r="C9" s="3">
        <f>('College Work-Study'!C11*1000)/'College Work-Study'!T11</f>
        <v>675.54003927558369</v>
      </c>
      <c r="D9" s="3">
        <f>('College Work-Study'!D11*1000)/'College Work-Study'!U11</f>
        <v>806.44358751088441</v>
      </c>
      <c r="E9" s="3">
        <f>('College Work-Study'!E11*1000)/'College Work-Study'!V11</f>
        <v>825.7347836149039</v>
      </c>
      <c r="F9" s="3">
        <f>('College Work-Study'!F11*1000)/'College Work-Study'!W11</f>
        <v>866.12734864300626</v>
      </c>
      <c r="G9" s="3">
        <f>('College Work-Study'!G11*1000)/'College Work-Study'!X11</f>
        <v>764.6225460433111</v>
      </c>
      <c r="H9" s="3">
        <f>('College Work-Study'!H11*1000)/'College Work-Study'!Y11</f>
        <v>1014.167198468411</v>
      </c>
      <c r="I9" s="3">
        <f>('College Work-Study'!I11*1000)/'College Work-Study'!Z11</f>
        <v>1049.9326887773834</v>
      </c>
      <c r="J9" s="3">
        <f>('College Work-Study'!J11*1000)/'College Work-Study'!AA11</f>
        <v>1081.3550280074687</v>
      </c>
      <c r="K9" s="3">
        <f>('College Work-Study'!K11*1000)/'College Work-Study'!AB11</f>
        <v>1044.0731673389901</v>
      </c>
      <c r="L9" s="3">
        <f>('College Work-Study'!L11*1000)/'College Work-Study'!AC11</f>
        <v>1013.7779204107831</v>
      </c>
      <c r="M9" s="3">
        <f>('College Work-Study'!M11*1000)/'College Work-Study'!AD11</f>
        <v>1009.8760105888244</v>
      </c>
      <c r="N9" s="3">
        <f>('College Work-Study'!N11*1000)/'College Work-Study'!AE11</f>
        <v>1005.9488946310652</v>
      </c>
      <c r="O9" s="3">
        <f>('College Work-Study'!O11*1000)/'College Work-Study'!AF11</f>
        <v>1076.7503423719529</v>
      </c>
      <c r="P9" s="3">
        <f>('College Work-Study'!P11*1000)/'College Work-Study'!AG11</f>
        <v>1066.126441631505</v>
      </c>
      <c r="Q9" s="3">
        <f>('College Work-Study'!Q11*1000)/'College Work-Study'!AH11</f>
        <v>1103.215267831567</v>
      </c>
      <c r="R9" s="3">
        <f>('College Work-Study'!R11*1000)/'College Work-Study'!AI11</f>
        <v>1176.4945295404814</v>
      </c>
      <c r="S9" s="3"/>
      <c r="T9" s="3"/>
      <c r="U9" s="3"/>
      <c r="V9" s="3"/>
    </row>
    <row r="10" spans="1:22">
      <c r="A10" s="1" t="s">
        <v>120</v>
      </c>
      <c r="B10" s="3">
        <f>('College Work-Study'!B12*1000)/'College Work-Study'!S12</f>
        <v>750.38718362950999</v>
      </c>
      <c r="C10" s="3">
        <f>('College Work-Study'!C12*1000)/'College Work-Study'!T12</f>
        <v>752.57120402389182</v>
      </c>
      <c r="D10" s="3">
        <f>('College Work-Study'!D12*1000)/'College Work-Study'!U12</f>
        <v>755.63444108761325</v>
      </c>
      <c r="E10" s="3">
        <f>('College Work-Study'!E12*1000)/'College Work-Study'!V12</f>
        <v>747.96084828711253</v>
      </c>
      <c r="F10" s="3">
        <f>('College Work-Study'!F12*1000)/'College Work-Study'!W12</f>
        <v>795.01033834586462</v>
      </c>
      <c r="G10" s="3">
        <f>('College Work-Study'!G12*1000)/'College Work-Study'!X12</f>
        <v>811.44522968197884</v>
      </c>
      <c r="H10" s="3">
        <f>('College Work-Study'!H12*1000)/'College Work-Study'!Y12</f>
        <v>1029.2253258845437</v>
      </c>
      <c r="I10" s="3">
        <f>('College Work-Study'!I12*1000)/'College Work-Study'!Z12</f>
        <v>998.80145058930191</v>
      </c>
      <c r="J10" s="3">
        <f>('College Work-Study'!J12*1000)/'College Work-Study'!AA12</f>
        <v>1000.967074317968</v>
      </c>
      <c r="K10" s="3">
        <f>('College Work-Study'!K12*1000)/'College Work-Study'!AB12</f>
        <v>982.76510638297873</v>
      </c>
      <c r="L10" s="3">
        <f>('College Work-Study'!L12*1000)/'College Work-Study'!AC12</f>
        <v>932.35617597292719</v>
      </c>
      <c r="M10" s="3">
        <f>('College Work-Study'!M12*1000)/'College Work-Study'!AD12</f>
        <v>875.73646779928879</v>
      </c>
      <c r="N10" s="3">
        <f>('College Work-Study'!N12*1000)/'College Work-Study'!AE12</f>
        <v>826.12601927353592</v>
      </c>
      <c r="O10" s="3">
        <f>('College Work-Study'!O12*1000)/'College Work-Study'!AF12</f>
        <v>1016.5653225806452</v>
      </c>
      <c r="P10" s="3">
        <f>('College Work-Study'!P12*1000)/'College Work-Study'!AG12</f>
        <v>1311.6179775280898</v>
      </c>
      <c r="Q10" s="3">
        <f>('College Work-Study'!Q12*1000)/'College Work-Study'!AH12</f>
        <v>1319.9436795994993</v>
      </c>
      <c r="R10" s="3">
        <f>('College Work-Study'!R12*1000)/'College Work-Study'!AI12</f>
        <v>1069.1693895098883</v>
      </c>
      <c r="S10" s="3"/>
      <c r="T10" s="3"/>
      <c r="U10" s="3"/>
      <c r="V10" s="3"/>
    </row>
    <row r="11" spans="1:22">
      <c r="A11" s="1" t="s">
        <v>26</v>
      </c>
      <c r="B11" s="3">
        <f>('College Work-Study'!B13*1000)/'College Work-Study'!S13</f>
        <v>911.76172626886841</v>
      </c>
      <c r="C11" s="3">
        <f>('College Work-Study'!C13*1000)/'College Work-Study'!T13</f>
        <v>677.36212880833011</v>
      </c>
      <c r="D11" s="3">
        <f>('College Work-Study'!D13*1000)/'College Work-Study'!U13</f>
        <v>911.9519457849882</v>
      </c>
      <c r="E11" s="3">
        <f>('College Work-Study'!E13*1000)/'College Work-Study'!V13</f>
        <v>907.64626973480551</v>
      </c>
      <c r="F11" s="3">
        <f>('College Work-Study'!F13*1000)/'College Work-Study'!W13</f>
        <v>911.18714668253494</v>
      </c>
      <c r="G11" s="3">
        <f>('College Work-Study'!G13*1000)/'College Work-Study'!X13</f>
        <v>950.61418901980448</v>
      </c>
      <c r="H11" s="3">
        <f>('College Work-Study'!H13*1000)/'College Work-Study'!Y13</f>
        <v>1016.4655298773636</v>
      </c>
      <c r="I11" s="3">
        <f>('College Work-Study'!I13*1000)/'College Work-Study'!Z13</f>
        <v>1044.2043685427184</v>
      </c>
      <c r="J11" s="3">
        <f>('College Work-Study'!J13*1000)/'College Work-Study'!AA13</f>
        <v>1009.0226831941985</v>
      </c>
      <c r="K11" s="3">
        <f>('College Work-Study'!K13*1000)/'College Work-Study'!AB13</f>
        <v>1221.3806770336271</v>
      </c>
      <c r="L11" s="3">
        <f>('College Work-Study'!L13*1000)/'College Work-Study'!AC13</f>
        <v>1211.5835525947489</v>
      </c>
      <c r="M11" s="3">
        <f>('College Work-Study'!M13*1000)/'College Work-Study'!AD13</f>
        <v>1177.5015431677273</v>
      </c>
      <c r="N11" s="3">
        <f>('College Work-Study'!N13*1000)/'College Work-Study'!AE13</f>
        <v>1145.0318400000001</v>
      </c>
      <c r="O11" s="3">
        <f>('College Work-Study'!O13*1000)/'College Work-Study'!AF13</f>
        <v>1232.0612634421116</v>
      </c>
      <c r="P11" s="3">
        <f>('College Work-Study'!P13*1000)/'College Work-Study'!AG13</f>
        <v>1403.9430033961708</v>
      </c>
      <c r="Q11" s="3">
        <f>('College Work-Study'!Q13*1000)/'College Work-Study'!AH13</f>
        <v>1322.6269920971051</v>
      </c>
      <c r="R11" s="3">
        <f>('College Work-Study'!R13*1000)/'College Work-Study'!AI13</f>
        <v>1521.8869540119299</v>
      </c>
      <c r="S11" s="3"/>
      <c r="T11" s="3"/>
      <c r="U11" s="3"/>
      <c r="V11" s="3"/>
    </row>
    <row r="12" spans="1:22">
      <c r="A12" s="1" t="s">
        <v>27</v>
      </c>
      <c r="B12" s="3">
        <f>('College Work-Study'!B14*1000)/'College Work-Study'!S14</f>
        <v>847.07530647985993</v>
      </c>
      <c r="C12" s="3">
        <f>('College Work-Study'!C14*1000)/'College Work-Study'!T14</f>
        <v>680.60815929012017</v>
      </c>
      <c r="D12" s="3">
        <f>('College Work-Study'!D14*1000)/'College Work-Study'!U14</f>
        <v>878.40176183734468</v>
      </c>
      <c r="E12" s="3">
        <f>('College Work-Study'!E14*1000)/'College Work-Study'!V14</f>
        <v>895.54543976589173</v>
      </c>
      <c r="F12" s="3">
        <f>('College Work-Study'!F14*1000)/'College Work-Study'!W14</f>
        <v>882.11484948140651</v>
      </c>
      <c r="G12" s="3">
        <f>('College Work-Study'!G14*1000)/'College Work-Study'!X14</f>
        <v>940.93395035759363</v>
      </c>
      <c r="H12" s="3">
        <f>('College Work-Study'!H14*1000)/'College Work-Study'!Y14</f>
        <v>1087.696028711867</v>
      </c>
      <c r="I12" s="3">
        <f>('College Work-Study'!I14*1000)/'College Work-Study'!Z14</f>
        <v>1063.928481066037</v>
      </c>
      <c r="J12" s="3">
        <f>('College Work-Study'!J14*1000)/'College Work-Study'!AA14</f>
        <v>1032.5445995372099</v>
      </c>
      <c r="K12" s="3">
        <f>('College Work-Study'!K14*1000)/'College Work-Study'!AB14</f>
        <v>1077.6707495570449</v>
      </c>
      <c r="L12" s="3">
        <f>('College Work-Study'!L14*1000)/'College Work-Study'!AC14</f>
        <v>1020.926014840681</v>
      </c>
      <c r="M12" s="3">
        <f>('College Work-Study'!M14*1000)/'College Work-Study'!AD14</f>
        <v>1044.2216510903427</v>
      </c>
      <c r="N12" s="3">
        <f>('College Work-Study'!N14*1000)/'College Work-Study'!AE14</f>
        <v>1071.0543824367353</v>
      </c>
      <c r="O12" s="3">
        <f>('College Work-Study'!O14*1000)/'College Work-Study'!AF14</f>
        <v>1218.303049874417</v>
      </c>
      <c r="P12" s="3">
        <f>('College Work-Study'!P14*1000)/'College Work-Study'!AG14</f>
        <v>1311.3415485116175</v>
      </c>
      <c r="Q12" s="3">
        <f>('College Work-Study'!Q14*1000)/'College Work-Study'!AH14</f>
        <v>1252.2506691083252</v>
      </c>
      <c r="R12" s="3">
        <f>('College Work-Study'!R14*1000)/'College Work-Study'!AI14</f>
        <v>1330.6090849530465</v>
      </c>
      <c r="S12" s="3"/>
      <c r="T12" s="3"/>
      <c r="U12" s="3"/>
      <c r="V12" s="3"/>
    </row>
    <row r="13" spans="1:22">
      <c r="A13" s="1" t="s">
        <v>28</v>
      </c>
      <c r="B13" s="3">
        <f>('College Work-Study'!B15*1000)/'College Work-Study'!S15</f>
        <v>992.41001564945225</v>
      </c>
      <c r="C13" s="3">
        <f>('College Work-Study'!C15*1000)/'College Work-Study'!T15</f>
        <v>676.18172825549357</v>
      </c>
      <c r="D13" s="3">
        <f>('College Work-Study'!D15*1000)/'College Work-Study'!U15</f>
        <v>1067.7883837566737</v>
      </c>
      <c r="E13" s="3">
        <f>('College Work-Study'!E15*1000)/'College Work-Study'!V15</f>
        <v>1118.1998021760633</v>
      </c>
      <c r="F13" s="3">
        <f>('College Work-Study'!F15*1000)/'College Work-Study'!W15</f>
        <v>1106.7681007345225</v>
      </c>
      <c r="G13" s="3">
        <f>('College Work-Study'!G15*1000)/'College Work-Study'!X15</f>
        <v>1134.4812742143779</v>
      </c>
      <c r="H13" s="3">
        <f>('College Work-Study'!H15*1000)/'College Work-Study'!Y15</f>
        <v>1234.2588637334472</v>
      </c>
      <c r="I13" s="3">
        <f>('College Work-Study'!I15*1000)/'College Work-Study'!Z15</f>
        <v>1344.9007296792804</v>
      </c>
      <c r="J13" s="3">
        <f>('College Work-Study'!J15*1000)/'College Work-Study'!AA15</f>
        <v>1370.6829056111353</v>
      </c>
      <c r="K13" s="3">
        <f>('College Work-Study'!K15*1000)/'College Work-Study'!AB15</f>
        <v>1352.1582480281927</v>
      </c>
      <c r="L13" s="3">
        <f>('College Work-Study'!L15*1000)/'College Work-Study'!AC15</f>
        <v>1329.1073057396093</v>
      </c>
      <c r="M13" s="3">
        <f>('College Work-Study'!M15*1000)/'College Work-Study'!AD15</f>
        <v>1346.017078968219</v>
      </c>
      <c r="N13" s="3">
        <f>('College Work-Study'!N15*1000)/'College Work-Study'!AE15</f>
        <v>1363.7253311705867</v>
      </c>
      <c r="O13" s="3">
        <f>('College Work-Study'!O15*1000)/'College Work-Study'!AF15</f>
        <v>1433.708786969567</v>
      </c>
      <c r="P13" s="3">
        <f>('College Work-Study'!P15*1000)/'College Work-Study'!AG15</f>
        <v>1515.2375376973569</v>
      </c>
      <c r="Q13" s="3">
        <f>('College Work-Study'!Q15*1000)/'College Work-Study'!AH15</f>
        <v>1507.5254131864226</v>
      </c>
      <c r="R13" s="3">
        <f>('College Work-Study'!R15*1000)/'College Work-Study'!AI15</f>
        <v>1555.0603739982191</v>
      </c>
      <c r="S13" s="3"/>
      <c r="T13" s="3"/>
      <c r="U13" s="3"/>
      <c r="V13" s="3"/>
    </row>
    <row r="14" spans="1:22">
      <c r="A14" s="1" t="s">
        <v>29</v>
      </c>
      <c r="B14" s="3">
        <f>('College Work-Study'!B16*1000)/'College Work-Study'!S16</f>
        <v>781.3617653013024</v>
      </c>
      <c r="C14" s="3">
        <f>('College Work-Study'!C16*1880)/'College Work-Study'!T16</f>
        <v>1278.2206320810972</v>
      </c>
      <c r="D14" s="3">
        <f>('College Work-Study'!D16*1000)/'College Work-Study'!U16</f>
        <v>948.58984689766316</v>
      </c>
      <c r="E14" s="3">
        <f>('College Work-Study'!E16*1000)/'College Work-Study'!V16</f>
        <v>994.89539748953973</v>
      </c>
      <c r="F14" s="3">
        <f>('College Work-Study'!F16*1000)/'College Work-Study'!W16</f>
        <v>942.9463992107859</v>
      </c>
      <c r="G14" s="3">
        <f>('College Work-Study'!G16*1000)/'College Work-Study'!X16</f>
        <v>943.73587342589599</v>
      </c>
      <c r="H14" s="3">
        <f>('College Work-Study'!H16*1000)/'College Work-Study'!Y16</f>
        <v>968.95183254221456</v>
      </c>
      <c r="I14" s="3">
        <f>('College Work-Study'!I16*1000)/'College Work-Study'!Z16</f>
        <v>1030.1085883514313</v>
      </c>
      <c r="J14" s="3">
        <f>('College Work-Study'!J16*1000)/'College Work-Study'!AA16</f>
        <v>1016.0945968139267</v>
      </c>
      <c r="K14" s="3">
        <f>('College Work-Study'!K16*1000)/'College Work-Study'!AB16</f>
        <v>1006.4633195020747</v>
      </c>
      <c r="L14" s="3">
        <f>('College Work-Study'!L16*1000)/'College Work-Study'!AC16</f>
        <v>1057.7874823529412</v>
      </c>
      <c r="M14" s="3">
        <f>('College Work-Study'!M16*1000)/'College Work-Study'!AD16</f>
        <v>1073.0964481257897</v>
      </c>
      <c r="N14" s="3">
        <f>('College Work-Study'!N16*1000)/'College Work-Study'!AE16</f>
        <v>1088.2358525688755</v>
      </c>
      <c r="O14" s="3">
        <f>('College Work-Study'!O16*1000)/'College Work-Study'!AF16</f>
        <v>1133.6274390772699</v>
      </c>
      <c r="P14" s="3">
        <f>('College Work-Study'!P16*1000)/'College Work-Study'!AG16</f>
        <v>1195.2465460379713</v>
      </c>
      <c r="Q14" s="3">
        <f>('College Work-Study'!Q16*1000)/'College Work-Study'!AH16</f>
        <v>1163.0419757395932</v>
      </c>
      <c r="R14" s="3">
        <f>('College Work-Study'!R16*1000)/'College Work-Study'!AI16</f>
        <v>1222.453790813503</v>
      </c>
      <c r="S14" s="3"/>
      <c r="T14" s="3"/>
      <c r="U14" s="3"/>
      <c r="V14" s="3"/>
    </row>
    <row r="15" spans="1:22">
      <c r="A15" s="1" t="s">
        <v>30</v>
      </c>
      <c r="B15" s="3">
        <f>('College Work-Study'!B17*1000)/'College Work-Study'!S17</f>
        <v>1022.3833543505675</v>
      </c>
      <c r="C15" s="3">
        <f>('College Work-Study'!C17*1000)/'College Work-Study'!T17</f>
        <v>675.88668302476026</v>
      </c>
      <c r="D15" s="3">
        <f>('College Work-Study'!D17*1000)/'College Work-Study'!U17</f>
        <v>1062.0347394540943</v>
      </c>
      <c r="E15" s="3">
        <f>('College Work-Study'!E17*1000)/'College Work-Study'!V17</f>
        <v>1083.2202623247399</v>
      </c>
      <c r="F15" s="3">
        <f>('College Work-Study'!F17*1000)/'College Work-Study'!W17</f>
        <v>1080.5726455276858</v>
      </c>
      <c r="G15" s="3">
        <f>('College Work-Study'!G17*1000)/'College Work-Study'!X17</f>
        <v>1101.3925653124641</v>
      </c>
      <c r="H15" s="3">
        <f>('College Work-Study'!H17*1000)/'College Work-Study'!Y17</f>
        <v>1122.4904128129936</v>
      </c>
      <c r="I15" s="3">
        <f>('College Work-Study'!I17*1000)/'College Work-Study'!Z17</f>
        <v>1273.8424135263565</v>
      </c>
      <c r="J15" s="3">
        <f>('College Work-Study'!J17*1000)/'College Work-Study'!AA17</f>
        <v>1151.2666876905287</v>
      </c>
      <c r="K15" s="3">
        <f>('College Work-Study'!K17*1000)/'College Work-Study'!AB17</f>
        <v>1155.979076718698</v>
      </c>
      <c r="L15" s="3">
        <f>('College Work-Study'!L17*1000)/'College Work-Study'!AC17</f>
        <v>1156.3340432686919</v>
      </c>
      <c r="M15" s="3">
        <f>('College Work-Study'!M17*1000)/'College Work-Study'!AD17</f>
        <v>1193.7123751578465</v>
      </c>
      <c r="N15" s="3">
        <f>('College Work-Study'!N17*1000)/'College Work-Study'!AE17</f>
        <v>1232.9374191271615</v>
      </c>
      <c r="O15" s="3">
        <f>('College Work-Study'!O17*1000)/'College Work-Study'!AF17</f>
        <v>1328.3935389133626</v>
      </c>
      <c r="P15" s="3">
        <f>('College Work-Study'!P17*1000)/'College Work-Study'!AG17</f>
        <v>1376.6271518849424</v>
      </c>
      <c r="Q15" s="3">
        <f>('College Work-Study'!Q17*1000)/'College Work-Study'!AH17</f>
        <v>1401.8888760407031</v>
      </c>
      <c r="R15" s="3">
        <f>('College Work-Study'!R17*1000)/'College Work-Study'!AI17</f>
        <v>1418.6954035874439</v>
      </c>
      <c r="S15" s="3"/>
      <c r="T15" s="3"/>
      <c r="U15" s="3"/>
      <c r="V15" s="3"/>
    </row>
    <row r="16" spans="1:22">
      <c r="A16" s="1" t="s">
        <v>31</v>
      </c>
      <c r="B16" s="3">
        <f>('College Work-Study'!B18*1000)/'College Work-Study'!S18</f>
        <v>775.91228370738395</v>
      </c>
      <c r="C16" s="3">
        <f>('College Work-Study'!C18*1000)/'College Work-Study'!T18</f>
        <v>675.38233843117905</v>
      </c>
      <c r="D16" s="3">
        <f>('College Work-Study'!D18*1000)/'College Work-Study'!U18</f>
        <v>822.74274598800457</v>
      </c>
      <c r="E16" s="3">
        <f>('College Work-Study'!E18*1000)/'College Work-Study'!V18</f>
        <v>863.04274084124836</v>
      </c>
      <c r="F16" s="3">
        <f>('College Work-Study'!F18*1000)/'College Work-Study'!W18</f>
        <v>787.22521775197015</v>
      </c>
      <c r="G16" s="3">
        <f>('College Work-Study'!G18*1000)/'College Work-Study'!X18</f>
        <v>754.20426579163245</v>
      </c>
      <c r="H16" s="3">
        <f>('College Work-Study'!H18*1000)/'College Work-Study'!Y18</f>
        <v>857.21352019785661</v>
      </c>
      <c r="I16" s="3">
        <f>('College Work-Study'!I18*1000)/'College Work-Study'!Z18</f>
        <v>899.47229551451187</v>
      </c>
      <c r="J16" s="3">
        <f>('College Work-Study'!J18*1000)/'College Work-Study'!AA18</f>
        <v>953.40763749314817</v>
      </c>
      <c r="K16" s="3">
        <f>('College Work-Study'!K18*1000)/'College Work-Study'!AB18</f>
        <v>993.95363519779028</v>
      </c>
      <c r="L16" s="3">
        <f>('College Work-Study'!L18*1000)/'College Work-Study'!AC18</f>
        <v>970.79308312045589</v>
      </c>
      <c r="M16" s="3">
        <f>('College Work-Study'!M18*1000)/'College Work-Study'!AD18</f>
        <v>993.23432343234322</v>
      </c>
      <c r="N16" s="3">
        <f>('College Work-Study'!N18*1000)/'College Work-Study'!AE18</f>
        <v>1018.0234425873671</v>
      </c>
      <c r="O16" s="3">
        <f>('College Work-Study'!O18*1000)/'College Work-Study'!AF18</f>
        <v>1130.5032505595225</v>
      </c>
      <c r="P16" s="3">
        <f>('College Work-Study'!P18*1000)/'College Work-Study'!AG18</f>
        <v>1076.5751908396946</v>
      </c>
      <c r="Q16" s="3">
        <f>('College Work-Study'!Q18*1000)/'College Work-Study'!AH18</f>
        <v>1171.7719999999999</v>
      </c>
      <c r="R16" s="3">
        <f>('College Work-Study'!R18*1000)/'College Work-Study'!AI18</f>
        <v>1067.5652480128786</v>
      </c>
      <c r="S16" s="3"/>
      <c r="T16" s="3"/>
      <c r="U16" s="3"/>
      <c r="V16" s="3"/>
    </row>
    <row r="17" spans="1:22">
      <c r="A17" s="1" t="s">
        <v>32</v>
      </c>
      <c r="B17" s="3">
        <f>('College Work-Study'!B19*1000)/'College Work-Study'!S19</f>
        <v>652.88528389339513</v>
      </c>
      <c r="C17" s="3">
        <f>('College Work-Study'!C19*1000)/'College Work-Study'!T19</f>
        <v>675.26192196531792</v>
      </c>
      <c r="D17" s="3">
        <f>('College Work-Study'!D19*1000)/'College Work-Study'!U19</f>
        <v>745.59896951481323</v>
      </c>
      <c r="E17" s="3">
        <f>('College Work-Study'!E19*1000)/'College Work-Study'!V19</f>
        <v>762.52723311546845</v>
      </c>
      <c r="F17" s="3">
        <f>('College Work-Study'!F19*1000)/'College Work-Study'!W19</f>
        <v>764.42679024605536</v>
      </c>
      <c r="G17" s="3">
        <f>('College Work-Study'!G19*1000)/'College Work-Study'!X19</f>
        <v>775.40394009340275</v>
      </c>
      <c r="H17" s="3">
        <f>('College Work-Study'!H19*1000)/'College Work-Study'!Y19</f>
        <v>860.31417039380381</v>
      </c>
      <c r="I17" s="3">
        <f>('College Work-Study'!I19*1000)/'College Work-Study'!Z19</f>
        <v>906.74302397394865</v>
      </c>
      <c r="J17" s="3">
        <f>('College Work-Study'!J19*1000)/'College Work-Study'!AA19</f>
        <v>883.71461174808451</v>
      </c>
      <c r="K17" s="3">
        <f>('College Work-Study'!K19*1000)/'College Work-Study'!AB19</f>
        <v>875.20352010694</v>
      </c>
      <c r="L17" s="3">
        <f>('College Work-Study'!L19*1000)/'College Work-Study'!AC19</f>
        <v>811.5612788632327</v>
      </c>
      <c r="M17" s="3">
        <f>('College Work-Study'!M19*1000)/'College Work-Study'!AD19</f>
        <v>852.37807529465613</v>
      </c>
      <c r="N17" s="3">
        <f>('College Work-Study'!N19*1000)/'College Work-Study'!AE19</f>
        <v>895.7874852420307</v>
      </c>
      <c r="O17" s="3">
        <f>('College Work-Study'!O19*1000)/'College Work-Study'!AF19</f>
        <v>1016.156996976439</v>
      </c>
      <c r="P17" s="3">
        <f>('College Work-Study'!P19*1000)/'College Work-Study'!AG19</f>
        <v>1050.3503283980854</v>
      </c>
      <c r="Q17" s="3">
        <f>('College Work-Study'!Q19*1000)/'College Work-Study'!AH19</f>
        <v>1027.5239062414228</v>
      </c>
      <c r="R17" s="3">
        <f>('College Work-Study'!R19*1000)/'College Work-Study'!AI19</f>
        <v>1068.9560173731377</v>
      </c>
      <c r="S17" s="3"/>
      <c r="T17" s="3"/>
      <c r="U17" s="3"/>
      <c r="V17" s="3"/>
    </row>
    <row r="18" spans="1:22">
      <c r="A18" s="1" t="s">
        <v>33</v>
      </c>
      <c r="B18" s="3">
        <f>('College Work-Study'!B20*1000)/'College Work-Study'!S20</f>
        <v>792.01239075118929</v>
      </c>
      <c r="C18" s="3">
        <f>('College Work-Study'!C20*1000)/'College Work-Study'!T20</f>
        <v>675.22744503411673</v>
      </c>
      <c r="D18" s="3">
        <f>('College Work-Study'!D20*1000)/'College Work-Study'!U20</f>
        <v>859.25349922239502</v>
      </c>
      <c r="E18" s="3">
        <f>('College Work-Study'!E20*1000)/'College Work-Study'!V20</f>
        <v>806.96236850666958</v>
      </c>
      <c r="F18" s="3">
        <f>('College Work-Study'!F20*1000)/'College Work-Study'!W20</f>
        <v>827.93017456359098</v>
      </c>
      <c r="G18" s="3">
        <f>('College Work-Study'!G20*1000)/'College Work-Study'!X20</f>
        <v>857.20254883526582</v>
      </c>
      <c r="H18" s="3">
        <f>('College Work-Study'!H20*1000)/'College Work-Study'!Y20</f>
        <v>966.86220026757235</v>
      </c>
      <c r="I18" s="3">
        <f>('College Work-Study'!I20*1000)/'College Work-Study'!Z20</f>
        <v>1044.1256980181759</v>
      </c>
      <c r="J18" s="3">
        <f>('College Work-Study'!J20*1000)/'College Work-Study'!AA20</f>
        <v>1050.4061422054078</v>
      </c>
      <c r="K18" s="3">
        <f>('College Work-Study'!K20*1000)/'College Work-Study'!AB20</f>
        <v>1100.4218186051926</v>
      </c>
      <c r="L18" s="3">
        <f>('College Work-Study'!L20*1000)/'College Work-Study'!AC20</f>
        <v>1070.2844219924812</v>
      </c>
      <c r="M18" s="3">
        <f>('College Work-Study'!M20*1000)/'College Work-Study'!AD20</f>
        <v>1108.3075614940783</v>
      </c>
      <c r="N18" s="3">
        <f>('College Work-Study'!N20*1000)/'College Work-Study'!AE20</f>
        <v>1149.0032692065888</v>
      </c>
      <c r="O18" s="3">
        <f>('College Work-Study'!O20*1000)/'College Work-Study'!AF20</f>
        <v>1256.4564666103129</v>
      </c>
      <c r="P18" s="3">
        <f>('College Work-Study'!P20*1000)/'College Work-Study'!AG20</f>
        <v>1255.6275845583841</v>
      </c>
      <c r="Q18" s="3">
        <f>('College Work-Study'!Q20*1000)/'College Work-Study'!AH20</f>
        <v>1293.2709652900937</v>
      </c>
      <c r="R18" s="3">
        <f>('College Work-Study'!R20*1000)/'College Work-Study'!AI20</f>
        <v>1322.319188420141</v>
      </c>
      <c r="S18" s="3"/>
      <c r="T18" s="3"/>
      <c r="U18" s="3"/>
      <c r="V18" s="3"/>
    </row>
    <row r="19" spans="1:22">
      <c r="A19" s="1" t="s">
        <v>34</v>
      </c>
      <c r="B19" s="3">
        <f>('College Work-Study'!B21*1000)/'College Work-Study'!S21</f>
        <v>817.06024096385545</v>
      </c>
      <c r="C19" s="3">
        <f>('College Work-Study'!C21*1000)/'College Work-Study'!T21</f>
        <v>675.5162241887906</v>
      </c>
      <c r="D19" s="3">
        <f>('College Work-Study'!D21*1000)/'College Work-Study'!U21</f>
        <v>859.35717002662614</v>
      </c>
      <c r="E19" s="3">
        <f>('College Work-Study'!E21*1000)/'College Work-Study'!V21</f>
        <v>861.11373735463746</v>
      </c>
      <c r="F19" s="3">
        <f>('College Work-Study'!F21*1000)/'College Work-Study'!W21</f>
        <v>861.77215189873414</v>
      </c>
      <c r="G19" s="3">
        <f>('College Work-Study'!G21*1000)/'College Work-Study'!X21</f>
        <v>891.07838891294932</v>
      </c>
      <c r="H19" s="3">
        <f>('College Work-Study'!H21*1000)/'College Work-Study'!Y21</f>
        <v>1023.3557342734383</v>
      </c>
      <c r="I19" s="3">
        <f>('College Work-Study'!I21*1000)/'College Work-Study'!Z21</f>
        <v>956.57581096486683</v>
      </c>
      <c r="J19" s="3">
        <f>('College Work-Study'!J21*1000)/'College Work-Study'!AA21</f>
        <v>1042.9699842022117</v>
      </c>
      <c r="K19" s="3">
        <f>('College Work-Study'!K21*1000)/'College Work-Study'!AB21</f>
        <v>965.26000816993462</v>
      </c>
      <c r="L19" s="3">
        <f>('College Work-Study'!L21*1000)/'College Work-Study'!AC21</f>
        <v>946.4098480880042</v>
      </c>
      <c r="M19" s="3">
        <f>('College Work-Study'!M21*1000)/'College Work-Study'!AD21</f>
        <v>953.4768574587963</v>
      </c>
      <c r="N19" s="3">
        <f>('College Work-Study'!N21*1000)/'College Work-Study'!AE21</f>
        <v>960.61793351683252</v>
      </c>
      <c r="O19" s="3">
        <f>('College Work-Study'!O21*1000)/'College Work-Study'!AF21</f>
        <v>1332.0526098617702</v>
      </c>
      <c r="P19" s="3">
        <f>('College Work-Study'!P21*1000)/'College Work-Study'!AG21</f>
        <v>1095.0633340873105</v>
      </c>
      <c r="Q19" s="3">
        <f>('College Work-Study'!Q21*1000)/'College Work-Study'!AH21</f>
        <v>1071.8843141405589</v>
      </c>
      <c r="R19" s="3">
        <f>('College Work-Study'!R21*1000)/'College Work-Study'!AI21</f>
        <v>1114.2990704135057</v>
      </c>
      <c r="S19" s="3"/>
      <c r="T19" s="3"/>
      <c r="U19" s="3"/>
      <c r="V19" s="3"/>
    </row>
    <row r="20" spans="1:22">
      <c r="A20" s="1" t="s">
        <v>35</v>
      </c>
      <c r="B20" s="3">
        <f>('College Work-Study'!B22*1000)/'College Work-Study'!S22</f>
        <v>745.03154039205049</v>
      </c>
      <c r="C20" s="3">
        <f>('College Work-Study'!C22*1000)/'College Work-Study'!T22</f>
        <v>675.51568412059078</v>
      </c>
      <c r="D20" s="3">
        <f>('College Work-Study'!D22*1000)/'College Work-Study'!U22</f>
        <v>807.11009174311926</v>
      </c>
      <c r="E20" s="3">
        <f>('College Work-Study'!E22*1000)/'College Work-Study'!V22</f>
        <v>779.48717948717945</v>
      </c>
      <c r="F20" s="3">
        <f>('College Work-Study'!F22*1000)/'College Work-Study'!W22</f>
        <v>718.10215858089339</v>
      </c>
      <c r="G20" s="3">
        <f>('College Work-Study'!G22*1000)/'College Work-Study'!X22</f>
        <v>761.93054897448042</v>
      </c>
      <c r="H20" s="3">
        <f>('College Work-Study'!H22*1000)/'College Work-Study'!Y22</f>
        <v>942.70873118936674</v>
      </c>
      <c r="I20" s="3">
        <f>('College Work-Study'!I22*1000)/'College Work-Study'!Z22</f>
        <v>1021.3623538895606</v>
      </c>
      <c r="J20" s="3">
        <f>('College Work-Study'!J22*1000)/'College Work-Study'!AA22</f>
        <v>977.84981091301995</v>
      </c>
      <c r="K20" s="3">
        <f>('College Work-Study'!K22*1000)/'College Work-Study'!AB22</f>
        <v>1004.8157528957529</v>
      </c>
      <c r="L20" s="3">
        <f>('College Work-Study'!L22*1000)/'College Work-Study'!AC22</f>
        <v>995.80524085444949</v>
      </c>
      <c r="M20" s="3">
        <f>('College Work-Study'!M22*1000)/'College Work-Study'!AD22</f>
        <v>1022.5230695776727</v>
      </c>
      <c r="N20" s="3">
        <f>('College Work-Study'!N22*1000)/'College Work-Study'!AE22</f>
        <v>1049.4434471941443</v>
      </c>
      <c r="O20" s="3">
        <f>('College Work-Study'!O22*1000)/'College Work-Study'!AF22</f>
        <v>1147.0552865844136</v>
      </c>
      <c r="P20" s="3">
        <f>('College Work-Study'!P22*1000)/'College Work-Study'!AG22</f>
        <v>1185.361551508001</v>
      </c>
      <c r="Q20" s="3">
        <f>('College Work-Study'!Q22*1000)/'College Work-Study'!AH22</f>
        <v>1104.4091796112716</v>
      </c>
      <c r="R20" s="3">
        <f>('College Work-Study'!R22*1000)/'College Work-Study'!AI22</f>
        <v>1199.4897726408637</v>
      </c>
      <c r="S20" s="3"/>
      <c r="T20" s="3"/>
      <c r="U20" s="3"/>
      <c r="V20" s="3"/>
    </row>
    <row r="21" spans="1:22">
      <c r="A21" s="1" t="s">
        <v>36</v>
      </c>
      <c r="B21" s="3">
        <f>('College Work-Study'!B23*1000)/'College Work-Study'!S23</f>
        <v>1029.451482219793</v>
      </c>
      <c r="C21" s="3">
        <f>('College Work-Study'!C23*1000)/'College Work-Study'!T23</f>
        <v>676.6272250657936</v>
      </c>
      <c r="D21" s="3">
        <f>('College Work-Study'!D23*1000)/'College Work-Study'!U23</f>
        <v>1085.9519109413934</v>
      </c>
      <c r="E21" s="3">
        <f>('College Work-Study'!E23*1000)/'College Work-Study'!V23</f>
        <v>1083.9689742847029</v>
      </c>
      <c r="F21" s="3">
        <f>('College Work-Study'!F23*1000)/'College Work-Study'!W23</f>
        <v>1060.452087811869</v>
      </c>
      <c r="G21" s="3">
        <f>('College Work-Study'!G23*1000)/'College Work-Study'!X23</f>
        <v>1102.1107642188135</v>
      </c>
      <c r="H21" s="3">
        <f>('College Work-Study'!H23*1000)/'College Work-Study'!Y23</f>
        <v>1153.9651959700598</v>
      </c>
      <c r="I21" s="3">
        <f>('College Work-Study'!I23*1000)/'College Work-Study'!Z23</f>
        <v>1205.7971014492753</v>
      </c>
      <c r="J21" s="3">
        <f>('College Work-Study'!J23*1000)/'College Work-Study'!AA23</f>
        <v>1259.9445812807883</v>
      </c>
      <c r="K21" s="3">
        <f>('College Work-Study'!K23*1000)/'College Work-Study'!AB23</f>
        <v>1255.2035879484936</v>
      </c>
      <c r="L21" s="3">
        <f>('College Work-Study'!L23*1000)/'College Work-Study'!AC23</f>
        <v>1216.6083354739276</v>
      </c>
      <c r="M21" s="3">
        <f>('College Work-Study'!M23*1000)/'College Work-Study'!AD23</f>
        <v>1240.6237854516808</v>
      </c>
      <c r="N21" s="3">
        <f>('College Work-Study'!N23*1000)/'College Work-Study'!AE23</f>
        <v>1265.735831318829</v>
      </c>
      <c r="O21" s="3">
        <f>('College Work-Study'!O23*1000)/'College Work-Study'!AF23</f>
        <v>1312.8564644745095</v>
      </c>
      <c r="P21" s="3">
        <f>('College Work-Study'!P23*1000)/'College Work-Study'!AG23</f>
        <v>1337.5918246269764</v>
      </c>
      <c r="Q21" s="3">
        <f>('College Work-Study'!Q23*1000)/'College Work-Study'!AH23</f>
        <v>1354.7467858309333</v>
      </c>
      <c r="R21" s="3">
        <f>('College Work-Study'!R23*1000)/'College Work-Study'!AI23</f>
        <v>1419.7914800956878</v>
      </c>
      <c r="S21" s="3"/>
      <c r="T21" s="3"/>
      <c r="U21" s="3"/>
      <c r="V21" s="3"/>
    </row>
    <row r="22" spans="1:22">
      <c r="A22" s="1" t="s">
        <v>37</v>
      </c>
      <c r="B22" s="3">
        <f>('College Work-Study'!B24*1000)/'College Work-Study'!S24</f>
        <v>834.58385438377104</v>
      </c>
      <c r="C22" s="3">
        <f>('College Work-Study'!C24*1000)/'College Work-Study'!T24</f>
        <v>675.69117815762309</v>
      </c>
      <c r="D22" s="3">
        <f>('College Work-Study'!D24*1000)/'College Work-Study'!U24</f>
        <v>854.33832485491155</v>
      </c>
      <c r="E22" s="3">
        <f>('College Work-Study'!E24*1000)/'College Work-Study'!V24</f>
        <v>873.83911987426779</v>
      </c>
      <c r="F22" s="3">
        <f>('College Work-Study'!F24*1000)/'College Work-Study'!W24</f>
        <v>902.0958305561727</v>
      </c>
      <c r="G22" s="3">
        <f>('College Work-Study'!G24*1000)/'College Work-Study'!X24</f>
        <v>922.25315913471832</v>
      </c>
      <c r="H22" s="3">
        <f>('College Work-Study'!H24*1000)/'College Work-Study'!Y24</f>
        <v>955.01276478299872</v>
      </c>
      <c r="I22" s="3">
        <f>('College Work-Study'!I24*1000)/'College Work-Study'!Z24</f>
        <v>1004.2843656960279</v>
      </c>
      <c r="J22" s="3">
        <f>('College Work-Study'!J24*1000)/'College Work-Study'!AA24</f>
        <v>996.70555936856556</v>
      </c>
      <c r="K22" s="3">
        <f>('College Work-Study'!K24*1000)/'College Work-Study'!AB24</f>
        <v>961.24470619375336</v>
      </c>
      <c r="L22" s="3">
        <f>('College Work-Study'!L24*1000)/'College Work-Study'!AC24</f>
        <v>1035.2029497299543</v>
      </c>
      <c r="M22" s="3">
        <f>('College Work-Study'!M24*1000)/'College Work-Study'!AD24</f>
        <v>1062.2928217303261</v>
      </c>
      <c r="N22" s="3">
        <f>('College Work-Study'!N24*1000)/'College Work-Study'!AE24</f>
        <v>1089.844366197183</v>
      </c>
      <c r="O22" s="3">
        <f>('College Work-Study'!O24*1000)/'College Work-Study'!AF24</f>
        <v>1226.4218238911421</v>
      </c>
      <c r="P22" s="3">
        <f>('College Work-Study'!P24*1000)/'College Work-Study'!AG24</f>
        <v>1204.7049367769707</v>
      </c>
      <c r="Q22" s="3">
        <f>('College Work-Study'!Q24*1000)/'College Work-Study'!AH24</f>
        <v>1184.4325104861446</v>
      </c>
      <c r="R22" s="3">
        <f>('College Work-Study'!R24*1000)/'College Work-Study'!AI24</f>
        <v>1244.0634821304409</v>
      </c>
      <c r="S22" s="3"/>
      <c r="T22" s="3"/>
      <c r="U22" s="3"/>
      <c r="V22" s="3"/>
    </row>
    <row r="23" spans="1:22">
      <c r="A23" s="49" t="s">
        <v>38</v>
      </c>
      <c r="B23" s="174">
        <f>('College Work-Study'!B25*1000)/'College Work-Study'!S25</f>
        <v>672.9343220338983</v>
      </c>
      <c r="C23" s="174">
        <f>('College Work-Study'!C25*1000)/'College Work-Study'!T25</f>
        <v>675.12760380742168</v>
      </c>
      <c r="D23" s="174">
        <f>('College Work-Study'!D25*1000)/'College Work-Study'!U25</f>
        <v>724.48692718583072</v>
      </c>
      <c r="E23" s="174">
        <f>('College Work-Study'!E25*1000)/'College Work-Study'!V25</f>
        <v>711.38267197583411</v>
      </c>
      <c r="F23" s="174">
        <f>('College Work-Study'!F25*1000)/'College Work-Study'!W25</f>
        <v>685.82850840915353</v>
      </c>
      <c r="G23" s="174">
        <f>('College Work-Study'!G25*1000)/'College Work-Study'!X25</f>
        <v>740.22897749703907</v>
      </c>
      <c r="H23" s="174">
        <f>('College Work-Study'!H25*1000)/'College Work-Study'!Y25</f>
        <v>844.87304009990282</v>
      </c>
      <c r="I23" s="174">
        <f>('College Work-Study'!I25*1000)/'College Work-Study'!Z25</f>
        <v>916.91176470588232</v>
      </c>
      <c r="J23" s="174">
        <f>('College Work-Study'!J25*1000)/'College Work-Study'!AA25</f>
        <v>933.43442001516303</v>
      </c>
      <c r="K23" s="174">
        <f>('College Work-Study'!K25*1000)/'College Work-Study'!AB25</f>
        <v>902.49916729750191</v>
      </c>
      <c r="L23" s="174">
        <f>('College Work-Study'!L25*1000)/'College Work-Study'!AC25</f>
        <v>906.64600123992557</v>
      </c>
      <c r="M23" s="174">
        <f>('College Work-Study'!M25*1000)/'College Work-Study'!AD25</f>
        <v>931.20222806746108</v>
      </c>
      <c r="N23" s="174">
        <f>('College Work-Study'!N25*1000)/'College Work-Study'!AE25</f>
        <v>955.67500772320045</v>
      </c>
      <c r="O23" s="174">
        <f>('College Work-Study'!O25*1000)/'College Work-Study'!AF25</f>
        <v>1015.7834787842311</v>
      </c>
      <c r="P23" s="174">
        <f>('College Work-Study'!P25*1000)/'College Work-Study'!AG25</f>
        <v>984.1791512389633</v>
      </c>
      <c r="Q23" s="174">
        <f>('College Work-Study'!Q25*1000)/'College Work-Study'!AH25</f>
        <v>934.94775897892555</v>
      </c>
      <c r="R23" s="174">
        <f>('College Work-Study'!R25*1000)/'College Work-Study'!AI25</f>
        <v>941.27286608642544</v>
      </c>
      <c r="S23" s="3"/>
      <c r="T23" s="3"/>
      <c r="U23" s="3"/>
      <c r="V23" s="3"/>
    </row>
    <row r="24" spans="1:22">
      <c r="A24" s="1"/>
      <c r="B24" s="3"/>
      <c r="C24" s="3"/>
      <c r="D24" s="3"/>
      <c r="E24" s="3"/>
      <c r="F24" s="3"/>
      <c r="G24" s="3"/>
      <c r="H24" s="3"/>
      <c r="I24" s="3"/>
      <c r="J24" s="3"/>
      <c r="K24" s="3"/>
      <c r="L24" s="3"/>
      <c r="M24" s="3"/>
      <c r="N24" s="3"/>
      <c r="O24" s="3"/>
      <c r="P24" s="3"/>
      <c r="Q24" s="3"/>
      <c r="R24" s="3"/>
      <c r="S24" s="3"/>
      <c r="T24" s="3"/>
      <c r="U24" s="3"/>
      <c r="V24" s="3"/>
    </row>
    <row r="25" spans="1:22">
      <c r="A25" s="53" t="s">
        <v>160</v>
      </c>
      <c r="B25" s="3" t="e">
        <f>('College Work-Study'!B27*1000)/'College Work-Study'!S27</f>
        <v>#DIV/0!</v>
      </c>
      <c r="C25" s="3" t="e">
        <f>('College Work-Study'!C27*1000)/'College Work-Study'!T27</f>
        <v>#DIV/0!</v>
      </c>
      <c r="D25" s="3" t="e">
        <f>('College Work-Study'!D27*1000)/'College Work-Study'!U27</f>
        <v>#DIV/0!</v>
      </c>
      <c r="E25" s="3" t="e">
        <f>('College Work-Study'!E27*1000)/'College Work-Study'!V27</f>
        <v>#DIV/0!</v>
      </c>
      <c r="F25" s="3" t="e">
        <f>('College Work-Study'!F27*1000)/'College Work-Study'!W27</f>
        <v>#DIV/0!</v>
      </c>
      <c r="G25" s="3" t="e">
        <f>('College Work-Study'!G27*1000)/'College Work-Study'!X27</f>
        <v>#DIV/0!</v>
      </c>
      <c r="H25" s="3" t="e">
        <f>('College Work-Study'!H27*1000)/'College Work-Study'!Y27</f>
        <v>#DIV/0!</v>
      </c>
      <c r="I25" s="3" t="e">
        <f>('College Work-Study'!I27*1000)/'College Work-Study'!Z27</f>
        <v>#DIV/0!</v>
      </c>
      <c r="J25" s="3" t="e">
        <f>('College Work-Study'!J27*1000)/'College Work-Study'!AA27</f>
        <v>#DIV/0!</v>
      </c>
      <c r="K25" s="3" t="e">
        <f>('College Work-Study'!K27*1000)/'College Work-Study'!AB27</f>
        <v>#DIV/0!</v>
      </c>
      <c r="L25" s="3" t="e">
        <f>('College Work-Study'!L27*1000)/'College Work-Study'!AC27</f>
        <v>#DIV/0!</v>
      </c>
      <c r="M25" s="3" t="e">
        <f>('College Work-Study'!M27*1000)/'College Work-Study'!AD27</f>
        <v>#DIV/0!</v>
      </c>
      <c r="N25" s="3" t="e">
        <f>('College Work-Study'!N27*1000)/'College Work-Study'!AE27</f>
        <v>#DIV/0!</v>
      </c>
      <c r="O25" s="3" t="e">
        <f>('College Work-Study'!O27*1000)/'College Work-Study'!AF27</f>
        <v>#DIV/0!</v>
      </c>
      <c r="P25" s="3">
        <f>('College Work-Study'!P27*1000)/'College Work-Study'!AG27</f>
        <v>2306.9928400954655</v>
      </c>
      <c r="Q25" s="3">
        <f>('College Work-Study'!Q27*1000)/'College Work-Study'!AH27</f>
        <v>2458.9151376146788</v>
      </c>
      <c r="R25" s="3">
        <f>('College Work-Study'!R27*1000)/'College Work-Study'!AI27</f>
        <v>2179.797900262467</v>
      </c>
      <c r="S25" s="3"/>
      <c r="T25" s="3"/>
      <c r="U25" s="3"/>
      <c r="V25" s="3"/>
    </row>
    <row r="26" spans="1:22">
      <c r="A26" s="53" t="s">
        <v>161</v>
      </c>
      <c r="B26" s="3" t="e">
        <f>('College Work-Study'!B28*1000)/'College Work-Study'!S28</f>
        <v>#DIV/0!</v>
      </c>
      <c r="C26" s="3" t="e">
        <f>('College Work-Study'!C28*1000)/'College Work-Study'!T28</f>
        <v>#DIV/0!</v>
      </c>
      <c r="D26" s="3" t="e">
        <f>('College Work-Study'!D28*1000)/'College Work-Study'!U28</f>
        <v>#DIV/0!</v>
      </c>
      <c r="E26" s="3" t="e">
        <f>('College Work-Study'!E28*1000)/'College Work-Study'!V28</f>
        <v>#DIV/0!</v>
      </c>
      <c r="F26" s="3" t="e">
        <f>('College Work-Study'!F28*1000)/'College Work-Study'!W28</f>
        <v>#DIV/0!</v>
      </c>
      <c r="G26" s="3" t="e">
        <f>('College Work-Study'!G28*1000)/'College Work-Study'!X28</f>
        <v>#DIV/0!</v>
      </c>
      <c r="H26" s="3" t="e">
        <f>('College Work-Study'!H28*1000)/'College Work-Study'!Y28</f>
        <v>#DIV/0!</v>
      </c>
      <c r="I26" s="3" t="e">
        <f>('College Work-Study'!I28*1000)/'College Work-Study'!Z28</f>
        <v>#DIV/0!</v>
      </c>
      <c r="J26" s="3" t="e">
        <f>('College Work-Study'!J28*1000)/'College Work-Study'!AA28</f>
        <v>#DIV/0!</v>
      </c>
      <c r="K26" s="3" t="e">
        <f>('College Work-Study'!K28*1000)/'College Work-Study'!AB28</f>
        <v>#DIV/0!</v>
      </c>
      <c r="L26" s="3" t="e">
        <f>('College Work-Study'!L28*1000)/'College Work-Study'!AC28</f>
        <v>#DIV/0!</v>
      </c>
      <c r="M26" s="3" t="e">
        <f>('College Work-Study'!M28*1000)/'College Work-Study'!AD28</f>
        <v>#DIV/0!</v>
      </c>
      <c r="N26" s="3" t="e">
        <f>('College Work-Study'!N28*1000)/'College Work-Study'!AE28</f>
        <v>#DIV/0!</v>
      </c>
      <c r="O26" s="3" t="e">
        <f>('College Work-Study'!O28*1000)/'College Work-Study'!AF28</f>
        <v>#DIV/0!</v>
      </c>
      <c r="P26" s="3">
        <f>('College Work-Study'!P28*1000)/'College Work-Study'!AG28</f>
        <v>1658.4667736757624</v>
      </c>
      <c r="Q26" s="3">
        <f>('College Work-Study'!Q28*1000)/'College Work-Study'!AH28</f>
        <v>1475.3093268450932</v>
      </c>
      <c r="R26" s="3">
        <f>('College Work-Study'!R28*1000)/'College Work-Study'!AI28</f>
        <v>1736.3861115850536</v>
      </c>
      <c r="S26" s="3"/>
      <c r="T26" s="3"/>
      <c r="U26" s="3"/>
      <c r="V26" s="3"/>
    </row>
    <row r="27" spans="1:22">
      <c r="A27" s="53" t="s">
        <v>162</v>
      </c>
      <c r="B27" s="3" t="e">
        <f>('College Work-Study'!B29*1000)/'College Work-Study'!S29</f>
        <v>#DIV/0!</v>
      </c>
      <c r="C27" s="3" t="e">
        <f>('College Work-Study'!C29*1000)/'College Work-Study'!T29</f>
        <v>#DIV/0!</v>
      </c>
      <c r="D27" s="3" t="e">
        <f>('College Work-Study'!D29*1000)/'College Work-Study'!U29</f>
        <v>#DIV/0!</v>
      </c>
      <c r="E27" s="3" t="e">
        <f>('College Work-Study'!E29*1000)/'College Work-Study'!V29</f>
        <v>#DIV/0!</v>
      </c>
      <c r="F27" s="3" t="e">
        <f>('College Work-Study'!F29*1000)/'College Work-Study'!W29</f>
        <v>#DIV/0!</v>
      </c>
      <c r="G27" s="3" t="e">
        <f>('College Work-Study'!G29*1000)/'College Work-Study'!X29</f>
        <v>#DIV/0!</v>
      </c>
      <c r="H27" s="3" t="e">
        <f>('College Work-Study'!H29*1000)/'College Work-Study'!Y29</f>
        <v>#DIV/0!</v>
      </c>
      <c r="I27" s="3" t="e">
        <f>('College Work-Study'!I29*1000)/'College Work-Study'!Z29</f>
        <v>#DIV/0!</v>
      </c>
      <c r="J27" s="3" t="e">
        <f>('College Work-Study'!J29*1000)/'College Work-Study'!AA29</f>
        <v>#DIV/0!</v>
      </c>
      <c r="K27" s="3" t="e">
        <f>('College Work-Study'!K29*1000)/'College Work-Study'!AB29</f>
        <v>#DIV/0!</v>
      </c>
      <c r="L27" s="3" t="e">
        <f>('College Work-Study'!L29*1000)/'College Work-Study'!AC29</f>
        <v>#DIV/0!</v>
      </c>
      <c r="M27" s="3" t="e">
        <f>('College Work-Study'!M29*1000)/'College Work-Study'!AD29</f>
        <v>#DIV/0!</v>
      </c>
      <c r="N27" s="3" t="e">
        <f>('College Work-Study'!N29*1000)/'College Work-Study'!AE29</f>
        <v>#DIV/0!</v>
      </c>
      <c r="O27" s="3" t="e">
        <f>('College Work-Study'!O29*1000)/'College Work-Study'!AF29</f>
        <v>#DIV/0!</v>
      </c>
      <c r="P27" s="3">
        <f>('College Work-Study'!P29*1000)/'College Work-Study'!AG29</f>
        <v>1629.7911140365311</v>
      </c>
      <c r="Q27" s="3">
        <f>('College Work-Study'!Q29*1000)/'College Work-Study'!AH29</f>
        <v>1654.3372871628085</v>
      </c>
      <c r="R27" s="3">
        <f>('College Work-Study'!R29*1000)/'College Work-Study'!AI29</f>
        <v>1724.2298957947462</v>
      </c>
      <c r="S27" s="3"/>
      <c r="T27" s="3"/>
      <c r="U27" s="3"/>
      <c r="V27" s="3"/>
    </row>
    <row r="28" spans="1:22">
      <c r="A28" s="53" t="s">
        <v>163</v>
      </c>
      <c r="B28" s="3" t="e">
        <f>('College Work-Study'!B30*1000)/'College Work-Study'!S30</f>
        <v>#DIV/0!</v>
      </c>
      <c r="C28" s="3" t="e">
        <f>('College Work-Study'!C30*1000)/'College Work-Study'!T30</f>
        <v>#DIV/0!</v>
      </c>
      <c r="D28" s="3" t="e">
        <f>('College Work-Study'!D30*1000)/'College Work-Study'!U30</f>
        <v>#DIV/0!</v>
      </c>
      <c r="E28" s="3" t="e">
        <f>('College Work-Study'!E30*1000)/'College Work-Study'!V30</f>
        <v>#DIV/0!</v>
      </c>
      <c r="F28" s="3" t="e">
        <f>('College Work-Study'!F30*1000)/'College Work-Study'!W30</f>
        <v>#DIV/0!</v>
      </c>
      <c r="G28" s="3" t="e">
        <f>('College Work-Study'!G30*1000)/'College Work-Study'!X30</f>
        <v>#DIV/0!</v>
      </c>
      <c r="H28" s="3" t="e">
        <f>('College Work-Study'!H30*1000)/'College Work-Study'!Y30</f>
        <v>#DIV/0!</v>
      </c>
      <c r="I28" s="3" t="e">
        <f>('College Work-Study'!I30*1000)/'College Work-Study'!Z30</f>
        <v>#DIV/0!</v>
      </c>
      <c r="J28" s="3" t="e">
        <f>('College Work-Study'!J30*1000)/'College Work-Study'!AA30</f>
        <v>#DIV/0!</v>
      </c>
      <c r="K28" s="3" t="e">
        <f>('College Work-Study'!K30*1000)/'College Work-Study'!AB30</f>
        <v>#DIV/0!</v>
      </c>
      <c r="L28" s="3" t="e">
        <f>('College Work-Study'!L30*1000)/'College Work-Study'!AC30</f>
        <v>#DIV/0!</v>
      </c>
      <c r="M28" s="3" t="e">
        <f>('College Work-Study'!M30*1000)/'College Work-Study'!AD30</f>
        <v>#DIV/0!</v>
      </c>
      <c r="N28" s="3" t="e">
        <f>('College Work-Study'!N30*1000)/'College Work-Study'!AE30</f>
        <v>#DIV/0!</v>
      </c>
      <c r="O28" s="3" t="e">
        <f>('College Work-Study'!O30*1000)/'College Work-Study'!AF30</f>
        <v>#DIV/0!</v>
      </c>
      <c r="P28" s="3">
        <f>('College Work-Study'!P30*1000)/'College Work-Study'!AG30</f>
        <v>1533.9835631703579</v>
      </c>
      <c r="Q28" s="3">
        <f>('College Work-Study'!Q30*1000)/'College Work-Study'!AH30</f>
        <v>1572.9578454332552</v>
      </c>
      <c r="R28" s="3">
        <f>('College Work-Study'!R30*1000)/'College Work-Study'!AI30</f>
        <v>1681.9670893289642</v>
      </c>
      <c r="S28" s="3"/>
      <c r="T28" s="3"/>
      <c r="U28" s="3"/>
      <c r="V28" s="3"/>
    </row>
    <row r="29" spans="1:22">
      <c r="A29" s="53" t="s">
        <v>164</v>
      </c>
      <c r="B29" s="3" t="e">
        <f>('College Work-Study'!B31*1000)/'College Work-Study'!S31</f>
        <v>#DIV/0!</v>
      </c>
      <c r="C29" s="3" t="e">
        <f>('College Work-Study'!C31*1000)/'College Work-Study'!T31</f>
        <v>#DIV/0!</v>
      </c>
      <c r="D29" s="3" t="e">
        <f>('College Work-Study'!D31*1000)/'College Work-Study'!U31</f>
        <v>#DIV/0!</v>
      </c>
      <c r="E29" s="3" t="e">
        <f>('College Work-Study'!E31*1000)/'College Work-Study'!V31</f>
        <v>#DIV/0!</v>
      </c>
      <c r="F29" s="3" t="e">
        <f>('College Work-Study'!F31*1000)/'College Work-Study'!W31</f>
        <v>#DIV/0!</v>
      </c>
      <c r="G29" s="3" t="e">
        <f>('College Work-Study'!G31*1000)/'College Work-Study'!X31</f>
        <v>#DIV/0!</v>
      </c>
      <c r="H29" s="3" t="e">
        <f>('College Work-Study'!H31*1000)/'College Work-Study'!Y31</f>
        <v>#DIV/0!</v>
      </c>
      <c r="I29" s="3" t="e">
        <f>('College Work-Study'!I31*1000)/'College Work-Study'!Z31</f>
        <v>#DIV/0!</v>
      </c>
      <c r="J29" s="3" t="e">
        <f>('College Work-Study'!J31*1000)/'College Work-Study'!AA31</f>
        <v>#DIV/0!</v>
      </c>
      <c r="K29" s="3" t="e">
        <f>('College Work-Study'!K31*1000)/'College Work-Study'!AB31</f>
        <v>#DIV/0!</v>
      </c>
      <c r="L29" s="3" t="e">
        <f>('College Work-Study'!L31*1000)/'College Work-Study'!AC31</f>
        <v>#DIV/0!</v>
      </c>
      <c r="M29" s="3" t="e">
        <f>('College Work-Study'!M31*1000)/'College Work-Study'!AD31</f>
        <v>#DIV/0!</v>
      </c>
      <c r="N29" s="3" t="e">
        <f>('College Work-Study'!N31*1000)/'College Work-Study'!AE31</f>
        <v>#DIV/0!</v>
      </c>
      <c r="O29" s="3" t="e">
        <f>('College Work-Study'!O31*1000)/'College Work-Study'!AF31</f>
        <v>#DIV/0!</v>
      </c>
      <c r="P29" s="3">
        <f>('College Work-Study'!P31*1000)/'College Work-Study'!AG31</f>
        <v>1196.4262378246754</v>
      </c>
      <c r="Q29" s="3">
        <f>('College Work-Study'!Q31*1000)/'College Work-Study'!AH31</f>
        <v>1179.8870723584621</v>
      </c>
      <c r="R29" s="3">
        <f>('College Work-Study'!R31*1000)/'College Work-Study'!AI31</f>
        <v>1236.2304817275747</v>
      </c>
      <c r="S29" s="3"/>
      <c r="T29" s="3"/>
      <c r="U29" s="3"/>
      <c r="V29" s="3"/>
    </row>
    <row r="30" spans="1:22">
      <c r="A30" s="53" t="s">
        <v>166</v>
      </c>
      <c r="B30" s="3" t="e">
        <f>('College Work-Study'!B32*1000)/'College Work-Study'!S32</f>
        <v>#DIV/0!</v>
      </c>
      <c r="C30" s="3" t="e">
        <f>('College Work-Study'!C32*1000)/'College Work-Study'!T32</f>
        <v>#DIV/0!</v>
      </c>
      <c r="D30" s="3" t="e">
        <f>('College Work-Study'!D32*1000)/'College Work-Study'!U32</f>
        <v>#DIV/0!</v>
      </c>
      <c r="E30" s="3" t="e">
        <f>('College Work-Study'!E32*1000)/'College Work-Study'!V32</f>
        <v>#DIV/0!</v>
      </c>
      <c r="F30" s="3" t="e">
        <f>('College Work-Study'!F32*1000)/'College Work-Study'!W32</f>
        <v>#DIV/0!</v>
      </c>
      <c r="G30" s="3" t="e">
        <f>('College Work-Study'!G32*1000)/'College Work-Study'!X32</f>
        <v>#DIV/0!</v>
      </c>
      <c r="H30" s="3" t="e">
        <f>('College Work-Study'!H32*1000)/'College Work-Study'!Y32</f>
        <v>#DIV/0!</v>
      </c>
      <c r="I30" s="3" t="e">
        <f>('College Work-Study'!I32*1000)/'College Work-Study'!Z32</f>
        <v>#DIV/0!</v>
      </c>
      <c r="J30" s="3" t="e">
        <f>('College Work-Study'!J32*1000)/'College Work-Study'!AA32</f>
        <v>#DIV/0!</v>
      </c>
      <c r="K30" s="3" t="e">
        <f>('College Work-Study'!K32*1000)/'College Work-Study'!AB32</f>
        <v>#DIV/0!</v>
      </c>
      <c r="L30" s="3" t="e">
        <f>('College Work-Study'!L32*1000)/'College Work-Study'!AC32</f>
        <v>#DIV/0!</v>
      </c>
      <c r="M30" s="3" t="e">
        <f>('College Work-Study'!M32*1000)/'College Work-Study'!AD32</f>
        <v>#DIV/0!</v>
      </c>
      <c r="N30" s="3" t="e">
        <f>('College Work-Study'!N32*1000)/'College Work-Study'!AE32</f>
        <v>#DIV/0!</v>
      </c>
      <c r="O30" s="3" t="e">
        <f>('College Work-Study'!O32*1000)/'College Work-Study'!AF32</f>
        <v>#DIV/0!</v>
      </c>
      <c r="P30" s="3">
        <f>('College Work-Study'!P32*1000)/'College Work-Study'!AG32</f>
        <v>1408.153125</v>
      </c>
      <c r="Q30" s="3">
        <f>('College Work-Study'!Q32*1000)/'College Work-Study'!AH32</f>
        <v>1390.4826498422713</v>
      </c>
      <c r="R30" s="3">
        <f>('College Work-Study'!R32*1000)/'College Work-Study'!AI32</f>
        <v>1354.8376132930514</v>
      </c>
      <c r="S30" s="3"/>
      <c r="T30" s="3"/>
      <c r="U30" s="3"/>
      <c r="V30" s="3"/>
    </row>
    <row r="31" spans="1:22">
      <c r="A31" s="53" t="s">
        <v>167</v>
      </c>
      <c r="B31" s="3" t="e">
        <f>('College Work-Study'!B33*1000)/'College Work-Study'!S33</f>
        <v>#DIV/0!</v>
      </c>
      <c r="C31" s="3" t="e">
        <f>('College Work-Study'!C33*1000)/'College Work-Study'!T33</f>
        <v>#DIV/0!</v>
      </c>
      <c r="D31" s="3" t="e">
        <f>('College Work-Study'!D33*1000)/'College Work-Study'!U33</f>
        <v>#DIV/0!</v>
      </c>
      <c r="E31" s="3" t="e">
        <f>('College Work-Study'!E33*1000)/'College Work-Study'!V33</f>
        <v>#DIV/0!</v>
      </c>
      <c r="F31" s="3" t="e">
        <f>('College Work-Study'!F33*1000)/'College Work-Study'!W33</f>
        <v>#DIV/0!</v>
      </c>
      <c r="G31" s="3" t="e">
        <f>('College Work-Study'!G33*1000)/'College Work-Study'!X33</f>
        <v>#DIV/0!</v>
      </c>
      <c r="H31" s="3" t="e">
        <f>('College Work-Study'!H33*1000)/'College Work-Study'!Y33</f>
        <v>#DIV/0!</v>
      </c>
      <c r="I31" s="3" t="e">
        <f>('College Work-Study'!I33*1000)/'College Work-Study'!Z33</f>
        <v>#DIV/0!</v>
      </c>
      <c r="J31" s="3" t="e">
        <f>('College Work-Study'!J33*1000)/'College Work-Study'!AA33</f>
        <v>#DIV/0!</v>
      </c>
      <c r="K31" s="3" t="e">
        <f>('College Work-Study'!K33*1000)/'College Work-Study'!AB33</f>
        <v>#DIV/0!</v>
      </c>
      <c r="L31" s="3" t="e">
        <f>('College Work-Study'!L33*1000)/'College Work-Study'!AC33</f>
        <v>#DIV/0!</v>
      </c>
      <c r="M31" s="3" t="e">
        <f>('College Work-Study'!M33*1000)/'College Work-Study'!AD33</f>
        <v>#DIV/0!</v>
      </c>
      <c r="N31" s="3" t="e">
        <f>('College Work-Study'!N33*1000)/'College Work-Study'!AE33</f>
        <v>#DIV/0!</v>
      </c>
      <c r="O31" s="3" t="e">
        <f>('College Work-Study'!O33*1000)/'College Work-Study'!AF33</f>
        <v>#DIV/0!</v>
      </c>
      <c r="P31" s="3">
        <f>('College Work-Study'!P33*1000)/'College Work-Study'!AG33</f>
        <v>1038.0307179866766</v>
      </c>
      <c r="Q31" s="3">
        <f>('College Work-Study'!Q33*1000)/'College Work-Study'!AH33</f>
        <v>1108.6266932270917</v>
      </c>
      <c r="R31" s="3">
        <f>('College Work-Study'!R33*1000)/'College Work-Study'!AI33</f>
        <v>1067.7646592709984</v>
      </c>
      <c r="S31" s="3"/>
      <c r="T31" s="3"/>
      <c r="U31" s="3"/>
      <c r="V31" s="3"/>
    </row>
    <row r="32" spans="1:22">
      <c r="A32" s="53" t="s">
        <v>168</v>
      </c>
      <c r="B32" s="3" t="e">
        <f>('College Work-Study'!B34*1000)/'College Work-Study'!S34</f>
        <v>#DIV/0!</v>
      </c>
      <c r="C32" s="3" t="e">
        <f>('College Work-Study'!C34*1000)/'College Work-Study'!T34</f>
        <v>#DIV/0!</v>
      </c>
      <c r="D32" s="3" t="e">
        <f>('College Work-Study'!D34*1000)/'College Work-Study'!U34</f>
        <v>#DIV/0!</v>
      </c>
      <c r="E32" s="3" t="e">
        <f>('College Work-Study'!E34*1000)/'College Work-Study'!V34</f>
        <v>#DIV/0!</v>
      </c>
      <c r="F32" s="3" t="e">
        <f>('College Work-Study'!F34*1000)/'College Work-Study'!W34</f>
        <v>#DIV/0!</v>
      </c>
      <c r="G32" s="3" t="e">
        <f>('College Work-Study'!G34*1000)/'College Work-Study'!X34</f>
        <v>#DIV/0!</v>
      </c>
      <c r="H32" s="3" t="e">
        <f>('College Work-Study'!H34*1000)/'College Work-Study'!Y34</f>
        <v>#DIV/0!</v>
      </c>
      <c r="I32" s="3" t="e">
        <f>('College Work-Study'!I34*1000)/'College Work-Study'!Z34</f>
        <v>#DIV/0!</v>
      </c>
      <c r="J32" s="3" t="e">
        <f>('College Work-Study'!J34*1000)/'College Work-Study'!AA34</f>
        <v>#DIV/0!</v>
      </c>
      <c r="K32" s="3" t="e">
        <f>('College Work-Study'!K34*1000)/'College Work-Study'!AB34</f>
        <v>#DIV/0!</v>
      </c>
      <c r="L32" s="3" t="e">
        <f>('College Work-Study'!L34*1000)/'College Work-Study'!AC34</f>
        <v>#DIV/0!</v>
      </c>
      <c r="M32" s="3" t="e">
        <f>('College Work-Study'!M34*1000)/'College Work-Study'!AD34</f>
        <v>#DIV/0!</v>
      </c>
      <c r="N32" s="3" t="e">
        <f>('College Work-Study'!N34*1000)/'College Work-Study'!AE34</f>
        <v>#DIV/0!</v>
      </c>
      <c r="O32" s="3" t="e">
        <f>('College Work-Study'!O34*1000)/'College Work-Study'!AF34</f>
        <v>#DIV/0!</v>
      </c>
      <c r="P32" s="3">
        <f>('College Work-Study'!P34*1000)/'College Work-Study'!AG34</f>
        <v>1276.0540540540539</v>
      </c>
      <c r="Q32" s="3">
        <f>('College Work-Study'!Q34*1000)/'College Work-Study'!AH34</f>
        <v>1363.5269630715904</v>
      </c>
      <c r="R32" s="3">
        <f>('College Work-Study'!R34*1000)/'College Work-Study'!AI34</f>
        <v>1372.0012483164153</v>
      </c>
      <c r="S32" s="3"/>
      <c r="T32" s="3"/>
      <c r="U32" s="3"/>
      <c r="V32" s="3"/>
    </row>
    <row r="33" spans="1:22">
      <c r="A33" s="53" t="s">
        <v>169</v>
      </c>
      <c r="B33" s="3" t="e">
        <f>('College Work-Study'!B35*1000)/'College Work-Study'!S35</f>
        <v>#DIV/0!</v>
      </c>
      <c r="C33" s="3" t="e">
        <f>('College Work-Study'!C35*1000)/'College Work-Study'!T35</f>
        <v>#DIV/0!</v>
      </c>
      <c r="D33" s="3" t="e">
        <f>('College Work-Study'!D35*1000)/'College Work-Study'!U35</f>
        <v>#DIV/0!</v>
      </c>
      <c r="E33" s="3" t="e">
        <f>('College Work-Study'!E35*1000)/'College Work-Study'!V35</f>
        <v>#DIV/0!</v>
      </c>
      <c r="F33" s="3" t="e">
        <f>('College Work-Study'!F35*1000)/'College Work-Study'!W35</f>
        <v>#DIV/0!</v>
      </c>
      <c r="G33" s="3" t="e">
        <f>('College Work-Study'!G35*1000)/'College Work-Study'!X35</f>
        <v>#DIV/0!</v>
      </c>
      <c r="H33" s="3" t="e">
        <f>('College Work-Study'!H35*1000)/'College Work-Study'!Y35</f>
        <v>#DIV/0!</v>
      </c>
      <c r="I33" s="3" t="e">
        <f>('College Work-Study'!I35*1000)/'College Work-Study'!Z35</f>
        <v>#DIV/0!</v>
      </c>
      <c r="J33" s="3" t="e">
        <f>('College Work-Study'!J35*1000)/'College Work-Study'!AA35</f>
        <v>#DIV/0!</v>
      </c>
      <c r="K33" s="3" t="e">
        <f>('College Work-Study'!K35*1000)/'College Work-Study'!AB35</f>
        <v>#DIV/0!</v>
      </c>
      <c r="L33" s="3" t="e">
        <f>('College Work-Study'!L35*1000)/'College Work-Study'!AC35</f>
        <v>#DIV/0!</v>
      </c>
      <c r="M33" s="3" t="e">
        <f>('College Work-Study'!M35*1000)/'College Work-Study'!AD35</f>
        <v>#DIV/0!</v>
      </c>
      <c r="N33" s="3" t="e">
        <f>('College Work-Study'!N35*1000)/'College Work-Study'!AE35</f>
        <v>#DIV/0!</v>
      </c>
      <c r="O33" s="3" t="e">
        <f>('College Work-Study'!O35*1000)/'College Work-Study'!AF35</f>
        <v>#DIV/0!</v>
      </c>
      <c r="P33" s="3">
        <f>('College Work-Study'!P35*1000)/'College Work-Study'!AG35</f>
        <v>1138.2731722623157</v>
      </c>
      <c r="Q33" s="3">
        <f>('College Work-Study'!Q35*1000)/'College Work-Study'!AH35</f>
        <v>1180.9903407931433</v>
      </c>
      <c r="R33" s="3">
        <f>('College Work-Study'!R35*1000)/'College Work-Study'!AI35</f>
        <v>1191.7369340319763</v>
      </c>
      <c r="S33" s="3"/>
      <c r="T33" s="3"/>
      <c r="U33" s="3"/>
      <c r="V33" s="3"/>
    </row>
    <row r="34" spans="1:22">
      <c r="A34" s="53" t="s">
        <v>170</v>
      </c>
      <c r="B34" s="3" t="e">
        <f>('College Work-Study'!B36*1000)/'College Work-Study'!S36</f>
        <v>#DIV/0!</v>
      </c>
      <c r="C34" s="3" t="e">
        <f>('College Work-Study'!C36*1000)/'College Work-Study'!T36</f>
        <v>#DIV/0!</v>
      </c>
      <c r="D34" s="3" t="e">
        <f>('College Work-Study'!D36*1000)/'College Work-Study'!U36</f>
        <v>#DIV/0!</v>
      </c>
      <c r="E34" s="3" t="e">
        <f>('College Work-Study'!E36*1000)/'College Work-Study'!V36</f>
        <v>#DIV/0!</v>
      </c>
      <c r="F34" s="3" t="e">
        <f>('College Work-Study'!F36*1000)/'College Work-Study'!W36</f>
        <v>#DIV/0!</v>
      </c>
      <c r="G34" s="3" t="e">
        <f>('College Work-Study'!G36*1000)/'College Work-Study'!X36</f>
        <v>#DIV/0!</v>
      </c>
      <c r="H34" s="3" t="e">
        <f>('College Work-Study'!H36*1000)/'College Work-Study'!Y36</f>
        <v>#DIV/0!</v>
      </c>
      <c r="I34" s="3" t="e">
        <f>('College Work-Study'!I36*1000)/'College Work-Study'!Z36</f>
        <v>#DIV/0!</v>
      </c>
      <c r="J34" s="3" t="e">
        <f>('College Work-Study'!J36*1000)/'College Work-Study'!AA36</f>
        <v>#DIV/0!</v>
      </c>
      <c r="K34" s="3" t="e">
        <f>('College Work-Study'!K36*1000)/'College Work-Study'!AB36</f>
        <v>#DIV/0!</v>
      </c>
      <c r="L34" s="3" t="e">
        <f>('College Work-Study'!L36*1000)/'College Work-Study'!AC36</f>
        <v>#DIV/0!</v>
      </c>
      <c r="M34" s="3" t="e">
        <f>('College Work-Study'!M36*1000)/'College Work-Study'!AD36</f>
        <v>#DIV/0!</v>
      </c>
      <c r="N34" s="3" t="e">
        <f>('College Work-Study'!N36*1000)/'College Work-Study'!AE36</f>
        <v>#DIV/0!</v>
      </c>
      <c r="O34" s="3" t="e">
        <f>('College Work-Study'!O36*1000)/'College Work-Study'!AF36</f>
        <v>#DIV/0!</v>
      </c>
      <c r="P34" s="3">
        <f>('College Work-Study'!P36*1000)/'College Work-Study'!AG36</f>
        <v>1003.6284188171697</v>
      </c>
      <c r="Q34" s="3">
        <f>('College Work-Study'!Q36*1000)/'College Work-Study'!AH36</f>
        <v>1033.5166443850267</v>
      </c>
      <c r="R34" s="3">
        <f>('College Work-Study'!R36*1000)/'College Work-Study'!AI36</f>
        <v>1064.2927949544114</v>
      </c>
      <c r="S34" s="3"/>
      <c r="T34" s="3"/>
      <c r="U34" s="3"/>
      <c r="V34" s="3"/>
    </row>
    <row r="35" spans="1:22">
      <c r="A35" s="53" t="s">
        <v>171</v>
      </c>
      <c r="B35" s="3" t="e">
        <f>('College Work-Study'!B37*1000)/'College Work-Study'!S37</f>
        <v>#DIV/0!</v>
      </c>
      <c r="C35" s="3" t="e">
        <f>('College Work-Study'!C37*1000)/'College Work-Study'!T37</f>
        <v>#DIV/0!</v>
      </c>
      <c r="D35" s="3" t="e">
        <f>('College Work-Study'!D37*1000)/'College Work-Study'!U37</f>
        <v>#DIV/0!</v>
      </c>
      <c r="E35" s="3" t="e">
        <f>('College Work-Study'!E37*1000)/'College Work-Study'!V37</f>
        <v>#DIV/0!</v>
      </c>
      <c r="F35" s="3" t="e">
        <f>('College Work-Study'!F37*1000)/'College Work-Study'!W37</f>
        <v>#DIV/0!</v>
      </c>
      <c r="G35" s="3" t="e">
        <f>('College Work-Study'!G37*1000)/'College Work-Study'!X37</f>
        <v>#DIV/0!</v>
      </c>
      <c r="H35" s="3" t="e">
        <f>('College Work-Study'!H37*1000)/'College Work-Study'!Y37</f>
        <v>#DIV/0!</v>
      </c>
      <c r="I35" s="3" t="e">
        <f>('College Work-Study'!I37*1000)/'College Work-Study'!Z37</f>
        <v>#DIV/0!</v>
      </c>
      <c r="J35" s="3" t="e">
        <f>('College Work-Study'!J37*1000)/'College Work-Study'!AA37</f>
        <v>#DIV/0!</v>
      </c>
      <c r="K35" s="3" t="e">
        <f>('College Work-Study'!K37*1000)/'College Work-Study'!AB37</f>
        <v>#DIV/0!</v>
      </c>
      <c r="L35" s="3" t="e">
        <f>('College Work-Study'!L37*1000)/'College Work-Study'!AC37</f>
        <v>#DIV/0!</v>
      </c>
      <c r="M35" s="3" t="e">
        <f>('College Work-Study'!M37*1000)/'College Work-Study'!AD37</f>
        <v>#DIV/0!</v>
      </c>
      <c r="N35" s="3" t="e">
        <f>('College Work-Study'!N37*1000)/'College Work-Study'!AE37</f>
        <v>#DIV/0!</v>
      </c>
      <c r="O35" s="3" t="e">
        <f>('College Work-Study'!O37*1000)/'College Work-Study'!AF37</f>
        <v>#DIV/0!</v>
      </c>
      <c r="P35" s="3">
        <f>('College Work-Study'!P37*1000)/'College Work-Study'!AG37</f>
        <v>1133.6220242053464</v>
      </c>
      <c r="Q35" s="3">
        <f>('College Work-Study'!Q37*1000)/'College Work-Study'!AH37</f>
        <v>1086.4640338504937</v>
      </c>
      <c r="R35" s="3">
        <f>('College Work-Study'!R37*1000)/'College Work-Study'!AI37</f>
        <v>1156.9543902772089</v>
      </c>
      <c r="S35" s="3"/>
      <c r="T35" s="3"/>
      <c r="U35" s="3"/>
      <c r="V35" s="3"/>
    </row>
    <row r="36" spans="1:22">
      <c r="A36" s="53" t="s">
        <v>172</v>
      </c>
      <c r="B36" s="3" t="e">
        <f>('College Work-Study'!B38*1000)/'College Work-Study'!S38</f>
        <v>#DIV/0!</v>
      </c>
      <c r="C36" s="3" t="e">
        <f>('College Work-Study'!C38*1000)/'College Work-Study'!T38</f>
        <v>#DIV/0!</v>
      </c>
      <c r="D36" s="3" t="e">
        <f>('College Work-Study'!D38*1000)/'College Work-Study'!U38</f>
        <v>#DIV/0!</v>
      </c>
      <c r="E36" s="3" t="e">
        <f>('College Work-Study'!E38*1000)/'College Work-Study'!V38</f>
        <v>#DIV/0!</v>
      </c>
      <c r="F36" s="3" t="e">
        <f>('College Work-Study'!F38*1000)/'College Work-Study'!W38</f>
        <v>#DIV/0!</v>
      </c>
      <c r="G36" s="3" t="e">
        <f>('College Work-Study'!G38*1000)/'College Work-Study'!X38</f>
        <v>#DIV/0!</v>
      </c>
      <c r="H36" s="3" t="e">
        <f>('College Work-Study'!H38*1000)/'College Work-Study'!Y38</f>
        <v>#DIV/0!</v>
      </c>
      <c r="I36" s="3" t="e">
        <f>('College Work-Study'!I38*1000)/'College Work-Study'!Z38</f>
        <v>#DIV/0!</v>
      </c>
      <c r="J36" s="3" t="e">
        <f>('College Work-Study'!J38*1000)/'College Work-Study'!AA38</f>
        <v>#DIV/0!</v>
      </c>
      <c r="K36" s="3" t="e">
        <f>('College Work-Study'!K38*1000)/'College Work-Study'!AB38</f>
        <v>#DIV/0!</v>
      </c>
      <c r="L36" s="3" t="e">
        <f>('College Work-Study'!L38*1000)/'College Work-Study'!AC38</f>
        <v>#DIV/0!</v>
      </c>
      <c r="M36" s="3" t="e">
        <f>('College Work-Study'!M38*1000)/'College Work-Study'!AD38</f>
        <v>#DIV/0!</v>
      </c>
      <c r="N36" s="3" t="e">
        <f>('College Work-Study'!N38*1000)/'College Work-Study'!AE38</f>
        <v>#DIV/0!</v>
      </c>
      <c r="O36" s="3" t="e">
        <f>('College Work-Study'!O38*1000)/'College Work-Study'!AF38</f>
        <v>#DIV/0!</v>
      </c>
      <c r="P36" s="3">
        <f>('College Work-Study'!P38*1000)/'College Work-Study'!AG38</f>
        <v>1174.7978964185861</v>
      </c>
      <c r="Q36" s="3">
        <f>('College Work-Study'!Q38*1000)/'College Work-Study'!AH38</f>
        <v>1184.3433338006448</v>
      </c>
      <c r="R36" s="3">
        <f>('College Work-Study'!R38*1000)/'College Work-Study'!AI38</f>
        <v>1272.9523739309939</v>
      </c>
      <c r="S36" s="3"/>
      <c r="T36" s="3"/>
      <c r="U36" s="3"/>
      <c r="V36" s="3"/>
    </row>
    <row r="37" spans="1:22">
      <c r="A37" s="53" t="s">
        <v>173</v>
      </c>
      <c r="B37" s="3" t="e">
        <f>('College Work-Study'!B39*1000)/'College Work-Study'!S39</f>
        <v>#DIV/0!</v>
      </c>
      <c r="C37" s="3" t="e">
        <f>('College Work-Study'!C39*1000)/'College Work-Study'!T39</f>
        <v>#DIV/0!</v>
      </c>
      <c r="D37" s="3" t="e">
        <f>('College Work-Study'!D39*1000)/'College Work-Study'!U39</f>
        <v>#DIV/0!</v>
      </c>
      <c r="E37" s="3" t="e">
        <f>('College Work-Study'!E39*1000)/'College Work-Study'!V39</f>
        <v>#DIV/0!</v>
      </c>
      <c r="F37" s="3" t="e">
        <f>('College Work-Study'!F39*1000)/'College Work-Study'!W39</f>
        <v>#DIV/0!</v>
      </c>
      <c r="G37" s="3" t="e">
        <f>('College Work-Study'!G39*1000)/'College Work-Study'!X39</f>
        <v>#DIV/0!</v>
      </c>
      <c r="H37" s="3" t="e">
        <f>('College Work-Study'!H39*1000)/'College Work-Study'!Y39</f>
        <v>#DIV/0!</v>
      </c>
      <c r="I37" s="3" t="e">
        <f>('College Work-Study'!I39*1000)/'College Work-Study'!Z39</f>
        <v>#DIV/0!</v>
      </c>
      <c r="J37" s="3" t="e">
        <f>('College Work-Study'!J39*1000)/'College Work-Study'!AA39</f>
        <v>#DIV/0!</v>
      </c>
      <c r="K37" s="3" t="e">
        <f>('College Work-Study'!K39*1000)/'College Work-Study'!AB39</f>
        <v>#DIV/0!</v>
      </c>
      <c r="L37" s="3" t="e">
        <f>('College Work-Study'!L39*1000)/'College Work-Study'!AC39</f>
        <v>#DIV/0!</v>
      </c>
      <c r="M37" s="3" t="e">
        <f>('College Work-Study'!M39*1000)/'College Work-Study'!AD39</f>
        <v>#DIV/0!</v>
      </c>
      <c r="N37" s="3" t="e">
        <f>('College Work-Study'!N39*1000)/'College Work-Study'!AE39</f>
        <v>#DIV/0!</v>
      </c>
      <c r="O37" s="3" t="e">
        <f>('College Work-Study'!O39*1000)/'College Work-Study'!AF39</f>
        <v>#DIV/0!</v>
      </c>
      <c r="P37" s="3">
        <f>('College Work-Study'!P39*1000)/'College Work-Study'!AG39</f>
        <v>1253.2551737507877</v>
      </c>
      <c r="Q37" s="3">
        <f>('College Work-Study'!Q39*1000)/'College Work-Study'!AH39</f>
        <v>1257.0411010558068</v>
      </c>
      <c r="R37" s="3">
        <f>('College Work-Study'!R39*1000)/'College Work-Study'!AI39</f>
        <v>1358.0140060523286</v>
      </c>
      <c r="S37" s="3"/>
      <c r="T37" s="3"/>
      <c r="U37" s="3"/>
      <c r="V37" s="3"/>
    </row>
    <row r="38" spans="1:22">
      <c r="A38" s="53" t="s">
        <v>174</v>
      </c>
      <c r="B38" s="3" t="e">
        <f>('College Work-Study'!B40*1000)/'College Work-Study'!S40</f>
        <v>#DIV/0!</v>
      </c>
      <c r="C38" s="3" t="e">
        <f>('College Work-Study'!C40*1000)/'College Work-Study'!T40</f>
        <v>#DIV/0!</v>
      </c>
      <c r="D38" s="3" t="e">
        <f>('College Work-Study'!D40*1000)/'College Work-Study'!U40</f>
        <v>#DIV/0!</v>
      </c>
      <c r="E38" s="3" t="e">
        <f>('College Work-Study'!E40*1000)/'College Work-Study'!V40</f>
        <v>#DIV/0!</v>
      </c>
      <c r="F38" s="3" t="e">
        <f>('College Work-Study'!F40*1000)/'College Work-Study'!W40</f>
        <v>#DIV/0!</v>
      </c>
      <c r="G38" s="3" t="e">
        <f>('College Work-Study'!G40*1000)/'College Work-Study'!X40</f>
        <v>#DIV/0!</v>
      </c>
      <c r="H38" s="3" t="e">
        <f>('College Work-Study'!H40*1000)/'College Work-Study'!Y40</f>
        <v>#DIV/0!</v>
      </c>
      <c r="I38" s="3" t="e">
        <f>('College Work-Study'!I40*1000)/'College Work-Study'!Z40</f>
        <v>#DIV/0!</v>
      </c>
      <c r="J38" s="3" t="e">
        <f>('College Work-Study'!J40*1000)/'College Work-Study'!AA40</f>
        <v>#DIV/0!</v>
      </c>
      <c r="K38" s="3" t="e">
        <f>('College Work-Study'!K40*1000)/'College Work-Study'!AB40</f>
        <v>#DIV/0!</v>
      </c>
      <c r="L38" s="3" t="e">
        <f>('College Work-Study'!L40*1000)/'College Work-Study'!AC40</f>
        <v>#DIV/0!</v>
      </c>
      <c r="M38" s="3" t="e">
        <f>('College Work-Study'!M40*1000)/'College Work-Study'!AD40</f>
        <v>#DIV/0!</v>
      </c>
      <c r="N38" s="3" t="e">
        <f>('College Work-Study'!N40*1000)/'College Work-Study'!AE40</f>
        <v>#DIV/0!</v>
      </c>
      <c r="O38" s="3" t="e">
        <f>('College Work-Study'!O40*1000)/'College Work-Study'!AF40</f>
        <v>#DIV/0!</v>
      </c>
      <c r="P38" s="3">
        <f>('College Work-Study'!P40*1000)/'College Work-Study'!AG40</f>
        <v>1241.9024658319793</v>
      </c>
      <c r="Q38" s="3">
        <f>('College Work-Study'!Q40*1000)/'College Work-Study'!AH40</f>
        <v>1263.1554962435746</v>
      </c>
      <c r="R38" s="3">
        <f>('College Work-Study'!R40*1000)/'College Work-Study'!AI40</f>
        <v>1321.6555402250053</v>
      </c>
      <c r="S38" s="3"/>
      <c r="T38" s="3"/>
      <c r="U38" s="3"/>
      <c r="V38" s="3"/>
    </row>
    <row r="39" spans="1:22">
      <c r="A39" s="53" t="s">
        <v>175</v>
      </c>
      <c r="B39" s="3" t="e">
        <f>('College Work-Study'!B41*1000)/'College Work-Study'!S41</f>
        <v>#DIV/0!</v>
      </c>
      <c r="C39" s="3" t="e">
        <f>('College Work-Study'!C41*1000)/'College Work-Study'!T41</f>
        <v>#DIV/0!</v>
      </c>
      <c r="D39" s="3" t="e">
        <f>('College Work-Study'!D41*1000)/'College Work-Study'!U41</f>
        <v>#DIV/0!</v>
      </c>
      <c r="E39" s="3" t="e">
        <f>('College Work-Study'!E41*1000)/'College Work-Study'!V41</f>
        <v>#DIV/0!</v>
      </c>
      <c r="F39" s="3" t="e">
        <f>('College Work-Study'!F41*1000)/'College Work-Study'!W41</f>
        <v>#DIV/0!</v>
      </c>
      <c r="G39" s="3" t="e">
        <f>('College Work-Study'!G41*1000)/'College Work-Study'!X41</f>
        <v>#DIV/0!</v>
      </c>
      <c r="H39" s="3" t="e">
        <f>('College Work-Study'!H41*1000)/'College Work-Study'!Y41</f>
        <v>#DIV/0!</v>
      </c>
      <c r="I39" s="3" t="e">
        <f>('College Work-Study'!I41*1000)/'College Work-Study'!Z41</f>
        <v>#DIV/0!</v>
      </c>
      <c r="J39" s="3" t="e">
        <f>('College Work-Study'!J41*1000)/'College Work-Study'!AA41</f>
        <v>#DIV/0!</v>
      </c>
      <c r="K39" s="3" t="e">
        <f>('College Work-Study'!K41*1000)/'College Work-Study'!AB41</f>
        <v>#DIV/0!</v>
      </c>
      <c r="L39" s="3" t="e">
        <f>('College Work-Study'!L41*1000)/'College Work-Study'!AC41</f>
        <v>#DIV/0!</v>
      </c>
      <c r="M39" s="3" t="e">
        <f>('College Work-Study'!M41*1000)/'College Work-Study'!AD41</f>
        <v>#DIV/0!</v>
      </c>
      <c r="N39" s="3" t="e">
        <f>('College Work-Study'!N41*1000)/'College Work-Study'!AE41</f>
        <v>#DIV/0!</v>
      </c>
      <c r="O39" s="3" t="e">
        <f>('College Work-Study'!O41*1000)/'College Work-Study'!AF41</f>
        <v>#DIV/0!</v>
      </c>
      <c r="P39" s="3">
        <f>('College Work-Study'!P41*1000)/'College Work-Study'!AG41</f>
        <v>1046.0748916042569</v>
      </c>
      <c r="Q39" s="3">
        <f>('College Work-Study'!Q41*1000)/'College Work-Study'!AH41</f>
        <v>1261.3806751230331</v>
      </c>
      <c r="R39" s="3">
        <f>('College Work-Study'!R41*1000)/'College Work-Study'!AI41</f>
        <v>1338.5188141391106</v>
      </c>
      <c r="S39" s="3"/>
      <c r="T39" s="3"/>
      <c r="U39" s="3"/>
      <c r="V39" s="3"/>
    </row>
    <row r="40" spans="1:22">
      <c r="A40" s="53" t="s">
        <v>176</v>
      </c>
      <c r="B40" s="3" t="e">
        <f>('College Work-Study'!B42*1000)/'College Work-Study'!S42</f>
        <v>#DIV/0!</v>
      </c>
      <c r="C40" s="3" t="e">
        <f>('College Work-Study'!C42*1000)/'College Work-Study'!T42</f>
        <v>#DIV/0!</v>
      </c>
      <c r="D40" s="3" t="e">
        <f>('College Work-Study'!D42*1000)/'College Work-Study'!U42</f>
        <v>#DIV/0!</v>
      </c>
      <c r="E40" s="3" t="e">
        <f>('College Work-Study'!E42*1000)/'College Work-Study'!V42</f>
        <v>#DIV/0!</v>
      </c>
      <c r="F40" s="3" t="e">
        <f>('College Work-Study'!F42*1000)/'College Work-Study'!W42</f>
        <v>#DIV/0!</v>
      </c>
      <c r="G40" s="3" t="e">
        <f>('College Work-Study'!G42*1000)/'College Work-Study'!X42</f>
        <v>#DIV/0!</v>
      </c>
      <c r="H40" s="3" t="e">
        <f>('College Work-Study'!H42*1000)/'College Work-Study'!Y42</f>
        <v>#DIV/0!</v>
      </c>
      <c r="I40" s="3" t="e">
        <f>('College Work-Study'!I42*1000)/'College Work-Study'!Z42</f>
        <v>#DIV/0!</v>
      </c>
      <c r="J40" s="3" t="e">
        <f>('College Work-Study'!J42*1000)/'College Work-Study'!AA42</f>
        <v>#DIV/0!</v>
      </c>
      <c r="K40" s="3" t="e">
        <f>('College Work-Study'!K42*1000)/'College Work-Study'!AB42</f>
        <v>#DIV/0!</v>
      </c>
      <c r="L40" s="3" t="e">
        <f>('College Work-Study'!L42*1000)/'College Work-Study'!AC42</f>
        <v>#DIV/0!</v>
      </c>
      <c r="M40" s="3" t="e">
        <f>('College Work-Study'!M42*1000)/'College Work-Study'!AD42</f>
        <v>#DIV/0!</v>
      </c>
      <c r="N40" s="3" t="e">
        <f>('College Work-Study'!N42*1000)/'College Work-Study'!AE42</f>
        <v>#DIV/0!</v>
      </c>
      <c r="O40" s="3" t="e">
        <f>('College Work-Study'!O42*1000)/'College Work-Study'!AF42</f>
        <v>#DIV/0!</v>
      </c>
      <c r="P40" s="3">
        <f>('College Work-Study'!P42*1000)/'College Work-Study'!AG42</f>
        <v>1289.2638412865806</v>
      </c>
      <c r="Q40" s="3">
        <f>('College Work-Study'!Q42*1000)/'College Work-Study'!AH42</f>
        <v>1303.3109357997823</v>
      </c>
      <c r="R40" s="3">
        <f>('College Work-Study'!R42*1000)/'College Work-Study'!AI42</f>
        <v>1355.1801343230823</v>
      </c>
      <c r="S40" s="3"/>
      <c r="T40" s="3"/>
      <c r="U40" s="3"/>
      <c r="V40" s="3"/>
    </row>
    <row r="41" spans="1:22">
      <c r="A41" s="53" t="s">
        <v>177</v>
      </c>
      <c r="B41" s="3" t="e">
        <f>('College Work-Study'!B43*1000)/'College Work-Study'!S43</f>
        <v>#DIV/0!</v>
      </c>
      <c r="C41" s="3" t="e">
        <f>('College Work-Study'!C43*1000)/'College Work-Study'!T43</f>
        <v>#DIV/0!</v>
      </c>
      <c r="D41" s="3" t="e">
        <f>('College Work-Study'!D43*1000)/'College Work-Study'!U43</f>
        <v>#DIV/0!</v>
      </c>
      <c r="E41" s="3" t="e">
        <f>('College Work-Study'!E43*1000)/'College Work-Study'!V43</f>
        <v>#DIV/0!</v>
      </c>
      <c r="F41" s="3" t="e">
        <f>('College Work-Study'!F43*1000)/'College Work-Study'!W43</f>
        <v>#DIV/0!</v>
      </c>
      <c r="G41" s="3" t="e">
        <f>('College Work-Study'!G43*1000)/'College Work-Study'!X43</f>
        <v>#DIV/0!</v>
      </c>
      <c r="H41" s="3" t="e">
        <f>('College Work-Study'!H43*1000)/'College Work-Study'!Y43</f>
        <v>#DIV/0!</v>
      </c>
      <c r="I41" s="3" t="e">
        <f>('College Work-Study'!I43*1000)/'College Work-Study'!Z43</f>
        <v>#DIV/0!</v>
      </c>
      <c r="J41" s="3" t="e">
        <f>('College Work-Study'!J43*1000)/'College Work-Study'!AA43</f>
        <v>#DIV/0!</v>
      </c>
      <c r="K41" s="3" t="e">
        <f>('College Work-Study'!K43*1000)/'College Work-Study'!AB43</f>
        <v>#DIV/0!</v>
      </c>
      <c r="L41" s="3" t="e">
        <f>('College Work-Study'!L43*1000)/'College Work-Study'!AC43</f>
        <v>#DIV/0!</v>
      </c>
      <c r="M41" s="3" t="e">
        <f>('College Work-Study'!M43*1000)/'College Work-Study'!AD43</f>
        <v>#DIV/0!</v>
      </c>
      <c r="N41" s="3" t="e">
        <f>('College Work-Study'!N43*1000)/'College Work-Study'!AE43</f>
        <v>#DIV/0!</v>
      </c>
      <c r="O41" s="3" t="e">
        <f>('College Work-Study'!O43*1000)/'College Work-Study'!AF43</f>
        <v>#DIV/0!</v>
      </c>
      <c r="P41" s="3">
        <f>('College Work-Study'!P43*1000)/'College Work-Study'!AG43</f>
        <v>1096.1286011286011</v>
      </c>
      <c r="Q41" s="3">
        <f>('College Work-Study'!Q43*1000)/'College Work-Study'!AH43</f>
        <v>1212.0697744360903</v>
      </c>
      <c r="R41" s="3">
        <f>('College Work-Study'!R43*1000)/'College Work-Study'!AI43</f>
        <v>1214.0087394957984</v>
      </c>
      <c r="S41" s="3"/>
      <c r="T41" s="3"/>
      <c r="U41" s="3"/>
      <c r="V41" s="3"/>
    </row>
    <row r="42" spans="1:22">
      <c r="A42" s="53" t="s">
        <v>178</v>
      </c>
      <c r="B42" s="3" t="e">
        <f>('College Work-Study'!B44*1000)/'College Work-Study'!S44</f>
        <v>#DIV/0!</v>
      </c>
      <c r="C42" s="3" t="e">
        <f>('College Work-Study'!C44*1000)/'College Work-Study'!T44</f>
        <v>#DIV/0!</v>
      </c>
      <c r="D42" s="3" t="e">
        <f>('College Work-Study'!D44*1000)/'College Work-Study'!U44</f>
        <v>#DIV/0!</v>
      </c>
      <c r="E42" s="3" t="e">
        <f>('College Work-Study'!E44*1000)/'College Work-Study'!V44</f>
        <v>#DIV/0!</v>
      </c>
      <c r="F42" s="3" t="e">
        <f>('College Work-Study'!F44*1000)/'College Work-Study'!W44</f>
        <v>#DIV/0!</v>
      </c>
      <c r="G42" s="3" t="e">
        <f>('College Work-Study'!G44*1000)/'College Work-Study'!X44</f>
        <v>#DIV/0!</v>
      </c>
      <c r="H42" s="3" t="e">
        <f>('College Work-Study'!H44*1000)/'College Work-Study'!Y44</f>
        <v>#DIV/0!</v>
      </c>
      <c r="I42" s="3" t="e">
        <f>('College Work-Study'!I44*1000)/'College Work-Study'!Z44</f>
        <v>#DIV/0!</v>
      </c>
      <c r="J42" s="3" t="e">
        <f>('College Work-Study'!J44*1000)/'College Work-Study'!AA44</f>
        <v>#DIV/0!</v>
      </c>
      <c r="K42" s="3" t="e">
        <f>('College Work-Study'!K44*1000)/'College Work-Study'!AB44</f>
        <v>#DIV/0!</v>
      </c>
      <c r="L42" s="3" t="e">
        <f>('College Work-Study'!L44*1000)/'College Work-Study'!AC44</f>
        <v>#DIV/0!</v>
      </c>
      <c r="M42" s="3" t="e">
        <f>('College Work-Study'!M44*1000)/'College Work-Study'!AD44</f>
        <v>#DIV/0!</v>
      </c>
      <c r="N42" s="3" t="e">
        <f>('College Work-Study'!N44*1000)/'College Work-Study'!AE44</f>
        <v>#DIV/0!</v>
      </c>
      <c r="O42" s="3" t="e">
        <f>('College Work-Study'!O44*1000)/'College Work-Study'!AF44</f>
        <v>#DIV/0!</v>
      </c>
      <c r="P42" s="3">
        <f>('College Work-Study'!P44*1000)/'College Work-Study'!AG44</f>
        <v>1078.5890057551101</v>
      </c>
      <c r="Q42" s="3">
        <f>('College Work-Study'!Q44*1000)/'College Work-Study'!AH44</f>
        <v>1071.1299174822491</v>
      </c>
      <c r="R42" s="3">
        <f>('College Work-Study'!R44*1000)/'College Work-Study'!AI44</f>
        <v>1117.4956052736716</v>
      </c>
      <c r="S42" s="3"/>
      <c r="T42" s="3"/>
      <c r="U42" s="3"/>
      <c r="V42" s="3"/>
    </row>
    <row r="43" spans="1:22">
      <c r="A43" s="53" t="s">
        <v>179</v>
      </c>
      <c r="B43" s="3" t="e">
        <f>('College Work-Study'!B45*1000)/'College Work-Study'!S45</f>
        <v>#DIV/0!</v>
      </c>
      <c r="C43" s="3" t="e">
        <f>('College Work-Study'!C45*1000)/'College Work-Study'!T45</f>
        <v>#DIV/0!</v>
      </c>
      <c r="D43" s="3" t="e">
        <f>('College Work-Study'!D45*1000)/'College Work-Study'!U45</f>
        <v>#DIV/0!</v>
      </c>
      <c r="E43" s="3" t="e">
        <f>('College Work-Study'!E45*1000)/'College Work-Study'!V45</f>
        <v>#DIV/0!</v>
      </c>
      <c r="F43" s="3" t="e">
        <f>('College Work-Study'!F45*1000)/'College Work-Study'!W45</f>
        <v>#DIV/0!</v>
      </c>
      <c r="G43" s="3" t="e">
        <f>('College Work-Study'!G45*1000)/'College Work-Study'!X45</f>
        <v>#DIV/0!</v>
      </c>
      <c r="H43" s="3" t="e">
        <f>('College Work-Study'!H45*1000)/'College Work-Study'!Y45</f>
        <v>#DIV/0!</v>
      </c>
      <c r="I43" s="3" t="e">
        <f>('College Work-Study'!I45*1000)/'College Work-Study'!Z45</f>
        <v>#DIV/0!</v>
      </c>
      <c r="J43" s="3" t="e">
        <f>('College Work-Study'!J45*1000)/'College Work-Study'!AA45</f>
        <v>#DIV/0!</v>
      </c>
      <c r="K43" s="3" t="e">
        <f>('College Work-Study'!K45*1000)/'College Work-Study'!AB45</f>
        <v>#DIV/0!</v>
      </c>
      <c r="L43" s="3" t="e">
        <f>('College Work-Study'!L45*1000)/'College Work-Study'!AC45</f>
        <v>#DIV/0!</v>
      </c>
      <c r="M43" s="3" t="e">
        <f>('College Work-Study'!M45*1000)/'College Work-Study'!AD45</f>
        <v>#DIV/0!</v>
      </c>
      <c r="N43" s="3" t="e">
        <f>('College Work-Study'!N45*1000)/'College Work-Study'!AE45</f>
        <v>#DIV/0!</v>
      </c>
      <c r="O43" s="3" t="e">
        <f>('College Work-Study'!O45*1000)/'College Work-Study'!AF45</f>
        <v>#DIV/0!</v>
      </c>
      <c r="P43" s="3">
        <f>('College Work-Study'!P45*1000)/'College Work-Study'!AG45</f>
        <v>1973.2398989898991</v>
      </c>
      <c r="Q43" s="3">
        <f>('College Work-Study'!Q45*1000)/'College Work-Study'!AH45</f>
        <v>1440.5392051557465</v>
      </c>
      <c r="R43" s="3">
        <f>('College Work-Study'!R45*1000)/'College Work-Study'!AI45</f>
        <v>1876.6396396396397</v>
      </c>
      <c r="S43" s="3"/>
      <c r="T43" s="3"/>
      <c r="U43" s="3"/>
      <c r="V43" s="3"/>
    </row>
    <row r="44" spans="1:22">
      <c r="A44" s="53" t="s">
        <v>180</v>
      </c>
      <c r="B44" s="3" t="e">
        <f>('College Work-Study'!B46*1000)/'College Work-Study'!S46</f>
        <v>#DIV/0!</v>
      </c>
      <c r="C44" s="3" t="e">
        <f>('College Work-Study'!C46*1000)/'College Work-Study'!T46</f>
        <v>#DIV/0!</v>
      </c>
      <c r="D44" s="3" t="e">
        <f>('College Work-Study'!D46*1000)/'College Work-Study'!U46</f>
        <v>#DIV/0!</v>
      </c>
      <c r="E44" s="3" t="e">
        <f>('College Work-Study'!E46*1000)/'College Work-Study'!V46</f>
        <v>#DIV/0!</v>
      </c>
      <c r="F44" s="3" t="e">
        <f>('College Work-Study'!F46*1000)/'College Work-Study'!W46</f>
        <v>#DIV/0!</v>
      </c>
      <c r="G44" s="3" t="e">
        <f>('College Work-Study'!G46*1000)/'College Work-Study'!X46</f>
        <v>#DIV/0!</v>
      </c>
      <c r="H44" s="3" t="e">
        <f>('College Work-Study'!H46*1000)/'College Work-Study'!Y46</f>
        <v>#DIV/0!</v>
      </c>
      <c r="I44" s="3" t="e">
        <f>('College Work-Study'!I46*1000)/'College Work-Study'!Z46</f>
        <v>#DIV/0!</v>
      </c>
      <c r="J44" s="3" t="e">
        <f>('College Work-Study'!J46*1000)/'College Work-Study'!AA46</f>
        <v>#DIV/0!</v>
      </c>
      <c r="K44" s="3" t="e">
        <f>('College Work-Study'!K46*1000)/'College Work-Study'!AB46</f>
        <v>#DIV/0!</v>
      </c>
      <c r="L44" s="3" t="e">
        <f>('College Work-Study'!L46*1000)/'College Work-Study'!AC46</f>
        <v>#DIV/0!</v>
      </c>
      <c r="M44" s="3" t="e">
        <f>('College Work-Study'!M46*1000)/'College Work-Study'!AD46</f>
        <v>#DIV/0!</v>
      </c>
      <c r="N44" s="3" t="e">
        <f>('College Work-Study'!N46*1000)/'College Work-Study'!AE46</f>
        <v>#DIV/0!</v>
      </c>
      <c r="O44" s="3" t="e">
        <f>('College Work-Study'!O46*1000)/'College Work-Study'!AF46</f>
        <v>#DIV/0!</v>
      </c>
      <c r="P44" s="3">
        <f>('College Work-Study'!P46*1000)/'College Work-Study'!AG46</f>
        <v>969.25336852340604</v>
      </c>
      <c r="Q44" s="3">
        <f>('College Work-Study'!Q46*1000)/'College Work-Study'!AH46</f>
        <v>1002.1118538324421</v>
      </c>
      <c r="R44" s="3">
        <f>('College Work-Study'!R46*1000)/'College Work-Study'!AI46</f>
        <v>967.30788603809219</v>
      </c>
      <c r="S44" s="3"/>
      <c r="T44" s="3"/>
      <c r="U44" s="3"/>
      <c r="V44" s="3"/>
    </row>
    <row r="45" spans="1:22">
      <c r="A45" s="53" t="s">
        <v>181</v>
      </c>
      <c r="B45" s="3" t="e">
        <f>('College Work-Study'!B47*1000)/'College Work-Study'!S47</f>
        <v>#DIV/0!</v>
      </c>
      <c r="C45" s="3" t="e">
        <f>('College Work-Study'!C47*1000)/'College Work-Study'!T47</f>
        <v>#DIV/0!</v>
      </c>
      <c r="D45" s="3" t="e">
        <f>('College Work-Study'!D47*1000)/'College Work-Study'!U47</f>
        <v>#DIV/0!</v>
      </c>
      <c r="E45" s="3" t="e">
        <f>('College Work-Study'!E47*1000)/'College Work-Study'!V47</f>
        <v>#DIV/0!</v>
      </c>
      <c r="F45" s="3" t="e">
        <f>('College Work-Study'!F47*1000)/'College Work-Study'!W47</f>
        <v>#DIV/0!</v>
      </c>
      <c r="G45" s="3" t="e">
        <f>('College Work-Study'!G47*1000)/'College Work-Study'!X47</f>
        <v>#DIV/0!</v>
      </c>
      <c r="H45" s="3" t="e">
        <f>('College Work-Study'!H47*1000)/'College Work-Study'!Y47</f>
        <v>#DIV/0!</v>
      </c>
      <c r="I45" s="3" t="e">
        <f>('College Work-Study'!I47*1000)/'College Work-Study'!Z47</f>
        <v>#DIV/0!</v>
      </c>
      <c r="J45" s="3" t="e">
        <f>('College Work-Study'!J47*1000)/'College Work-Study'!AA47</f>
        <v>#DIV/0!</v>
      </c>
      <c r="K45" s="3" t="e">
        <f>('College Work-Study'!K47*1000)/'College Work-Study'!AB47</f>
        <v>#DIV/0!</v>
      </c>
      <c r="L45" s="3" t="e">
        <f>('College Work-Study'!L47*1000)/'College Work-Study'!AC47</f>
        <v>#DIV/0!</v>
      </c>
      <c r="M45" s="3" t="e">
        <f>('College Work-Study'!M47*1000)/'College Work-Study'!AD47</f>
        <v>#DIV/0!</v>
      </c>
      <c r="N45" s="3" t="e">
        <f>('College Work-Study'!N47*1000)/'College Work-Study'!AE47</f>
        <v>#DIV/0!</v>
      </c>
      <c r="O45" s="3" t="e">
        <f>('College Work-Study'!O47*1000)/'College Work-Study'!AF47</f>
        <v>#DIV/0!</v>
      </c>
      <c r="P45" s="3">
        <f>('College Work-Study'!P47*1000)/'College Work-Study'!AG47</f>
        <v>1124.7084531339851</v>
      </c>
      <c r="Q45" s="3">
        <f>('College Work-Study'!Q47*1000)/'College Work-Study'!AH47</f>
        <v>1170.9099592743428</v>
      </c>
      <c r="R45" s="3">
        <f>('College Work-Study'!R47*1000)/'College Work-Study'!AI47</f>
        <v>1273.9606460418563</v>
      </c>
      <c r="S45" s="3"/>
      <c r="T45" s="3"/>
      <c r="U45" s="3"/>
      <c r="V45" s="3"/>
    </row>
    <row r="46" spans="1:22">
      <c r="A46" s="53" t="s">
        <v>182</v>
      </c>
      <c r="B46" s="3" t="e">
        <f>('College Work-Study'!B48*1000)/'College Work-Study'!S48</f>
        <v>#DIV/0!</v>
      </c>
      <c r="C46" s="3" t="e">
        <f>('College Work-Study'!C48*1000)/'College Work-Study'!T48</f>
        <v>#DIV/0!</v>
      </c>
      <c r="D46" s="3" t="e">
        <f>('College Work-Study'!D48*1000)/'College Work-Study'!U48</f>
        <v>#DIV/0!</v>
      </c>
      <c r="E46" s="3" t="e">
        <f>('College Work-Study'!E48*1000)/'College Work-Study'!V48</f>
        <v>#DIV/0!</v>
      </c>
      <c r="F46" s="3" t="e">
        <f>('College Work-Study'!F48*1000)/'College Work-Study'!W48</f>
        <v>#DIV/0!</v>
      </c>
      <c r="G46" s="3" t="e">
        <f>('College Work-Study'!G48*1000)/'College Work-Study'!X48</f>
        <v>#DIV/0!</v>
      </c>
      <c r="H46" s="3" t="e">
        <f>('College Work-Study'!H48*1000)/'College Work-Study'!Y48</f>
        <v>#DIV/0!</v>
      </c>
      <c r="I46" s="3" t="e">
        <f>('College Work-Study'!I48*1000)/'College Work-Study'!Z48</f>
        <v>#DIV/0!</v>
      </c>
      <c r="J46" s="3" t="e">
        <f>('College Work-Study'!J48*1000)/'College Work-Study'!AA48</f>
        <v>#DIV/0!</v>
      </c>
      <c r="K46" s="3" t="e">
        <f>('College Work-Study'!K48*1000)/'College Work-Study'!AB48</f>
        <v>#DIV/0!</v>
      </c>
      <c r="L46" s="3" t="e">
        <f>('College Work-Study'!L48*1000)/'College Work-Study'!AC48</f>
        <v>#DIV/0!</v>
      </c>
      <c r="M46" s="3" t="e">
        <f>('College Work-Study'!M48*1000)/'College Work-Study'!AD48</f>
        <v>#DIV/0!</v>
      </c>
      <c r="N46" s="3" t="e">
        <f>('College Work-Study'!N48*1000)/'College Work-Study'!AE48</f>
        <v>#DIV/0!</v>
      </c>
      <c r="O46" s="3" t="e">
        <f>('College Work-Study'!O48*1000)/'College Work-Study'!AF48</f>
        <v>#DIV/0!</v>
      </c>
      <c r="P46" s="3">
        <f>('College Work-Study'!P48*1000)/'College Work-Study'!AG48</f>
        <v>1740.3683960019039</v>
      </c>
      <c r="Q46" s="3">
        <f>('College Work-Study'!Q48*1000)/'College Work-Study'!AH48</f>
        <v>1834.42118226601</v>
      </c>
      <c r="R46" s="3">
        <f>('College Work-Study'!R48*1000)/'College Work-Study'!AI48</f>
        <v>1825.2592592592591</v>
      </c>
      <c r="S46" s="3"/>
      <c r="T46" s="3"/>
      <c r="U46" s="3"/>
      <c r="V46" s="3"/>
    </row>
    <row r="47" spans="1:22">
      <c r="A47" s="53" t="s">
        <v>183</v>
      </c>
      <c r="B47" s="3" t="e">
        <f>('College Work-Study'!B49*1000)/'College Work-Study'!S49</f>
        <v>#DIV/0!</v>
      </c>
      <c r="C47" s="3" t="e">
        <f>('College Work-Study'!C49*1000)/'College Work-Study'!T49</f>
        <v>#DIV/0!</v>
      </c>
      <c r="D47" s="3" t="e">
        <f>('College Work-Study'!D49*1000)/'College Work-Study'!U49</f>
        <v>#DIV/0!</v>
      </c>
      <c r="E47" s="3" t="e">
        <f>('College Work-Study'!E49*1000)/'College Work-Study'!V49</f>
        <v>#DIV/0!</v>
      </c>
      <c r="F47" s="3" t="e">
        <f>('College Work-Study'!F49*1000)/'College Work-Study'!W49</f>
        <v>#DIV/0!</v>
      </c>
      <c r="G47" s="3" t="e">
        <f>('College Work-Study'!G49*1000)/'College Work-Study'!X49</f>
        <v>#DIV/0!</v>
      </c>
      <c r="H47" s="3" t="e">
        <f>('College Work-Study'!H49*1000)/'College Work-Study'!Y49</f>
        <v>#DIV/0!</v>
      </c>
      <c r="I47" s="3" t="e">
        <f>('College Work-Study'!I49*1000)/'College Work-Study'!Z49</f>
        <v>#DIV/0!</v>
      </c>
      <c r="J47" s="3" t="e">
        <f>('College Work-Study'!J49*1000)/'College Work-Study'!AA49</f>
        <v>#DIV/0!</v>
      </c>
      <c r="K47" s="3" t="e">
        <f>('College Work-Study'!K49*1000)/'College Work-Study'!AB49</f>
        <v>#DIV/0!</v>
      </c>
      <c r="L47" s="3" t="e">
        <f>('College Work-Study'!L49*1000)/'College Work-Study'!AC49</f>
        <v>#DIV/0!</v>
      </c>
      <c r="M47" s="3" t="e">
        <f>('College Work-Study'!M49*1000)/'College Work-Study'!AD49</f>
        <v>#DIV/0!</v>
      </c>
      <c r="N47" s="3" t="e">
        <f>('College Work-Study'!N49*1000)/'College Work-Study'!AE49</f>
        <v>#DIV/0!</v>
      </c>
      <c r="O47" s="3" t="e">
        <f>('College Work-Study'!O49*1000)/'College Work-Study'!AF49</f>
        <v>#DIV/0!</v>
      </c>
      <c r="P47" s="3">
        <f>('College Work-Study'!P49*1000)/'College Work-Study'!AG49</f>
        <v>1257.8948868578464</v>
      </c>
      <c r="Q47" s="3">
        <f>('College Work-Study'!Q49*1000)/'College Work-Study'!AH49</f>
        <v>1261.0659685174207</v>
      </c>
      <c r="R47" s="3">
        <f>('College Work-Study'!R49*1000)/'College Work-Study'!AI49</f>
        <v>1325.3741072517585</v>
      </c>
      <c r="S47" s="3"/>
      <c r="T47" s="3"/>
      <c r="U47" s="3"/>
      <c r="V47" s="3"/>
    </row>
    <row r="48" spans="1:22">
      <c r="A48" s="53" t="s">
        <v>184</v>
      </c>
      <c r="B48" s="3" t="e">
        <f>('College Work-Study'!B50*1000)/'College Work-Study'!S50</f>
        <v>#DIV/0!</v>
      </c>
      <c r="C48" s="3" t="e">
        <f>('College Work-Study'!C50*1000)/'College Work-Study'!T50</f>
        <v>#DIV/0!</v>
      </c>
      <c r="D48" s="3" t="e">
        <f>('College Work-Study'!D50*1000)/'College Work-Study'!U50</f>
        <v>#DIV/0!</v>
      </c>
      <c r="E48" s="3" t="e">
        <f>('College Work-Study'!E50*1000)/'College Work-Study'!V50</f>
        <v>#DIV/0!</v>
      </c>
      <c r="F48" s="3" t="e">
        <f>('College Work-Study'!F50*1000)/'College Work-Study'!W50</f>
        <v>#DIV/0!</v>
      </c>
      <c r="G48" s="3" t="e">
        <f>('College Work-Study'!G50*1000)/'College Work-Study'!X50</f>
        <v>#DIV/0!</v>
      </c>
      <c r="H48" s="3" t="e">
        <f>('College Work-Study'!H50*1000)/'College Work-Study'!Y50</f>
        <v>#DIV/0!</v>
      </c>
      <c r="I48" s="3" t="e">
        <f>('College Work-Study'!I50*1000)/'College Work-Study'!Z50</f>
        <v>#DIV/0!</v>
      </c>
      <c r="J48" s="3" t="e">
        <f>('College Work-Study'!J50*1000)/'College Work-Study'!AA50</f>
        <v>#DIV/0!</v>
      </c>
      <c r="K48" s="3" t="e">
        <f>('College Work-Study'!K50*1000)/'College Work-Study'!AB50</f>
        <v>#DIV/0!</v>
      </c>
      <c r="L48" s="3" t="e">
        <f>('College Work-Study'!L50*1000)/'College Work-Study'!AC50</f>
        <v>#DIV/0!</v>
      </c>
      <c r="M48" s="3" t="e">
        <f>('College Work-Study'!M50*1000)/'College Work-Study'!AD50</f>
        <v>#DIV/0!</v>
      </c>
      <c r="N48" s="3" t="e">
        <f>('College Work-Study'!N50*1000)/'College Work-Study'!AE50</f>
        <v>#DIV/0!</v>
      </c>
      <c r="O48" s="3" t="e">
        <f>('College Work-Study'!O50*1000)/'College Work-Study'!AF50</f>
        <v>#DIV/0!</v>
      </c>
      <c r="P48" s="3">
        <f>('College Work-Study'!P50*1000)/'College Work-Study'!AG50</f>
        <v>1066.7030390738062</v>
      </c>
      <c r="Q48" s="3">
        <f>('College Work-Study'!Q50*1000)/'College Work-Study'!AH50</f>
        <v>1058.1376436781609</v>
      </c>
      <c r="R48" s="3">
        <f>('College Work-Study'!R50*1000)/'College Work-Study'!AI50</f>
        <v>1070.3279211365614</v>
      </c>
      <c r="S48" s="3"/>
      <c r="T48" s="3"/>
      <c r="U48" s="3"/>
      <c r="V48" s="3"/>
    </row>
    <row r="49" spans="1:22">
      <c r="A49" s="53" t="s">
        <v>185</v>
      </c>
      <c r="B49" s="3" t="e">
        <f>('College Work-Study'!B51*1000)/'College Work-Study'!S51</f>
        <v>#DIV/0!</v>
      </c>
      <c r="C49" s="3" t="e">
        <f>('College Work-Study'!C51*1000)/'College Work-Study'!T51</f>
        <v>#DIV/0!</v>
      </c>
      <c r="D49" s="3" t="e">
        <f>('College Work-Study'!D51*1000)/'College Work-Study'!U51</f>
        <v>#DIV/0!</v>
      </c>
      <c r="E49" s="3" t="e">
        <f>('College Work-Study'!E51*1000)/'College Work-Study'!V51</f>
        <v>#DIV/0!</v>
      </c>
      <c r="F49" s="3" t="e">
        <f>('College Work-Study'!F51*1000)/'College Work-Study'!W51</f>
        <v>#DIV/0!</v>
      </c>
      <c r="G49" s="3" t="e">
        <f>('College Work-Study'!G51*1000)/'College Work-Study'!X51</f>
        <v>#DIV/0!</v>
      </c>
      <c r="H49" s="3" t="e">
        <f>('College Work-Study'!H51*1000)/'College Work-Study'!Y51</f>
        <v>#DIV/0!</v>
      </c>
      <c r="I49" s="3" t="e">
        <f>('College Work-Study'!I51*1000)/'College Work-Study'!Z51</f>
        <v>#DIV/0!</v>
      </c>
      <c r="J49" s="3" t="e">
        <f>('College Work-Study'!J51*1000)/'College Work-Study'!AA51</f>
        <v>#DIV/0!</v>
      </c>
      <c r="K49" s="3" t="e">
        <f>('College Work-Study'!K51*1000)/'College Work-Study'!AB51</f>
        <v>#DIV/0!</v>
      </c>
      <c r="L49" s="3" t="e">
        <f>('College Work-Study'!L51*1000)/'College Work-Study'!AC51</f>
        <v>#DIV/0!</v>
      </c>
      <c r="M49" s="3" t="e">
        <f>('College Work-Study'!M51*1000)/'College Work-Study'!AD51</f>
        <v>#DIV/0!</v>
      </c>
      <c r="N49" s="3" t="e">
        <f>('College Work-Study'!N51*1000)/'College Work-Study'!AE51</f>
        <v>#DIV/0!</v>
      </c>
      <c r="O49" s="3" t="e">
        <f>('College Work-Study'!O51*1000)/'College Work-Study'!AF51</f>
        <v>#DIV/0!</v>
      </c>
      <c r="P49" s="3">
        <f>('College Work-Study'!P51*1000)/'College Work-Study'!AG51</f>
        <v>1208.2455778693975</v>
      </c>
      <c r="Q49" s="3">
        <f>('College Work-Study'!Q51*1000)/'College Work-Study'!AH51</f>
        <v>1219.3392648172369</v>
      </c>
      <c r="R49" s="3">
        <f>('College Work-Study'!R51*1000)/'College Work-Study'!AI51</f>
        <v>1249.5403415482156</v>
      </c>
      <c r="S49" s="3"/>
      <c r="T49" s="3"/>
      <c r="U49" s="3"/>
      <c r="V49" s="3"/>
    </row>
    <row r="50" spans="1:22">
      <c r="A50" s="53" t="s">
        <v>186</v>
      </c>
      <c r="B50" s="3" t="e">
        <f>('College Work-Study'!B52*1000)/'College Work-Study'!S52</f>
        <v>#DIV/0!</v>
      </c>
      <c r="C50" s="3" t="e">
        <f>('College Work-Study'!C52*1000)/'College Work-Study'!T52</f>
        <v>#DIV/0!</v>
      </c>
      <c r="D50" s="3" t="e">
        <f>('College Work-Study'!D52*1000)/'College Work-Study'!U52</f>
        <v>#DIV/0!</v>
      </c>
      <c r="E50" s="3" t="e">
        <f>('College Work-Study'!E52*1000)/'College Work-Study'!V52</f>
        <v>#DIV/0!</v>
      </c>
      <c r="F50" s="3" t="e">
        <f>('College Work-Study'!F52*1000)/'College Work-Study'!W52</f>
        <v>#DIV/0!</v>
      </c>
      <c r="G50" s="3" t="e">
        <f>('College Work-Study'!G52*1000)/'College Work-Study'!X52</f>
        <v>#DIV/0!</v>
      </c>
      <c r="H50" s="3" t="e">
        <f>('College Work-Study'!H52*1000)/'College Work-Study'!Y52</f>
        <v>#DIV/0!</v>
      </c>
      <c r="I50" s="3" t="e">
        <f>('College Work-Study'!I52*1000)/'College Work-Study'!Z52</f>
        <v>#DIV/0!</v>
      </c>
      <c r="J50" s="3" t="e">
        <f>('College Work-Study'!J52*1000)/'College Work-Study'!AA52</f>
        <v>#DIV/0!</v>
      </c>
      <c r="K50" s="3" t="e">
        <f>('College Work-Study'!K52*1000)/'College Work-Study'!AB52</f>
        <v>#DIV/0!</v>
      </c>
      <c r="L50" s="3" t="e">
        <f>('College Work-Study'!L52*1000)/'College Work-Study'!AC52</f>
        <v>#DIV/0!</v>
      </c>
      <c r="M50" s="3" t="e">
        <f>('College Work-Study'!M52*1000)/'College Work-Study'!AD52</f>
        <v>#DIV/0!</v>
      </c>
      <c r="N50" s="3" t="e">
        <f>('College Work-Study'!N52*1000)/'College Work-Study'!AE52</f>
        <v>#DIV/0!</v>
      </c>
      <c r="O50" s="3" t="e">
        <f>('College Work-Study'!O52*1000)/'College Work-Study'!AF52</f>
        <v>#DIV/0!</v>
      </c>
      <c r="P50" s="3">
        <f>('College Work-Study'!P52*1000)/'College Work-Study'!AG52</f>
        <v>1180.1933862433862</v>
      </c>
      <c r="Q50" s="3">
        <f>('College Work-Study'!Q52*1000)/'College Work-Study'!AH52</f>
        <v>1235.1697781885398</v>
      </c>
      <c r="R50" s="3">
        <f>('College Work-Study'!R52*1000)/'College Work-Study'!AI52</f>
        <v>1265.175997138258</v>
      </c>
      <c r="S50" s="3"/>
      <c r="T50" s="3"/>
      <c r="U50" s="3"/>
      <c r="V50" s="3"/>
    </row>
    <row r="51" spans="1:22">
      <c r="A51" s="53" t="s">
        <v>187</v>
      </c>
      <c r="B51" s="3" t="e">
        <f>('College Work-Study'!B53*1000)/'College Work-Study'!S53</f>
        <v>#DIV/0!</v>
      </c>
      <c r="C51" s="3" t="e">
        <f>('College Work-Study'!C53*1000)/'College Work-Study'!T53</f>
        <v>#DIV/0!</v>
      </c>
      <c r="D51" s="3" t="e">
        <f>('College Work-Study'!D53*1000)/'College Work-Study'!U53</f>
        <v>#DIV/0!</v>
      </c>
      <c r="E51" s="3" t="e">
        <f>('College Work-Study'!E53*1000)/'College Work-Study'!V53</f>
        <v>#DIV/0!</v>
      </c>
      <c r="F51" s="3" t="e">
        <f>('College Work-Study'!F53*1000)/'College Work-Study'!W53</f>
        <v>#DIV/0!</v>
      </c>
      <c r="G51" s="3" t="e">
        <f>('College Work-Study'!G53*1000)/'College Work-Study'!X53</f>
        <v>#DIV/0!</v>
      </c>
      <c r="H51" s="3" t="e">
        <f>('College Work-Study'!H53*1000)/'College Work-Study'!Y53</f>
        <v>#DIV/0!</v>
      </c>
      <c r="I51" s="3" t="e">
        <f>('College Work-Study'!I53*1000)/'College Work-Study'!Z53</f>
        <v>#DIV/0!</v>
      </c>
      <c r="J51" s="3" t="e">
        <f>('College Work-Study'!J53*1000)/'College Work-Study'!AA53</f>
        <v>#DIV/0!</v>
      </c>
      <c r="K51" s="3" t="e">
        <f>('College Work-Study'!K53*1000)/'College Work-Study'!AB53</f>
        <v>#DIV/0!</v>
      </c>
      <c r="L51" s="3" t="e">
        <f>('College Work-Study'!L53*1000)/'College Work-Study'!AC53</f>
        <v>#DIV/0!</v>
      </c>
      <c r="M51" s="3" t="e">
        <f>('College Work-Study'!M53*1000)/'College Work-Study'!AD53</f>
        <v>#DIV/0!</v>
      </c>
      <c r="N51" s="3" t="e">
        <f>('College Work-Study'!N53*1000)/'College Work-Study'!AE53</f>
        <v>#DIV/0!</v>
      </c>
      <c r="O51" s="3" t="e">
        <f>('College Work-Study'!O53*1000)/'College Work-Study'!AF53</f>
        <v>#DIV/0!</v>
      </c>
      <c r="P51" s="3">
        <f>('College Work-Study'!P53*1000)/'College Work-Study'!AG53</f>
        <v>1063.1805832756304</v>
      </c>
      <c r="Q51" s="3">
        <f>('College Work-Study'!Q53*1000)/'College Work-Study'!AH53</f>
        <v>1087.7758819888591</v>
      </c>
      <c r="R51" s="3">
        <f>('College Work-Study'!R53*1000)/'College Work-Study'!AI53</f>
        <v>337.6301760309247</v>
      </c>
      <c r="S51" s="3"/>
      <c r="T51" s="3"/>
      <c r="U51" s="3"/>
      <c r="V51" s="3"/>
    </row>
    <row r="52" spans="1:22">
      <c r="A52" s="53" t="s">
        <v>188</v>
      </c>
      <c r="B52" s="3" t="e">
        <f>('College Work-Study'!B54*1000)/'College Work-Study'!S54</f>
        <v>#DIV/0!</v>
      </c>
      <c r="C52" s="3" t="e">
        <f>('College Work-Study'!C54*1000)/'College Work-Study'!T54</f>
        <v>#DIV/0!</v>
      </c>
      <c r="D52" s="3" t="e">
        <f>('College Work-Study'!D54*1000)/'College Work-Study'!U54</f>
        <v>#DIV/0!</v>
      </c>
      <c r="E52" s="3" t="e">
        <f>('College Work-Study'!E54*1000)/'College Work-Study'!V54</f>
        <v>#DIV/0!</v>
      </c>
      <c r="F52" s="3" t="e">
        <f>('College Work-Study'!F54*1000)/'College Work-Study'!W54</f>
        <v>#DIV/0!</v>
      </c>
      <c r="G52" s="3" t="e">
        <f>('College Work-Study'!G54*1000)/'College Work-Study'!X54</f>
        <v>#DIV/0!</v>
      </c>
      <c r="H52" s="3" t="e">
        <f>('College Work-Study'!H54*1000)/'College Work-Study'!Y54</f>
        <v>#DIV/0!</v>
      </c>
      <c r="I52" s="3" t="e">
        <f>('College Work-Study'!I54*1000)/'College Work-Study'!Z54</f>
        <v>#DIV/0!</v>
      </c>
      <c r="J52" s="3" t="e">
        <f>('College Work-Study'!J54*1000)/'College Work-Study'!AA54</f>
        <v>#DIV/0!</v>
      </c>
      <c r="K52" s="3" t="e">
        <f>('College Work-Study'!K54*1000)/'College Work-Study'!AB54</f>
        <v>#DIV/0!</v>
      </c>
      <c r="L52" s="3" t="e">
        <f>('College Work-Study'!L54*1000)/'College Work-Study'!AC54</f>
        <v>#DIV/0!</v>
      </c>
      <c r="M52" s="3" t="e">
        <f>('College Work-Study'!M54*1000)/'College Work-Study'!AD54</f>
        <v>#DIV/0!</v>
      </c>
      <c r="N52" s="3" t="e">
        <f>('College Work-Study'!N54*1000)/'College Work-Study'!AE54</f>
        <v>#DIV/0!</v>
      </c>
      <c r="O52" s="3" t="e">
        <f>('College Work-Study'!O54*1000)/'College Work-Study'!AF54</f>
        <v>#DIV/0!</v>
      </c>
      <c r="P52" s="3">
        <f>('College Work-Study'!P54*1000)/'College Work-Study'!AG54</f>
        <v>1190.7405809605982</v>
      </c>
      <c r="Q52" s="3">
        <f>('College Work-Study'!Q54*1000)/'College Work-Study'!AH54</f>
        <v>1156.155825989649</v>
      </c>
      <c r="R52" s="3">
        <f>('College Work-Study'!R54*1000)/'College Work-Study'!AI54</f>
        <v>1202.0130897583429</v>
      </c>
      <c r="S52" s="3"/>
      <c r="T52" s="3"/>
      <c r="U52" s="3"/>
      <c r="V52" s="3"/>
    </row>
    <row r="53" spans="1:22">
      <c r="A53" s="53" t="s">
        <v>189</v>
      </c>
      <c r="B53" s="3" t="e">
        <f>('College Work-Study'!B55*1000)/'College Work-Study'!S55</f>
        <v>#DIV/0!</v>
      </c>
      <c r="C53" s="3" t="e">
        <f>('College Work-Study'!C55*1000)/'College Work-Study'!T55</f>
        <v>#DIV/0!</v>
      </c>
      <c r="D53" s="3" t="e">
        <f>('College Work-Study'!D55*1000)/'College Work-Study'!U55</f>
        <v>#DIV/0!</v>
      </c>
      <c r="E53" s="3" t="e">
        <f>('College Work-Study'!E55*1000)/'College Work-Study'!V55</f>
        <v>#DIV/0!</v>
      </c>
      <c r="F53" s="3" t="e">
        <f>('College Work-Study'!F55*1000)/'College Work-Study'!W55</f>
        <v>#DIV/0!</v>
      </c>
      <c r="G53" s="3" t="e">
        <f>('College Work-Study'!G55*1000)/'College Work-Study'!X55</f>
        <v>#DIV/0!</v>
      </c>
      <c r="H53" s="3" t="e">
        <f>('College Work-Study'!H55*1000)/'College Work-Study'!Y55</f>
        <v>#DIV/0!</v>
      </c>
      <c r="I53" s="3" t="e">
        <f>('College Work-Study'!I55*1000)/'College Work-Study'!Z55</f>
        <v>#DIV/0!</v>
      </c>
      <c r="J53" s="3" t="e">
        <f>('College Work-Study'!J55*1000)/'College Work-Study'!AA55</f>
        <v>#DIV/0!</v>
      </c>
      <c r="K53" s="3" t="e">
        <f>('College Work-Study'!K55*1000)/'College Work-Study'!AB55</f>
        <v>#DIV/0!</v>
      </c>
      <c r="L53" s="3" t="e">
        <f>('College Work-Study'!L55*1000)/'College Work-Study'!AC55</f>
        <v>#DIV/0!</v>
      </c>
      <c r="M53" s="3" t="e">
        <f>('College Work-Study'!M55*1000)/'College Work-Study'!AD55</f>
        <v>#DIV/0!</v>
      </c>
      <c r="N53" s="3" t="e">
        <f>('College Work-Study'!N55*1000)/'College Work-Study'!AE55</f>
        <v>#DIV/0!</v>
      </c>
      <c r="O53" s="3" t="e">
        <f>('College Work-Study'!O55*1000)/'College Work-Study'!AF55</f>
        <v>#DIV/0!</v>
      </c>
      <c r="P53" s="3">
        <f>('College Work-Study'!P55*1000)/'College Work-Study'!AG55</f>
        <v>1203.0914948453608</v>
      </c>
      <c r="Q53" s="3">
        <f>('College Work-Study'!Q55*1000)/'College Work-Study'!AH55</f>
        <v>1152.1327433628319</v>
      </c>
      <c r="R53" s="3">
        <f>('College Work-Study'!R55*1000)/'College Work-Study'!AI55</f>
        <v>1161.8149350649351</v>
      </c>
      <c r="S53" s="3"/>
      <c r="T53" s="3"/>
      <c r="U53" s="3"/>
      <c r="V53" s="3"/>
    </row>
    <row r="54" spans="1:22">
      <c r="A54" s="53" t="s">
        <v>190</v>
      </c>
      <c r="B54" s="3" t="e">
        <f>('College Work-Study'!B56*1000)/'College Work-Study'!S56</f>
        <v>#DIV/0!</v>
      </c>
      <c r="C54" s="3" t="e">
        <f>('College Work-Study'!C56*1000)/'College Work-Study'!T56</f>
        <v>#DIV/0!</v>
      </c>
      <c r="D54" s="3" t="e">
        <f>('College Work-Study'!D56*1000)/'College Work-Study'!U56</f>
        <v>#DIV/0!</v>
      </c>
      <c r="E54" s="3" t="e">
        <f>('College Work-Study'!E56*1000)/'College Work-Study'!V56</f>
        <v>#DIV/0!</v>
      </c>
      <c r="F54" s="3" t="e">
        <f>('College Work-Study'!F56*1000)/'College Work-Study'!W56</f>
        <v>#DIV/0!</v>
      </c>
      <c r="G54" s="3" t="e">
        <f>('College Work-Study'!G56*1000)/'College Work-Study'!X56</f>
        <v>#DIV/0!</v>
      </c>
      <c r="H54" s="3" t="e">
        <f>('College Work-Study'!H56*1000)/'College Work-Study'!Y56</f>
        <v>#DIV/0!</v>
      </c>
      <c r="I54" s="3" t="e">
        <f>('College Work-Study'!I56*1000)/'College Work-Study'!Z56</f>
        <v>#DIV/0!</v>
      </c>
      <c r="J54" s="3" t="e">
        <f>('College Work-Study'!J56*1000)/'College Work-Study'!AA56</f>
        <v>#DIV/0!</v>
      </c>
      <c r="K54" s="3" t="e">
        <f>('College Work-Study'!K56*1000)/'College Work-Study'!AB56</f>
        <v>#DIV/0!</v>
      </c>
      <c r="L54" s="3" t="e">
        <f>('College Work-Study'!L56*1000)/'College Work-Study'!AC56</f>
        <v>#DIV/0!</v>
      </c>
      <c r="M54" s="3" t="e">
        <f>('College Work-Study'!M56*1000)/'College Work-Study'!AD56</f>
        <v>#DIV/0!</v>
      </c>
      <c r="N54" s="3" t="e">
        <f>('College Work-Study'!N56*1000)/'College Work-Study'!AE56</f>
        <v>#DIV/0!</v>
      </c>
      <c r="O54" s="3" t="e">
        <f>('College Work-Study'!O56*1000)/'College Work-Study'!AF56</f>
        <v>#DIV/0!</v>
      </c>
      <c r="P54" s="3">
        <f>('College Work-Study'!P56*1000)/'College Work-Study'!AG56</f>
        <v>1805.7770700636943</v>
      </c>
      <c r="Q54" s="3">
        <f>('College Work-Study'!Q56*1000)/'College Work-Study'!AH56</f>
        <v>1958.2044917257683</v>
      </c>
      <c r="R54" s="3">
        <f>('College Work-Study'!R56*1000)/'College Work-Study'!AI56</f>
        <v>1943.9339152119701</v>
      </c>
      <c r="S54" s="3"/>
      <c r="T54" s="3"/>
      <c r="U54" s="3"/>
      <c r="V54" s="3"/>
    </row>
    <row r="55" spans="1:22">
      <c r="A55" s="53" t="s">
        <v>191</v>
      </c>
      <c r="B55" s="3" t="e">
        <f>('College Work-Study'!B57*1000)/'College Work-Study'!S57</f>
        <v>#DIV/0!</v>
      </c>
      <c r="C55" s="3" t="e">
        <f>('College Work-Study'!C57*1000)/'College Work-Study'!T57</f>
        <v>#DIV/0!</v>
      </c>
      <c r="D55" s="3" t="e">
        <f>('College Work-Study'!D57*1000)/'College Work-Study'!U57</f>
        <v>#DIV/0!</v>
      </c>
      <c r="E55" s="3" t="e">
        <f>('College Work-Study'!E57*1000)/'College Work-Study'!V57</f>
        <v>#DIV/0!</v>
      </c>
      <c r="F55" s="3" t="e">
        <f>('College Work-Study'!F57*1000)/'College Work-Study'!W57</f>
        <v>#DIV/0!</v>
      </c>
      <c r="G55" s="3" t="e">
        <f>('College Work-Study'!G57*1000)/'College Work-Study'!X57</f>
        <v>#DIV/0!</v>
      </c>
      <c r="H55" s="3" t="e">
        <f>('College Work-Study'!H57*1000)/'College Work-Study'!Y57</f>
        <v>#DIV/0!</v>
      </c>
      <c r="I55" s="3" t="e">
        <f>('College Work-Study'!I57*1000)/'College Work-Study'!Z57</f>
        <v>#DIV/0!</v>
      </c>
      <c r="J55" s="3" t="e">
        <f>('College Work-Study'!J57*1000)/'College Work-Study'!AA57</f>
        <v>#DIV/0!</v>
      </c>
      <c r="K55" s="3" t="e">
        <f>('College Work-Study'!K57*1000)/'College Work-Study'!AB57</f>
        <v>#DIV/0!</v>
      </c>
      <c r="L55" s="3" t="e">
        <f>('College Work-Study'!L57*1000)/'College Work-Study'!AC57</f>
        <v>#DIV/0!</v>
      </c>
      <c r="M55" s="3" t="e">
        <f>('College Work-Study'!M57*1000)/'College Work-Study'!AD57</f>
        <v>#DIV/0!</v>
      </c>
      <c r="N55" s="3" t="e">
        <f>('College Work-Study'!N57*1000)/'College Work-Study'!AE57</f>
        <v>#DIV/0!</v>
      </c>
      <c r="O55" s="3" t="e">
        <f>('College Work-Study'!O57*1000)/'College Work-Study'!AF57</f>
        <v>#DIV/0!</v>
      </c>
      <c r="P55" s="3">
        <f>('College Work-Study'!P57*1000)/'College Work-Study'!AG57</f>
        <v>1065.413832016766</v>
      </c>
      <c r="Q55" s="3">
        <f>('College Work-Study'!Q57*1000)/'College Work-Study'!AH57</f>
        <v>1120.6441426701572</v>
      </c>
      <c r="R55" s="3">
        <f>('College Work-Study'!R57*1000)/'College Work-Study'!AI57</f>
        <v>1161.6138542231868</v>
      </c>
      <c r="S55" s="3"/>
      <c r="T55" s="3"/>
      <c r="U55" s="3"/>
      <c r="V55" s="3"/>
    </row>
    <row r="56" spans="1:22">
      <c r="A56" s="53" t="s">
        <v>192</v>
      </c>
      <c r="B56" s="3" t="e">
        <f>('College Work-Study'!B58*1000)/'College Work-Study'!S58</f>
        <v>#DIV/0!</v>
      </c>
      <c r="C56" s="3" t="e">
        <f>('College Work-Study'!C58*1000)/'College Work-Study'!T58</f>
        <v>#DIV/0!</v>
      </c>
      <c r="D56" s="3" t="e">
        <f>('College Work-Study'!D58*1000)/'College Work-Study'!U58</f>
        <v>#DIV/0!</v>
      </c>
      <c r="E56" s="3" t="e">
        <f>('College Work-Study'!E58*1000)/'College Work-Study'!V58</f>
        <v>#DIV/0!</v>
      </c>
      <c r="F56" s="3" t="e">
        <f>('College Work-Study'!F58*1000)/'College Work-Study'!W58</f>
        <v>#DIV/0!</v>
      </c>
      <c r="G56" s="3" t="e">
        <f>('College Work-Study'!G58*1000)/'College Work-Study'!X58</f>
        <v>#DIV/0!</v>
      </c>
      <c r="H56" s="3" t="e">
        <f>('College Work-Study'!H58*1000)/'College Work-Study'!Y58</f>
        <v>#DIV/0!</v>
      </c>
      <c r="I56" s="3" t="e">
        <f>('College Work-Study'!I58*1000)/'College Work-Study'!Z58</f>
        <v>#DIV/0!</v>
      </c>
      <c r="J56" s="3" t="e">
        <f>('College Work-Study'!J58*1000)/'College Work-Study'!AA58</f>
        <v>#DIV/0!</v>
      </c>
      <c r="K56" s="3" t="e">
        <f>('College Work-Study'!K58*1000)/'College Work-Study'!AB58</f>
        <v>#DIV/0!</v>
      </c>
      <c r="L56" s="3" t="e">
        <f>('College Work-Study'!L58*1000)/'College Work-Study'!AC58</f>
        <v>#DIV/0!</v>
      </c>
      <c r="M56" s="3" t="e">
        <f>('College Work-Study'!M58*1000)/'College Work-Study'!AD58</f>
        <v>#DIV/0!</v>
      </c>
      <c r="N56" s="3" t="e">
        <f>('College Work-Study'!N58*1000)/'College Work-Study'!AE58</f>
        <v>#DIV/0!</v>
      </c>
      <c r="O56" s="3" t="e">
        <f>('College Work-Study'!O58*1000)/'College Work-Study'!AF58</f>
        <v>#DIV/0!</v>
      </c>
      <c r="P56" s="3">
        <f>('College Work-Study'!P58*1000)/'College Work-Study'!AG58</f>
        <v>1332.5769106217617</v>
      </c>
      <c r="Q56" s="3">
        <f>('College Work-Study'!Q58*1000)/'College Work-Study'!AH58</f>
        <v>1438.5534193439582</v>
      </c>
      <c r="R56" s="3">
        <f>('College Work-Study'!R58*1000)/'College Work-Study'!AI58</f>
        <v>1500.7403276402929</v>
      </c>
      <c r="S56" s="3"/>
      <c r="T56" s="3"/>
      <c r="U56" s="3"/>
      <c r="V56" s="3"/>
    </row>
    <row r="57" spans="1:22">
      <c r="A57" s="53" t="s">
        <v>193</v>
      </c>
      <c r="B57" s="3" t="e">
        <f>('College Work-Study'!B59*1000)/'College Work-Study'!S59</f>
        <v>#DIV/0!</v>
      </c>
      <c r="C57" s="3" t="e">
        <f>('College Work-Study'!C59*1000)/'College Work-Study'!T59</f>
        <v>#DIV/0!</v>
      </c>
      <c r="D57" s="3" t="e">
        <f>('College Work-Study'!D59*1000)/'College Work-Study'!U59</f>
        <v>#DIV/0!</v>
      </c>
      <c r="E57" s="3" t="e">
        <f>('College Work-Study'!E59*1000)/'College Work-Study'!V59</f>
        <v>#DIV/0!</v>
      </c>
      <c r="F57" s="3" t="e">
        <f>('College Work-Study'!F59*1000)/'College Work-Study'!W59</f>
        <v>#DIV/0!</v>
      </c>
      <c r="G57" s="3" t="e">
        <f>('College Work-Study'!G59*1000)/'College Work-Study'!X59</f>
        <v>#DIV/0!</v>
      </c>
      <c r="H57" s="3" t="e">
        <f>('College Work-Study'!H59*1000)/'College Work-Study'!Y59</f>
        <v>#DIV/0!</v>
      </c>
      <c r="I57" s="3" t="e">
        <f>('College Work-Study'!I59*1000)/'College Work-Study'!Z59</f>
        <v>#DIV/0!</v>
      </c>
      <c r="J57" s="3" t="e">
        <f>('College Work-Study'!J59*1000)/'College Work-Study'!AA59</f>
        <v>#DIV/0!</v>
      </c>
      <c r="K57" s="3" t="e">
        <f>('College Work-Study'!K59*1000)/'College Work-Study'!AB59</f>
        <v>#DIV/0!</v>
      </c>
      <c r="L57" s="3" t="e">
        <f>('College Work-Study'!L59*1000)/'College Work-Study'!AC59</f>
        <v>#DIV/0!</v>
      </c>
      <c r="M57" s="3" t="e">
        <f>('College Work-Study'!M59*1000)/'College Work-Study'!AD59</f>
        <v>#DIV/0!</v>
      </c>
      <c r="N57" s="3" t="e">
        <f>('College Work-Study'!N59*1000)/'College Work-Study'!AE59</f>
        <v>#DIV/0!</v>
      </c>
      <c r="O57" s="3" t="e">
        <f>('College Work-Study'!O59*1000)/'College Work-Study'!AF59</f>
        <v>#DIV/0!</v>
      </c>
      <c r="P57" s="3">
        <f>('College Work-Study'!P59*1000)/'College Work-Study'!AG59</f>
        <v>975.95715755836</v>
      </c>
      <c r="Q57" s="3">
        <f>('College Work-Study'!Q59*1000)/'College Work-Study'!AH59</f>
        <v>1091.7198052358669</v>
      </c>
      <c r="R57" s="3">
        <f>('College Work-Study'!R59*1000)/'College Work-Study'!AI59</f>
        <v>1135.6094548276531</v>
      </c>
      <c r="S57" s="3"/>
      <c r="T57" s="3"/>
      <c r="U57" s="3"/>
      <c r="V57" s="3"/>
    </row>
    <row r="58" spans="1:22">
      <c r="A58" s="53" t="s">
        <v>194</v>
      </c>
      <c r="B58" s="3" t="e">
        <f>('College Work-Study'!B60*1000)/'College Work-Study'!S60</f>
        <v>#DIV/0!</v>
      </c>
      <c r="C58" s="3" t="e">
        <f>('College Work-Study'!C60*1000)/'College Work-Study'!T60</f>
        <v>#DIV/0!</v>
      </c>
      <c r="D58" s="3" t="e">
        <f>('College Work-Study'!D60*1000)/'College Work-Study'!U60</f>
        <v>#DIV/0!</v>
      </c>
      <c r="E58" s="3" t="e">
        <f>('College Work-Study'!E60*1000)/'College Work-Study'!V60</f>
        <v>#DIV/0!</v>
      </c>
      <c r="F58" s="3" t="e">
        <f>('College Work-Study'!F60*1000)/'College Work-Study'!W60</f>
        <v>#DIV/0!</v>
      </c>
      <c r="G58" s="3" t="e">
        <f>('College Work-Study'!G60*1000)/'College Work-Study'!X60</f>
        <v>#DIV/0!</v>
      </c>
      <c r="H58" s="3" t="e">
        <f>('College Work-Study'!H60*1000)/'College Work-Study'!Y60</f>
        <v>#DIV/0!</v>
      </c>
      <c r="I58" s="3" t="e">
        <f>('College Work-Study'!I60*1000)/'College Work-Study'!Z60</f>
        <v>#DIV/0!</v>
      </c>
      <c r="J58" s="3" t="e">
        <f>('College Work-Study'!J60*1000)/'College Work-Study'!AA60</f>
        <v>#DIV/0!</v>
      </c>
      <c r="K58" s="3" t="e">
        <f>('College Work-Study'!K60*1000)/'College Work-Study'!AB60</f>
        <v>#DIV/0!</v>
      </c>
      <c r="L58" s="3" t="e">
        <f>('College Work-Study'!L60*1000)/'College Work-Study'!AC60</f>
        <v>#DIV/0!</v>
      </c>
      <c r="M58" s="3" t="e">
        <f>('College Work-Study'!M60*1000)/'College Work-Study'!AD60</f>
        <v>#DIV/0!</v>
      </c>
      <c r="N58" s="3" t="e">
        <f>('College Work-Study'!N60*1000)/'College Work-Study'!AE60</f>
        <v>#DIV/0!</v>
      </c>
      <c r="O58" s="3" t="e">
        <f>('College Work-Study'!O60*1000)/'College Work-Study'!AF60</f>
        <v>#DIV/0!</v>
      </c>
      <c r="P58" s="3">
        <f>('College Work-Study'!P60*1000)/'College Work-Study'!AG60</f>
        <v>954.85714285714289</v>
      </c>
      <c r="Q58" s="3">
        <f>('College Work-Study'!Q60*1000)/'College Work-Study'!AH60</f>
        <v>984.94736842105249</v>
      </c>
      <c r="R58" s="3">
        <f>('College Work-Study'!R60*1000)/'College Work-Study'!AI60</f>
        <v>1003.5957983193277</v>
      </c>
      <c r="S58" s="3"/>
      <c r="T58" s="3"/>
      <c r="U58" s="3"/>
      <c r="V58" s="3"/>
    </row>
    <row r="59" spans="1:22">
      <c r="A59" s="1"/>
      <c r="B59" s="3" t="e">
        <f>('College Work-Study'!B61*1000)/'College Work-Study'!S61</f>
        <v>#DIV/0!</v>
      </c>
      <c r="C59" s="3" t="e">
        <f>('College Work-Study'!C61*1000)/'College Work-Study'!T61</f>
        <v>#DIV/0!</v>
      </c>
      <c r="D59" s="3" t="e">
        <f>('College Work-Study'!D61*1000)/'College Work-Study'!U61</f>
        <v>#DIV/0!</v>
      </c>
      <c r="E59" s="3" t="e">
        <f>('College Work-Study'!E61*1000)/'College Work-Study'!V61</f>
        <v>#DIV/0!</v>
      </c>
      <c r="F59" s="3" t="e">
        <f>('College Work-Study'!F61*1000)/'College Work-Study'!W61</f>
        <v>#DIV/0!</v>
      </c>
      <c r="G59" s="3" t="e">
        <f>('College Work-Study'!G61*1000)/'College Work-Study'!X61</f>
        <v>#DIV/0!</v>
      </c>
      <c r="H59" s="3" t="e">
        <f>('College Work-Study'!H61*1000)/'College Work-Study'!Y61</f>
        <v>#DIV/0!</v>
      </c>
      <c r="I59" s="3" t="e">
        <f>('College Work-Study'!I61*1000)/'College Work-Study'!Z61</f>
        <v>#DIV/0!</v>
      </c>
      <c r="J59" s="3" t="e">
        <f>('College Work-Study'!J61*1000)/'College Work-Study'!AA61</f>
        <v>#DIV/0!</v>
      </c>
      <c r="K59" s="3" t="e">
        <f>('College Work-Study'!K61*1000)/'College Work-Study'!AB61</f>
        <v>#DIV/0!</v>
      </c>
      <c r="L59" s="3" t="e">
        <f>('College Work-Study'!L61*1000)/'College Work-Study'!AC61</f>
        <v>#DIV/0!</v>
      </c>
      <c r="M59" s="3" t="e">
        <f>('College Work-Study'!M61*1000)/'College Work-Study'!AD61</f>
        <v>#DIV/0!</v>
      </c>
      <c r="N59" s="3" t="e">
        <f>('College Work-Study'!N61*1000)/'College Work-Study'!AE61</f>
        <v>#DIV/0!</v>
      </c>
      <c r="O59" s="3" t="e">
        <f>('College Work-Study'!O61*1000)/'College Work-Study'!AF61</f>
        <v>#DIV/0!</v>
      </c>
      <c r="P59" s="3" t="e">
        <f>('College Work-Study'!P61*1000)/'College Work-Study'!AG61</f>
        <v>#DIV/0!</v>
      </c>
      <c r="Q59" s="3" t="e">
        <f>('College Work-Study'!Q61*1000)/'College Work-Study'!AH61</f>
        <v>#DIV/0!</v>
      </c>
      <c r="R59" s="3" t="e">
        <f>('College Work-Study'!R61*1000)/'College Work-Study'!AI61</f>
        <v>#DIV/0!</v>
      </c>
      <c r="S59" s="3"/>
      <c r="T59" s="3"/>
      <c r="U59" s="3"/>
      <c r="V59" s="3"/>
    </row>
    <row r="60" spans="1:22">
      <c r="A60" s="53" t="s">
        <v>165</v>
      </c>
      <c r="B60" s="3" t="e">
        <f>('College Work-Study'!B62*1000)/'College Work-Study'!S62</f>
        <v>#DIV/0!</v>
      </c>
      <c r="C60" s="3" t="e">
        <f>('College Work-Study'!C62*1000)/'College Work-Study'!T62</f>
        <v>#DIV/0!</v>
      </c>
      <c r="D60" s="3" t="e">
        <f>('College Work-Study'!D62*1000)/'College Work-Study'!U62</f>
        <v>#DIV/0!</v>
      </c>
      <c r="E60" s="3" t="e">
        <f>('College Work-Study'!E62*1000)/'College Work-Study'!V62</f>
        <v>#DIV/0!</v>
      </c>
      <c r="F60" s="3" t="e">
        <f>('College Work-Study'!F62*1000)/'College Work-Study'!W62</f>
        <v>#DIV/0!</v>
      </c>
      <c r="G60" s="3" t="e">
        <f>('College Work-Study'!G62*1000)/'College Work-Study'!X62</f>
        <v>#DIV/0!</v>
      </c>
      <c r="H60" s="3" t="e">
        <f>('College Work-Study'!H62*1000)/'College Work-Study'!Y62</f>
        <v>#DIV/0!</v>
      </c>
      <c r="I60" s="3" t="e">
        <f>('College Work-Study'!I62*1000)/'College Work-Study'!Z62</f>
        <v>#DIV/0!</v>
      </c>
      <c r="J60" s="3" t="e">
        <f>('College Work-Study'!J62*1000)/'College Work-Study'!AA62</f>
        <v>#DIV/0!</v>
      </c>
      <c r="K60" s="3" t="e">
        <f>('College Work-Study'!K62*1000)/'College Work-Study'!AB62</f>
        <v>#DIV/0!</v>
      </c>
      <c r="L60" s="3" t="e">
        <f>('College Work-Study'!L62*1000)/'College Work-Study'!AC62</f>
        <v>#DIV/0!</v>
      </c>
      <c r="M60" s="3" t="e">
        <f>('College Work-Study'!M62*1000)/'College Work-Study'!AD62</f>
        <v>#DIV/0!</v>
      </c>
      <c r="N60" s="3" t="e">
        <f>('College Work-Study'!N62*1000)/'College Work-Study'!AE62</f>
        <v>#DIV/0!</v>
      </c>
      <c r="O60" s="3" t="e">
        <f>('College Work-Study'!O62*1000)/'College Work-Study'!AF62</f>
        <v>#DIV/0!</v>
      </c>
      <c r="P60" s="3">
        <f>('College Work-Study'!P62*1000)/'College Work-Study'!AG62</f>
        <v>1540.7492354740061</v>
      </c>
      <c r="Q60" s="3">
        <f>('College Work-Study'!Q62*1000)/'College Work-Study'!AH62</f>
        <v>1647.3678015973098</v>
      </c>
      <c r="R60" s="3">
        <f>('College Work-Study'!R62*1000)/'College Work-Study'!AI62</f>
        <v>1818.0682095006091</v>
      </c>
      <c r="S60" s="3"/>
      <c r="T60" s="3"/>
      <c r="U60" s="3"/>
      <c r="V60" s="3"/>
    </row>
  </sheetData>
  <phoneticPr fontId="8"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21"/>
  <sheetViews>
    <sheetView zoomScale="75" workbookViewId="0">
      <pane xSplit="1" ySplit="4" topLeftCell="L5" activePane="bottomRight" state="frozen"/>
      <selection pane="topRight" activeCell="B1" sqref="B1"/>
      <selection pane="bottomLeft" activeCell="A5" sqref="A5"/>
      <selection pane="bottomRight" sqref="A1:R62"/>
    </sheetView>
  </sheetViews>
  <sheetFormatPr defaultRowHeight="13.2"/>
  <cols>
    <col min="1" max="1" width="17.6640625" customWidth="1"/>
    <col min="13" max="13" width="9.109375" style="133" customWidth="1"/>
    <col min="16" max="16" width="9.6640625" style="93" bestFit="1" customWidth="1"/>
    <col min="20" max="20" width="9.109375" style="63" customWidth="1"/>
    <col min="30" max="30" width="9.109375" style="133" customWidth="1"/>
  </cols>
  <sheetData>
    <row r="1" spans="1:35">
      <c r="A1" s="11" t="s">
        <v>0</v>
      </c>
      <c r="B1" s="12" t="s">
        <v>5</v>
      </c>
      <c r="C1" s="1"/>
      <c r="D1" s="1"/>
      <c r="E1" s="1"/>
      <c r="F1" s="1"/>
      <c r="G1" s="10"/>
      <c r="H1" s="10"/>
      <c r="I1" s="10"/>
      <c r="J1" s="10"/>
      <c r="K1" s="10"/>
      <c r="L1" s="10"/>
      <c r="M1" s="130"/>
      <c r="N1" s="10"/>
      <c r="O1" s="10"/>
      <c r="P1" s="95"/>
      <c r="Q1" s="10"/>
      <c r="R1" s="10"/>
      <c r="S1" s="1"/>
      <c r="T1" s="59"/>
      <c r="U1" s="10"/>
      <c r="V1" s="10"/>
      <c r="W1" s="10"/>
      <c r="X1" s="10"/>
      <c r="Y1" s="10"/>
      <c r="Z1" s="10"/>
      <c r="AA1" s="10"/>
      <c r="AB1" s="10"/>
      <c r="AC1" s="10"/>
      <c r="AD1" s="130"/>
      <c r="AE1" s="10"/>
      <c r="AF1" s="10"/>
    </row>
    <row r="2" spans="1:35">
      <c r="A2" s="11" t="s">
        <v>2</v>
      </c>
      <c r="B2" s="12" t="s">
        <v>7</v>
      </c>
      <c r="C2" s="10"/>
      <c r="D2" s="10" t="s">
        <v>1</v>
      </c>
      <c r="E2" s="10" t="s">
        <v>1</v>
      </c>
      <c r="F2" s="10" t="s">
        <v>1</v>
      </c>
      <c r="G2" s="10" t="s">
        <v>1</v>
      </c>
      <c r="H2" s="10" t="s">
        <v>1</v>
      </c>
      <c r="I2" s="10" t="s">
        <v>1</v>
      </c>
      <c r="J2" s="10" t="s">
        <v>1</v>
      </c>
      <c r="K2" s="10" t="s">
        <v>1</v>
      </c>
      <c r="L2" s="10" t="s">
        <v>1</v>
      </c>
      <c r="M2" s="130"/>
      <c r="N2" s="10"/>
      <c r="O2" s="10"/>
      <c r="P2" s="10"/>
      <c r="Q2" s="10"/>
      <c r="R2" s="10"/>
      <c r="S2" s="72" t="s">
        <v>8</v>
      </c>
      <c r="T2" s="59"/>
      <c r="U2" s="10"/>
      <c r="V2" s="10"/>
      <c r="W2" s="10"/>
      <c r="X2" s="10"/>
      <c r="Y2" s="10"/>
      <c r="Z2" s="10"/>
      <c r="AA2" s="10"/>
      <c r="AB2" s="10"/>
      <c r="AC2" s="10"/>
      <c r="AD2" s="130"/>
      <c r="AE2" s="10"/>
      <c r="AF2" s="10"/>
    </row>
    <row r="3" spans="1:35">
      <c r="A3" s="11" t="s">
        <v>3</v>
      </c>
      <c r="B3" s="13" t="s">
        <v>9</v>
      </c>
      <c r="C3" s="2" t="s">
        <v>10</v>
      </c>
      <c r="D3" s="2" t="s">
        <v>11</v>
      </c>
      <c r="E3" s="2" t="s">
        <v>12</v>
      </c>
      <c r="F3" s="2" t="s">
        <v>13</v>
      </c>
      <c r="G3" s="2" t="s">
        <v>14</v>
      </c>
      <c r="H3" s="2" t="s">
        <v>15</v>
      </c>
      <c r="I3" s="2" t="s">
        <v>16</v>
      </c>
      <c r="J3" s="2" t="s">
        <v>17</v>
      </c>
      <c r="K3" s="2" t="s">
        <v>18</v>
      </c>
      <c r="L3" s="2" t="s">
        <v>19</v>
      </c>
      <c r="M3" s="64" t="s">
        <v>195</v>
      </c>
      <c r="N3" s="19" t="s">
        <v>121</v>
      </c>
      <c r="O3" s="19" t="s">
        <v>122</v>
      </c>
      <c r="P3" s="103" t="s">
        <v>146</v>
      </c>
      <c r="Q3" s="103" t="s">
        <v>152</v>
      </c>
      <c r="R3" s="103" t="s">
        <v>159</v>
      </c>
      <c r="S3" s="73" t="s">
        <v>9</v>
      </c>
      <c r="T3" s="79" t="s">
        <v>10</v>
      </c>
      <c r="U3" s="2" t="s">
        <v>11</v>
      </c>
      <c r="V3" s="2" t="s">
        <v>12</v>
      </c>
      <c r="W3" s="2" t="s">
        <v>13</v>
      </c>
      <c r="X3" s="2" t="s">
        <v>14</v>
      </c>
      <c r="Y3" s="2" t="s">
        <v>15</v>
      </c>
      <c r="Z3" s="2" t="s">
        <v>16</v>
      </c>
      <c r="AA3" s="2" t="s">
        <v>17</v>
      </c>
      <c r="AB3" s="2" t="s">
        <v>18</v>
      </c>
      <c r="AC3" s="2" t="s">
        <v>19</v>
      </c>
      <c r="AD3" s="64" t="s">
        <v>195</v>
      </c>
      <c r="AE3" s="19" t="s">
        <v>121</v>
      </c>
      <c r="AF3" s="19" t="s">
        <v>122</v>
      </c>
      <c r="AG3" s="99" t="s">
        <v>146</v>
      </c>
      <c r="AH3" s="100" t="s">
        <v>152</v>
      </c>
      <c r="AI3" s="81" t="s">
        <v>159</v>
      </c>
    </row>
    <row r="4" spans="1:35">
      <c r="A4" s="1"/>
      <c r="B4" s="12"/>
      <c r="C4" s="1"/>
      <c r="D4" s="1"/>
      <c r="E4" s="1"/>
      <c r="F4" s="1"/>
      <c r="G4" s="1"/>
      <c r="H4" s="1"/>
      <c r="I4" s="1"/>
      <c r="J4" s="1"/>
      <c r="K4" s="1"/>
      <c r="L4" s="1"/>
      <c r="M4" s="65"/>
      <c r="N4" s="1"/>
      <c r="O4" s="1"/>
      <c r="P4" s="96"/>
      <c r="Q4" s="69"/>
      <c r="R4" s="69"/>
      <c r="S4" s="72"/>
      <c r="T4" s="58"/>
      <c r="U4" s="1"/>
      <c r="V4" s="1"/>
      <c r="W4" s="1"/>
      <c r="X4" s="1"/>
      <c r="Y4" s="1"/>
      <c r="Z4" s="1"/>
      <c r="AA4" s="1"/>
      <c r="AB4" s="1"/>
      <c r="AC4" s="1"/>
      <c r="AD4" s="65"/>
      <c r="AE4" s="1"/>
      <c r="AF4" s="1"/>
    </row>
    <row r="5" spans="1:35">
      <c r="A5" s="1" t="s">
        <v>20</v>
      </c>
      <c r="B5" s="14">
        <f>596468-4546.112-0-0-0</f>
        <v>591921.88800000004</v>
      </c>
      <c r="C5" s="60">
        <v>191457</v>
      </c>
      <c r="D5" s="3">
        <f>763476-5255.437-0-0-13.775</f>
        <v>758206.78799999994</v>
      </c>
      <c r="E5" s="3">
        <f>805190858/1000-5655.703-0-0-6.8</f>
        <v>799528.35499999998</v>
      </c>
      <c r="F5" s="3">
        <f>873730951/1000-4940.864-0-0-7.925</f>
        <v>868782.16200000001</v>
      </c>
      <c r="G5" s="3">
        <f>902521206/1000-5200.3-0-0</f>
        <v>897320.90599999996</v>
      </c>
      <c r="H5" s="3">
        <f>870399633/1000-4171.764-0-0-56.384</f>
        <v>866171.4850000001</v>
      </c>
      <c r="I5" s="1">
        <f>867800.439-4010.32</f>
        <v>863790.11900000006</v>
      </c>
      <c r="J5" s="1">
        <f>891681.168-4562.456-0-0-25.05</f>
        <v>887093.66199999989</v>
      </c>
      <c r="K5" s="1">
        <f>918661.831-6671.68-0-0-8</f>
        <v>911982.15099999995</v>
      </c>
      <c r="L5" s="1">
        <f>970957.367-6172.395-0-0-0</f>
        <v>964784.97199999995</v>
      </c>
      <c r="M5" s="65">
        <f>((N5-L5)/2)+L5</f>
        <v>990750.77749999997</v>
      </c>
      <c r="N5" s="1">
        <f>1021752.644-5014.071-0-0-21.99</f>
        <v>1016716.583</v>
      </c>
      <c r="O5" s="1">
        <f>1062047.252-5325.064-0-0-0</f>
        <v>1056722.1880000001</v>
      </c>
      <c r="P5" s="1">
        <f>SUM(P10:P62)</f>
        <v>1065288.1160000002</v>
      </c>
      <c r="Q5" s="1">
        <f>SUM(Q10:Q62)</f>
        <v>1096050.2439999999</v>
      </c>
      <c r="R5" s="1">
        <f>SUM(R10:R62)</f>
        <v>1139660.4359999998</v>
      </c>
      <c r="S5" s="74">
        <f>674195-8735-0-0-0</f>
        <v>665460</v>
      </c>
      <c r="T5" s="60">
        <v>781015</v>
      </c>
      <c r="U5" s="3">
        <f>715779-10345-0-0-52</f>
        <v>705382</v>
      </c>
      <c r="V5" s="3">
        <f>673549-9757-0-0-19</f>
        <v>663773</v>
      </c>
      <c r="W5" s="3">
        <f>692064-11751-0-0-18</f>
        <v>680295</v>
      </c>
      <c r="X5" s="3">
        <f>695909-8870-0-0</f>
        <v>687039</v>
      </c>
      <c r="Y5" s="3">
        <f>660218-8064-0-0-53</f>
        <v>652101</v>
      </c>
      <c r="Z5" s="1">
        <f>654214-8396</f>
        <v>645818</v>
      </c>
      <c r="AA5" s="1">
        <f>668771-9685-0-0-19</f>
        <v>659067</v>
      </c>
      <c r="AB5" s="1">
        <f>684730-11568-0-0-4</f>
        <v>673158</v>
      </c>
      <c r="AC5" s="1">
        <f>663347-10415-0-0-0</f>
        <v>652932</v>
      </c>
      <c r="AD5" s="65">
        <f>((AE5-AC5)/2)+AC5</f>
        <v>659096</v>
      </c>
      <c r="AE5" s="1">
        <f>674169-8896-0-0-13</f>
        <v>665260</v>
      </c>
      <c r="AF5" s="1">
        <f>679102-9622-0-0-0</f>
        <v>669480</v>
      </c>
      <c r="AG5" s="3">
        <f>SUM(AG10:AG62)</f>
        <v>660221</v>
      </c>
      <c r="AH5" s="3">
        <f>SUM(AH10:AH62)</f>
        <v>647308</v>
      </c>
      <c r="AI5" s="3">
        <f>SUM(AI10:AI62)</f>
        <v>634415</v>
      </c>
    </row>
    <row r="6" spans="1:35">
      <c r="A6" s="1" t="s">
        <v>21</v>
      </c>
      <c r="B6" s="14">
        <f t="shared" ref="B6:L6" si="0">SUM(B10:B25)</f>
        <v>142955.28599999999</v>
      </c>
      <c r="C6" s="60">
        <f t="shared" si="0"/>
        <v>51804</v>
      </c>
      <c r="D6" s="3">
        <f t="shared" si="0"/>
        <v>175554.30100000001</v>
      </c>
      <c r="E6" s="3">
        <f t="shared" si="0"/>
        <v>180401.37099999998</v>
      </c>
      <c r="F6" s="3">
        <f t="shared" si="0"/>
        <v>201925.21600000001</v>
      </c>
      <c r="G6" s="3">
        <f t="shared" si="0"/>
        <v>210163.23699999999</v>
      </c>
      <c r="H6" s="3">
        <f t="shared" si="0"/>
        <v>197771.041</v>
      </c>
      <c r="I6" s="3">
        <f t="shared" si="0"/>
        <v>195998.88800000001</v>
      </c>
      <c r="J6" s="3">
        <f t="shared" si="0"/>
        <v>203713.33299999998</v>
      </c>
      <c r="K6" s="3">
        <f t="shared" si="0"/>
        <v>214276.31500000003</v>
      </c>
      <c r="L6" s="3">
        <f t="shared" si="0"/>
        <v>219220.628</v>
      </c>
      <c r="M6" s="65">
        <f>((N6-L6)/2)+L6</f>
        <v>221299.53450000001</v>
      </c>
      <c r="N6" s="3">
        <f t="shared" ref="N6:AC6" si="1">SUM(N10:N25)</f>
        <v>223378.44100000002</v>
      </c>
      <c r="O6" s="3">
        <f t="shared" si="1"/>
        <v>236034.29700000005</v>
      </c>
      <c r="P6" s="3">
        <f>SUM(P10:P25)</f>
        <v>237351.58699999997</v>
      </c>
      <c r="Q6" s="3">
        <f>SUM(Q10:Q25)</f>
        <v>239197.27699999997</v>
      </c>
      <c r="R6" s="3">
        <f>SUM(R10:R25)</f>
        <v>254493.69199999995</v>
      </c>
      <c r="S6" s="74">
        <f t="shared" si="1"/>
        <v>166891</v>
      </c>
      <c r="T6" s="60">
        <f t="shared" si="1"/>
        <v>193554</v>
      </c>
      <c r="U6" s="3">
        <f t="shared" si="1"/>
        <v>161578</v>
      </c>
      <c r="V6" s="3">
        <f t="shared" si="1"/>
        <v>148595</v>
      </c>
      <c r="W6" s="3">
        <f t="shared" si="1"/>
        <v>155418</v>
      </c>
      <c r="X6" s="3">
        <f t="shared" si="1"/>
        <v>158508</v>
      </c>
      <c r="Y6" s="3">
        <f t="shared" si="1"/>
        <v>143534</v>
      </c>
      <c r="Z6" s="3">
        <f t="shared" si="1"/>
        <v>140341</v>
      </c>
      <c r="AA6" s="3">
        <f t="shared" si="1"/>
        <v>141368</v>
      </c>
      <c r="AB6" s="3">
        <f t="shared" si="1"/>
        <v>136337</v>
      </c>
      <c r="AC6" s="3">
        <f t="shared" si="1"/>
        <v>136559</v>
      </c>
      <c r="AD6" s="131">
        <f t="shared" ref="AD6:AD25" si="2">((AE6-AC6)/2)+AC6</f>
        <v>135806</v>
      </c>
      <c r="AE6" s="3">
        <f>SUM(AE10:AE25)</f>
        <v>135053</v>
      </c>
      <c r="AF6" s="3">
        <f>SUM(AF10:AF25)</f>
        <v>137838</v>
      </c>
      <c r="AG6" s="3">
        <f>SUM(AG10:AG25)</f>
        <v>136834</v>
      </c>
      <c r="AH6" s="3">
        <f>SUM(AH10:AH25)</f>
        <v>127659</v>
      </c>
      <c r="AI6" s="3">
        <f>SUM(AI10:AI25)</f>
        <v>127672</v>
      </c>
    </row>
    <row r="7" spans="1:35">
      <c r="A7" s="1" t="s">
        <v>22</v>
      </c>
      <c r="B7" s="15"/>
      <c r="C7" s="61"/>
      <c r="D7" s="5"/>
      <c r="E7" s="5"/>
      <c r="F7" s="5"/>
      <c r="G7" s="5"/>
      <c r="H7" s="5"/>
      <c r="I7" s="5"/>
      <c r="J7" s="5"/>
      <c r="K7" s="5"/>
      <c r="L7" s="5"/>
      <c r="M7" s="65"/>
      <c r="N7" s="5"/>
      <c r="O7" s="5"/>
      <c r="P7" s="5"/>
      <c r="Q7" s="5"/>
      <c r="R7" s="5"/>
      <c r="S7" s="75"/>
      <c r="T7" s="61"/>
      <c r="U7" s="5"/>
      <c r="V7" s="5"/>
      <c r="W7" s="5"/>
      <c r="X7" s="5"/>
      <c r="Y7" s="5"/>
      <c r="Z7" s="5"/>
      <c r="AA7" s="5"/>
      <c r="AB7" s="5"/>
      <c r="AC7" s="5"/>
      <c r="AD7" s="131"/>
      <c r="AE7" s="5"/>
      <c r="AF7" s="5"/>
    </row>
    <row r="8" spans="1:35">
      <c r="A8" s="1" t="s">
        <v>23</v>
      </c>
      <c r="B8" s="16">
        <f t="shared" ref="B8:L8" si="3">(B6/B5)*100</f>
        <v>24.151038996550838</v>
      </c>
      <c r="C8" s="62">
        <f t="shared" si="3"/>
        <v>27.05777276359705</v>
      </c>
      <c r="D8" s="6">
        <f t="shared" si="3"/>
        <v>23.153881471185141</v>
      </c>
      <c r="E8" s="6">
        <f t="shared" si="3"/>
        <v>22.56347381200758</v>
      </c>
      <c r="F8" s="6">
        <f t="shared" si="3"/>
        <v>23.242329876473686</v>
      </c>
      <c r="G8" s="6">
        <f t="shared" si="3"/>
        <v>23.421190300452</v>
      </c>
      <c r="H8" s="6">
        <f t="shared" si="3"/>
        <v>22.832781316969811</v>
      </c>
      <c r="I8" s="6">
        <f t="shared" si="3"/>
        <v>22.690568424990282</v>
      </c>
      <c r="J8" s="6">
        <f t="shared" si="3"/>
        <v>22.964129012117777</v>
      </c>
      <c r="K8" s="6">
        <f t="shared" si="3"/>
        <v>23.495669818213365</v>
      </c>
      <c r="L8" s="6">
        <f t="shared" si="3"/>
        <v>22.722226647618225</v>
      </c>
      <c r="M8" s="66">
        <f>((N8-L8)/2)+L8</f>
        <v>22.346398935109114</v>
      </c>
      <c r="N8" s="6">
        <f t="shared" ref="N8:AG8" si="4">(N6/N5)*100</f>
        <v>21.9705712226</v>
      </c>
      <c r="O8" s="6">
        <f t="shared" si="4"/>
        <v>22.336456987501055</v>
      </c>
      <c r="P8" s="6">
        <f>(P6/P5)*100</f>
        <v>22.280506412783442</v>
      </c>
      <c r="Q8" s="6">
        <f>(Q6/Q5)*100</f>
        <v>21.823568610053609</v>
      </c>
      <c r="R8" s="6">
        <f>(R6/R5)*100</f>
        <v>22.330659550947157</v>
      </c>
      <c r="S8" s="76">
        <f t="shared" si="4"/>
        <v>25.079043067952995</v>
      </c>
      <c r="T8" s="62">
        <f t="shared" si="4"/>
        <v>24.782366535853985</v>
      </c>
      <c r="U8" s="6">
        <f t="shared" si="4"/>
        <v>22.906453524473264</v>
      </c>
      <c r="V8" s="6">
        <f t="shared" si="4"/>
        <v>22.38641824840721</v>
      </c>
      <c r="W8" s="6">
        <f t="shared" si="4"/>
        <v>22.845677242960775</v>
      </c>
      <c r="X8" s="6">
        <f t="shared" si="4"/>
        <v>23.071179365363541</v>
      </c>
      <c r="Y8" s="6">
        <f t="shared" si="4"/>
        <v>22.011007497304867</v>
      </c>
      <c r="Z8" s="6">
        <f t="shared" si="4"/>
        <v>21.730735284553855</v>
      </c>
      <c r="AA8" s="6">
        <f t="shared" si="4"/>
        <v>21.449716037974895</v>
      </c>
      <c r="AB8" s="6">
        <f t="shared" si="4"/>
        <v>20.253343197288007</v>
      </c>
      <c r="AC8" s="6">
        <f t="shared" si="4"/>
        <v>20.914735378262975</v>
      </c>
      <c r="AD8" s="132">
        <f t="shared" si="2"/>
        <v>20.607760016943171</v>
      </c>
      <c r="AE8" s="6">
        <f t="shared" si="4"/>
        <v>20.300784655623367</v>
      </c>
      <c r="AF8" s="6">
        <f t="shared" si="4"/>
        <v>20.588815199856604</v>
      </c>
      <c r="AG8" s="6">
        <f t="shared" si="4"/>
        <v>20.725484345393436</v>
      </c>
      <c r="AH8" s="6">
        <f>(AH6/AH5)*100</f>
        <v>19.72152360236549</v>
      </c>
      <c r="AI8" s="6">
        <f>(AI6/AI5)*100</f>
        <v>20.124366542405209</v>
      </c>
    </row>
    <row r="9" spans="1:35">
      <c r="A9" s="1"/>
      <c r="B9" s="12"/>
      <c r="C9" s="58"/>
      <c r="D9" s="1"/>
      <c r="E9" s="1"/>
      <c r="F9" s="1"/>
      <c r="G9" s="1"/>
      <c r="H9" s="1"/>
      <c r="I9" s="1"/>
      <c r="J9" s="1"/>
      <c r="K9" s="1"/>
      <c r="L9" s="1"/>
      <c r="M9" s="65"/>
      <c r="N9" s="1"/>
      <c r="O9" s="1"/>
      <c r="P9" s="97"/>
      <c r="Q9" s="68"/>
      <c r="R9" s="68"/>
      <c r="S9" s="72"/>
      <c r="T9" s="58"/>
      <c r="U9" s="1"/>
      <c r="V9" s="1"/>
      <c r="W9" s="1"/>
      <c r="X9" s="1"/>
      <c r="Y9" s="1"/>
      <c r="Z9" s="1"/>
      <c r="AA9" s="1"/>
      <c r="AB9" s="1"/>
      <c r="AC9" s="1"/>
      <c r="AD9" s="65"/>
      <c r="AE9" s="1"/>
      <c r="AF9" s="1"/>
    </row>
    <row r="10" spans="1:35">
      <c r="A10" s="1" t="s">
        <v>24</v>
      </c>
      <c r="B10" s="14">
        <f>ROUND(8537,0)</f>
        <v>8537</v>
      </c>
      <c r="C10" s="60">
        <f>ROUND(2793,0)</f>
        <v>2793</v>
      </c>
      <c r="D10" s="3">
        <f>ROUND(9260,0)</f>
        <v>9260</v>
      </c>
      <c r="E10" s="3">
        <f>ROUND(8847247/1000,0)</f>
        <v>8847</v>
      </c>
      <c r="F10" s="3">
        <f>ROUND(10148310/1000,0)</f>
        <v>10148</v>
      </c>
      <c r="G10" s="3">
        <f>ROUND(10393996/1000,0)</f>
        <v>10394</v>
      </c>
      <c r="H10" s="3">
        <f>ROUND(8992207/1000,0)</f>
        <v>8992</v>
      </c>
      <c r="I10" s="1">
        <f>ROUND(8817.687,0)</f>
        <v>8818</v>
      </c>
      <c r="J10" s="1">
        <f>ROUND(9101.687,0)</f>
        <v>9102</v>
      </c>
      <c r="K10" s="1">
        <f>ROUND(10054.447,0)</f>
        <v>10054</v>
      </c>
      <c r="L10" s="1">
        <v>10430.69</v>
      </c>
      <c r="M10" s="65">
        <f t="shared" ref="M10:M25" si="5">((N10-L10)/2)+L10</f>
        <v>10281.874</v>
      </c>
      <c r="N10" s="1">
        <v>10133.058000000001</v>
      </c>
      <c r="O10" s="1">
        <v>9304.2620000000006</v>
      </c>
      <c r="P10" s="93">
        <v>11041.195</v>
      </c>
      <c r="Q10" s="68">
        <v>12024.144</v>
      </c>
      <c r="R10" s="68">
        <v>12751.413</v>
      </c>
      <c r="S10" s="74">
        <f>ROUND(10440,0)</f>
        <v>10440</v>
      </c>
      <c r="T10" s="60">
        <f>ROUND(11136,0)</f>
        <v>11136</v>
      </c>
      <c r="U10" s="3">
        <f>ROUND(8671,0)</f>
        <v>8671</v>
      </c>
      <c r="V10" s="3">
        <f>ROUND(6908,0)</f>
        <v>6908</v>
      </c>
      <c r="W10" s="3">
        <f>ROUND(7444,0)</f>
        <v>7444</v>
      </c>
      <c r="X10" s="3">
        <f>ROUND(7241,0)</f>
        <v>7241</v>
      </c>
      <c r="Y10" s="3">
        <f>ROUND(6382,0)</f>
        <v>6382</v>
      </c>
      <c r="Z10" s="1">
        <f>ROUND(6242,0)</f>
        <v>6242</v>
      </c>
      <c r="AA10" s="1">
        <f>ROUND(6074,0)</f>
        <v>6074</v>
      </c>
      <c r="AB10" s="1">
        <v>6171</v>
      </c>
      <c r="AC10" s="1">
        <v>6194</v>
      </c>
      <c r="AD10" s="65">
        <f t="shared" si="2"/>
        <v>6360.5</v>
      </c>
      <c r="AE10" s="1">
        <v>6527</v>
      </c>
      <c r="AF10" s="1">
        <v>5771</v>
      </c>
      <c r="AG10">
        <v>6099</v>
      </c>
      <c r="AH10">
        <v>6047</v>
      </c>
      <c r="AI10" s="90">
        <v>6193</v>
      </c>
    </row>
    <row r="11" spans="1:35">
      <c r="A11" s="1" t="s">
        <v>25</v>
      </c>
      <c r="B11" s="14">
        <f>ROUND(5065,0)</f>
        <v>5065</v>
      </c>
      <c r="C11" s="60">
        <f>ROUND(1585,0)</f>
        <v>1585</v>
      </c>
      <c r="D11" s="3">
        <f>ROUND(5365,0)</f>
        <v>5365</v>
      </c>
      <c r="E11" s="3">
        <f>ROUND(6613708/1000,0)</f>
        <v>6614</v>
      </c>
      <c r="F11" s="3">
        <f>ROUND(6138296/1000,0)</f>
        <v>6138</v>
      </c>
      <c r="G11" s="3">
        <f>ROUND(6490392/1000,0)</f>
        <v>6490</v>
      </c>
      <c r="H11" s="3">
        <f>ROUND(6557223/1000,0)</f>
        <v>6557</v>
      </c>
      <c r="I11" s="1">
        <f>ROUND(5462.928,0)</f>
        <v>5463</v>
      </c>
      <c r="J11" s="1">
        <f>ROUND(6214.386,0)</f>
        <v>6214</v>
      </c>
      <c r="K11" s="1">
        <f>ROUND(6423.465,0)</f>
        <v>6423</v>
      </c>
      <c r="L11" s="1">
        <v>6555.5029999999997</v>
      </c>
      <c r="M11" s="65">
        <f t="shared" si="5"/>
        <v>6560.5264999999999</v>
      </c>
      <c r="N11" s="1">
        <v>6565.55</v>
      </c>
      <c r="O11" s="1">
        <v>6906.7139999999999</v>
      </c>
      <c r="P11" s="93">
        <v>6856.1</v>
      </c>
      <c r="Q11" s="68">
        <v>6289.366</v>
      </c>
      <c r="R11" s="68">
        <v>6822.3720000000003</v>
      </c>
      <c r="S11" s="74">
        <f>ROUND(6428,0)</f>
        <v>6428</v>
      </c>
      <c r="T11" s="60">
        <f>ROUND(5985,0)</f>
        <v>5985</v>
      </c>
      <c r="U11" s="3">
        <f>ROUND(5582,0)</f>
        <v>5582</v>
      </c>
      <c r="V11" s="3">
        <f>ROUND(5989,0)</f>
        <v>5989</v>
      </c>
      <c r="W11" s="3">
        <f>ROUND(5548,0)</f>
        <v>5548</v>
      </c>
      <c r="X11" s="3">
        <f>ROUND(7131,0)</f>
        <v>7131</v>
      </c>
      <c r="Y11" s="3">
        <f>ROUND(5002,0)</f>
        <v>5002</v>
      </c>
      <c r="Z11" s="1">
        <f>ROUND(4580,0)</f>
        <v>4580</v>
      </c>
      <c r="AA11" s="1">
        <f>ROUND(4322,0)</f>
        <v>4322</v>
      </c>
      <c r="AB11" s="1">
        <v>4147</v>
      </c>
      <c r="AC11" s="1">
        <v>4026</v>
      </c>
      <c r="AD11" s="65">
        <f t="shared" si="2"/>
        <v>4020.5</v>
      </c>
      <c r="AE11" s="1">
        <v>4015</v>
      </c>
      <c r="AF11" s="1">
        <v>4067</v>
      </c>
      <c r="AG11">
        <v>4063</v>
      </c>
      <c r="AH11">
        <v>3571</v>
      </c>
      <c r="AI11" s="90">
        <v>4194</v>
      </c>
    </row>
    <row r="12" spans="1:35">
      <c r="A12" s="1" t="s">
        <v>120</v>
      </c>
      <c r="B12" s="14">
        <v>1532.2860000000001</v>
      </c>
      <c r="C12" s="60"/>
      <c r="D12" s="3">
        <v>2022.3009999999999</v>
      </c>
      <c r="E12" s="3">
        <v>2173.3710000000001</v>
      </c>
      <c r="F12" s="3">
        <v>2438.2159999999999</v>
      </c>
      <c r="G12" s="3">
        <v>2594.2370000000001</v>
      </c>
      <c r="H12" s="3">
        <v>2198.0410000000002</v>
      </c>
      <c r="I12" s="1">
        <v>2054.8879999999999</v>
      </c>
      <c r="J12" s="1">
        <v>1805.3330000000001</v>
      </c>
      <c r="K12" s="1">
        <v>2141.6010000000001</v>
      </c>
      <c r="L12" s="1">
        <v>2079.4650000000001</v>
      </c>
      <c r="M12" s="65">
        <f t="shared" si="5"/>
        <v>2194.1815000000001</v>
      </c>
      <c r="N12" s="1">
        <v>2308.8980000000001</v>
      </c>
      <c r="O12" s="1">
        <v>2577.6060000000002</v>
      </c>
      <c r="P12" s="93">
        <v>2450.902</v>
      </c>
      <c r="Q12" s="68">
        <v>2165.6509999999998</v>
      </c>
      <c r="R12" s="68">
        <v>2750.3270000000002</v>
      </c>
      <c r="S12" s="74">
        <v>1793</v>
      </c>
      <c r="T12" s="60"/>
      <c r="U12" s="3">
        <v>1827</v>
      </c>
      <c r="V12" s="3">
        <v>1764</v>
      </c>
      <c r="W12" s="3">
        <v>1769</v>
      </c>
      <c r="X12" s="3">
        <v>1780</v>
      </c>
      <c r="Y12" s="3">
        <v>1459</v>
      </c>
      <c r="Z12" s="1">
        <v>1378</v>
      </c>
      <c r="AA12" s="1">
        <v>1445</v>
      </c>
      <c r="AB12" s="1">
        <v>1715</v>
      </c>
      <c r="AC12" s="1">
        <v>1482</v>
      </c>
      <c r="AD12" s="65">
        <f t="shared" si="2"/>
        <v>1615</v>
      </c>
      <c r="AE12" s="1">
        <v>1748</v>
      </c>
      <c r="AF12" s="1">
        <v>1792</v>
      </c>
      <c r="AG12">
        <v>1838</v>
      </c>
      <c r="AH12">
        <v>1862</v>
      </c>
      <c r="AI12" s="90">
        <v>1552</v>
      </c>
    </row>
    <row r="13" spans="1:35">
      <c r="A13" s="1" t="s">
        <v>26</v>
      </c>
      <c r="B13" s="14">
        <f>ROUND(15004,0)</f>
        <v>15004</v>
      </c>
      <c r="C13" s="60">
        <f>ROUND(5328,0)</f>
        <v>5328</v>
      </c>
      <c r="D13" s="3">
        <f>ROUND(19823,0)</f>
        <v>19823</v>
      </c>
      <c r="E13" s="3">
        <f>ROUND(17765617/1000,0)</f>
        <v>17766</v>
      </c>
      <c r="F13" s="3">
        <f>ROUND(20885612/1000,0)</f>
        <v>20886</v>
      </c>
      <c r="G13" s="3">
        <f>ROUND(21333332/1000,0)</f>
        <v>21333</v>
      </c>
      <c r="H13" s="3">
        <f>ROUND(18383226/1000,0)</f>
        <v>18383</v>
      </c>
      <c r="I13" s="1">
        <f>ROUND(20120.816,0)</f>
        <v>20121</v>
      </c>
      <c r="J13" s="1">
        <f>ROUND(21984.574,0)</f>
        <v>21985</v>
      </c>
      <c r="K13" s="1">
        <v>19267.921999999999</v>
      </c>
      <c r="L13" s="1">
        <v>22151.073</v>
      </c>
      <c r="M13" s="65">
        <f t="shared" si="5"/>
        <v>22118.095000000001</v>
      </c>
      <c r="N13" s="1">
        <v>22085.116999999998</v>
      </c>
      <c r="O13" s="1">
        <v>22722.721000000001</v>
      </c>
      <c r="P13" s="93">
        <v>23105.249</v>
      </c>
      <c r="Q13" s="68">
        <v>22236.920999999998</v>
      </c>
      <c r="R13" s="68">
        <v>24434.777999999998</v>
      </c>
      <c r="S13" s="74">
        <f>ROUND(15665,0)</f>
        <v>15665</v>
      </c>
      <c r="T13" s="60">
        <f>ROUND(18051,0)</f>
        <v>18051</v>
      </c>
      <c r="U13" s="3">
        <f>ROUND(18340,0)</f>
        <v>18340</v>
      </c>
      <c r="V13" s="3">
        <f>ROUND(14883,0)</f>
        <v>14883</v>
      </c>
      <c r="W13" s="3">
        <f>ROUND(17040,0)</f>
        <v>17040</v>
      </c>
      <c r="X13" s="3">
        <f>ROUND(16690,0)</f>
        <v>16690</v>
      </c>
      <c r="Y13" s="3">
        <f>ROUND(14425,0)</f>
        <v>14425</v>
      </c>
      <c r="Z13" s="1">
        <f>ROUND(14827,0)</f>
        <v>14827</v>
      </c>
      <c r="AA13" s="1">
        <f>ROUND(17421,0)</f>
        <v>17421</v>
      </c>
      <c r="AB13" s="1">
        <v>14468</v>
      </c>
      <c r="AC13" s="1">
        <v>16677</v>
      </c>
      <c r="AD13" s="65">
        <f t="shared" si="2"/>
        <v>16207</v>
      </c>
      <c r="AE13" s="1">
        <v>15737</v>
      </c>
      <c r="AF13" s="1">
        <v>15737</v>
      </c>
      <c r="AG13">
        <v>15657</v>
      </c>
      <c r="AH13">
        <v>13709</v>
      </c>
      <c r="AI13" s="90">
        <v>14222</v>
      </c>
    </row>
    <row r="14" spans="1:35">
      <c r="A14" s="1" t="s">
        <v>27</v>
      </c>
      <c r="B14" s="14">
        <f>ROUND(8451,0)</f>
        <v>8451</v>
      </c>
      <c r="C14" s="60">
        <f>ROUND(3174,0)</f>
        <v>3174</v>
      </c>
      <c r="D14" s="3">
        <f>ROUND(11470,0)</f>
        <v>11470</v>
      </c>
      <c r="E14" s="3">
        <f>ROUND(11051778/1000,0)</f>
        <v>11052</v>
      </c>
      <c r="F14" s="3">
        <f>ROUND(13243251/1000,0)</f>
        <v>13243</v>
      </c>
      <c r="G14" s="3">
        <f>ROUND(13375814/1000,0)</f>
        <v>13376</v>
      </c>
      <c r="H14" s="3">
        <f>ROUND(14968435/1000,0)</f>
        <v>14968</v>
      </c>
      <c r="I14" s="1">
        <f>ROUND(12830.834,0)</f>
        <v>12831</v>
      </c>
      <c r="J14" s="1">
        <f>ROUND(12341.872,0)</f>
        <v>12342</v>
      </c>
      <c r="K14" s="1">
        <v>12604.692999999999</v>
      </c>
      <c r="L14" s="1">
        <v>13014.337</v>
      </c>
      <c r="M14" s="65">
        <f t="shared" si="5"/>
        <v>13108.298500000001</v>
      </c>
      <c r="N14" s="1">
        <v>13202.26</v>
      </c>
      <c r="O14" s="1">
        <v>13721.489</v>
      </c>
      <c r="P14" s="93">
        <v>12823.111000000001</v>
      </c>
      <c r="Q14" s="68">
        <v>15215.618</v>
      </c>
      <c r="R14" s="68">
        <v>13893.89</v>
      </c>
      <c r="S14" s="74">
        <f>ROUND(11246,0)</f>
        <v>11246</v>
      </c>
      <c r="T14" s="60">
        <f>ROUND(14247,0)</f>
        <v>14247</v>
      </c>
      <c r="U14" s="3">
        <f>ROUND(10820,0)</f>
        <v>10820</v>
      </c>
      <c r="V14" s="3">
        <f>ROUND(9616,0)</f>
        <v>9616</v>
      </c>
      <c r="W14" s="3">
        <f>ROUND(10224,0)</f>
        <v>10224</v>
      </c>
      <c r="X14" s="3">
        <f>ROUND(10633,0)</f>
        <v>10633</v>
      </c>
      <c r="Y14" s="3">
        <f>ROUND(10285,0)</f>
        <v>10285</v>
      </c>
      <c r="Z14" s="1">
        <f>ROUND(8775,0)</f>
        <v>8775</v>
      </c>
      <c r="AA14" s="1">
        <f>ROUND(8061,0)</f>
        <v>8061</v>
      </c>
      <c r="AB14" s="1">
        <v>7709</v>
      </c>
      <c r="AC14" s="1">
        <v>8185</v>
      </c>
      <c r="AD14" s="65">
        <f t="shared" si="2"/>
        <v>8213</v>
      </c>
      <c r="AE14" s="1">
        <v>8241</v>
      </c>
      <c r="AF14" s="1">
        <v>8099</v>
      </c>
      <c r="AG14">
        <v>7314</v>
      </c>
      <c r="AH14">
        <v>7515</v>
      </c>
      <c r="AI14" s="90">
        <v>6422</v>
      </c>
    </row>
    <row r="15" spans="1:35">
      <c r="A15" s="1" t="s">
        <v>28</v>
      </c>
      <c r="B15" s="14">
        <f>ROUND(8186,0)</f>
        <v>8186</v>
      </c>
      <c r="C15" s="60">
        <f>ROUND(2656,0)</f>
        <v>2656</v>
      </c>
      <c r="D15" s="3">
        <f>ROUND(9489,0)</f>
        <v>9489</v>
      </c>
      <c r="E15" s="3">
        <f>ROUND(9595404/1000,0)</f>
        <v>9595</v>
      </c>
      <c r="F15" s="3">
        <f>ROUND(11033217/1000,0)</f>
        <v>11033</v>
      </c>
      <c r="G15" s="3">
        <f>ROUND(12029348/1000,0)</f>
        <v>12029</v>
      </c>
      <c r="H15" s="3">
        <f>ROUND(10261577/1000,0)</f>
        <v>10262</v>
      </c>
      <c r="I15" s="1">
        <f>ROUND(10798.45,0)</f>
        <v>10798</v>
      </c>
      <c r="J15" s="1">
        <f>ROUND(10812.692,0)</f>
        <v>10813</v>
      </c>
      <c r="K15" s="1">
        <v>10974.82</v>
      </c>
      <c r="L15" s="1">
        <v>11970.92</v>
      </c>
      <c r="M15" s="65">
        <f t="shared" si="5"/>
        <v>11696.347</v>
      </c>
      <c r="N15" s="1">
        <v>11421.773999999999</v>
      </c>
      <c r="O15" s="1">
        <v>12006.664000000001</v>
      </c>
      <c r="P15" s="93">
        <v>11555.34</v>
      </c>
      <c r="Q15" s="68">
        <v>10880.189</v>
      </c>
      <c r="R15" s="68">
        <v>14102.071</v>
      </c>
      <c r="S15" s="74">
        <f>ROUND(11576,0)</f>
        <v>11576</v>
      </c>
      <c r="T15" s="60">
        <f>ROUND(12236,0)</f>
        <v>12236</v>
      </c>
      <c r="U15" s="3">
        <f>ROUND(10087,0)</f>
        <v>10087</v>
      </c>
      <c r="V15" s="3">
        <f>ROUND(9292,0)</f>
        <v>9292</v>
      </c>
      <c r="W15" s="3">
        <f>ROUND(10390,0)</f>
        <v>10390</v>
      </c>
      <c r="X15" s="3">
        <f>ROUND(10859,0)</f>
        <v>10859</v>
      </c>
      <c r="Y15" s="3">
        <f>ROUND(9537,0)</f>
        <v>9537</v>
      </c>
      <c r="Z15" s="1">
        <f>ROUND(9149,0)</f>
        <v>9149</v>
      </c>
      <c r="AA15" s="1">
        <f>ROUND(8594,0)</f>
        <v>8594</v>
      </c>
      <c r="AB15" s="1">
        <v>8133</v>
      </c>
      <c r="AC15" s="1">
        <v>8296</v>
      </c>
      <c r="AD15" s="65">
        <f t="shared" si="2"/>
        <v>8204</v>
      </c>
      <c r="AE15" s="1">
        <v>8112</v>
      </c>
      <c r="AF15" s="1">
        <v>7846</v>
      </c>
      <c r="AG15">
        <v>7766</v>
      </c>
      <c r="AH15">
        <v>6831</v>
      </c>
      <c r="AI15" s="90">
        <v>8484</v>
      </c>
    </row>
    <row r="16" spans="1:35">
      <c r="A16" s="1" t="s">
        <v>29</v>
      </c>
      <c r="B16" s="14">
        <f>ROUND(9052,0)</f>
        <v>9052</v>
      </c>
      <c r="C16" s="60">
        <f>ROUND(3137,0)</f>
        <v>3137</v>
      </c>
      <c r="D16" s="3">
        <f>ROUND(9647,0)</f>
        <v>9647</v>
      </c>
      <c r="E16" s="3">
        <f>ROUND(10070038/1000,0)</f>
        <v>10070</v>
      </c>
      <c r="F16" s="3">
        <f>ROUND(12503589/1000,0)</f>
        <v>12504</v>
      </c>
      <c r="G16" s="3">
        <f>ROUND(10688464/1000,0)</f>
        <v>10688</v>
      </c>
      <c r="H16" s="3">
        <f>ROUND(11175086/1000,0)</f>
        <v>11175</v>
      </c>
      <c r="I16" s="1">
        <f>ROUND(10007.414,0)</f>
        <v>10007</v>
      </c>
      <c r="J16" s="1">
        <f>ROUND(11705.083,0)</f>
        <v>11705</v>
      </c>
      <c r="K16" s="1">
        <v>12597.431</v>
      </c>
      <c r="L16" s="1">
        <v>12925.623</v>
      </c>
      <c r="M16" s="65">
        <f t="shared" si="5"/>
        <v>12572.936</v>
      </c>
      <c r="N16" s="1">
        <v>12220.249</v>
      </c>
      <c r="O16" s="1">
        <v>14520.852000000001</v>
      </c>
      <c r="P16" s="93">
        <v>14309.174000000001</v>
      </c>
      <c r="Q16" s="68">
        <v>14339.949000000001</v>
      </c>
      <c r="R16" s="68">
        <v>14928.58</v>
      </c>
      <c r="S16" s="74">
        <f>ROUND(10423,0)</f>
        <v>10423</v>
      </c>
      <c r="T16" s="60">
        <f>ROUND(12490,0)</f>
        <v>12490</v>
      </c>
      <c r="U16" s="3">
        <f>ROUND(8244,0)</f>
        <v>8244</v>
      </c>
      <c r="V16" s="3">
        <f>ROUND(8155,0)</f>
        <v>8155</v>
      </c>
      <c r="W16" s="3">
        <f>ROUND(8857,0)</f>
        <v>8857</v>
      </c>
      <c r="X16" s="3">
        <f>ROUND(7884,0)</f>
        <v>7884</v>
      </c>
      <c r="Y16" s="3">
        <f>ROUND(7716,0)</f>
        <v>7716</v>
      </c>
      <c r="Z16" s="1">
        <f>ROUND(6578,0)</f>
        <v>6578</v>
      </c>
      <c r="AA16" s="1">
        <f>ROUND(7213,0)</f>
        <v>7213</v>
      </c>
      <c r="AB16" s="1">
        <v>7507</v>
      </c>
      <c r="AC16" s="1">
        <v>7193</v>
      </c>
      <c r="AD16" s="65">
        <f t="shared" si="2"/>
        <v>6955</v>
      </c>
      <c r="AE16" s="1">
        <v>6717</v>
      </c>
      <c r="AF16" s="1">
        <v>7494</v>
      </c>
      <c r="AG16">
        <v>6932</v>
      </c>
      <c r="AH16">
        <v>6501</v>
      </c>
      <c r="AI16" s="90">
        <v>6613</v>
      </c>
    </row>
    <row r="17" spans="1:35">
      <c r="A17" s="1" t="s">
        <v>30</v>
      </c>
      <c r="B17" s="14">
        <f>ROUND(7842,0)</f>
        <v>7842</v>
      </c>
      <c r="C17" s="60">
        <f>ROUND(2873,0)</f>
        <v>2873</v>
      </c>
      <c r="D17" s="3">
        <f>ROUND(10109,0)</f>
        <v>10109</v>
      </c>
      <c r="E17" s="3">
        <f>ROUND(10718818/1000,0)</f>
        <v>10719</v>
      </c>
      <c r="F17" s="3">
        <f>ROUND(11849533/1000,0)</f>
        <v>11850</v>
      </c>
      <c r="G17" s="3">
        <f>ROUND(12925444/1000,0)</f>
        <v>12925</v>
      </c>
      <c r="H17" s="3">
        <f>ROUND(13083490/1000,0)</f>
        <v>13083</v>
      </c>
      <c r="I17" s="1">
        <f>ROUND(13769.546,0)</f>
        <v>13770</v>
      </c>
      <c r="J17" s="1">
        <f>ROUND(13297.102,0)</f>
        <v>13297</v>
      </c>
      <c r="K17" s="1">
        <v>13625.004999999999</v>
      </c>
      <c r="L17" s="1">
        <v>13696.079</v>
      </c>
      <c r="M17" s="65">
        <f t="shared" si="5"/>
        <v>14094.7845</v>
      </c>
      <c r="N17" s="1">
        <v>14493.49</v>
      </c>
      <c r="O17" s="1">
        <v>15392.21</v>
      </c>
      <c r="P17" s="93">
        <v>15179.155000000001</v>
      </c>
      <c r="Q17" s="68">
        <v>16109.49</v>
      </c>
      <c r="R17" s="68">
        <v>17667.062999999998</v>
      </c>
      <c r="S17" s="74">
        <f>ROUND(9112,0)</f>
        <v>9112</v>
      </c>
      <c r="T17" s="60">
        <f>ROUND(7779,0)</f>
        <v>7779</v>
      </c>
      <c r="U17" s="3">
        <f>ROUND(9208,0)</f>
        <v>9208</v>
      </c>
      <c r="V17" s="3">
        <f>ROUND(8583,0)</f>
        <v>8583</v>
      </c>
      <c r="W17" s="3">
        <f>ROUND(8199,0)</f>
        <v>8199</v>
      </c>
      <c r="X17" s="3">
        <f>ROUND(9002,0)</f>
        <v>9002</v>
      </c>
      <c r="Y17" s="3">
        <f>ROUND(8917,0)</f>
        <v>8917</v>
      </c>
      <c r="Z17" s="1">
        <f>ROUND(9448,0)</f>
        <v>9448</v>
      </c>
      <c r="AA17" s="1">
        <f>ROUND(8826,0)</f>
        <v>8826</v>
      </c>
      <c r="AB17" s="1">
        <v>8491</v>
      </c>
      <c r="AC17" s="1">
        <v>8233</v>
      </c>
      <c r="AD17" s="65">
        <f t="shared" si="2"/>
        <v>8288</v>
      </c>
      <c r="AE17" s="1">
        <v>8343</v>
      </c>
      <c r="AF17" s="1">
        <v>8550</v>
      </c>
      <c r="AG17">
        <v>8551</v>
      </c>
      <c r="AH17">
        <v>8198</v>
      </c>
      <c r="AI17" s="90">
        <v>8302</v>
      </c>
    </row>
    <row r="18" spans="1:35">
      <c r="A18" s="1" t="s">
        <v>31</v>
      </c>
      <c r="B18" s="14">
        <f>ROUND(5805,0)</f>
        <v>5805</v>
      </c>
      <c r="C18" s="60">
        <f>ROUND(2124,0)</f>
        <v>2124</v>
      </c>
      <c r="D18" s="3">
        <f>ROUND(6575,0)</f>
        <v>6575</v>
      </c>
      <c r="E18" s="3">
        <f>ROUND(7030758/1000,0)</f>
        <v>7031</v>
      </c>
      <c r="F18" s="3">
        <f>ROUND(9316573/1000,0)</f>
        <v>9317</v>
      </c>
      <c r="G18" s="3">
        <f>ROUND(9688651/1000,0)</f>
        <v>9689</v>
      </c>
      <c r="H18" s="3">
        <f>ROUND(8481717/1000,0)</f>
        <v>8482</v>
      </c>
      <c r="I18" s="1">
        <f>ROUND(7705.724,0)</f>
        <v>7706</v>
      </c>
      <c r="J18" s="1">
        <f>ROUND(8201.081,0)</f>
        <v>8201</v>
      </c>
      <c r="K18" s="1">
        <v>9300.1450000000004</v>
      </c>
      <c r="L18" s="1">
        <v>8426.8870000000006</v>
      </c>
      <c r="M18" s="65">
        <f t="shared" si="5"/>
        <v>9781.1834999999992</v>
      </c>
      <c r="N18" s="1">
        <v>11135.48</v>
      </c>
      <c r="O18" s="1">
        <v>10580.66</v>
      </c>
      <c r="P18" s="93">
        <v>11647.65</v>
      </c>
      <c r="Q18" s="68">
        <v>10735.361000000001</v>
      </c>
      <c r="R18" s="68">
        <v>11678.013000000001</v>
      </c>
      <c r="S18" s="74">
        <f>ROUND(7942,0)</f>
        <v>7942</v>
      </c>
      <c r="T18" s="60">
        <f>ROUND(7862,0)</f>
        <v>7862</v>
      </c>
      <c r="U18" s="3">
        <f>ROUND(5714,0)</f>
        <v>5714</v>
      </c>
      <c r="V18" s="3">
        <f>ROUND(5887,0)</f>
        <v>5887</v>
      </c>
      <c r="W18" s="3">
        <f>ROUND(6760,0)</f>
        <v>6760</v>
      </c>
      <c r="X18" s="3">
        <f>ROUND(6893,0)</f>
        <v>6893</v>
      </c>
      <c r="Y18" s="3">
        <f>ROUND(5926,0)</f>
        <v>5926</v>
      </c>
      <c r="Z18" s="1">
        <f>ROUND(4988,0)</f>
        <v>4988</v>
      </c>
      <c r="AA18" s="1">
        <f>ROUND(4992,0)</f>
        <v>4992</v>
      </c>
      <c r="AB18" s="1">
        <v>5242</v>
      </c>
      <c r="AC18" s="1">
        <v>5234</v>
      </c>
      <c r="AD18" s="65">
        <f t="shared" si="2"/>
        <v>5824</v>
      </c>
      <c r="AE18" s="1">
        <v>6414</v>
      </c>
      <c r="AF18" s="1">
        <v>6438</v>
      </c>
      <c r="AG18">
        <v>5996</v>
      </c>
      <c r="AH18">
        <v>4876</v>
      </c>
      <c r="AI18" s="90">
        <v>4895</v>
      </c>
    </row>
    <row r="19" spans="1:35">
      <c r="A19" s="1" t="s">
        <v>32</v>
      </c>
      <c r="B19" s="14">
        <f>ROUND(13339,0)</f>
        <v>13339</v>
      </c>
      <c r="C19" s="60">
        <f>ROUND(4384,0)</f>
        <v>4384</v>
      </c>
      <c r="D19" s="3">
        <f>ROUND(18523,0)</f>
        <v>18523</v>
      </c>
      <c r="E19" s="3">
        <f>ROUND(19769611/1000,0)</f>
        <v>19770</v>
      </c>
      <c r="F19" s="3">
        <f>ROUND(20277656/1000,0)</f>
        <v>20278</v>
      </c>
      <c r="G19" s="3">
        <f>ROUND(21427674/1000,0)</f>
        <v>21428</v>
      </c>
      <c r="H19" s="3">
        <f>ROUND(18977552/1000,0)</f>
        <v>18978</v>
      </c>
      <c r="I19" s="1">
        <f>ROUND(19819.805,0)</f>
        <v>19820</v>
      </c>
      <c r="J19" s="1">
        <f>ROUND(19653.282,0)</f>
        <v>19653</v>
      </c>
      <c r="K19" s="1">
        <v>23098.052</v>
      </c>
      <c r="L19" s="1">
        <v>23118.483</v>
      </c>
      <c r="M19" s="65">
        <f t="shared" si="5"/>
        <v>22815.533499999998</v>
      </c>
      <c r="N19" s="1">
        <v>22512.583999999999</v>
      </c>
      <c r="O19" s="1">
        <v>24060.399000000001</v>
      </c>
      <c r="P19" s="93">
        <v>24655.832999999999</v>
      </c>
      <c r="Q19" s="68">
        <v>24776.131000000001</v>
      </c>
      <c r="R19" s="68">
        <v>25855.367999999999</v>
      </c>
      <c r="S19" s="74">
        <f>ROUND(15867,0)</f>
        <v>15867</v>
      </c>
      <c r="T19" s="60">
        <f>ROUND(19525,0)</f>
        <v>19525</v>
      </c>
      <c r="U19" s="3">
        <f>ROUND(16159,0)</f>
        <v>16159</v>
      </c>
      <c r="V19" s="3">
        <f>ROUND(15109,0)</f>
        <v>15109</v>
      </c>
      <c r="W19" s="3">
        <f>ROUND(15253,0)</f>
        <v>15253</v>
      </c>
      <c r="X19" s="3">
        <f>ROUND(15106,0)</f>
        <v>15106</v>
      </c>
      <c r="Y19" s="3">
        <f>ROUND(13238,0)</f>
        <v>13238</v>
      </c>
      <c r="Z19" s="1">
        <f>ROUND(13796,0)</f>
        <v>13796</v>
      </c>
      <c r="AA19" s="1">
        <f>ROUND(13089,0)</f>
        <v>13089</v>
      </c>
      <c r="AB19" s="1">
        <v>12994</v>
      </c>
      <c r="AC19" s="1">
        <v>13132</v>
      </c>
      <c r="AD19" s="65">
        <f t="shared" si="2"/>
        <v>12725.5</v>
      </c>
      <c r="AE19" s="1">
        <v>12319</v>
      </c>
      <c r="AF19" s="1">
        <v>12826</v>
      </c>
      <c r="AG19">
        <v>12982</v>
      </c>
      <c r="AH19">
        <v>12355</v>
      </c>
      <c r="AI19" s="90">
        <v>12323</v>
      </c>
    </row>
    <row r="20" spans="1:35">
      <c r="A20" s="1" t="s">
        <v>33</v>
      </c>
      <c r="B20" s="14">
        <f>ROUND(8770,0)</f>
        <v>8770</v>
      </c>
      <c r="C20" s="60">
        <f>ROUND(2896,0)</f>
        <v>2896</v>
      </c>
      <c r="D20" s="3">
        <f>ROUND(10043,0)</f>
        <v>10043</v>
      </c>
      <c r="E20" s="3">
        <f>ROUND(10450971/1000,0)</f>
        <v>10451</v>
      </c>
      <c r="F20" s="3">
        <f>ROUND(11705066/1000,0)</f>
        <v>11705</v>
      </c>
      <c r="G20" s="3">
        <f>ROUND(11774458/1000,0)</f>
        <v>11774</v>
      </c>
      <c r="H20" s="3">
        <f>ROUND(11589726/1000,0)</f>
        <v>11590</v>
      </c>
      <c r="I20" s="1">
        <f>ROUND(11813.635,0)</f>
        <v>11814</v>
      </c>
      <c r="J20" s="1">
        <f>ROUND(11468.278,0)</f>
        <v>11468</v>
      </c>
      <c r="K20" s="1">
        <v>12403.049000000001</v>
      </c>
      <c r="L20" s="1">
        <v>13928.884</v>
      </c>
      <c r="M20" s="65">
        <f t="shared" si="5"/>
        <v>13401.4395</v>
      </c>
      <c r="N20" s="1">
        <v>12873.995000000001</v>
      </c>
      <c r="O20" s="1">
        <v>12176.550999999999</v>
      </c>
      <c r="P20" s="93">
        <v>12770.963</v>
      </c>
      <c r="Q20" s="68">
        <v>13376.955</v>
      </c>
      <c r="R20" s="68">
        <v>12917.971</v>
      </c>
      <c r="S20" s="74">
        <f>ROUND(9645,0)</f>
        <v>9645</v>
      </c>
      <c r="T20" s="60">
        <f>ROUND(11553,0)</f>
        <v>11553</v>
      </c>
      <c r="U20" s="3">
        <f>ROUND(9753,0)</f>
        <v>9753</v>
      </c>
      <c r="V20" s="3">
        <f>ROUND(9374,0)</f>
        <v>9374</v>
      </c>
      <c r="W20" s="3">
        <f>ROUND(9165,0)</f>
        <v>9165</v>
      </c>
      <c r="X20" s="3">
        <f>ROUND(9356,0)</f>
        <v>9356</v>
      </c>
      <c r="Y20" s="3">
        <f>ROUND(8369,0)</f>
        <v>8369</v>
      </c>
      <c r="Z20" s="1">
        <f>ROUND(8415,0)</f>
        <v>8415</v>
      </c>
      <c r="AA20" s="1">
        <f>ROUND(8001,0)</f>
        <v>8001</v>
      </c>
      <c r="AB20" s="1">
        <v>8165</v>
      </c>
      <c r="AC20" s="1">
        <v>8467</v>
      </c>
      <c r="AD20" s="65">
        <f t="shared" si="2"/>
        <v>7895.5</v>
      </c>
      <c r="AE20" s="1">
        <v>7324</v>
      </c>
      <c r="AF20" s="1">
        <v>6866</v>
      </c>
      <c r="AG20">
        <v>6823</v>
      </c>
      <c r="AH20">
        <v>6897</v>
      </c>
      <c r="AI20" s="90">
        <v>6450</v>
      </c>
    </row>
    <row r="21" spans="1:35">
      <c r="A21" s="1" t="s">
        <v>34</v>
      </c>
      <c r="B21" s="14">
        <f>ROUND(5451,0)</f>
        <v>5451</v>
      </c>
      <c r="C21" s="60">
        <f>ROUND(1967,0)</f>
        <v>1967</v>
      </c>
      <c r="D21" s="3">
        <f>ROUND(6314,0)</f>
        <v>6314</v>
      </c>
      <c r="E21" s="3">
        <f>ROUND(7133117/1000,0)</f>
        <v>7133</v>
      </c>
      <c r="F21" s="3">
        <f>ROUND(8136479/1000,0)</f>
        <v>8136</v>
      </c>
      <c r="G21" s="3">
        <f>ROUND(9041728/1000,0)</f>
        <v>9042</v>
      </c>
      <c r="H21" s="3">
        <f>ROUND(8580021/1000,0)</f>
        <v>8580</v>
      </c>
      <c r="I21" s="1">
        <f>ROUND(7222.879,0)</f>
        <v>7223</v>
      </c>
      <c r="J21" s="1">
        <f>ROUND(8464.115,0)</f>
        <v>8464</v>
      </c>
      <c r="K21" s="1">
        <v>8571.4670000000006</v>
      </c>
      <c r="L21" s="1">
        <v>8854.0939999999991</v>
      </c>
      <c r="M21" s="65">
        <f t="shared" si="5"/>
        <v>11336.699000000001</v>
      </c>
      <c r="N21" s="1">
        <v>13819.304</v>
      </c>
      <c r="O21" s="1">
        <v>10149.351000000001</v>
      </c>
      <c r="P21" s="93">
        <v>9854.3119999999999</v>
      </c>
      <c r="Q21" s="68">
        <v>10349.262000000001</v>
      </c>
      <c r="R21" s="68">
        <v>10911.098</v>
      </c>
      <c r="S21" s="74">
        <f>ROUND(7513,0)</f>
        <v>7513</v>
      </c>
      <c r="T21" s="60">
        <f>ROUND(8265,0)</f>
        <v>8265</v>
      </c>
      <c r="U21" s="3">
        <f>ROUND(6264,0)</f>
        <v>6264</v>
      </c>
      <c r="V21" s="3">
        <f>ROUND(5692,0)</f>
        <v>5692</v>
      </c>
      <c r="W21" s="3">
        <f>ROUND(6281,0)</f>
        <v>6281</v>
      </c>
      <c r="X21" s="3">
        <f>ROUND(6669,0)</f>
        <v>6669</v>
      </c>
      <c r="Y21" s="3">
        <f>ROUND(6079,0)</f>
        <v>6079</v>
      </c>
      <c r="Z21" s="1">
        <f>ROUND(5224,0)</f>
        <v>5224</v>
      </c>
      <c r="AA21" s="1">
        <f>ROUND(5706,0)</f>
        <v>5706</v>
      </c>
      <c r="AB21" s="1">
        <v>5390</v>
      </c>
      <c r="AC21" s="1">
        <v>5690</v>
      </c>
      <c r="AD21" s="65">
        <f t="shared" si="2"/>
        <v>6945.5</v>
      </c>
      <c r="AE21" s="1">
        <v>8201</v>
      </c>
      <c r="AF21" s="1">
        <v>6069</v>
      </c>
      <c r="AG21">
        <v>5831</v>
      </c>
      <c r="AH21">
        <v>5631</v>
      </c>
      <c r="AI21" s="90">
        <v>5871</v>
      </c>
    </row>
    <row r="22" spans="1:35">
      <c r="A22" s="1" t="s">
        <v>35</v>
      </c>
      <c r="B22" s="14">
        <f>ROUND(10401,0)</f>
        <v>10401</v>
      </c>
      <c r="C22" s="60">
        <f>ROUND(3438,0)</f>
        <v>3438</v>
      </c>
      <c r="D22" s="3">
        <f>ROUND(13485,0)</f>
        <v>13485</v>
      </c>
      <c r="E22" s="3">
        <f>ROUND(13406862/1000,0)</f>
        <v>13407</v>
      </c>
      <c r="F22" s="3">
        <f>ROUND(13293524/1000,0)</f>
        <v>13294</v>
      </c>
      <c r="G22" s="3">
        <f>ROUND(16958018/1000,0)</f>
        <v>16958</v>
      </c>
      <c r="H22" s="3">
        <f>ROUND(15425042/1000,0)</f>
        <v>15425</v>
      </c>
      <c r="I22" s="1">
        <f>ROUND(14767.201,0)</f>
        <v>14767</v>
      </c>
      <c r="J22" s="1">
        <f>ROUND(14877.053,0)</f>
        <v>14877</v>
      </c>
      <c r="K22" s="1">
        <v>14905.817999999999</v>
      </c>
      <c r="L22" s="1">
        <v>16088.826999999999</v>
      </c>
      <c r="M22" s="65">
        <f t="shared" si="5"/>
        <v>15936.341499999999</v>
      </c>
      <c r="N22" s="1">
        <v>15783.856</v>
      </c>
      <c r="O22" s="1">
        <v>19037.026000000002</v>
      </c>
      <c r="P22" s="93">
        <v>19053.508000000002</v>
      </c>
      <c r="Q22" s="68">
        <v>19315.895</v>
      </c>
      <c r="R22" s="68">
        <v>21115.982</v>
      </c>
      <c r="S22" s="74">
        <f>ROUND(11943,0)</f>
        <v>11943</v>
      </c>
      <c r="T22" s="60">
        <f>ROUND(15689,0)</f>
        <v>15689</v>
      </c>
      <c r="U22" s="3">
        <f>ROUND(11393,0)</f>
        <v>11393</v>
      </c>
      <c r="V22" s="3">
        <f>ROUND(10156,0)</f>
        <v>10156</v>
      </c>
      <c r="W22" s="3">
        <f>ROUND(9892,0)</f>
        <v>9892</v>
      </c>
      <c r="X22" s="3">
        <f>ROUND(11344,0)</f>
        <v>11344</v>
      </c>
      <c r="Y22" s="3">
        <f>ROUND(10167,0)</f>
        <v>10167</v>
      </c>
      <c r="Z22" s="1">
        <f>ROUND(10013,0)</f>
        <v>10013</v>
      </c>
      <c r="AA22" s="1">
        <f>ROUND(9772,0)</f>
        <v>9772</v>
      </c>
      <c r="AB22" s="1">
        <v>9034</v>
      </c>
      <c r="AC22" s="1">
        <v>9491</v>
      </c>
      <c r="AD22" s="65">
        <f t="shared" si="2"/>
        <v>9155</v>
      </c>
      <c r="AE22" s="1">
        <v>8819</v>
      </c>
      <c r="AF22" s="1">
        <v>10385</v>
      </c>
      <c r="AG22">
        <v>10014</v>
      </c>
      <c r="AH22">
        <v>10002</v>
      </c>
      <c r="AI22" s="90">
        <v>9789</v>
      </c>
    </row>
    <row r="23" spans="1:35">
      <c r="A23" s="1" t="s">
        <v>36</v>
      </c>
      <c r="B23" s="14">
        <f>ROUND(20007,0)</f>
        <v>20007</v>
      </c>
      <c r="C23" s="60">
        <f>ROUND(9927,0)</f>
        <v>9927</v>
      </c>
      <c r="D23" s="3">
        <f>ROUND(24218,0)</f>
        <v>24218</v>
      </c>
      <c r="E23" s="3">
        <f>ROUND(24679275/1000,0)</f>
        <v>24679</v>
      </c>
      <c r="F23" s="3">
        <f>ROUND(27365702/1000,0)</f>
        <v>27366</v>
      </c>
      <c r="G23" s="3">
        <f>ROUND(27743155/1000,0)</f>
        <v>27743</v>
      </c>
      <c r="H23" s="3">
        <f>ROUND(26148159/1000,0)</f>
        <v>26148</v>
      </c>
      <c r="I23" s="1">
        <f>ROUND(28061.642,0)</f>
        <v>28062</v>
      </c>
      <c r="J23" s="1">
        <f>ROUND(29373.207,0)</f>
        <v>29373</v>
      </c>
      <c r="K23" s="1">
        <v>31101.85</v>
      </c>
      <c r="L23" s="1">
        <v>29247.418000000001</v>
      </c>
      <c r="M23" s="65">
        <f t="shared" si="5"/>
        <v>28851.6525</v>
      </c>
      <c r="N23" s="1">
        <v>28455.886999999999</v>
      </c>
      <c r="O23" s="1">
        <v>35074.839</v>
      </c>
      <c r="P23" s="93">
        <v>35547.321000000004</v>
      </c>
      <c r="Q23" s="68">
        <v>34004.446000000004</v>
      </c>
      <c r="R23" s="68">
        <v>35479.614000000001</v>
      </c>
      <c r="S23" s="74">
        <f>ROUND(19478,0)</f>
        <v>19478</v>
      </c>
      <c r="T23" s="60">
        <f>ROUND(26299,0)</f>
        <v>26299</v>
      </c>
      <c r="U23" s="3">
        <f>ROUND(20339,0)</f>
        <v>20339</v>
      </c>
      <c r="V23" s="3">
        <f>ROUND(18515,0)</f>
        <v>18515</v>
      </c>
      <c r="W23" s="3">
        <f>ROUND(18956,0)</f>
        <v>18956</v>
      </c>
      <c r="X23" s="3">
        <f>ROUND(19972,0)</f>
        <v>19972</v>
      </c>
      <c r="Y23" s="3">
        <f>ROUND(17963,0)</f>
        <v>17963</v>
      </c>
      <c r="Z23" s="1">
        <f>ROUND(19243,0)</f>
        <v>19243</v>
      </c>
      <c r="AA23" s="1">
        <f>ROUND(19265,0)</f>
        <v>19265</v>
      </c>
      <c r="AB23" s="1">
        <v>19061</v>
      </c>
      <c r="AC23" s="1">
        <v>17461</v>
      </c>
      <c r="AD23" s="65">
        <f t="shared" si="2"/>
        <v>16782.5</v>
      </c>
      <c r="AE23" s="1">
        <v>16104</v>
      </c>
      <c r="AF23" s="1">
        <v>19190</v>
      </c>
      <c r="AG23">
        <v>19311</v>
      </c>
      <c r="AH23">
        <v>17626</v>
      </c>
      <c r="AI23" s="90">
        <v>16541</v>
      </c>
    </row>
    <row r="24" spans="1:35">
      <c r="A24" s="1" t="s">
        <v>37</v>
      </c>
      <c r="B24" s="14">
        <f>ROUND(9931,0)</f>
        <v>9931</v>
      </c>
      <c r="C24" s="60">
        <f>ROUND(3794,0)</f>
        <v>3794</v>
      </c>
      <c r="D24" s="3">
        <f>ROUND(12787,0)</f>
        <v>12787</v>
      </c>
      <c r="E24" s="3">
        <f>ROUND(14707547/1000,0)</f>
        <v>14708</v>
      </c>
      <c r="F24" s="3">
        <f>ROUND(16663677/1000,0)</f>
        <v>16664</v>
      </c>
      <c r="G24" s="3">
        <f>ROUND(16873711/1000,0)</f>
        <v>16874</v>
      </c>
      <c r="H24" s="3">
        <f>ROUND(16086523/1000,0)</f>
        <v>16087</v>
      </c>
      <c r="I24" s="1">
        <f>ROUND(16130.111,0)</f>
        <v>16130</v>
      </c>
      <c r="J24" s="1">
        <f>ROUND(17316.14,0)</f>
        <v>17316</v>
      </c>
      <c r="K24" s="1">
        <v>18478.031999999999</v>
      </c>
      <c r="L24" s="1">
        <v>18605.053</v>
      </c>
      <c r="M24" s="65">
        <f t="shared" si="5"/>
        <v>18220.270499999999</v>
      </c>
      <c r="N24" s="1">
        <v>17835.488000000001</v>
      </c>
      <c r="O24" s="1">
        <v>18776.691999999999</v>
      </c>
      <c r="P24" s="93">
        <v>18328.850999999999</v>
      </c>
      <c r="Q24" s="68">
        <v>18931.946</v>
      </c>
      <c r="R24" s="68">
        <v>19525.294999999998</v>
      </c>
      <c r="S24" s="74">
        <f>ROUND(10566,0)</f>
        <v>10566</v>
      </c>
      <c r="T24" s="60">
        <f>ROUND(15893,0)</f>
        <v>15893</v>
      </c>
      <c r="U24" s="3">
        <f>ROUND(12311,0)</f>
        <v>12311</v>
      </c>
      <c r="V24" s="3">
        <f>ROUND(12323,0)</f>
        <v>12323</v>
      </c>
      <c r="W24" s="3">
        <f>ROUND(12856,0)</f>
        <v>12856</v>
      </c>
      <c r="X24" s="3">
        <f>ROUND(11812,0)</f>
        <v>11812</v>
      </c>
      <c r="Y24" s="3">
        <f>ROUND(12091,0)</f>
        <v>12091</v>
      </c>
      <c r="Z24" s="1">
        <f>ROUND(11983,0)</f>
        <v>11983</v>
      </c>
      <c r="AA24" s="1">
        <f>ROUND(12548,0)</f>
        <v>12548</v>
      </c>
      <c r="AB24" s="1">
        <v>11860</v>
      </c>
      <c r="AC24" s="1">
        <v>11188</v>
      </c>
      <c r="AD24" s="65">
        <f t="shared" si="2"/>
        <v>10840</v>
      </c>
      <c r="AE24" s="1">
        <v>10492</v>
      </c>
      <c r="AF24" s="1">
        <v>10783</v>
      </c>
      <c r="AG24">
        <v>11952</v>
      </c>
      <c r="AH24">
        <v>10605</v>
      </c>
      <c r="AI24" s="90">
        <v>10060</v>
      </c>
    </row>
    <row r="25" spans="1:35">
      <c r="A25" s="49" t="s">
        <v>38</v>
      </c>
      <c r="B25" s="52">
        <f>ROUND(5582,0)</f>
        <v>5582</v>
      </c>
      <c r="C25" s="67">
        <f>ROUND(1728,0)</f>
        <v>1728</v>
      </c>
      <c r="D25" s="50">
        <f>ROUND(6424,0)</f>
        <v>6424</v>
      </c>
      <c r="E25" s="50">
        <f>ROUND(6385847/1000,0)</f>
        <v>6386</v>
      </c>
      <c r="F25" s="50">
        <f>ROUND(6925163/1000,0)</f>
        <v>6925</v>
      </c>
      <c r="G25" s="50">
        <f>ROUND(6826206/1000,0)</f>
        <v>6826</v>
      </c>
      <c r="H25" s="50">
        <f>ROUND(6862685/1000,0)</f>
        <v>6863</v>
      </c>
      <c r="I25" s="49">
        <f>ROUND(6613.61,0)</f>
        <v>6614</v>
      </c>
      <c r="J25" s="49">
        <f>ROUND(7097.85,0)</f>
        <v>7098</v>
      </c>
      <c r="K25" s="49">
        <v>8729.43</v>
      </c>
      <c r="L25" s="49">
        <v>8127.2920000000004</v>
      </c>
      <c r="M25" s="84">
        <f t="shared" si="5"/>
        <v>8329.3714999999993</v>
      </c>
      <c r="N25" s="49">
        <v>8531.4509999999991</v>
      </c>
      <c r="O25" s="49">
        <v>9026.2610000000004</v>
      </c>
      <c r="P25" s="94">
        <v>8172.9229999999998</v>
      </c>
      <c r="Q25" s="71">
        <v>8445.9529999999995</v>
      </c>
      <c r="R25" s="71">
        <v>9659.857</v>
      </c>
      <c r="S25" s="77">
        <f>ROUND(7254,0)</f>
        <v>7254</v>
      </c>
      <c r="T25" s="67">
        <f>ROUND(6544,0)</f>
        <v>6544</v>
      </c>
      <c r="U25" s="50">
        <f>ROUND(6866,0)</f>
        <v>6866</v>
      </c>
      <c r="V25" s="50">
        <f>ROUND(6349,0)</f>
        <v>6349</v>
      </c>
      <c r="W25" s="50">
        <f>ROUND(6784,0)</f>
        <v>6784</v>
      </c>
      <c r="X25" s="50">
        <f>ROUND(6136,0)</f>
        <v>6136</v>
      </c>
      <c r="Y25" s="50">
        <f>ROUND(5978,0)</f>
        <v>5978</v>
      </c>
      <c r="Z25" s="49">
        <f>ROUND(5702,0)</f>
        <v>5702</v>
      </c>
      <c r="AA25" s="49">
        <f>ROUND(6039,0)</f>
        <v>6039</v>
      </c>
      <c r="AB25" s="49">
        <v>6250</v>
      </c>
      <c r="AC25" s="49">
        <v>5610</v>
      </c>
      <c r="AD25" s="105">
        <f t="shared" si="2"/>
        <v>5775</v>
      </c>
      <c r="AE25" s="49">
        <v>5940</v>
      </c>
      <c r="AF25" s="49">
        <v>5925</v>
      </c>
      <c r="AG25" s="91">
        <v>5705</v>
      </c>
      <c r="AH25" s="91">
        <v>5433</v>
      </c>
      <c r="AI25" s="92">
        <v>5761</v>
      </c>
    </row>
    <row r="26" spans="1:35">
      <c r="A26" s="1"/>
      <c r="B26" s="1"/>
      <c r="C26" s="58"/>
      <c r="D26" s="1"/>
      <c r="E26" s="1"/>
      <c r="F26" s="1"/>
      <c r="G26" s="1"/>
      <c r="H26" s="1"/>
      <c r="I26" s="1"/>
      <c r="J26" s="1"/>
      <c r="K26" s="1"/>
      <c r="L26" s="1"/>
      <c r="M26" s="65"/>
      <c r="N26" s="1"/>
      <c r="O26" s="1"/>
      <c r="Q26" s="68"/>
      <c r="R26" s="68"/>
      <c r="S26" s="72"/>
      <c r="T26" s="58"/>
      <c r="U26" s="1"/>
      <c r="V26" s="1"/>
      <c r="W26" s="1"/>
      <c r="X26" s="1"/>
      <c r="Y26" s="1"/>
      <c r="Z26" s="1"/>
      <c r="AA26" s="1"/>
      <c r="AB26" s="1"/>
      <c r="AC26" s="1"/>
      <c r="AD26" s="65"/>
      <c r="AE26" s="1"/>
      <c r="AF26" s="1"/>
      <c r="AI26" s="90"/>
    </row>
    <row r="27" spans="1:35">
      <c r="A27" s="53" t="s">
        <v>160</v>
      </c>
      <c r="P27" s="93">
        <v>181.84100000000001</v>
      </c>
      <c r="Q27" s="68">
        <v>152.88499999999999</v>
      </c>
      <c r="R27" s="68">
        <v>31.222999999999999</v>
      </c>
      <c r="S27" s="78"/>
      <c r="AG27">
        <v>80</v>
      </c>
      <c r="AH27">
        <v>81</v>
      </c>
      <c r="AI27" s="90">
        <v>12</v>
      </c>
    </row>
    <row r="28" spans="1:35">
      <c r="A28" s="53" t="s">
        <v>161</v>
      </c>
      <c r="P28" s="93">
        <v>9294.4979999999996</v>
      </c>
      <c r="Q28" s="68">
        <v>7475.6189999999997</v>
      </c>
      <c r="R28" s="68">
        <v>7755.5290000000005</v>
      </c>
      <c r="S28" s="78"/>
      <c r="AG28">
        <v>4484</v>
      </c>
      <c r="AH28">
        <v>3081</v>
      </c>
      <c r="AI28" s="90">
        <v>3137</v>
      </c>
    </row>
    <row r="29" spans="1:35">
      <c r="A29" s="53" t="s">
        <v>162</v>
      </c>
      <c r="P29" s="93">
        <v>102558.61</v>
      </c>
      <c r="Q29" s="68">
        <v>100292.88099999999</v>
      </c>
      <c r="R29" s="68">
        <v>102383.546</v>
      </c>
      <c r="S29" s="78"/>
      <c r="AG29">
        <v>59022</v>
      </c>
      <c r="AH29">
        <v>57237</v>
      </c>
      <c r="AI29" s="90">
        <v>55849</v>
      </c>
    </row>
    <row r="30" spans="1:35">
      <c r="A30" s="53" t="s">
        <v>163</v>
      </c>
      <c r="P30" s="93">
        <v>19221.84</v>
      </c>
      <c r="Q30" s="68">
        <v>19881.697</v>
      </c>
      <c r="R30" s="68">
        <v>19232.614000000001</v>
      </c>
      <c r="S30" s="78"/>
      <c r="AG30">
        <v>11400</v>
      </c>
      <c r="AH30">
        <v>11174</v>
      </c>
      <c r="AI30" s="90">
        <v>10620</v>
      </c>
    </row>
    <row r="31" spans="1:35">
      <c r="A31" s="53" t="s">
        <v>164</v>
      </c>
      <c r="P31" s="93">
        <v>15204.896000000001</v>
      </c>
      <c r="Q31" s="68">
        <v>13161.781999999999</v>
      </c>
      <c r="R31" s="68">
        <v>13445.584999999999</v>
      </c>
      <c r="S31" s="78"/>
      <c r="AG31">
        <v>8307</v>
      </c>
      <c r="AH31">
        <v>7625</v>
      </c>
      <c r="AI31" s="90">
        <v>9736</v>
      </c>
    </row>
    <row r="32" spans="1:35">
      <c r="A32" s="53" t="s">
        <v>166</v>
      </c>
      <c r="P32" s="93">
        <v>2785.68</v>
      </c>
      <c r="Q32" s="68">
        <v>3166.7860000000001</v>
      </c>
      <c r="R32" s="68">
        <v>2901.8670000000002</v>
      </c>
      <c r="S32" s="78"/>
      <c r="AG32">
        <v>1185</v>
      </c>
      <c r="AH32">
        <v>1356</v>
      </c>
      <c r="AI32" s="90">
        <v>1220</v>
      </c>
    </row>
    <row r="33" spans="1:35">
      <c r="A33" s="53" t="s">
        <v>167</v>
      </c>
      <c r="P33" s="93">
        <v>4724.6760000000004</v>
      </c>
      <c r="Q33" s="68">
        <v>5019.4250000000002</v>
      </c>
      <c r="R33" s="68">
        <v>5468.2929999999997</v>
      </c>
      <c r="S33" s="78"/>
      <c r="AG33">
        <v>3975</v>
      </c>
      <c r="AH33">
        <v>3797</v>
      </c>
      <c r="AI33" s="90">
        <v>3932</v>
      </c>
    </row>
    <row r="34" spans="1:35">
      <c r="A34" s="53" t="s">
        <v>168</v>
      </c>
      <c r="P34" s="93">
        <v>47185.911999999997</v>
      </c>
      <c r="Q34" s="68">
        <v>59435.972000000002</v>
      </c>
      <c r="R34" s="68">
        <v>61565.851999999999</v>
      </c>
      <c r="S34" s="78"/>
      <c r="AG34">
        <v>27208</v>
      </c>
      <c r="AH34">
        <v>34822</v>
      </c>
      <c r="AI34" s="90">
        <v>30575</v>
      </c>
    </row>
    <row r="35" spans="1:35">
      <c r="A35" s="53" t="s">
        <v>169</v>
      </c>
      <c r="P35" s="93">
        <v>30150.179</v>
      </c>
      <c r="Q35" s="68">
        <v>29403.725999999999</v>
      </c>
      <c r="R35" s="68">
        <v>33142.392</v>
      </c>
      <c r="S35" s="78"/>
      <c r="AG35">
        <v>19442</v>
      </c>
      <c r="AH35">
        <v>18697</v>
      </c>
      <c r="AI35" s="90">
        <v>19745</v>
      </c>
    </row>
    <row r="36" spans="1:35">
      <c r="A36" s="53" t="s">
        <v>170</v>
      </c>
      <c r="P36" s="93">
        <v>21569.346000000001</v>
      </c>
      <c r="Q36" s="68">
        <v>22212.080000000002</v>
      </c>
      <c r="R36" s="68">
        <v>23718.507000000001</v>
      </c>
      <c r="S36" s="78"/>
      <c r="AG36">
        <v>14820</v>
      </c>
      <c r="AH36">
        <v>14412</v>
      </c>
      <c r="AI36" s="90">
        <v>14469</v>
      </c>
    </row>
    <row r="37" spans="1:35">
      <c r="A37" s="53" t="s">
        <v>171</v>
      </c>
      <c r="P37" s="93">
        <v>14342.785</v>
      </c>
      <c r="Q37" s="68">
        <v>14811.784</v>
      </c>
      <c r="R37" s="68">
        <v>15520.262000000001</v>
      </c>
      <c r="S37" s="78"/>
      <c r="AG37">
        <v>8360</v>
      </c>
      <c r="AH37">
        <v>8281</v>
      </c>
      <c r="AI37" s="90">
        <v>8643</v>
      </c>
    </row>
    <row r="38" spans="1:35">
      <c r="A38" s="53" t="s">
        <v>172</v>
      </c>
      <c r="P38" s="93">
        <v>8829.5149999999994</v>
      </c>
      <c r="Q38" s="68">
        <v>9630.2659999999996</v>
      </c>
      <c r="R38" s="68">
        <v>11922.12</v>
      </c>
      <c r="S38" s="78"/>
      <c r="AG38">
        <v>6488</v>
      </c>
      <c r="AH38">
        <v>6709</v>
      </c>
      <c r="AI38" s="90">
        <v>7190</v>
      </c>
    </row>
    <row r="39" spans="1:35">
      <c r="A39" s="53" t="s">
        <v>173</v>
      </c>
      <c r="P39" s="93">
        <v>58480.837</v>
      </c>
      <c r="Q39" s="68">
        <v>59772.675000000003</v>
      </c>
      <c r="R39" s="68">
        <v>61499.317000000003</v>
      </c>
      <c r="S39" s="78"/>
      <c r="AG39">
        <v>36507</v>
      </c>
      <c r="AH39">
        <v>33989</v>
      </c>
      <c r="AI39" s="90">
        <v>31595</v>
      </c>
    </row>
    <row r="40" spans="1:35">
      <c r="A40" s="53" t="s">
        <v>174</v>
      </c>
      <c r="P40" s="93">
        <v>39155.561999999998</v>
      </c>
      <c r="Q40" s="68">
        <v>40563.985999999997</v>
      </c>
      <c r="R40" s="68">
        <v>43672.993000000002</v>
      </c>
      <c r="S40" s="78"/>
      <c r="AG40">
        <v>26806</v>
      </c>
      <c r="AH40">
        <v>28363</v>
      </c>
      <c r="AI40" s="90">
        <v>26841</v>
      </c>
    </row>
    <row r="41" spans="1:35">
      <c r="A41" s="53" t="s">
        <v>175</v>
      </c>
      <c r="P41" s="93">
        <v>24961.147000000001</v>
      </c>
      <c r="Q41" s="68">
        <v>26323.202000000001</v>
      </c>
      <c r="R41" s="68">
        <v>27603.786</v>
      </c>
      <c r="S41" s="78"/>
      <c r="AG41">
        <v>14119</v>
      </c>
      <c r="AH41">
        <v>13970</v>
      </c>
      <c r="AI41" s="90">
        <v>14415</v>
      </c>
    </row>
    <row r="42" spans="1:35">
      <c r="A42" s="53" t="s">
        <v>176</v>
      </c>
      <c r="P42" s="93">
        <v>25704.01</v>
      </c>
      <c r="Q42" s="68">
        <v>26457.005000000001</v>
      </c>
      <c r="R42" s="68">
        <v>26993.602999999999</v>
      </c>
      <c r="S42" s="78"/>
      <c r="AG42">
        <v>20624</v>
      </c>
      <c r="AH42">
        <v>15706</v>
      </c>
      <c r="AI42" s="90">
        <v>14898</v>
      </c>
    </row>
    <row r="43" spans="1:35">
      <c r="A43" s="53" t="s">
        <v>177</v>
      </c>
      <c r="P43" s="93">
        <v>4884.6279999999997</v>
      </c>
      <c r="Q43" s="68">
        <v>6091.3130000000001</v>
      </c>
      <c r="R43" s="68">
        <v>5439.9849999999997</v>
      </c>
      <c r="S43" s="78"/>
      <c r="AG43">
        <v>3350</v>
      </c>
      <c r="AH43">
        <v>3833</v>
      </c>
      <c r="AI43" s="90">
        <v>3119</v>
      </c>
    </row>
    <row r="44" spans="1:35">
      <c r="A44" s="53" t="s">
        <v>178</v>
      </c>
      <c r="P44" s="93">
        <v>10420.367</v>
      </c>
      <c r="Q44" s="68">
        <v>11092.47</v>
      </c>
      <c r="R44" s="68">
        <v>11251.429</v>
      </c>
      <c r="S44" s="78"/>
      <c r="AG44">
        <v>6930</v>
      </c>
      <c r="AH44">
        <v>7399</v>
      </c>
      <c r="AI44" s="90">
        <v>7329</v>
      </c>
    </row>
    <row r="45" spans="1:35">
      <c r="A45" s="53" t="s">
        <v>179</v>
      </c>
      <c r="P45" s="93">
        <v>1073.2570000000001</v>
      </c>
      <c r="Q45" s="68">
        <v>955.53099999999995</v>
      </c>
      <c r="R45" s="68">
        <v>1216.2819999999999</v>
      </c>
      <c r="S45" s="78"/>
      <c r="AG45">
        <v>447</v>
      </c>
      <c r="AH45">
        <v>367</v>
      </c>
      <c r="AI45" s="90">
        <v>482</v>
      </c>
    </row>
    <row r="46" spans="1:35">
      <c r="A46" s="53" t="s">
        <v>180</v>
      </c>
      <c r="P46" s="93">
        <v>9928.7219999999998</v>
      </c>
      <c r="Q46" s="68">
        <v>10392.915999999999</v>
      </c>
      <c r="R46" s="68">
        <v>10615.066999999999</v>
      </c>
      <c r="S46" s="78"/>
      <c r="AG46">
        <v>5986</v>
      </c>
      <c r="AH46">
        <v>5780</v>
      </c>
      <c r="AI46" s="90">
        <v>5894</v>
      </c>
    </row>
    <row r="47" spans="1:35">
      <c r="A47" s="53" t="s">
        <v>181</v>
      </c>
      <c r="P47" s="93">
        <v>20588.850999999999</v>
      </c>
      <c r="Q47" s="68">
        <v>19942.411</v>
      </c>
      <c r="R47" s="68">
        <v>21901.135999999999</v>
      </c>
      <c r="S47" s="78"/>
      <c r="AG47">
        <v>13307</v>
      </c>
      <c r="AH47">
        <v>12361</v>
      </c>
      <c r="AI47" s="90">
        <v>12972</v>
      </c>
    </row>
    <row r="48" spans="1:35">
      <c r="A48" s="53" t="s">
        <v>182</v>
      </c>
      <c r="P48" s="93">
        <v>5711.8609999999999</v>
      </c>
      <c r="Q48" s="68">
        <v>6771.0519999999997</v>
      </c>
      <c r="R48" s="68">
        <v>6580.4290000000001</v>
      </c>
      <c r="S48" s="72"/>
      <c r="T48" s="58"/>
      <c r="U48" s="1"/>
      <c r="V48" s="1"/>
      <c r="W48" s="1"/>
      <c r="X48" s="1"/>
      <c r="Y48" s="1"/>
      <c r="Z48" s="1"/>
      <c r="AA48" s="1"/>
      <c r="AB48" s="1"/>
      <c r="AC48" s="1"/>
      <c r="AD48" s="65"/>
      <c r="AE48" s="1"/>
      <c r="AF48" s="1"/>
      <c r="AG48">
        <v>3503</v>
      </c>
      <c r="AH48">
        <v>3925</v>
      </c>
      <c r="AI48" s="90">
        <v>2904</v>
      </c>
    </row>
    <row r="49" spans="1:35">
      <c r="A49" s="53" t="s">
        <v>183</v>
      </c>
      <c r="P49" s="93">
        <v>102816.264</v>
      </c>
      <c r="Q49" s="68">
        <v>103720.89</v>
      </c>
      <c r="R49" s="68">
        <v>105275.11599999999</v>
      </c>
      <c r="S49" s="72"/>
      <c r="T49" s="58"/>
      <c r="U49" s="1"/>
      <c r="V49" s="1"/>
      <c r="W49" s="1"/>
      <c r="X49" s="1"/>
      <c r="Y49" s="1"/>
      <c r="Z49" s="1"/>
      <c r="AA49" s="1"/>
      <c r="AB49" s="1"/>
      <c r="AC49" s="1"/>
      <c r="AD49" s="65"/>
      <c r="AE49" s="1"/>
      <c r="AF49" s="1"/>
      <c r="AG49">
        <v>65633</v>
      </c>
      <c r="AH49">
        <v>63644</v>
      </c>
      <c r="AI49" s="90">
        <v>62227</v>
      </c>
    </row>
    <row r="50" spans="1:35">
      <c r="A50" s="53" t="s">
        <v>184</v>
      </c>
      <c r="P50" s="93">
        <v>6650.1670000000004</v>
      </c>
      <c r="Q50" s="68">
        <v>6491.6</v>
      </c>
      <c r="R50" s="68">
        <v>6556.6450000000004</v>
      </c>
      <c r="S50" s="72"/>
      <c r="T50" s="58"/>
      <c r="U50" s="1"/>
      <c r="V50" s="1"/>
      <c r="W50" s="1"/>
      <c r="X50" s="1"/>
      <c r="Y50" s="1"/>
      <c r="Z50" s="1"/>
      <c r="AA50" s="1"/>
      <c r="AB50" s="1"/>
      <c r="AC50" s="1"/>
      <c r="AD50" s="65"/>
      <c r="AE50" s="1"/>
      <c r="AF50" s="1"/>
      <c r="AG50">
        <v>4393</v>
      </c>
      <c r="AH50">
        <v>4540</v>
      </c>
      <c r="AI50" s="90">
        <v>4513</v>
      </c>
    </row>
    <row r="51" spans="1:35">
      <c r="A51" s="53" t="s">
        <v>185</v>
      </c>
      <c r="P51" s="93">
        <v>50109.525000000001</v>
      </c>
      <c r="Q51" s="68">
        <v>51897.953999999998</v>
      </c>
      <c r="R51" s="68">
        <v>48192.091999999997</v>
      </c>
      <c r="S51" s="72"/>
      <c r="T51" s="58"/>
      <c r="U51" s="1"/>
      <c r="V51" s="1"/>
      <c r="W51" s="1"/>
      <c r="X51" s="1"/>
      <c r="Y51" s="1"/>
      <c r="Z51" s="1"/>
      <c r="AA51" s="1"/>
      <c r="AB51" s="1"/>
      <c r="AC51" s="1"/>
      <c r="AD51" s="65"/>
      <c r="AE51" s="1"/>
      <c r="AF51" s="1"/>
      <c r="AG51">
        <v>33788</v>
      </c>
      <c r="AH51">
        <v>32811</v>
      </c>
      <c r="AI51" s="90">
        <v>28693</v>
      </c>
    </row>
    <row r="52" spans="1:35">
      <c r="A52" s="53" t="s">
        <v>186</v>
      </c>
      <c r="P52" s="93">
        <v>22587.633000000002</v>
      </c>
      <c r="Q52" s="68">
        <v>23785.098999999998</v>
      </c>
      <c r="R52" s="68">
        <v>22301.651000000002</v>
      </c>
      <c r="S52" s="72"/>
      <c r="T52" s="58"/>
      <c r="U52" s="1"/>
      <c r="V52" s="1"/>
      <c r="W52" s="1"/>
      <c r="X52" s="1"/>
      <c r="Y52" s="1"/>
      <c r="Z52" s="1"/>
      <c r="AA52" s="1"/>
      <c r="AB52" s="1"/>
      <c r="AC52" s="1"/>
      <c r="AD52" s="65"/>
      <c r="AE52" s="1"/>
      <c r="AF52" s="1"/>
      <c r="AG52">
        <v>14044</v>
      </c>
      <c r="AH52">
        <v>13956</v>
      </c>
      <c r="AI52" s="90">
        <v>13497</v>
      </c>
    </row>
    <row r="53" spans="1:35">
      <c r="A53" s="53" t="s">
        <v>187</v>
      </c>
      <c r="P53" s="93">
        <v>62700.040999999997</v>
      </c>
      <c r="Q53" s="68">
        <v>67617.490999999995</v>
      </c>
      <c r="R53" s="68">
        <v>69280.548999999999</v>
      </c>
      <c r="S53" s="72"/>
      <c r="T53" s="58"/>
      <c r="U53" s="1"/>
      <c r="V53" s="1"/>
      <c r="W53" s="1"/>
      <c r="X53" s="1"/>
      <c r="Y53" s="1"/>
      <c r="Z53" s="1"/>
      <c r="AA53" s="1"/>
      <c r="AB53" s="1"/>
      <c r="AC53" s="1"/>
      <c r="AD53" s="65"/>
      <c r="AE53" s="1"/>
      <c r="AF53" s="1"/>
      <c r="AG53">
        <v>45171</v>
      </c>
      <c r="AH53">
        <v>45795</v>
      </c>
      <c r="AI53" s="90">
        <v>46089</v>
      </c>
    </row>
    <row r="54" spans="1:35">
      <c r="A54" s="53" t="s">
        <v>188</v>
      </c>
      <c r="P54" s="93">
        <v>13429.502</v>
      </c>
      <c r="Q54" s="68">
        <v>13419.338</v>
      </c>
      <c r="R54" s="68">
        <v>14783.121999999999</v>
      </c>
      <c r="S54" s="72"/>
      <c r="T54" s="58"/>
      <c r="U54" s="1"/>
      <c r="V54" s="1"/>
      <c r="W54" s="1"/>
      <c r="X54" s="1"/>
      <c r="Y54" s="1"/>
      <c r="Z54" s="1"/>
      <c r="AA54" s="1"/>
      <c r="AB54" s="1"/>
      <c r="AC54" s="1"/>
      <c r="AD54" s="65"/>
      <c r="AE54" s="1"/>
      <c r="AF54" s="1"/>
      <c r="AG54">
        <v>8858</v>
      </c>
      <c r="AH54">
        <v>8844</v>
      </c>
      <c r="AI54" s="90">
        <v>9032</v>
      </c>
    </row>
    <row r="55" spans="1:35">
      <c r="A55" s="53" t="s">
        <v>189</v>
      </c>
      <c r="P55" s="93">
        <v>6459.3459999999995</v>
      </c>
      <c r="Q55" s="68">
        <v>6688.44</v>
      </c>
      <c r="R55" s="68">
        <v>7512.3149999999996</v>
      </c>
      <c r="S55" s="72"/>
      <c r="T55" s="58"/>
      <c r="U55" s="1"/>
      <c r="V55" s="1"/>
      <c r="W55" s="1"/>
      <c r="X55" s="1"/>
      <c r="Y55" s="1"/>
      <c r="Z55" s="1"/>
      <c r="AA55" s="1"/>
      <c r="AB55" s="1"/>
      <c r="AC55" s="1"/>
      <c r="AD55" s="65"/>
      <c r="AE55" s="1"/>
      <c r="AF55" s="1"/>
      <c r="AG55">
        <v>4727</v>
      </c>
      <c r="AH55">
        <v>5019</v>
      </c>
      <c r="AI55" s="90">
        <v>5431</v>
      </c>
    </row>
    <row r="56" spans="1:35">
      <c r="A56" s="53" t="s">
        <v>190</v>
      </c>
      <c r="P56" s="93">
        <v>10186.431</v>
      </c>
      <c r="Q56" s="68">
        <v>9891.4480000000003</v>
      </c>
      <c r="R56" s="68">
        <v>11011.165000000001</v>
      </c>
      <c r="S56" s="72"/>
      <c r="T56" s="58"/>
      <c r="U56" s="1"/>
      <c r="V56" s="1"/>
      <c r="W56" s="1"/>
      <c r="X56" s="1"/>
      <c r="Y56" s="1"/>
      <c r="Z56" s="1"/>
      <c r="AA56" s="1"/>
      <c r="AB56" s="1"/>
      <c r="AC56" s="1"/>
      <c r="AD56" s="65"/>
      <c r="AE56" s="1"/>
      <c r="AF56" s="1"/>
      <c r="AG56">
        <v>4438</v>
      </c>
      <c r="AH56">
        <v>4620</v>
      </c>
      <c r="AI56" s="90">
        <v>4639</v>
      </c>
    </row>
    <row r="57" spans="1:35">
      <c r="A57" s="53" t="s">
        <v>191</v>
      </c>
      <c r="P57" s="93">
        <v>7546.1909999999998</v>
      </c>
      <c r="Q57" s="68">
        <v>8277.3130000000001</v>
      </c>
      <c r="R57" s="68">
        <v>7875.35</v>
      </c>
      <c r="S57" s="72"/>
      <c r="T57" s="58"/>
      <c r="U57" s="1"/>
      <c r="V57" s="1"/>
      <c r="W57" s="1"/>
      <c r="X57" s="1"/>
      <c r="Y57" s="1"/>
      <c r="Z57" s="1"/>
      <c r="AA57" s="1"/>
      <c r="AB57" s="1"/>
      <c r="AC57" s="1"/>
      <c r="AD57" s="65"/>
      <c r="AE57" s="1"/>
      <c r="AF57" s="1"/>
      <c r="AG57">
        <v>6030</v>
      </c>
      <c r="AH57">
        <v>6553</v>
      </c>
      <c r="AI57" s="90">
        <v>6269</v>
      </c>
    </row>
    <row r="58" spans="1:35">
      <c r="A58" s="53" t="s">
        <v>192</v>
      </c>
      <c r="P58" s="93">
        <v>23969.233</v>
      </c>
      <c r="Q58" s="68">
        <v>25380.258000000002</v>
      </c>
      <c r="R58" s="68">
        <v>25239.93</v>
      </c>
      <c r="S58" s="72"/>
      <c r="T58" s="58"/>
      <c r="U58" s="1"/>
      <c r="V58" s="1"/>
      <c r="W58" s="1"/>
      <c r="X58" s="1"/>
      <c r="Y58" s="1"/>
      <c r="Z58" s="1"/>
      <c r="AA58" s="1"/>
      <c r="AB58" s="1"/>
      <c r="AC58" s="1"/>
      <c r="AD58" s="65"/>
      <c r="AE58" s="1"/>
      <c r="AF58" s="1"/>
      <c r="AG58">
        <v>13964</v>
      </c>
      <c r="AH58">
        <v>14093</v>
      </c>
      <c r="AI58" s="90">
        <v>13923</v>
      </c>
    </row>
    <row r="59" spans="1:35">
      <c r="A59" s="53" t="s">
        <v>193</v>
      </c>
      <c r="P59" s="93">
        <v>32981.821000000004</v>
      </c>
      <c r="Q59" s="68">
        <v>34033.095000000001</v>
      </c>
      <c r="R59" s="68">
        <v>39456.821000000004</v>
      </c>
      <c r="S59" s="72"/>
      <c r="T59" s="58"/>
      <c r="U59" s="1"/>
      <c r="V59" s="1"/>
      <c r="W59" s="1"/>
      <c r="X59" s="1"/>
      <c r="Y59" s="1"/>
      <c r="Z59" s="1"/>
      <c r="AA59" s="1"/>
      <c r="AB59" s="1"/>
      <c r="AC59" s="1"/>
      <c r="AD59" s="65"/>
      <c r="AE59" s="1"/>
      <c r="AF59" s="1"/>
      <c r="AG59">
        <v>19841</v>
      </c>
      <c r="AH59">
        <v>20459</v>
      </c>
      <c r="AI59" s="90">
        <v>20407</v>
      </c>
    </row>
    <row r="60" spans="1:35">
      <c r="A60" s="53" t="s">
        <v>194</v>
      </c>
      <c r="P60" s="93">
        <v>1886.528</v>
      </c>
      <c r="Q60" s="68">
        <v>2227.5100000000002</v>
      </c>
      <c r="R60" s="68">
        <v>2473.39</v>
      </c>
      <c r="S60" s="72"/>
      <c r="T60" s="58"/>
      <c r="U60" s="1"/>
      <c r="V60" s="1"/>
      <c r="W60" s="1"/>
      <c r="X60" s="1"/>
      <c r="Y60" s="1"/>
      <c r="Z60" s="1"/>
      <c r="AA60" s="1"/>
      <c r="AB60" s="1"/>
      <c r="AC60" s="1"/>
      <c r="AD60" s="65"/>
      <c r="AE60" s="1"/>
      <c r="AF60" s="1"/>
      <c r="AG60">
        <v>1067</v>
      </c>
      <c r="AH60">
        <v>1384</v>
      </c>
      <c r="AI60" s="90">
        <v>1604</v>
      </c>
    </row>
    <row r="61" spans="1:35">
      <c r="A61" s="1"/>
      <c r="Q61" s="68"/>
      <c r="R61" s="68"/>
      <c r="S61" s="72"/>
      <c r="T61" s="58"/>
      <c r="U61" s="1"/>
      <c r="V61" s="1"/>
      <c r="W61" s="1"/>
      <c r="X61" s="1"/>
      <c r="Y61" s="1"/>
      <c r="Z61" s="1"/>
      <c r="AA61" s="1"/>
      <c r="AB61" s="1"/>
      <c r="AC61" s="1"/>
      <c r="AD61" s="65"/>
      <c r="AE61" s="1"/>
      <c r="AF61" s="1"/>
    </row>
    <row r="62" spans="1:35">
      <c r="A62" s="53" t="s">
        <v>165</v>
      </c>
      <c r="B62" s="1"/>
      <c r="C62" s="58"/>
      <c r="D62" s="1"/>
      <c r="E62" s="1"/>
      <c r="F62" s="1"/>
      <c r="G62" s="1"/>
      <c r="H62" s="1"/>
      <c r="I62" s="1"/>
      <c r="J62" s="1"/>
      <c r="K62" s="1"/>
      <c r="L62" s="1"/>
      <c r="M62" s="65"/>
      <c r="N62" s="1"/>
      <c r="O62" s="34"/>
      <c r="P62" s="93">
        <v>9654.8269999999993</v>
      </c>
      <c r="Q62" s="68">
        <v>10415.066999999999</v>
      </c>
      <c r="R62" s="68">
        <v>11346.781000000001</v>
      </c>
      <c r="S62" s="72"/>
      <c r="T62" s="58"/>
      <c r="U62" s="1"/>
      <c r="V62" s="1"/>
      <c r="W62" s="1"/>
      <c r="X62" s="1"/>
      <c r="Y62" s="1"/>
      <c r="Z62" s="1"/>
      <c r="AA62" s="1"/>
      <c r="AB62" s="1"/>
      <c r="AC62" s="1"/>
      <c r="AD62" s="65"/>
      <c r="AE62" s="1"/>
      <c r="AF62" s="34"/>
      <c r="AG62">
        <v>5083</v>
      </c>
      <c r="AH62">
        <v>4966</v>
      </c>
      <c r="AI62" s="90">
        <v>4842</v>
      </c>
    </row>
    <row r="63" spans="1:35">
      <c r="A63" s="53"/>
      <c r="B63" s="1"/>
      <c r="C63" s="58"/>
      <c r="D63" s="1"/>
      <c r="E63" s="1"/>
      <c r="F63" s="1"/>
      <c r="G63" s="1"/>
      <c r="H63" s="1"/>
      <c r="I63" s="1"/>
      <c r="J63" s="1"/>
      <c r="K63" s="1"/>
      <c r="L63" s="1"/>
      <c r="M63" s="65"/>
      <c r="N63" s="1"/>
      <c r="O63" s="34"/>
      <c r="Q63" s="68"/>
      <c r="R63" s="68"/>
      <c r="S63" s="72"/>
      <c r="T63" s="58"/>
      <c r="U63" s="1"/>
      <c r="V63" s="1"/>
      <c r="W63" s="1"/>
      <c r="X63" s="1"/>
      <c r="Y63" s="1"/>
      <c r="Z63" s="1"/>
      <c r="AA63" s="1"/>
      <c r="AB63" s="1"/>
      <c r="AC63" s="1"/>
      <c r="AD63" s="65"/>
      <c r="AE63" s="1"/>
      <c r="AF63" s="34"/>
      <c r="AI63" s="90"/>
    </row>
    <row r="64" spans="1:35" s="88" customFormat="1">
      <c r="A64" s="85" t="s">
        <v>39</v>
      </c>
      <c r="B64" s="87" t="s">
        <v>42</v>
      </c>
      <c r="C64" s="87" t="s">
        <v>42</v>
      </c>
      <c r="D64" s="85" t="s">
        <v>42</v>
      </c>
      <c r="E64" s="85" t="s">
        <v>40</v>
      </c>
      <c r="F64" s="85" t="s">
        <v>40</v>
      </c>
      <c r="G64" s="85" t="s">
        <v>40</v>
      </c>
      <c r="H64" s="85" t="s">
        <v>40</v>
      </c>
      <c r="I64" s="85" t="s">
        <v>40</v>
      </c>
      <c r="J64" s="85" t="s">
        <v>40</v>
      </c>
      <c r="K64" s="85"/>
      <c r="M64" s="134" t="s">
        <v>206</v>
      </c>
      <c r="N64" s="85"/>
      <c r="O64" s="87" t="s">
        <v>42</v>
      </c>
      <c r="P64" s="87" t="s">
        <v>42</v>
      </c>
      <c r="Q64" s="87" t="s">
        <v>42</v>
      </c>
      <c r="R64" s="87" t="s">
        <v>42</v>
      </c>
      <c r="S64" s="89" t="s">
        <v>42</v>
      </c>
      <c r="T64" s="85" t="s">
        <v>41</v>
      </c>
      <c r="U64" s="85" t="s">
        <v>42</v>
      </c>
      <c r="V64" s="85" t="s">
        <v>40</v>
      </c>
      <c r="W64" s="85" t="s">
        <v>40</v>
      </c>
      <c r="X64" s="85" t="s">
        <v>40</v>
      </c>
      <c r="Y64" s="85" t="s">
        <v>40</v>
      </c>
      <c r="Z64" s="85" t="s">
        <v>40</v>
      </c>
      <c r="AA64" s="85" t="s">
        <v>40</v>
      </c>
      <c r="AB64" s="85"/>
      <c r="AC64" s="85"/>
      <c r="AD64" s="134" t="s">
        <v>206</v>
      </c>
      <c r="AE64" s="85"/>
      <c r="AF64" s="87" t="s">
        <v>42</v>
      </c>
      <c r="AG64" s="87" t="s">
        <v>42</v>
      </c>
      <c r="AH64" s="87" t="s">
        <v>42</v>
      </c>
      <c r="AI64" s="87" t="s">
        <v>42</v>
      </c>
    </row>
    <row r="65" spans="1:35">
      <c r="A65" s="1" t="s">
        <v>43</v>
      </c>
      <c r="B65" s="34" t="s">
        <v>133</v>
      </c>
      <c r="C65" s="34" t="s">
        <v>133</v>
      </c>
      <c r="D65" s="1" t="s">
        <v>44</v>
      </c>
      <c r="E65" s="1" t="s">
        <v>44</v>
      </c>
      <c r="F65" s="1" t="s">
        <v>44</v>
      </c>
      <c r="G65" s="1" t="s">
        <v>44</v>
      </c>
      <c r="H65" s="1" t="s">
        <v>44</v>
      </c>
      <c r="I65" s="1" t="s">
        <v>44</v>
      </c>
      <c r="J65" s="1" t="s">
        <v>44</v>
      </c>
      <c r="K65" s="1"/>
      <c r="M65" s="65" t="s">
        <v>207</v>
      </c>
      <c r="N65" s="1"/>
      <c r="O65" s="34" t="s">
        <v>133</v>
      </c>
      <c r="P65" s="34" t="s">
        <v>133</v>
      </c>
      <c r="Q65" s="34" t="s">
        <v>133</v>
      </c>
      <c r="R65" s="34" t="s">
        <v>133</v>
      </c>
      <c r="S65" s="72" t="s">
        <v>44</v>
      </c>
      <c r="T65" s="58" t="s">
        <v>45</v>
      </c>
      <c r="U65" s="1" t="s">
        <v>44</v>
      </c>
      <c r="V65" s="1" t="s">
        <v>44</v>
      </c>
      <c r="W65" s="1" t="s">
        <v>44</v>
      </c>
      <c r="X65" s="1" t="s">
        <v>44</v>
      </c>
      <c r="Y65" s="1" t="s">
        <v>44</v>
      </c>
      <c r="Z65" s="1" t="s">
        <v>44</v>
      </c>
      <c r="AA65" s="1" t="s">
        <v>44</v>
      </c>
      <c r="AB65" s="1"/>
      <c r="AC65" s="1"/>
      <c r="AD65" s="65" t="s">
        <v>207</v>
      </c>
      <c r="AE65" s="1"/>
      <c r="AF65" s="34" t="s">
        <v>133</v>
      </c>
      <c r="AG65" s="34" t="s">
        <v>133</v>
      </c>
      <c r="AH65" s="34" t="s">
        <v>133</v>
      </c>
      <c r="AI65" s="34" t="s">
        <v>133</v>
      </c>
    </row>
    <row r="66" spans="1:35">
      <c r="A66" s="1" t="s">
        <v>46</v>
      </c>
      <c r="B66" s="34" t="s">
        <v>50</v>
      </c>
      <c r="C66" s="34" t="s">
        <v>50</v>
      </c>
      <c r="D66" s="1" t="s">
        <v>47</v>
      </c>
      <c r="E66" s="1" t="s">
        <v>47</v>
      </c>
      <c r="F66" s="1" t="s">
        <v>47</v>
      </c>
      <c r="G66" s="1" t="s">
        <v>47</v>
      </c>
      <c r="H66" s="1" t="s">
        <v>47</v>
      </c>
      <c r="I66" s="1" t="s">
        <v>47</v>
      </c>
      <c r="J66" s="1" t="s">
        <v>47</v>
      </c>
      <c r="K66" s="1"/>
      <c r="M66" s="65" t="s">
        <v>208</v>
      </c>
      <c r="N66" s="1"/>
      <c r="O66" s="34" t="s">
        <v>50</v>
      </c>
      <c r="P66" s="34" t="s">
        <v>50</v>
      </c>
      <c r="Q66" s="34" t="s">
        <v>50</v>
      </c>
      <c r="R66" s="34" t="s">
        <v>50</v>
      </c>
      <c r="S66" s="72" t="s">
        <v>47</v>
      </c>
      <c r="T66" s="58" t="s">
        <v>48</v>
      </c>
      <c r="U66" s="1" t="s">
        <v>47</v>
      </c>
      <c r="V66" s="1" t="s">
        <v>47</v>
      </c>
      <c r="W66" s="1" t="s">
        <v>47</v>
      </c>
      <c r="X66" s="1" t="s">
        <v>47</v>
      </c>
      <c r="Y66" s="1" t="s">
        <v>47</v>
      </c>
      <c r="Z66" s="1" t="s">
        <v>47</v>
      </c>
      <c r="AA66" s="1" t="s">
        <v>47</v>
      </c>
      <c r="AB66" s="1"/>
      <c r="AC66" s="1"/>
      <c r="AD66" s="65" t="s">
        <v>208</v>
      </c>
      <c r="AE66" s="1"/>
      <c r="AF66" s="34" t="s">
        <v>50</v>
      </c>
      <c r="AG66" s="34" t="s">
        <v>50</v>
      </c>
      <c r="AH66" s="34" t="s">
        <v>50</v>
      </c>
      <c r="AI66" s="34" t="s">
        <v>50</v>
      </c>
    </row>
    <row r="67" spans="1:35">
      <c r="A67" s="1" t="s">
        <v>49</v>
      </c>
      <c r="B67" s="34" t="s">
        <v>131</v>
      </c>
      <c r="C67" s="34" t="s">
        <v>131</v>
      </c>
      <c r="D67" s="1" t="s">
        <v>50</v>
      </c>
      <c r="E67" s="1" t="s">
        <v>50</v>
      </c>
      <c r="F67" s="1" t="s">
        <v>50</v>
      </c>
      <c r="G67" s="1" t="s">
        <v>50</v>
      </c>
      <c r="H67" s="1" t="s">
        <v>50</v>
      </c>
      <c r="I67" s="1" t="s">
        <v>50</v>
      </c>
      <c r="J67" s="1" t="s">
        <v>50</v>
      </c>
      <c r="K67" s="1"/>
      <c r="M67" s="65" t="s">
        <v>209</v>
      </c>
      <c r="N67" s="1"/>
      <c r="O67" s="34" t="s">
        <v>131</v>
      </c>
      <c r="P67" s="34" t="s">
        <v>131</v>
      </c>
      <c r="Q67" s="34" t="s">
        <v>131</v>
      </c>
      <c r="R67" s="34" t="s">
        <v>131</v>
      </c>
      <c r="S67" s="72" t="s">
        <v>50</v>
      </c>
      <c r="T67" s="58" t="s">
        <v>51</v>
      </c>
      <c r="U67" s="1" t="s">
        <v>50</v>
      </c>
      <c r="V67" s="1" t="s">
        <v>50</v>
      </c>
      <c r="W67" s="1" t="s">
        <v>50</v>
      </c>
      <c r="X67" s="1" t="s">
        <v>50</v>
      </c>
      <c r="Y67" s="1" t="s">
        <v>50</v>
      </c>
      <c r="Z67" s="1" t="s">
        <v>50</v>
      </c>
      <c r="AA67" s="1" t="s">
        <v>50</v>
      </c>
      <c r="AB67" s="1"/>
      <c r="AC67" s="1"/>
      <c r="AD67" s="65" t="s">
        <v>209</v>
      </c>
      <c r="AE67" s="1"/>
      <c r="AF67" s="34" t="s">
        <v>131</v>
      </c>
      <c r="AG67" s="34" t="s">
        <v>131</v>
      </c>
      <c r="AH67" s="34" t="s">
        <v>131</v>
      </c>
      <c r="AI67" s="34" t="s">
        <v>131</v>
      </c>
    </row>
    <row r="68" spans="1:35">
      <c r="A68" s="1" t="s">
        <v>52</v>
      </c>
      <c r="B68" s="34" t="s">
        <v>132</v>
      </c>
      <c r="C68" s="34" t="s">
        <v>132</v>
      </c>
      <c r="D68" s="1" t="s">
        <v>2</v>
      </c>
      <c r="E68" s="1" t="s">
        <v>2</v>
      </c>
      <c r="F68" s="1" t="s">
        <v>2</v>
      </c>
      <c r="G68" s="1" t="s">
        <v>2</v>
      </c>
      <c r="H68" s="1" t="s">
        <v>2</v>
      </c>
      <c r="I68" s="1" t="s">
        <v>2</v>
      </c>
      <c r="J68" s="1" t="s">
        <v>2</v>
      </c>
      <c r="K68" s="1"/>
      <c r="M68" s="65" t="s">
        <v>210</v>
      </c>
      <c r="N68" s="1"/>
      <c r="O68" s="34" t="s">
        <v>132</v>
      </c>
      <c r="P68" s="34" t="s">
        <v>132</v>
      </c>
      <c r="Q68" s="34" t="s">
        <v>132</v>
      </c>
      <c r="R68" s="34" t="s">
        <v>132</v>
      </c>
      <c r="S68" s="72" t="s">
        <v>2</v>
      </c>
      <c r="T68" s="58" t="s">
        <v>44</v>
      </c>
      <c r="U68" s="1" t="s">
        <v>2</v>
      </c>
      <c r="V68" s="1" t="s">
        <v>2</v>
      </c>
      <c r="W68" s="1" t="s">
        <v>2</v>
      </c>
      <c r="X68" s="1" t="s">
        <v>2</v>
      </c>
      <c r="Y68" s="1" t="s">
        <v>2</v>
      </c>
      <c r="Z68" s="1" t="s">
        <v>2</v>
      </c>
      <c r="AA68" s="1" t="s">
        <v>2</v>
      </c>
      <c r="AB68" s="1"/>
      <c r="AC68" s="1"/>
      <c r="AD68" s="65" t="s">
        <v>210</v>
      </c>
      <c r="AE68" s="1"/>
      <c r="AF68" s="34" t="s">
        <v>132</v>
      </c>
      <c r="AG68" s="34" t="s">
        <v>132</v>
      </c>
      <c r="AH68" s="34" t="s">
        <v>132</v>
      </c>
      <c r="AI68" s="34" t="s">
        <v>132</v>
      </c>
    </row>
    <row r="69" spans="1:35">
      <c r="A69" s="1" t="s">
        <v>53</v>
      </c>
      <c r="B69" s="34" t="s">
        <v>134</v>
      </c>
      <c r="C69" s="34" t="s">
        <v>147</v>
      </c>
      <c r="D69" s="1" t="s">
        <v>57</v>
      </c>
      <c r="E69" s="1" t="s">
        <v>57</v>
      </c>
      <c r="F69" s="1" t="s">
        <v>57</v>
      </c>
      <c r="G69" s="1" t="s">
        <v>57</v>
      </c>
      <c r="H69" s="1" t="s">
        <v>57</v>
      </c>
      <c r="I69" s="1" t="s">
        <v>57</v>
      </c>
      <c r="J69" s="1" t="s">
        <v>57</v>
      </c>
      <c r="K69" s="1"/>
      <c r="M69" s="65"/>
      <c r="N69" s="1"/>
      <c r="O69" s="34" t="s">
        <v>134</v>
      </c>
      <c r="P69" s="34" t="s">
        <v>147</v>
      </c>
      <c r="Q69" s="34" t="s">
        <v>202</v>
      </c>
      <c r="R69" s="34" t="s">
        <v>200</v>
      </c>
      <c r="S69" s="72" t="s">
        <v>57</v>
      </c>
      <c r="T69" s="58" t="s">
        <v>58</v>
      </c>
      <c r="U69" s="1" t="s">
        <v>57</v>
      </c>
      <c r="V69" s="1" t="s">
        <v>57</v>
      </c>
      <c r="W69" s="1" t="s">
        <v>57</v>
      </c>
      <c r="X69" s="1" t="s">
        <v>57</v>
      </c>
      <c r="Y69" s="1" t="s">
        <v>57</v>
      </c>
      <c r="Z69" s="1" t="s">
        <v>57</v>
      </c>
      <c r="AA69" s="1" t="s">
        <v>57</v>
      </c>
      <c r="AB69" s="1"/>
      <c r="AC69" s="1"/>
      <c r="AD69" s="65"/>
      <c r="AE69" s="1"/>
      <c r="AF69" s="34" t="s">
        <v>134</v>
      </c>
      <c r="AG69" s="34" t="s">
        <v>147</v>
      </c>
      <c r="AH69" s="34" t="s">
        <v>202</v>
      </c>
      <c r="AI69" s="34" t="s">
        <v>200</v>
      </c>
    </row>
    <row r="70" spans="1:35">
      <c r="A70" s="1" t="s">
        <v>56</v>
      </c>
      <c r="B70" s="35" t="s">
        <v>142</v>
      </c>
      <c r="C70" s="35" t="s">
        <v>148</v>
      </c>
      <c r="D70" s="1" t="s">
        <v>62</v>
      </c>
      <c r="E70" s="1" t="s">
        <v>63</v>
      </c>
      <c r="F70" s="1" t="s">
        <v>64</v>
      </c>
      <c r="G70" s="1" t="s">
        <v>65</v>
      </c>
      <c r="H70" s="1" t="s">
        <v>66</v>
      </c>
      <c r="I70" s="1" t="s">
        <v>67</v>
      </c>
      <c r="J70" s="1" t="s">
        <v>68</v>
      </c>
      <c r="K70" s="1"/>
      <c r="M70" s="65"/>
      <c r="N70" s="1"/>
      <c r="O70" s="35" t="s">
        <v>142</v>
      </c>
      <c r="P70" s="35" t="s">
        <v>148</v>
      </c>
      <c r="Q70" s="35" t="s">
        <v>203</v>
      </c>
      <c r="R70" s="35" t="s">
        <v>201</v>
      </c>
      <c r="S70" s="72" t="s">
        <v>60</v>
      </c>
      <c r="T70" s="58" t="s">
        <v>61</v>
      </c>
      <c r="U70" s="1" t="s">
        <v>62</v>
      </c>
      <c r="V70" s="1" t="s">
        <v>63</v>
      </c>
      <c r="W70" s="1" t="s">
        <v>64</v>
      </c>
      <c r="X70" s="1" t="s">
        <v>65</v>
      </c>
      <c r="Y70" s="1" t="s">
        <v>66</v>
      </c>
      <c r="Z70" s="1" t="s">
        <v>67</v>
      </c>
      <c r="AA70" s="1" t="s">
        <v>68</v>
      </c>
      <c r="AB70" s="1"/>
      <c r="AC70" s="1"/>
      <c r="AD70" s="65"/>
      <c r="AE70" s="1"/>
      <c r="AF70" s="35" t="s">
        <v>142</v>
      </c>
      <c r="AG70" s="35" t="s">
        <v>148</v>
      </c>
      <c r="AH70" s="35" t="s">
        <v>203</v>
      </c>
      <c r="AI70" s="35" t="s">
        <v>201</v>
      </c>
    </row>
    <row r="71" spans="1:35">
      <c r="A71" s="1" t="s">
        <v>59</v>
      </c>
      <c r="B71" s="36" t="s">
        <v>135</v>
      </c>
      <c r="C71" s="36" t="s">
        <v>149</v>
      </c>
      <c r="D71" s="1" t="s">
        <v>70</v>
      </c>
      <c r="E71" s="1" t="s">
        <v>70</v>
      </c>
      <c r="F71" s="1" t="s">
        <v>70</v>
      </c>
      <c r="G71" s="1" t="s">
        <v>70</v>
      </c>
      <c r="H71" s="1" t="s">
        <v>70</v>
      </c>
      <c r="I71" s="1" t="s">
        <v>72</v>
      </c>
      <c r="J71" s="1" t="s">
        <v>72</v>
      </c>
      <c r="K71" s="1"/>
      <c r="M71" s="65"/>
      <c r="N71" s="1"/>
      <c r="O71" s="36" t="s">
        <v>135</v>
      </c>
      <c r="P71" s="36" t="s">
        <v>149</v>
      </c>
      <c r="Q71" s="36" t="s">
        <v>198</v>
      </c>
      <c r="R71" s="36" t="s">
        <v>199</v>
      </c>
      <c r="S71" s="72" t="s">
        <v>70</v>
      </c>
      <c r="T71" s="58" t="s">
        <v>71</v>
      </c>
      <c r="U71" s="1" t="s">
        <v>70</v>
      </c>
      <c r="V71" s="1" t="s">
        <v>70</v>
      </c>
      <c r="W71" s="1" t="s">
        <v>70</v>
      </c>
      <c r="X71" s="1" t="s">
        <v>70</v>
      </c>
      <c r="Y71" s="1" t="s">
        <v>70</v>
      </c>
      <c r="Z71" s="1" t="s">
        <v>72</v>
      </c>
      <c r="AA71" s="1" t="s">
        <v>72</v>
      </c>
      <c r="AB71" s="1"/>
      <c r="AC71" s="1"/>
      <c r="AD71" s="65"/>
      <c r="AE71" s="1"/>
      <c r="AF71" s="36" t="s">
        <v>135</v>
      </c>
      <c r="AG71" s="36" t="s">
        <v>149</v>
      </c>
      <c r="AH71" s="36" t="s">
        <v>198</v>
      </c>
      <c r="AI71" s="36" t="s">
        <v>199</v>
      </c>
    </row>
    <row r="72" spans="1:35">
      <c r="A72" s="1" t="s">
        <v>69</v>
      </c>
      <c r="B72" s="34" t="s">
        <v>136</v>
      </c>
      <c r="C72" s="34" t="s">
        <v>136</v>
      </c>
      <c r="D72" s="1" t="s">
        <v>74</v>
      </c>
      <c r="E72" s="1" t="s">
        <v>74</v>
      </c>
      <c r="F72" s="1" t="s">
        <v>74</v>
      </c>
      <c r="G72" s="1" t="s">
        <v>74</v>
      </c>
      <c r="H72" s="1" t="s">
        <v>74</v>
      </c>
      <c r="I72" s="1" t="s">
        <v>77</v>
      </c>
      <c r="J72" s="1" t="s">
        <v>77</v>
      </c>
      <c r="K72" s="1"/>
      <c r="M72" s="65"/>
      <c r="N72" s="1"/>
      <c r="O72" s="34" t="s">
        <v>136</v>
      </c>
      <c r="P72" s="34" t="s">
        <v>136</v>
      </c>
      <c r="Q72" s="34" t="s">
        <v>136</v>
      </c>
      <c r="R72" s="34" t="s">
        <v>136</v>
      </c>
      <c r="S72" s="72" t="s">
        <v>74</v>
      </c>
      <c r="T72" s="58" t="s">
        <v>75</v>
      </c>
      <c r="U72" s="1" t="s">
        <v>74</v>
      </c>
      <c r="V72" s="1" t="s">
        <v>74</v>
      </c>
      <c r="W72" s="1" t="s">
        <v>74</v>
      </c>
      <c r="X72" s="1" t="s">
        <v>74</v>
      </c>
      <c r="Y72" s="1" t="s">
        <v>74</v>
      </c>
      <c r="Z72" s="1" t="s">
        <v>77</v>
      </c>
      <c r="AA72" s="1" t="s">
        <v>77</v>
      </c>
      <c r="AB72" s="1"/>
      <c r="AC72" s="1"/>
      <c r="AD72" s="65"/>
      <c r="AE72" s="1"/>
      <c r="AF72" s="34" t="s">
        <v>136</v>
      </c>
      <c r="AG72" s="34" t="s">
        <v>136</v>
      </c>
      <c r="AH72" s="34" t="s">
        <v>136</v>
      </c>
      <c r="AI72" s="34" t="s">
        <v>136</v>
      </c>
    </row>
    <row r="73" spans="1:35">
      <c r="A73" s="1" t="s">
        <v>73</v>
      </c>
      <c r="B73" s="34" t="s">
        <v>137</v>
      </c>
      <c r="C73" s="34" t="s">
        <v>137</v>
      </c>
      <c r="D73" s="1" t="s">
        <v>43</v>
      </c>
      <c r="E73" s="1" t="s">
        <v>43</v>
      </c>
      <c r="F73" s="1" t="s">
        <v>43</v>
      </c>
      <c r="G73" s="1" t="s">
        <v>43</v>
      </c>
      <c r="H73" s="1" t="s">
        <v>43</v>
      </c>
      <c r="I73" s="1" t="s">
        <v>79</v>
      </c>
      <c r="J73" s="1" t="s">
        <v>79</v>
      </c>
      <c r="K73" s="1"/>
      <c r="M73" s="65"/>
      <c r="N73" s="1"/>
      <c r="O73" s="34" t="s">
        <v>137</v>
      </c>
      <c r="P73" s="34" t="s">
        <v>137</v>
      </c>
      <c r="Q73" s="34" t="s">
        <v>137</v>
      </c>
      <c r="R73" s="34" t="s">
        <v>137</v>
      </c>
      <c r="S73" s="72" t="s">
        <v>43</v>
      </c>
      <c r="T73" s="58" t="s">
        <v>78</v>
      </c>
      <c r="U73" s="1" t="s">
        <v>43</v>
      </c>
      <c r="V73" s="1" t="s">
        <v>43</v>
      </c>
      <c r="W73" s="1" t="s">
        <v>43</v>
      </c>
      <c r="X73" s="1" t="s">
        <v>43</v>
      </c>
      <c r="Y73" s="1" t="s">
        <v>43</v>
      </c>
      <c r="Z73" s="1" t="s">
        <v>79</v>
      </c>
      <c r="AA73" s="1" t="s">
        <v>79</v>
      </c>
      <c r="AB73" s="1"/>
      <c r="AC73" s="1"/>
      <c r="AD73" s="65"/>
      <c r="AE73" s="1"/>
      <c r="AF73" s="34" t="s">
        <v>137</v>
      </c>
      <c r="AG73" s="34" t="s">
        <v>137</v>
      </c>
      <c r="AH73" s="34" t="s">
        <v>137</v>
      </c>
      <c r="AI73" s="34" t="s">
        <v>137</v>
      </c>
    </row>
    <row r="74" spans="1:35">
      <c r="A74" s="1" t="s">
        <v>50</v>
      </c>
      <c r="B74" s="34" t="s">
        <v>138</v>
      </c>
      <c r="C74" s="34" t="s">
        <v>138</v>
      </c>
      <c r="D74" s="1" t="s">
        <v>51</v>
      </c>
      <c r="E74" s="1" t="s">
        <v>72</v>
      </c>
      <c r="F74" s="1" t="s">
        <v>72</v>
      </c>
      <c r="G74" s="1" t="s">
        <v>72</v>
      </c>
      <c r="H74" s="1" t="s">
        <v>72</v>
      </c>
      <c r="I74" s="1" t="s">
        <v>82</v>
      </c>
      <c r="J74" s="1" t="s">
        <v>82</v>
      </c>
      <c r="K74" s="1"/>
      <c r="M74" s="65"/>
      <c r="N74" s="1"/>
      <c r="O74" s="34" t="s">
        <v>138</v>
      </c>
      <c r="P74" s="34" t="s">
        <v>138</v>
      </c>
      <c r="Q74" s="34" t="s">
        <v>138</v>
      </c>
      <c r="R74" s="34" t="s">
        <v>138</v>
      </c>
      <c r="S74" s="72" t="s">
        <v>51</v>
      </c>
      <c r="T74" s="58" t="s">
        <v>44</v>
      </c>
      <c r="U74" s="1" t="s">
        <v>51</v>
      </c>
      <c r="V74" s="1" t="s">
        <v>72</v>
      </c>
      <c r="W74" s="1" t="s">
        <v>72</v>
      </c>
      <c r="X74" s="1" t="s">
        <v>72</v>
      </c>
      <c r="Y74" s="1" t="s">
        <v>72</v>
      </c>
      <c r="Z74" s="1" t="s">
        <v>82</v>
      </c>
      <c r="AA74" s="1" t="s">
        <v>82</v>
      </c>
      <c r="AB74" s="1"/>
      <c r="AC74" s="1"/>
      <c r="AD74" s="65"/>
      <c r="AE74" s="1"/>
      <c r="AF74" s="34" t="s">
        <v>138</v>
      </c>
      <c r="AG74" s="34" t="s">
        <v>138</v>
      </c>
      <c r="AH74" s="34" t="s">
        <v>138</v>
      </c>
      <c r="AI74" s="34" t="s">
        <v>138</v>
      </c>
    </row>
    <row r="75" spans="1:35">
      <c r="A75" s="1" t="s">
        <v>80</v>
      </c>
      <c r="B75" s="34" t="s">
        <v>139</v>
      </c>
      <c r="C75" s="34" t="s">
        <v>139</v>
      </c>
      <c r="D75" s="1" t="s">
        <v>44</v>
      </c>
      <c r="E75" s="1" t="s">
        <v>76</v>
      </c>
      <c r="F75" s="1" t="s">
        <v>76</v>
      </c>
      <c r="G75" s="1" t="s">
        <v>76</v>
      </c>
      <c r="H75" s="1" t="s">
        <v>76</v>
      </c>
      <c r="I75" s="1" t="s">
        <v>85</v>
      </c>
      <c r="J75" s="1" t="s">
        <v>85</v>
      </c>
      <c r="K75" s="1"/>
      <c r="M75" s="65"/>
      <c r="N75" s="1"/>
      <c r="O75" s="34" t="s">
        <v>139</v>
      </c>
      <c r="P75" s="34" t="s">
        <v>139</v>
      </c>
      <c r="Q75" s="34" t="s">
        <v>139</v>
      </c>
      <c r="R75" s="34" t="s">
        <v>139</v>
      </c>
      <c r="S75" s="72" t="s">
        <v>44</v>
      </c>
      <c r="T75" s="58" t="s">
        <v>83</v>
      </c>
      <c r="U75" s="1" t="s">
        <v>44</v>
      </c>
      <c r="V75" s="1" t="s">
        <v>76</v>
      </c>
      <c r="W75" s="1" t="s">
        <v>76</v>
      </c>
      <c r="X75" s="1" t="s">
        <v>76</v>
      </c>
      <c r="Y75" s="1" t="s">
        <v>76</v>
      </c>
      <c r="Z75" s="1" t="s">
        <v>85</v>
      </c>
      <c r="AA75" s="1" t="s">
        <v>85</v>
      </c>
      <c r="AB75" s="1"/>
      <c r="AC75" s="1"/>
      <c r="AD75" s="65"/>
      <c r="AE75" s="1"/>
      <c r="AF75" s="34" t="s">
        <v>139</v>
      </c>
      <c r="AG75" s="34" t="s">
        <v>139</v>
      </c>
      <c r="AH75" s="34" t="s">
        <v>139</v>
      </c>
      <c r="AI75" s="34" t="s">
        <v>139</v>
      </c>
    </row>
    <row r="76" spans="1:35">
      <c r="A76" s="1" t="s">
        <v>49</v>
      </c>
      <c r="B76" s="34" t="s">
        <v>140</v>
      </c>
      <c r="C76" s="34" t="s">
        <v>140</v>
      </c>
      <c r="D76" s="1" t="s">
        <v>55</v>
      </c>
      <c r="E76" s="1" t="s">
        <v>79</v>
      </c>
      <c r="F76" s="1" t="s">
        <v>79</v>
      </c>
      <c r="G76" s="1" t="s">
        <v>79</v>
      </c>
      <c r="H76" s="1" t="s">
        <v>79</v>
      </c>
      <c r="I76" s="1" t="s">
        <v>88</v>
      </c>
      <c r="J76" s="1" t="s">
        <v>88</v>
      </c>
      <c r="K76" s="1"/>
      <c r="M76" s="65"/>
      <c r="N76" s="1"/>
      <c r="O76" s="34" t="s">
        <v>140</v>
      </c>
      <c r="P76" s="34" t="s">
        <v>140</v>
      </c>
      <c r="Q76" s="34" t="s">
        <v>140</v>
      </c>
      <c r="R76" s="34" t="s">
        <v>140</v>
      </c>
      <c r="S76" s="72" t="s">
        <v>55</v>
      </c>
      <c r="T76" s="58" t="s">
        <v>87</v>
      </c>
      <c r="U76" s="1" t="s">
        <v>55</v>
      </c>
      <c r="V76" s="1" t="s">
        <v>79</v>
      </c>
      <c r="W76" s="1" t="s">
        <v>79</v>
      </c>
      <c r="X76" s="1" t="s">
        <v>79</v>
      </c>
      <c r="Y76" s="1" t="s">
        <v>79</v>
      </c>
      <c r="Z76" s="1" t="s">
        <v>88</v>
      </c>
      <c r="AA76" s="1" t="s">
        <v>88</v>
      </c>
      <c r="AB76" s="1"/>
      <c r="AC76" s="1"/>
      <c r="AD76" s="65"/>
      <c r="AE76" s="1"/>
      <c r="AF76" s="34" t="s">
        <v>140</v>
      </c>
      <c r="AG76" s="34" t="s">
        <v>140</v>
      </c>
      <c r="AH76" s="34" t="s">
        <v>140</v>
      </c>
      <c r="AI76" s="34" t="s">
        <v>140</v>
      </c>
    </row>
    <row r="77" spans="1:35">
      <c r="A77" s="1" t="s">
        <v>86</v>
      </c>
      <c r="B77" s="34" t="s">
        <v>48</v>
      </c>
      <c r="C77" s="34" t="s">
        <v>48</v>
      </c>
      <c r="D77" s="1" t="s">
        <v>58</v>
      </c>
      <c r="E77" s="1" t="s">
        <v>81</v>
      </c>
      <c r="F77" s="1" t="s">
        <v>81</v>
      </c>
      <c r="G77" s="1" t="s">
        <v>81</v>
      </c>
      <c r="H77" s="1" t="s">
        <v>81</v>
      </c>
      <c r="I77" s="1" t="s">
        <v>44</v>
      </c>
      <c r="J77" s="1" t="s">
        <v>44</v>
      </c>
      <c r="K77" s="1"/>
      <c r="M77" s="65"/>
      <c r="N77" s="1"/>
      <c r="O77" s="34" t="s">
        <v>48</v>
      </c>
      <c r="P77" s="34" t="s">
        <v>48</v>
      </c>
      <c r="Q77" s="34" t="s">
        <v>48</v>
      </c>
      <c r="R77" s="34" t="s">
        <v>48</v>
      </c>
      <c r="S77" s="72" t="s">
        <v>58</v>
      </c>
      <c r="T77" s="58" t="s">
        <v>90</v>
      </c>
      <c r="U77" s="1" t="s">
        <v>58</v>
      </c>
      <c r="V77" s="1" t="s">
        <v>81</v>
      </c>
      <c r="W77" s="1" t="s">
        <v>81</v>
      </c>
      <c r="X77" s="1" t="s">
        <v>81</v>
      </c>
      <c r="Y77" s="1" t="s">
        <v>81</v>
      </c>
      <c r="Z77" s="1" t="s">
        <v>44</v>
      </c>
      <c r="AA77" s="1" t="s">
        <v>44</v>
      </c>
      <c r="AB77" s="1"/>
      <c r="AC77" s="1"/>
      <c r="AD77" s="65"/>
      <c r="AE77" s="1"/>
      <c r="AF77" s="34" t="s">
        <v>48</v>
      </c>
      <c r="AG77" s="34" t="s">
        <v>48</v>
      </c>
      <c r="AH77" s="34" t="s">
        <v>48</v>
      </c>
      <c r="AI77" s="34" t="s">
        <v>48</v>
      </c>
    </row>
    <row r="78" spans="1:35">
      <c r="A78" s="1" t="s">
        <v>89</v>
      </c>
      <c r="B78" s="34" t="s">
        <v>141</v>
      </c>
      <c r="C78" s="34" t="s">
        <v>150</v>
      </c>
      <c r="D78" s="1" t="s">
        <v>61</v>
      </c>
      <c r="E78" s="1" t="s">
        <v>84</v>
      </c>
      <c r="F78" s="1" t="s">
        <v>84</v>
      </c>
      <c r="G78" s="1" t="s">
        <v>84</v>
      </c>
      <c r="H78" s="1" t="s">
        <v>84</v>
      </c>
      <c r="I78" s="1" t="s">
        <v>48</v>
      </c>
      <c r="J78" s="1" t="s">
        <v>48</v>
      </c>
      <c r="K78" s="1"/>
      <c r="M78" s="65"/>
      <c r="N78" s="1"/>
      <c r="O78" s="34" t="s">
        <v>141</v>
      </c>
      <c r="P78" s="34" t="s">
        <v>205</v>
      </c>
      <c r="Q78" s="34" t="s">
        <v>205</v>
      </c>
      <c r="R78" s="34" t="s">
        <v>205</v>
      </c>
      <c r="S78" s="72" t="s">
        <v>61</v>
      </c>
      <c r="T78" s="58" t="s">
        <v>92</v>
      </c>
      <c r="U78" s="1" t="s">
        <v>61</v>
      </c>
      <c r="V78" s="1" t="s">
        <v>84</v>
      </c>
      <c r="W78" s="1" t="s">
        <v>84</v>
      </c>
      <c r="X78" s="1" t="s">
        <v>84</v>
      </c>
      <c r="Y78" s="1" t="s">
        <v>84</v>
      </c>
      <c r="Z78" s="1" t="s">
        <v>48</v>
      </c>
      <c r="AA78" s="1" t="s">
        <v>48</v>
      </c>
      <c r="AB78" s="1"/>
      <c r="AC78" s="1"/>
      <c r="AD78" s="65"/>
      <c r="AE78" s="1"/>
      <c r="AF78" s="34" t="s">
        <v>141</v>
      </c>
      <c r="AG78" s="34" t="s">
        <v>205</v>
      </c>
      <c r="AH78" s="34" t="s">
        <v>205</v>
      </c>
      <c r="AI78" s="34" t="s">
        <v>205</v>
      </c>
    </row>
    <row r="79" spans="1:35">
      <c r="A79" s="1" t="s">
        <v>91</v>
      </c>
      <c r="B79" s="37">
        <v>2000</v>
      </c>
      <c r="C79" s="37">
        <v>2000</v>
      </c>
      <c r="D79" s="1" t="s">
        <v>85</v>
      </c>
      <c r="E79" s="1" t="s">
        <v>85</v>
      </c>
      <c r="F79" s="1" t="s">
        <v>85</v>
      </c>
      <c r="G79" s="1" t="s">
        <v>85</v>
      </c>
      <c r="H79" s="1" t="s">
        <v>85</v>
      </c>
      <c r="I79" s="1" t="s">
        <v>95</v>
      </c>
      <c r="J79" s="1" t="s">
        <v>96</v>
      </c>
      <c r="K79" s="1"/>
      <c r="M79" s="65"/>
      <c r="N79" s="1"/>
      <c r="O79" s="37">
        <v>2000</v>
      </c>
      <c r="P79" s="37">
        <v>2001</v>
      </c>
      <c r="Q79" s="37">
        <v>2001</v>
      </c>
      <c r="R79" s="37">
        <v>2001</v>
      </c>
      <c r="S79" s="72" t="s">
        <v>85</v>
      </c>
      <c r="T79" s="58" t="s">
        <v>94</v>
      </c>
      <c r="U79" s="1" t="s">
        <v>85</v>
      </c>
      <c r="V79" s="1" t="s">
        <v>85</v>
      </c>
      <c r="W79" s="1" t="s">
        <v>85</v>
      </c>
      <c r="X79" s="1" t="s">
        <v>85</v>
      </c>
      <c r="Y79" s="1" t="s">
        <v>85</v>
      </c>
      <c r="Z79" s="1" t="s">
        <v>95</v>
      </c>
      <c r="AA79" s="1" t="s">
        <v>96</v>
      </c>
      <c r="AB79" s="1"/>
      <c r="AC79" s="1"/>
      <c r="AD79" s="65"/>
      <c r="AE79" s="1"/>
      <c r="AF79" s="37">
        <v>2000</v>
      </c>
      <c r="AG79" s="37">
        <v>2001</v>
      </c>
      <c r="AH79" s="37">
        <v>2001</v>
      </c>
      <c r="AI79" s="37">
        <v>2001</v>
      </c>
    </row>
    <row r="80" spans="1:35">
      <c r="A80" s="1" t="s">
        <v>93</v>
      </c>
      <c r="B80" s="38" t="s">
        <v>145</v>
      </c>
      <c r="C80" s="38" t="s">
        <v>145</v>
      </c>
      <c r="D80" s="1" t="s">
        <v>88</v>
      </c>
      <c r="E80" s="1" t="s">
        <v>88</v>
      </c>
      <c r="F80" s="1" t="s">
        <v>88</v>
      </c>
      <c r="G80" s="1" t="s">
        <v>88</v>
      </c>
      <c r="H80" s="1" t="s">
        <v>88</v>
      </c>
      <c r="I80" s="1" t="s">
        <v>98</v>
      </c>
      <c r="J80" s="1" t="s">
        <v>99</v>
      </c>
      <c r="K80" s="1"/>
      <c r="M80" s="65"/>
      <c r="N80" s="1"/>
      <c r="O80" s="38" t="s">
        <v>144</v>
      </c>
      <c r="P80" s="38"/>
      <c r="Q80" s="1"/>
      <c r="S80" s="72" t="s">
        <v>88</v>
      </c>
      <c r="T80" s="58"/>
      <c r="U80" s="1" t="s">
        <v>88</v>
      </c>
      <c r="V80" s="1" t="s">
        <v>88</v>
      </c>
      <c r="W80" s="1" t="s">
        <v>88</v>
      </c>
      <c r="X80" s="1" t="s">
        <v>88</v>
      </c>
      <c r="Y80" s="1" t="s">
        <v>88</v>
      </c>
      <c r="Z80" s="1" t="s">
        <v>98</v>
      </c>
      <c r="AA80" s="1" t="s">
        <v>99</v>
      </c>
      <c r="AB80" s="1"/>
      <c r="AC80" s="1"/>
      <c r="AD80" s="65"/>
      <c r="AE80" s="1"/>
      <c r="AF80" s="38" t="s">
        <v>143</v>
      </c>
      <c r="AG80" s="38"/>
      <c r="AH80" s="1"/>
    </row>
    <row r="81" spans="1:35">
      <c r="A81" s="1" t="s">
        <v>97</v>
      </c>
      <c r="D81" s="1" t="s">
        <v>44</v>
      </c>
      <c r="E81" s="1" t="s">
        <v>44</v>
      </c>
      <c r="F81" s="1" t="s">
        <v>44</v>
      </c>
      <c r="G81" s="1" t="s">
        <v>44</v>
      </c>
      <c r="H81" s="1" t="s">
        <v>44</v>
      </c>
      <c r="I81" s="1"/>
      <c r="J81" s="1"/>
      <c r="K81" s="1"/>
      <c r="M81" s="57"/>
      <c r="N81" s="18"/>
      <c r="O81" s="38"/>
      <c r="P81" s="38"/>
      <c r="Q81" s="34"/>
      <c r="R81" s="104" t="s">
        <v>196</v>
      </c>
      <c r="S81" s="72" t="s">
        <v>44</v>
      </c>
      <c r="T81" s="58"/>
      <c r="U81" s="1" t="s">
        <v>44</v>
      </c>
      <c r="V81" s="1" t="s">
        <v>44</v>
      </c>
      <c r="W81" s="1" t="s">
        <v>44</v>
      </c>
      <c r="X81" s="1" t="s">
        <v>44</v>
      </c>
      <c r="Y81" s="1" t="s">
        <v>44</v>
      </c>
      <c r="Z81" s="1"/>
      <c r="AA81" s="1"/>
      <c r="AB81" s="1"/>
      <c r="AC81" s="1"/>
      <c r="AD81" s="65"/>
      <c r="AE81" s="1"/>
      <c r="AF81" s="1"/>
      <c r="AG81" s="38"/>
      <c r="AH81" s="34"/>
      <c r="AI81" s="104" t="s">
        <v>196</v>
      </c>
    </row>
    <row r="82" spans="1:35">
      <c r="A82" s="1" t="s">
        <v>100</v>
      </c>
      <c r="D82" s="1" t="s">
        <v>48</v>
      </c>
      <c r="E82" s="1" t="s">
        <v>48</v>
      </c>
      <c r="F82" s="1" t="s">
        <v>48</v>
      </c>
      <c r="G82" s="1" t="s">
        <v>48</v>
      </c>
      <c r="H82" s="1" t="s">
        <v>48</v>
      </c>
      <c r="I82" s="1"/>
      <c r="J82" s="1"/>
      <c r="K82" s="1"/>
      <c r="M82" s="54"/>
      <c r="N82" s="1"/>
      <c r="O82" s="1"/>
      <c r="P82" s="1"/>
      <c r="Q82" s="34"/>
      <c r="R82" s="1"/>
      <c r="S82" s="72" t="s">
        <v>48</v>
      </c>
      <c r="T82" s="58"/>
      <c r="U82" s="1" t="s">
        <v>48</v>
      </c>
      <c r="V82" s="1" t="s">
        <v>48</v>
      </c>
      <c r="W82" s="1" t="s">
        <v>48</v>
      </c>
      <c r="X82" s="1" t="s">
        <v>48</v>
      </c>
      <c r="Y82" s="1" t="s">
        <v>48</v>
      </c>
      <c r="Z82" s="1"/>
      <c r="AA82" s="1"/>
      <c r="AB82" s="1"/>
      <c r="AC82" s="1"/>
      <c r="AD82" s="65"/>
      <c r="AE82" s="1"/>
      <c r="AF82" s="1"/>
      <c r="AG82" s="1"/>
    </row>
    <row r="83" spans="1:35">
      <c r="A83" s="1" t="s">
        <v>102</v>
      </c>
      <c r="D83" s="1" t="s">
        <v>103</v>
      </c>
      <c r="E83" s="1" t="s">
        <v>104</v>
      </c>
      <c r="F83" s="1" t="s">
        <v>104</v>
      </c>
      <c r="G83" s="1" t="s">
        <v>95</v>
      </c>
      <c r="H83" s="1" t="s">
        <v>96</v>
      </c>
      <c r="I83" s="1"/>
      <c r="J83" s="1"/>
      <c r="K83" s="1"/>
      <c r="L83" s="1"/>
      <c r="M83" s="65"/>
      <c r="N83" s="1"/>
      <c r="O83" s="1"/>
      <c r="P83" s="98"/>
      <c r="Q83" s="70"/>
      <c r="R83" s="70"/>
      <c r="S83" s="72" t="s">
        <v>103</v>
      </c>
      <c r="T83" s="58"/>
      <c r="U83" s="1" t="s">
        <v>103</v>
      </c>
      <c r="V83" s="1" t="s">
        <v>104</v>
      </c>
      <c r="W83" s="1" t="s">
        <v>104</v>
      </c>
      <c r="X83" s="1" t="s">
        <v>95</v>
      </c>
      <c r="Y83" s="1" t="s">
        <v>96</v>
      </c>
      <c r="Z83" s="1"/>
      <c r="AA83" s="1"/>
      <c r="AB83" s="1"/>
      <c r="AC83" s="1"/>
      <c r="AD83" s="65"/>
      <c r="AE83" s="1"/>
      <c r="AF83" s="1"/>
    </row>
    <row r="84" spans="1:35">
      <c r="A84" s="1" t="s">
        <v>59</v>
      </c>
      <c r="B84" s="1" t="s">
        <v>42</v>
      </c>
      <c r="C84" s="8" t="s">
        <v>41</v>
      </c>
      <c r="D84" s="1" t="s">
        <v>106</v>
      </c>
      <c r="E84" s="1" t="s">
        <v>107</v>
      </c>
      <c r="F84" s="1" t="s">
        <v>107</v>
      </c>
      <c r="G84" s="1" t="s">
        <v>108</v>
      </c>
      <c r="H84" s="1" t="s">
        <v>101</v>
      </c>
      <c r="I84" s="1"/>
      <c r="J84" s="1"/>
      <c r="K84" s="1"/>
      <c r="L84" s="1"/>
      <c r="M84" s="65"/>
      <c r="N84" s="1"/>
      <c r="O84" s="1"/>
      <c r="P84" s="98"/>
      <c r="Q84" s="70"/>
      <c r="R84" s="70"/>
      <c r="S84" s="72" t="s">
        <v>106</v>
      </c>
      <c r="T84" s="58"/>
      <c r="U84" s="1" t="s">
        <v>106</v>
      </c>
      <c r="V84" s="1" t="s">
        <v>107</v>
      </c>
      <c r="W84" s="1" t="s">
        <v>107</v>
      </c>
      <c r="X84" s="1" t="s">
        <v>108</v>
      </c>
      <c r="Y84" s="1" t="s">
        <v>101</v>
      </c>
      <c r="Z84" s="1"/>
      <c r="AA84" s="1"/>
      <c r="AB84" s="1"/>
      <c r="AC84" s="1"/>
      <c r="AD84" s="65"/>
      <c r="AE84" s="1"/>
      <c r="AF84" s="1"/>
    </row>
    <row r="85" spans="1:35">
      <c r="A85" s="1" t="s">
        <v>105</v>
      </c>
      <c r="B85" s="1" t="s">
        <v>44</v>
      </c>
      <c r="C85" s="8" t="s">
        <v>45</v>
      </c>
      <c r="D85" s="1"/>
      <c r="E85" s="1"/>
      <c r="F85" s="1"/>
      <c r="G85" s="1"/>
      <c r="H85" s="1"/>
      <c r="I85" s="1"/>
      <c r="J85" s="1"/>
      <c r="K85" s="1"/>
      <c r="L85" s="1"/>
      <c r="M85" s="65"/>
      <c r="N85" s="1"/>
      <c r="O85" s="1"/>
      <c r="P85" s="98"/>
      <c r="Q85" s="70"/>
      <c r="R85" s="70"/>
      <c r="S85" s="78"/>
    </row>
    <row r="86" spans="1:35">
      <c r="A86" s="1" t="s">
        <v>109</v>
      </c>
      <c r="B86" s="1" t="s">
        <v>47</v>
      </c>
      <c r="C86" s="8" t="s">
        <v>48</v>
      </c>
      <c r="D86" s="1"/>
      <c r="E86" s="1"/>
      <c r="F86" s="1"/>
      <c r="G86" s="1"/>
      <c r="H86" s="1"/>
      <c r="I86" s="1"/>
      <c r="J86" s="1"/>
      <c r="K86" s="1"/>
      <c r="L86" s="1"/>
      <c r="M86" s="65"/>
      <c r="N86" s="1"/>
      <c r="O86" s="1"/>
      <c r="S86" s="78"/>
    </row>
    <row r="87" spans="1:35">
      <c r="A87" s="1" t="s">
        <v>110</v>
      </c>
      <c r="B87" s="1" t="s">
        <v>50</v>
      </c>
      <c r="C87" s="8" t="s">
        <v>51</v>
      </c>
      <c r="D87" s="1"/>
      <c r="E87" s="1"/>
      <c r="F87" s="1"/>
      <c r="G87" s="1"/>
      <c r="H87" s="1"/>
      <c r="I87" s="1"/>
      <c r="J87" s="1"/>
      <c r="K87" s="1"/>
      <c r="L87" s="1"/>
      <c r="M87" s="65"/>
      <c r="N87" s="1"/>
      <c r="O87" s="1"/>
      <c r="S87" s="78"/>
    </row>
    <row r="88" spans="1:35">
      <c r="A88" s="1" t="s">
        <v>100</v>
      </c>
      <c r="B88" s="1" t="s">
        <v>2</v>
      </c>
      <c r="C88" s="8" t="s">
        <v>44</v>
      </c>
      <c r="D88" s="1"/>
      <c r="E88" s="1"/>
      <c r="F88" s="1"/>
      <c r="G88" s="1"/>
      <c r="H88" s="1"/>
      <c r="I88" s="1"/>
      <c r="J88" s="1"/>
      <c r="K88" s="1"/>
      <c r="L88" s="1"/>
      <c r="M88" s="65"/>
      <c r="N88" s="1"/>
      <c r="O88" s="1"/>
      <c r="S88" s="78"/>
    </row>
    <row r="89" spans="1:35">
      <c r="A89" s="1" t="s">
        <v>111</v>
      </c>
      <c r="B89" s="1" t="s">
        <v>57</v>
      </c>
      <c r="C89" s="8" t="s">
        <v>58</v>
      </c>
      <c r="S89" s="78"/>
    </row>
    <row r="90" spans="1:35">
      <c r="A90" s="1" t="s">
        <v>112</v>
      </c>
      <c r="B90" s="1" t="s">
        <v>60</v>
      </c>
      <c r="C90" s="8" t="s">
        <v>61</v>
      </c>
      <c r="S90" s="78"/>
    </row>
    <row r="91" spans="1:35">
      <c r="A91" s="1" t="s">
        <v>113</v>
      </c>
      <c r="B91" s="1" t="s">
        <v>70</v>
      </c>
      <c r="C91" s="8" t="s">
        <v>71</v>
      </c>
      <c r="S91" s="78"/>
    </row>
    <row r="92" spans="1:35">
      <c r="A92" s="1"/>
      <c r="B92" s="1" t="s">
        <v>74</v>
      </c>
      <c r="C92" s="8" t="s">
        <v>75</v>
      </c>
    </row>
    <row r="93" spans="1:35">
      <c r="A93" s="1"/>
      <c r="B93" s="1" t="s">
        <v>43</v>
      </c>
      <c r="C93" s="8" t="s">
        <v>78</v>
      </c>
    </row>
    <row r="94" spans="1:35">
      <c r="A94" s="1"/>
      <c r="B94" s="1" t="s">
        <v>51</v>
      </c>
      <c r="C94" s="8" t="s">
        <v>44</v>
      </c>
    </row>
    <row r="95" spans="1:35">
      <c r="A95" s="1"/>
      <c r="B95" s="1" t="s">
        <v>44</v>
      </c>
      <c r="C95" s="8" t="s">
        <v>83</v>
      </c>
    </row>
    <row r="96" spans="1:35">
      <c r="A96" s="1"/>
      <c r="B96" s="1" t="s">
        <v>55</v>
      </c>
      <c r="C96" s="8" t="s">
        <v>87</v>
      </c>
    </row>
    <row r="97" spans="1:15">
      <c r="A97" s="1"/>
      <c r="B97" s="1" t="s">
        <v>58</v>
      </c>
      <c r="C97" s="8" t="s">
        <v>90</v>
      </c>
    </row>
    <row r="98" spans="1:15">
      <c r="A98" s="1"/>
      <c r="B98" s="1" t="s">
        <v>61</v>
      </c>
      <c r="C98" s="8" t="s">
        <v>92</v>
      </c>
    </row>
    <row r="99" spans="1:15">
      <c r="A99" s="1"/>
      <c r="B99" s="1" t="s">
        <v>85</v>
      </c>
      <c r="C99" s="8" t="s">
        <v>94</v>
      </c>
    </row>
    <row r="100" spans="1:15">
      <c r="A100" s="1"/>
      <c r="B100" s="1" t="s">
        <v>88</v>
      </c>
      <c r="C100" s="8"/>
    </row>
    <row r="101" spans="1:15">
      <c r="A101" s="1"/>
      <c r="B101" s="1" t="s">
        <v>44</v>
      </c>
      <c r="C101" s="8"/>
    </row>
    <row r="102" spans="1:15">
      <c r="A102" s="1"/>
      <c r="B102" s="1" t="s">
        <v>48</v>
      </c>
      <c r="C102" s="8"/>
    </row>
    <row r="103" spans="1:15">
      <c r="A103" s="1"/>
      <c r="B103" s="1" t="s">
        <v>103</v>
      </c>
      <c r="C103" s="1"/>
    </row>
    <row r="104" spans="1:15">
      <c r="A104" s="1"/>
      <c r="B104" s="1" t="s">
        <v>106</v>
      </c>
      <c r="C104" s="1"/>
    </row>
    <row r="105" spans="1:15">
      <c r="A105" s="1"/>
      <c r="B105" s="1"/>
      <c r="C105" s="1"/>
    </row>
    <row r="106" spans="1:15">
      <c r="A106" s="1"/>
      <c r="B106" s="1"/>
      <c r="C106" s="1"/>
    </row>
    <row r="107" spans="1:15">
      <c r="A107" s="1"/>
      <c r="B107" s="1"/>
      <c r="C107" s="1"/>
    </row>
    <row r="108" spans="1:15">
      <c r="A108" s="1"/>
      <c r="B108" s="1"/>
      <c r="C108" s="1"/>
    </row>
    <row r="109" spans="1:15">
      <c r="A109" s="1"/>
      <c r="B109" s="1"/>
      <c r="C109" s="1"/>
      <c r="D109" s="1"/>
      <c r="E109" s="1"/>
      <c r="F109" s="1"/>
      <c r="G109" s="1"/>
      <c r="H109" s="1"/>
      <c r="I109" s="1"/>
      <c r="J109" s="1"/>
      <c r="K109" s="1"/>
      <c r="L109" s="1"/>
      <c r="M109" s="65"/>
      <c r="N109" s="1"/>
      <c r="O109" s="1"/>
    </row>
    <row r="110" spans="1:15">
      <c r="A110" s="1"/>
      <c r="B110" s="1"/>
      <c r="C110" s="1"/>
      <c r="D110" s="1"/>
      <c r="E110" s="1"/>
      <c r="F110" s="1"/>
      <c r="G110" s="1"/>
      <c r="H110" s="1"/>
      <c r="I110" s="1"/>
      <c r="J110" s="1"/>
      <c r="K110" s="1"/>
      <c r="L110" s="1"/>
      <c r="M110" s="65"/>
      <c r="N110" s="1"/>
      <c r="O110" s="1"/>
    </row>
    <row r="111" spans="1:15">
      <c r="A111" s="1"/>
      <c r="B111" s="1"/>
      <c r="C111" s="1"/>
      <c r="D111" s="1"/>
      <c r="E111" s="1"/>
      <c r="F111" s="1"/>
      <c r="G111" s="1"/>
      <c r="H111" s="1"/>
      <c r="I111" s="1"/>
      <c r="J111" s="1"/>
      <c r="K111" s="1"/>
      <c r="L111" s="1"/>
      <c r="M111" s="65"/>
      <c r="N111" s="1"/>
      <c r="O111" s="1"/>
    </row>
    <row r="112" spans="1:15">
      <c r="A112" s="1"/>
      <c r="B112" s="1"/>
      <c r="C112" s="1"/>
      <c r="D112" s="1"/>
      <c r="E112" s="1"/>
      <c r="F112" s="1"/>
      <c r="G112" s="1"/>
      <c r="H112" s="1"/>
      <c r="I112" s="1"/>
      <c r="J112" s="1"/>
      <c r="K112" s="1"/>
      <c r="L112" s="1"/>
      <c r="M112" s="65"/>
      <c r="N112" s="1"/>
      <c r="O112" s="1"/>
    </row>
    <row r="113" spans="1:15">
      <c r="A113" s="1"/>
      <c r="B113" s="1"/>
      <c r="C113" s="1"/>
      <c r="D113" s="1"/>
      <c r="E113" s="1"/>
      <c r="F113" s="1"/>
      <c r="G113" s="1"/>
      <c r="H113" s="1"/>
      <c r="I113" s="1"/>
      <c r="J113" s="1"/>
      <c r="K113" s="1"/>
      <c r="L113" s="1"/>
      <c r="M113" s="65"/>
      <c r="N113" s="1"/>
      <c r="O113" s="1"/>
    </row>
    <row r="114" spans="1:15">
      <c r="A114" s="1"/>
      <c r="B114" s="1"/>
      <c r="C114" s="1"/>
      <c r="D114" s="1"/>
      <c r="E114" s="1"/>
      <c r="F114" s="1"/>
      <c r="G114" s="1"/>
      <c r="H114" s="1"/>
      <c r="I114" s="1"/>
      <c r="J114" s="1"/>
      <c r="K114" s="1"/>
      <c r="L114" s="1"/>
      <c r="M114" s="65"/>
      <c r="N114" s="1"/>
      <c r="O114" s="1"/>
    </row>
    <row r="115" spans="1:15">
      <c r="A115" s="1"/>
      <c r="B115" s="1"/>
      <c r="C115" s="1"/>
      <c r="D115" s="1"/>
      <c r="E115" s="1"/>
      <c r="F115" s="1"/>
      <c r="G115" s="1"/>
      <c r="H115" s="1"/>
      <c r="I115" s="1"/>
      <c r="J115" s="1"/>
      <c r="K115" s="1"/>
      <c r="L115" s="1"/>
      <c r="M115" s="65"/>
      <c r="N115" s="1"/>
      <c r="O115" s="1"/>
    </row>
    <row r="116" spans="1:15">
      <c r="A116" s="1"/>
      <c r="B116" s="1"/>
      <c r="C116" s="1"/>
      <c r="D116" s="1"/>
      <c r="E116" s="1"/>
      <c r="F116" s="1"/>
      <c r="G116" s="1"/>
      <c r="H116" s="1"/>
      <c r="I116" s="1"/>
      <c r="J116" s="1"/>
      <c r="K116" s="1"/>
      <c r="L116" s="1"/>
      <c r="M116" s="65"/>
      <c r="N116" s="1"/>
      <c r="O116" s="1"/>
    </row>
    <row r="117" spans="1:15">
      <c r="A117" s="1"/>
      <c r="B117" s="1"/>
      <c r="C117" s="1"/>
      <c r="D117" s="1"/>
      <c r="E117" s="1"/>
      <c r="F117" s="1"/>
      <c r="G117" s="1"/>
      <c r="H117" s="1"/>
      <c r="I117" s="1"/>
      <c r="J117" s="1"/>
      <c r="K117" s="1"/>
      <c r="L117" s="1"/>
      <c r="M117" s="65"/>
      <c r="N117" s="1"/>
      <c r="O117" s="1"/>
    </row>
    <row r="118" spans="1:15">
      <c r="A118" s="1"/>
      <c r="B118" s="1"/>
      <c r="C118" s="1"/>
      <c r="D118" s="1"/>
      <c r="E118" s="1"/>
      <c r="F118" s="1"/>
      <c r="G118" s="1"/>
      <c r="H118" s="1"/>
      <c r="I118" s="1"/>
      <c r="J118" s="1"/>
      <c r="K118" s="1"/>
      <c r="L118" s="1"/>
      <c r="M118" s="65"/>
      <c r="N118" s="1"/>
      <c r="O118" s="1"/>
    </row>
    <row r="119" spans="1:15">
      <c r="A119" s="1"/>
    </row>
    <row r="120" spans="1:15">
      <c r="A120" s="1"/>
    </row>
    <row r="121" spans="1:15">
      <c r="A121" s="1"/>
    </row>
  </sheetData>
  <phoneticPr fontId="8" type="noConversion"/>
  <hyperlinks>
    <hyperlink ref="R81" r:id="rId1"/>
    <hyperlink ref="AI81" r:id="rId2"/>
  </hyperlinks>
  <pageMargins left="0.75" right="0.75" top="1" bottom="1" header="0.5" footer="0.5"/>
  <pageSetup orientation="portrait" verticalDpi="0" r:id="rId3"/>
  <headerFooter alignWithMargins="0"/>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0"/>
  <sheetViews>
    <sheetView topLeftCell="F1" zoomScale="75" workbookViewId="0">
      <selection activeCell="A6" sqref="A6"/>
    </sheetView>
  </sheetViews>
  <sheetFormatPr defaultRowHeight="13.2"/>
  <sheetData>
    <row r="1" spans="1:18">
      <c r="A1" s="11" t="s">
        <v>3</v>
      </c>
      <c r="B1" s="13" t="s">
        <v>9</v>
      </c>
      <c r="C1" s="2" t="s">
        <v>10</v>
      </c>
      <c r="D1" s="2" t="s">
        <v>11</v>
      </c>
      <c r="E1" s="2" t="s">
        <v>12</v>
      </c>
      <c r="F1" s="2" t="s">
        <v>13</v>
      </c>
      <c r="G1" s="2" t="s">
        <v>14</v>
      </c>
      <c r="H1" s="2" t="s">
        <v>15</v>
      </c>
      <c r="I1" s="2" t="s">
        <v>16</v>
      </c>
      <c r="J1" s="2" t="s">
        <v>17</v>
      </c>
      <c r="K1" s="2" t="s">
        <v>18</v>
      </c>
      <c r="L1" s="2" t="s">
        <v>19</v>
      </c>
      <c r="M1" s="64" t="s">
        <v>195</v>
      </c>
      <c r="N1" s="19" t="s">
        <v>121</v>
      </c>
      <c r="O1" s="19" t="s">
        <v>122</v>
      </c>
      <c r="P1" s="103" t="s">
        <v>146</v>
      </c>
      <c r="Q1" s="103" t="s">
        <v>152</v>
      </c>
      <c r="R1" s="103" t="s">
        <v>159</v>
      </c>
    </row>
    <row r="2" spans="1:18">
      <c r="A2" s="1"/>
      <c r="B2" s="12"/>
      <c r="C2" s="1"/>
      <c r="D2" s="1"/>
      <c r="E2" s="1"/>
      <c r="F2" s="1"/>
      <c r="G2" s="1"/>
      <c r="H2" s="1"/>
      <c r="I2" s="1"/>
      <c r="J2" s="1"/>
      <c r="K2" s="1"/>
      <c r="L2" s="1"/>
      <c r="M2" s="65"/>
      <c r="N2" s="1"/>
      <c r="O2" s="1"/>
      <c r="P2" s="96"/>
      <c r="Q2" s="69"/>
      <c r="R2" s="69"/>
    </row>
    <row r="3" spans="1:18">
      <c r="A3" s="1" t="s">
        <v>20</v>
      </c>
      <c r="B3" s="14">
        <f>('Perkins Loans'!B5*1000)/'Perkins Loans'!S5</f>
        <v>889.4928139933279</v>
      </c>
      <c r="C3" s="14">
        <f>('Perkins Loans'!C5*1000)/'Perkins Loans'!T5</f>
        <v>245.13869772027425</v>
      </c>
      <c r="D3" s="14">
        <f>('Perkins Loans'!D5*1000)/'Perkins Loans'!U5</f>
        <v>1074.8881995854729</v>
      </c>
      <c r="E3" s="14">
        <f>('Perkins Loans'!E5*1000)/'Perkins Loans'!V5</f>
        <v>1204.5207548363674</v>
      </c>
      <c r="F3" s="14">
        <f>('Perkins Loans'!F5*1000)/'Perkins Loans'!W5</f>
        <v>1277.0668048420171</v>
      </c>
      <c r="G3" s="14">
        <f>('Perkins Loans'!G5*1000)/'Perkins Loans'!X5</f>
        <v>1306.0698242748956</v>
      </c>
      <c r="H3" s="14">
        <f>('Perkins Loans'!H5*1000)/'Perkins Loans'!Y5</f>
        <v>1328.2781118262358</v>
      </c>
      <c r="I3" s="14">
        <f>('Perkins Loans'!I5*1000)/'Perkins Loans'!Z5</f>
        <v>1337.5132297334544</v>
      </c>
      <c r="J3" s="14">
        <f>('Perkins Loans'!J5*1000)/'Perkins Loans'!AA5</f>
        <v>1345.9840380416556</v>
      </c>
      <c r="K3" s="14">
        <f>('Perkins Loans'!K5*1000)/'Perkins Loans'!AB5</f>
        <v>1354.7817169223274</v>
      </c>
      <c r="L3" s="14">
        <f>('Perkins Loans'!L5*1000)/'Perkins Loans'!AC5</f>
        <v>1477.6193723082954</v>
      </c>
      <c r="M3" s="14">
        <f>('Perkins Loans'!M5*1000)/'Perkins Loans'!AD5</f>
        <v>1503.1964653100611</v>
      </c>
      <c r="N3" s="14">
        <f>('Perkins Loans'!N5*1000)/'Perkins Loans'!AE5</f>
        <v>1528.2995866277847</v>
      </c>
      <c r="O3" s="14">
        <f>('Perkins Loans'!O5*1000)/'Perkins Loans'!AF5</f>
        <v>1578.4223397263549</v>
      </c>
      <c r="P3" s="14">
        <f>('Perkins Loans'!P5*1000)/'Perkins Loans'!AG5</f>
        <v>1613.5326140792251</v>
      </c>
      <c r="Q3" s="14">
        <f>('Perkins Loans'!Q5*1000)/'Perkins Loans'!AH5</f>
        <v>1693.2437788502536</v>
      </c>
      <c r="R3" s="14">
        <f>('Perkins Loans'!R5*1000)/'Perkins Loans'!AI5</f>
        <v>1796.3957913983745</v>
      </c>
    </row>
    <row r="4" spans="1:18">
      <c r="A4" s="1" t="s">
        <v>21</v>
      </c>
      <c r="B4" s="14">
        <f>('Perkins Loans'!B6*1000)/'Perkins Loans'!S6</f>
        <v>856.57876098771055</v>
      </c>
      <c r="C4" s="14">
        <f>('Perkins Loans'!C6*1000)/'Perkins Loans'!T6</f>
        <v>267.64623825909047</v>
      </c>
      <c r="D4" s="14">
        <f>('Perkins Loans'!D6*1000)/'Perkins Loans'!U6</f>
        <v>1086.4987869635718</v>
      </c>
      <c r="E4" s="14">
        <f>('Perkins Loans'!E6*1000)/'Perkins Loans'!V6</f>
        <v>1214.047383828527</v>
      </c>
      <c r="F4" s="14">
        <f>('Perkins Loans'!F6*1000)/'Perkins Loans'!W6</f>
        <v>1299.2395732798002</v>
      </c>
      <c r="G4" s="14">
        <f>('Perkins Loans'!G6*1000)/'Perkins Loans'!X6</f>
        <v>1325.8841004870417</v>
      </c>
      <c r="H4" s="14">
        <f>('Perkins Loans'!H6*1000)/'Perkins Loans'!Y6</f>
        <v>1377.8689439435952</v>
      </c>
      <c r="I4" s="14">
        <f>('Perkins Loans'!I6*1000)/'Perkins Loans'!Z6</f>
        <v>1396.5903620467291</v>
      </c>
      <c r="J4" s="14">
        <f>('Perkins Loans'!J6*1000)/'Perkins Loans'!AA6</f>
        <v>1441.0144657914095</v>
      </c>
      <c r="K4" s="14">
        <f>('Perkins Loans'!K6*1000)/'Perkins Loans'!AB6</f>
        <v>1571.6666422174467</v>
      </c>
      <c r="L4" s="14">
        <f>('Perkins Loans'!L6*1000)/'Perkins Loans'!AC6</f>
        <v>1605.3180530027314</v>
      </c>
      <c r="M4" s="14">
        <f>('Perkins Loans'!M6*1000)/'Perkins Loans'!AD6</f>
        <v>1629.5269317997731</v>
      </c>
      <c r="N4" s="14">
        <f>('Perkins Loans'!N6*1000)/'Perkins Loans'!AE6</f>
        <v>1654.0057681058549</v>
      </c>
      <c r="O4" s="14">
        <f>('Perkins Loans'!O6*1000)/'Perkins Loans'!AF6</f>
        <v>1712.4036695250952</v>
      </c>
      <c r="P4" s="14">
        <f>('Perkins Loans'!P6*1000)/'Perkins Loans'!AG6</f>
        <v>1734.5951079410086</v>
      </c>
      <c r="Q4" s="14">
        <f>('Perkins Loans'!Q6*1000)/'Perkins Loans'!AH6</f>
        <v>1873.7204349086235</v>
      </c>
      <c r="R4" s="14">
        <f>('Perkins Loans'!R6*1000)/'Perkins Loans'!AI6</f>
        <v>1993.3399022495139</v>
      </c>
    </row>
    <row r="5" spans="1:18">
      <c r="A5" s="1"/>
      <c r="B5" s="14"/>
      <c r="C5" s="14"/>
      <c r="D5" s="14"/>
      <c r="E5" s="14"/>
      <c r="F5" s="14"/>
      <c r="G5" s="14"/>
      <c r="H5" s="14"/>
      <c r="I5" s="14"/>
      <c r="J5" s="14"/>
      <c r="K5" s="14"/>
      <c r="L5" s="14"/>
      <c r="M5" s="14"/>
      <c r="N5" s="14"/>
      <c r="O5" s="14"/>
      <c r="P5" s="14"/>
      <c r="Q5" s="14"/>
      <c r="R5" s="14"/>
    </row>
    <row r="6" spans="1:18">
      <c r="A6" s="1"/>
      <c r="B6" s="14"/>
      <c r="C6" s="14"/>
      <c r="D6" s="14"/>
      <c r="E6" s="14"/>
      <c r="F6" s="14"/>
      <c r="G6" s="14"/>
      <c r="H6" s="14"/>
      <c r="I6" s="14"/>
      <c r="J6" s="14"/>
      <c r="K6" s="14"/>
      <c r="L6" s="14"/>
      <c r="M6" s="14"/>
      <c r="N6" s="14"/>
      <c r="O6" s="14"/>
      <c r="P6" s="14"/>
      <c r="Q6" s="14"/>
      <c r="R6" s="14"/>
    </row>
    <row r="7" spans="1:18">
      <c r="A7" s="1"/>
      <c r="B7" s="14"/>
      <c r="C7" s="14"/>
      <c r="D7" s="14"/>
      <c r="E7" s="14"/>
      <c r="F7" s="14"/>
      <c r="G7" s="14"/>
      <c r="H7" s="14"/>
      <c r="I7" s="14"/>
      <c r="J7" s="14"/>
      <c r="K7" s="14"/>
      <c r="L7" s="14"/>
      <c r="M7" s="14"/>
      <c r="N7" s="14"/>
      <c r="O7" s="14"/>
      <c r="P7" s="14"/>
      <c r="Q7" s="14"/>
      <c r="R7" s="14"/>
    </row>
    <row r="8" spans="1:18">
      <c r="A8" s="1" t="s">
        <v>24</v>
      </c>
      <c r="B8" s="14">
        <f>('Perkins Loans'!B10*1000)/'Perkins Loans'!S10</f>
        <v>817.72030651340992</v>
      </c>
      <c r="C8" s="14">
        <f>('Perkins Loans'!C10*1000)/'Perkins Loans'!T10</f>
        <v>250.80818965517241</v>
      </c>
      <c r="D8" s="14">
        <f>('Perkins Loans'!D10*1000)/'Perkins Loans'!U10</f>
        <v>1067.9275746742014</v>
      </c>
      <c r="E8" s="14">
        <f>('Perkins Loans'!E10*1000)/'Perkins Loans'!V10</f>
        <v>1280.6890561667631</v>
      </c>
      <c r="F8" s="14">
        <f>('Perkins Loans'!F10*1000)/'Perkins Loans'!W10</f>
        <v>1363.2455668995165</v>
      </c>
      <c r="G8" s="14">
        <f>('Perkins Loans'!G10*1000)/'Perkins Loans'!X10</f>
        <v>1435.4370943239885</v>
      </c>
      <c r="H8" s="14">
        <f>('Perkins Loans'!H10*1000)/'Perkins Loans'!Y10</f>
        <v>1408.9627076151676</v>
      </c>
      <c r="I8" s="14">
        <f>('Perkins Loans'!I10*1000)/'Perkins Loans'!Z10</f>
        <v>1412.688240948414</v>
      </c>
      <c r="J8" s="14">
        <f>('Perkins Loans'!J10*1000)/'Perkins Loans'!AA10</f>
        <v>1498.5182746131049</v>
      </c>
      <c r="K8" s="14">
        <f>('Perkins Loans'!K10*1000)/'Perkins Loans'!AB10</f>
        <v>1629.2335115864528</v>
      </c>
      <c r="L8" s="14">
        <f>('Perkins Loans'!L10*1000)/'Perkins Loans'!AC10</f>
        <v>1683.9990313206329</v>
      </c>
      <c r="M8" s="14">
        <f>('Perkins Loans'!M10*1000)/'Perkins Loans'!AD10</f>
        <v>1616.5197704582972</v>
      </c>
      <c r="N8" s="14">
        <f>('Perkins Loans'!N10*1000)/'Perkins Loans'!AE10</f>
        <v>1552.4832235330166</v>
      </c>
      <c r="O8" s="14">
        <f>('Perkins Loans'!O10*1000)/'Perkins Loans'!AF10</f>
        <v>1612.2443250736442</v>
      </c>
      <c r="P8" s="14">
        <f>('Perkins Loans'!P10*1000)/'Perkins Loans'!AG10</f>
        <v>1810.3287424167897</v>
      </c>
      <c r="Q8" s="14">
        <f>('Perkins Loans'!Q10*1000)/'Perkins Loans'!AH10</f>
        <v>1988.4478253679511</v>
      </c>
      <c r="R8" s="14">
        <f>('Perkins Loans'!R10*1000)/'Perkins Loans'!AI10</f>
        <v>2059.0041982883899</v>
      </c>
    </row>
    <row r="9" spans="1:18">
      <c r="A9" s="1" t="s">
        <v>25</v>
      </c>
      <c r="B9" s="14">
        <f>('Perkins Loans'!B11*1000)/'Perkins Loans'!S11</f>
        <v>787.95892968263843</v>
      </c>
      <c r="C9" s="14">
        <f>('Perkins Loans'!C11*1000)/'Perkins Loans'!T11</f>
        <v>264.82873851294903</v>
      </c>
      <c r="D9" s="14">
        <f>('Perkins Loans'!D11*1000)/'Perkins Loans'!U11</f>
        <v>961.12504478681478</v>
      </c>
      <c r="E9" s="14">
        <f>('Perkins Loans'!E11*1000)/'Perkins Loans'!V11</f>
        <v>1104.3579896476874</v>
      </c>
      <c r="F9" s="14">
        <f>('Perkins Loans'!F11*1000)/'Perkins Loans'!W11</f>
        <v>1106.3446286950252</v>
      </c>
      <c r="G9" s="14">
        <f>('Perkins Loans'!G11*1000)/'Perkins Loans'!X11</f>
        <v>910.11078390127614</v>
      </c>
      <c r="H9" s="14">
        <f>('Perkins Loans'!H11*1000)/'Perkins Loans'!Y11</f>
        <v>1310.8756497401039</v>
      </c>
      <c r="I9" s="14">
        <f>('Perkins Loans'!I11*1000)/'Perkins Loans'!Z11</f>
        <v>1192.7947598253274</v>
      </c>
      <c r="J9" s="14">
        <f>('Perkins Loans'!J11*1000)/'Perkins Loans'!AA11</f>
        <v>1437.7602961591856</v>
      </c>
      <c r="K9" s="14">
        <f>('Perkins Loans'!K11*1000)/'Perkins Loans'!AB11</f>
        <v>1548.8304798649626</v>
      </c>
      <c r="L9" s="14">
        <f>('Perkins Loans'!L11*1000)/'Perkins Loans'!AC11</f>
        <v>1628.2918529557874</v>
      </c>
      <c r="M9" s="14">
        <f>('Perkins Loans'!M11*1000)/'Perkins Loans'!AD11</f>
        <v>1631.7688098495212</v>
      </c>
      <c r="N9" s="14">
        <f>('Perkins Loans'!N11*1000)/'Perkins Loans'!AE11</f>
        <v>1635.255292652553</v>
      </c>
      <c r="O9" s="14">
        <f>('Perkins Loans'!O11*1000)/'Perkins Loans'!AF11</f>
        <v>1698.2330956478977</v>
      </c>
      <c r="P9" s="14">
        <f>('Perkins Loans'!P11*1000)/'Perkins Loans'!AG11</f>
        <v>1687.4476987447699</v>
      </c>
      <c r="Q9" s="14">
        <f>('Perkins Loans'!Q11*1000)/'Perkins Loans'!AH11</f>
        <v>1761.2338280593672</v>
      </c>
      <c r="R9" s="14">
        <f>('Perkins Loans'!R11*1000)/'Perkins Loans'!AI11</f>
        <v>1626.6981402002862</v>
      </c>
    </row>
    <row r="10" spans="1:18">
      <c r="A10" s="1" t="s">
        <v>120</v>
      </c>
      <c r="B10" s="14">
        <f>('Perkins Loans'!B12*1000)/'Perkins Loans'!S12</f>
        <v>854.59341885108756</v>
      </c>
      <c r="C10" s="14" t="e">
        <f>('Perkins Loans'!C12*1000)/'Perkins Loans'!T12</f>
        <v>#DIV/0!</v>
      </c>
      <c r="D10" s="14">
        <f>('Perkins Loans'!D12*1000)/'Perkins Loans'!U12</f>
        <v>1106.8970990695129</v>
      </c>
      <c r="E10" s="14">
        <f>('Perkins Loans'!E12*1000)/'Perkins Loans'!V12</f>
        <v>1232.0697278911564</v>
      </c>
      <c r="F10" s="14">
        <f>('Perkins Loans'!F12*1000)/'Perkins Loans'!W12</f>
        <v>1378.3018654607122</v>
      </c>
      <c r="G10" s="14">
        <f>('Perkins Loans'!G12*1000)/'Perkins Loans'!X12</f>
        <v>1457.4365168539325</v>
      </c>
      <c r="H10" s="14">
        <f>('Perkins Loans'!H12*1000)/'Perkins Loans'!Y12</f>
        <v>1506.5394105551748</v>
      </c>
      <c r="I10" s="14">
        <f>('Perkins Loans'!I12*1000)/'Perkins Loans'!Z12</f>
        <v>1491.210449927431</v>
      </c>
      <c r="J10" s="14">
        <f>('Perkins Loans'!J12*1000)/'Perkins Loans'!AA12</f>
        <v>1249.3653979238754</v>
      </c>
      <c r="K10" s="14">
        <f>('Perkins Loans'!K12*1000)/'Perkins Loans'!AB12</f>
        <v>1248.7469387755102</v>
      </c>
      <c r="L10" s="14">
        <f>('Perkins Loans'!L12*1000)/'Perkins Loans'!AC12</f>
        <v>1403.1477732793524</v>
      </c>
      <c r="M10" s="14">
        <f>('Perkins Loans'!M12*1000)/'Perkins Loans'!AD12</f>
        <v>1358.6263157894737</v>
      </c>
      <c r="N10" s="14">
        <f>('Perkins Loans'!N12*1000)/'Perkins Loans'!AE12</f>
        <v>1320.8798627002288</v>
      </c>
      <c r="O10" s="14">
        <f>('Perkins Loans'!O12*1000)/'Perkins Loans'!AF12</f>
        <v>1438.3962053571429</v>
      </c>
      <c r="P10" s="14">
        <f>('Perkins Loans'!P12*1000)/'Perkins Loans'!AG12</f>
        <v>1333.4613710554952</v>
      </c>
      <c r="Q10" s="14">
        <f>('Perkins Loans'!Q12*1000)/'Perkins Loans'!AH12</f>
        <v>1163.077873254565</v>
      </c>
      <c r="R10" s="14">
        <f>('Perkins Loans'!R12*1000)/'Perkins Loans'!AI12</f>
        <v>1772.117912371134</v>
      </c>
    </row>
    <row r="11" spans="1:18">
      <c r="A11" s="1" t="s">
        <v>26</v>
      </c>
      <c r="B11" s="14">
        <f>('Perkins Loans'!B13*1000)/'Perkins Loans'!S13</f>
        <v>957.80402170443665</v>
      </c>
      <c r="C11" s="14">
        <f>('Perkins Loans'!C13*1000)/'Perkins Loans'!T13</f>
        <v>295.16370284194784</v>
      </c>
      <c r="D11" s="14">
        <f>('Perkins Loans'!D13*1000)/'Perkins Loans'!U13</f>
        <v>1080.8615049073064</v>
      </c>
      <c r="E11" s="14">
        <f>('Perkins Loans'!E13*1000)/'Perkins Loans'!V13</f>
        <v>1193.7109453739165</v>
      </c>
      <c r="F11" s="14">
        <f>('Perkins Loans'!F13*1000)/'Perkins Loans'!W13</f>
        <v>1225.7042253521126</v>
      </c>
      <c r="G11" s="14">
        <f>('Perkins Loans'!G13*1000)/'Perkins Loans'!X13</f>
        <v>1278.1905332534452</v>
      </c>
      <c r="H11" s="14">
        <f>('Perkins Loans'!H13*1000)/'Perkins Loans'!Y13</f>
        <v>1274.3847487001733</v>
      </c>
      <c r="I11" s="14">
        <f>('Perkins Loans'!I13*1000)/'Perkins Loans'!Z13</f>
        <v>1357.0513252849532</v>
      </c>
      <c r="J11" s="14">
        <f>('Perkins Loans'!J13*1000)/'Perkins Loans'!AA13</f>
        <v>1261.9826646001952</v>
      </c>
      <c r="K11" s="14">
        <f>('Perkins Loans'!K13*1000)/'Perkins Loans'!AB13</f>
        <v>1331.7612662427425</v>
      </c>
      <c r="L11" s="14">
        <f>('Perkins Loans'!L13*1000)/'Perkins Loans'!AC13</f>
        <v>1328.2408706601907</v>
      </c>
      <c r="M11" s="14">
        <f>('Perkins Loans'!M13*1000)/'Perkins Loans'!AD13</f>
        <v>1364.7248102671686</v>
      </c>
      <c r="N11" s="14">
        <f>('Perkins Loans'!N13*1000)/'Perkins Loans'!AE13</f>
        <v>1403.3880027959585</v>
      </c>
      <c r="O11" s="14">
        <f>('Perkins Loans'!O13*1000)/'Perkins Loans'!AF13</f>
        <v>1443.9042384190125</v>
      </c>
      <c r="P11" s="14">
        <f>('Perkins Loans'!P13*1000)/'Perkins Loans'!AG13</f>
        <v>1475.7136743948395</v>
      </c>
      <c r="Q11" s="14">
        <f>('Perkins Loans'!Q13*1000)/'Perkins Loans'!AH13</f>
        <v>1622.0673280326794</v>
      </c>
      <c r="R11" s="14">
        <f>('Perkins Loans'!R13*1000)/'Perkins Loans'!AI13</f>
        <v>1718.0971733933343</v>
      </c>
    </row>
    <row r="12" spans="1:18">
      <c r="A12" s="1" t="s">
        <v>27</v>
      </c>
      <c r="B12" s="14">
        <f>('Perkins Loans'!B14*1000)/'Perkins Loans'!S14</f>
        <v>751.46718833362968</v>
      </c>
      <c r="C12" s="14">
        <f>('Perkins Loans'!C14*1000)/'Perkins Loans'!T14</f>
        <v>222.78374394609392</v>
      </c>
      <c r="D12" s="14">
        <f>('Perkins Loans'!D14*1000)/'Perkins Loans'!U14</f>
        <v>1060.0739371534196</v>
      </c>
      <c r="E12" s="14">
        <f>('Perkins Loans'!E14*1000)/'Perkins Loans'!V14</f>
        <v>1149.3344425956739</v>
      </c>
      <c r="F12" s="14">
        <f>('Perkins Loans'!F14*1000)/'Perkins Loans'!W14</f>
        <v>1295.2856025039123</v>
      </c>
      <c r="G12" s="14">
        <f>('Perkins Loans'!G14*1000)/'Perkins Loans'!X14</f>
        <v>1257.9704692937082</v>
      </c>
      <c r="H12" s="14">
        <f>('Perkins Loans'!H14*1000)/'Perkins Loans'!Y14</f>
        <v>1455.3232863393291</v>
      </c>
      <c r="I12" s="14">
        <f>('Perkins Loans'!I14*1000)/'Perkins Loans'!Z14</f>
        <v>1462.2222222222222</v>
      </c>
      <c r="J12" s="14">
        <f>('Perkins Loans'!J14*1000)/'Perkins Loans'!AA14</f>
        <v>1531.0755489393375</v>
      </c>
      <c r="K12" s="14">
        <f>('Perkins Loans'!K14*1000)/'Perkins Loans'!AB14</f>
        <v>1635.0620054481774</v>
      </c>
      <c r="L12" s="14">
        <f>('Perkins Loans'!L14*1000)/'Perkins Loans'!AC14</f>
        <v>1590.0228466707392</v>
      </c>
      <c r="M12" s="14">
        <f>('Perkins Loans'!M14*1000)/'Perkins Loans'!AD14</f>
        <v>1596.0426762449774</v>
      </c>
      <c r="N12" s="14">
        <f>('Perkins Loans'!N14*1000)/'Perkins Loans'!AE14</f>
        <v>1602.0215993204708</v>
      </c>
      <c r="O12" s="14">
        <f>('Perkins Loans'!O14*1000)/'Perkins Loans'!AF14</f>
        <v>1694.2201506358811</v>
      </c>
      <c r="P12" s="14">
        <f>('Perkins Loans'!P14*1000)/'Perkins Loans'!AG14</f>
        <v>1753.2281925075199</v>
      </c>
      <c r="Q12" s="14">
        <f>('Perkins Loans'!Q14*1000)/'Perkins Loans'!AH14</f>
        <v>2024.6996673320027</v>
      </c>
      <c r="R12" s="14">
        <f>('Perkins Loans'!R14*1000)/'Perkins Loans'!AI14</f>
        <v>2163.4833385238244</v>
      </c>
    </row>
    <row r="13" spans="1:18">
      <c r="A13" s="1" t="s">
        <v>28</v>
      </c>
      <c r="B13" s="14">
        <f>('Perkins Loans'!B15*1000)/'Perkins Loans'!S15</f>
        <v>707.15272978576365</v>
      </c>
      <c r="C13" s="14">
        <f>('Perkins Loans'!C15*1000)/'Perkins Loans'!T15</f>
        <v>217.0644001307617</v>
      </c>
      <c r="D13" s="14">
        <f>('Perkins Loans'!D15*1000)/'Perkins Loans'!U15</f>
        <v>940.7157727768415</v>
      </c>
      <c r="E13" s="14">
        <f>('Perkins Loans'!E15*1000)/'Perkins Loans'!V15</f>
        <v>1032.608695652174</v>
      </c>
      <c r="F13" s="14">
        <f>('Perkins Loans'!F15*1000)/'Perkins Loans'!W15</f>
        <v>1061.8864292589028</v>
      </c>
      <c r="G13" s="14">
        <f>('Perkins Loans'!G15*1000)/'Perkins Loans'!X15</f>
        <v>1107.7447278754951</v>
      </c>
      <c r="H13" s="14">
        <f>('Perkins Loans'!H15*1000)/'Perkins Loans'!Y15</f>
        <v>1076.0197126979133</v>
      </c>
      <c r="I13" s="14">
        <f>('Perkins Loans'!I15*1000)/'Perkins Loans'!Z15</f>
        <v>1180.2382774073669</v>
      </c>
      <c r="J13" s="14">
        <f>('Perkins Loans'!J15*1000)/'Perkins Loans'!AA15</f>
        <v>1258.2033977193391</v>
      </c>
      <c r="K13" s="14">
        <f>('Perkins Loans'!K15*1000)/'Perkins Loans'!AB15</f>
        <v>1349.4184187876551</v>
      </c>
      <c r="L13" s="14">
        <f>('Perkins Loans'!L15*1000)/'Perkins Loans'!AC15</f>
        <v>1442.9749276759885</v>
      </c>
      <c r="M13" s="14">
        <f>('Perkins Loans'!M15*1000)/'Perkins Loans'!AD15</f>
        <v>1425.6883227693809</v>
      </c>
      <c r="N13" s="14">
        <f>('Perkins Loans'!N15*1000)/'Perkins Loans'!AE15</f>
        <v>1408.0096153846155</v>
      </c>
      <c r="O13" s="14">
        <f>('Perkins Loans'!O15*1000)/'Perkins Loans'!AF15</f>
        <v>1530.2911037471322</v>
      </c>
      <c r="P13" s="14">
        <f>('Perkins Loans'!P15*1000)/'Perkins Loans'!AG15</f>
        <v>1487.9397373165079</v>
      </c>
      <c r="Q13" s="14">
        <f>('Perkins Loans'!Q15*1000)/'Perkins Loans'!AH15</f>
        <v>1592.7666520275216</v>
      </c>
      <c r="R13" s="14">
        <f>('Perkins Loans'!R15*1000)/'Perkins Loans'!AI15</f>
        <v>1662.1960160301744</v>
      </c>
    </row>
    <row r="14" spans="1:18">
      <c r="A14" s="1" t="s">
        <v>29</v>
      </c>
      <c r="B14" s="14">
        <f>('Perkins Loans'!B16*1000)/'Perkins Loans'!S16</f>
        <v>868.46397390386642</v>
      </c>
      <c r="C14" s="14">
        <f>('Perkins Loans'!C16*1000)/'Perkins Loans'!T16</f>
        <v>251.1609287429944</v>
      </c>
      <c r="D14" s="14">
        <f>('Perkins Loans'!D16*1000)/'Perkins Loans'!U16</f>
        <v>1170.1843765162541</v>
      </c>
      <c r="E14" s="14">
        <f>('Perkins Loans'!E16*1000)/'Perkins Loans'!V16</f>
        <v>1234.8252605763334</v>
      </c>
      <c r="F14" s="14">
        <f>('Perkins Loans'!F16*1000)/'Perkins Loans'!W16</f>
        <v>1411.7647058823529</v>
      </c>
      <c r="G14" s="14">
        <f>('Perkins Loans'!G16*1000)/'Perkins Loans'!X16</f>
        <v>1355.6570268899036</v>
      </c>
      <c r="H14" s="14">
        <f>('Perkins Loans'!H16*1000)/'Perkins Loans'!Y16</f>
        <v>1448.289269051322</v>
      </c>
      <c r="I14" s="14">
        <f>('Perkins Loans'!I16*1000)/'Perkins Loans'!Z16</f>
        <v>1521.2830647613257</v>
      </c>
      <c r="J14" s="14">
        <f>('Perkins Loans'!J16*1000)/'Perkins Loans'!AA16</f>
        <v>1622.7644530708444</v>
      </c>
      <c r="K14" s="14">
        <f>('Perkins Loans'!K16*1000)/'Perkins Loans'!AB16</f>
        <v>1678.0912481683761</v>
      </c>
      <c r="L14" s="14">
        <f>('Perkins Loans'!L16*1000)/'Perkins Loans'!AC16</f>
        <v>1796.9724732378702</v>
      </c>
      <c r="M14" s="14">
        <f>('Perkins Loans'!M16*1000)/'Perkins Loans'!AD16</f>
        <v>1807.7549964054638</v>
      </c>
      <c r="N14" s="14">
        <f>('Perkins Loans'!N16*1000)/'Perkins Loans'!AE16</f>
        <v>1819.3016227482508</v>
      </c>
      <c r="O14" s="14">
        <f>('Perkins Loans'!O16*1000)/'Perkins Loans'!AF16</f>
        <v>1937.6637309847879</v>
      </c>
      <c r="P14" s="14">
        <f>('Perkins Loans'!P16*1000)/'Perkins Loans'!AG16</f>
        <v>2064.220138488171</v>
      </c>
      <c r="Q14" s="14">
        <f>('Perkins Loans'!Q16*1000)/'Perkins Loans'!AH16</f>
        <v>2205.8066451315181</v>
      </c>
      <c r="R14" s="14">
        <f>('Perkins Loans'!R16*1000)/'Perkins Loans'!AI16</f>
        <v>2257.4595493724482</v>
      </c>
    </row>
    <row r="15" spans="1:18">
      <c r="A15" s="1" t="s">
        <v>30</v>
      </c>
      <c r="B15" s="14">
        <f>('Perkins Loans'!B17*1000)/'Perkins Loans'!S17</f>
        <v>860.62335381913965</v>
      </c>
      <c r="C15" s="14">
        <f>('Perkins Loans'!C17*1000)/'Perkins Loans'!T17</f>
        <v>369.32767707931612</v>
      </c>
      <c r="D15" s="14">
        <f>('Perkins Loans'!D17*1000)/'Perkins Loans'!U17</f>
        <v>1097.8496959165943</v>
      </c>
      <c r="E15" s="14">
        <f>('Perkins Loans'!E17*1000)/'Perkins Loans'!V17</f>
        <v>1248.8640335547011</v>
      </c>
      <c r="F15" s="14">
        <f>('Perkins Loans'!F17*1000)/'Perkins Loans'!W17</f>
        <v>1445.2982070984267</v>
      </c>
      <c r="G15" s="14">
        <f>('Perkins Loans'!G17*1000)/'Perkins Loans'!X17</f>
        <v>1435.792046211953</v>
      </c>
      <c r="H15" s="14">
        <f>('Perkins Loans'!H17*1000)/'Perkins Loans'!Y17</f>
        <v>1467.197487944376</v>
      </c>
      <c r="I15" s="14">
        <f>('Perkins Loans'!I17*1000)/'Perkins Loans'!Z17</f>
        <v>1457.4513124470786</v>
      </c>
      <c r="J15" s="14">
        <f>('Perkins Loans'!J17*1000)/'Perkins Loans'!AA17</f>
        <v>1506.5714933152051</v>
      </c>
      <c r="K15" s="14">
        <f>('Perkins Loans'!K17*1000)/'Perkins Loans'!AB17</f>
        <v>1604.6407961370862</v>
      </c>
      <c r="L15" s="14">
        <f>('Perkins Loans'!L17*1000)/'Perkins Loans'!AC17</f>
        <v>1663.5587270739707</v>
      </c>
      <c r="M15" s="14">
        <f>('Perkins Loans'!M17*1000)/'Perkins Loans'!AD17</f>
        <v>1700.6255429536679</v>
      </c>
      <c r="N15" s="14">
        <f>('Perkins Loans'!N17*1000)/'Perkins Loans'!AE17</f>
        <v>1737.2036437732231</v>
      </c>
      <c r="O15" s="14">
        <f>('Perkins Loans'!O17*1000)/'Perkins Loans'!AF17</f>
        <v>1800.2584795321638</v>
      </c>
      <c r="P15" s="14">
        <f>('Perkins Loans'!P17*1000)/'Perkins Loans'!AG17</f>
        <v>1775.1321482867502</v>
      </c>
      <c r="Q15" s="14">
        <f>('Perkins Loans'!Q17*1000)/'Perkins Loans'!AH17</f>
        <v>1965.0512320078067</v>
      </c>
      <c r="R15" s="14">
        <f>('Perkins Loans'!R17*1000)/'Perkins Loans'!AI17</f>
        <v>2128.0490243314862</v>
      </c>
    </row>
    <row r="16" spans="1:18">
      <c r="A16" s="1" t="s">
        <v>31</v>
      </c>
      <c r="B16" s="14">
        <f>('Perkins Loans'!B18*1000)/'Perkins Loans'!S18</f>
        <v>730.92420045328629</v>
      </c>
      <c r="C16" s="14">
        <f>('Perkins Loans'!C18*1000)/'Perkins Loans'!T18</f>
        <v>270.16026456372424</v>
      </c>
      <c r="D16" s="14">
        <f>('Perkins Loans'!D18*1000)/'Perkins Loans'!U18</f>
        <v>1150.6825341267063</v>
      </c>
      <c r="E16" s="14">
        <f>('Perkins Loans'!E18*1000)/'Perkins Loans'!V18</f>
        <v>1194.3264820791574</v>
      </c>
      <c r="F16" s="14">
        <f>('Perkins Loans'!F18*1000)/'Perkins Loans'!W18</f>
        <v>1378.2544378698226</v>
      </c>
      <c r="G16" s="14">
        <f>('Perkins Loans'!G18*1000)/'Perkins Loans'!X18</f>
        <v>1405.6288988829247</v>
      </c>
      <c r="H16" s="14">
        <f>('Perkins Loans'!H18*1000)/'Perkins Loans'!Y18</f>
        <v>1431.3196085048937</v>
      </c>
      <c r="I16" s="14">
        <f>('Perkins Loans'!I18*1000)/'Perkins Loans'!Z18</f>
        <v>1544.9077786688051</v>
      </c>
      <c r="J16" s="14">
        <f>('Perkins Loans'!J18*1000)/'Perkins Loans'!AA18</f>
        <v>1642.8285256410256</v>
      </c>
      <c r="K16" s="14">
        <f>('Perkins Loans'!K18*1000)/'Perkins Loans'!AB18</f>
        <v>1774.1596718809615</v>
      </c>
      <c r="L16" s="14">
        <f>('Perkins Loans'!L18*1000)/'Perkins Loans'!AC18</f>
        <v>1610.0280855941919</v>
      </c>
      <c r="M16" s="14">
        <f>('Perkins Loans'!M18*1000)/'Perkins Loans'!AD18</f>
        <v>1679.4614526098901</v>
      </c>
      <c r="N16" s="14">
        <f>('Perkins Loans'!N18*1000)/'Perkins Loans'!AE18</f>
        <v>1736.1209853445587</v>
      </c>
      <c r="O16" s="14">
        <f>('Perkins Loans'!O18*1000)/'Perkins Loans'!AF18</f>
        <v>1643.4700217458837</v>
      </c>
      <c r="P16" s="14">
        <f>('Perkins Loans'!P18*1000)/'Perkins Loans'!AG18</f>
        <v>1942.5700466977985</v>
      </c>
      <c r="Q16" s="14">
        <f>('Perkins Loans'!Q18*1000)/'Perkins Loans'!AH18</f>
        <v>2201.6737079573422</v>
      </c>
      <c r="R16" s="14">
        <f>('Perkins Loans'!R18*1000)/'Perkins Loans'!AI18</f>
        <v>2385.7023493360571</v>
      </c>
    </row>
    <row r="17" spans="1:18">
      <c r="A17" s="1" t="s">
        <v>32</v>
      </c>
      <c r="B17" s="14">
        <f>('Perkins Loans'!B19*1000)/'Perkins Loans'!S19</f>
        <v>840.67561605848618</v>
      </c>
      <c r="C17" s="14">
        <f>('Perkins Loans'!C19*1000)/'Perkins Loans'!T19</f>
        <v>224.53265044814341</v>
      </c>
      <c r="D17" s="14">
        <f>('Perkins Loans'!D19*1000)/'Perkins Loans'!U19</f>
        <v>1146.2961816944119</v>
      </c>
      <c r="E17" s="14">
        <f>('Perkins Loans'!E19*1000)/'Perkins Loans'!V19</f>
        <v>1308.491627506784</v>
      </c>
      <c r="F17" s="14">
        <f>('Perkins Loans'!F19*1000)/'Perkins Loans'!W19</f>
        <v>1329.4433881859306</v>
      </c>
      <c r="G17" s="14">
        <f>('Perkins Loans'!G19*1000)/'Perkins Loans'!X19</f>
        <v>1418.5092016417318</v>
      </c>
      <c r="H17" s="14">
        <f>('Perkins Loans'!H19*1000)/'Perkins Loans'!Y19</f>
        <v>1433.6002417283578</v>
      </c>
      <c r="I17" s="14">
        <f>('Perkins Loans'!I19*1000)/'Perkins Loans'!Z19</f>
        <v>1436.6483038561903</v>
      </c>
      <c r="J17" s="14">
        <f>('Perkins Loans'!J19*1000)/'Perkins Loans'!AA19</f>
        <v>1501.4898005959203</v>
      </c>
      <c r="K17" s="14">
        <f>('Perkins Loans'!K19*1000)/'Perkins Loans'!AB19</f>
        <v>1777.593658611667</v>
      </c>
      <c r="L17" s="14">
        <f>('Perkins Loans'!L19*1000)/'Perkins Loans'!AC19</f>
        <v>1760.469311605239</v>
      </c>
      <c r="M17" s="14">
        <f>('Perkins Loans'!M19*1000)/'Perkins Loans'!AD19</f>
        <v>1792.8987859023218</v>
      </c>
      <c r="N17" s="14">
        <f>('Perkins Loans'!N19*1000)/'Perkins Loans'!AE19</f>
        <v>1827.4684633492977</v>
      </c>
      <c r="O17" s="14">
        <f>('Perkins Loans'!O19*1000)/'Perkins Loans'!AF19</f>
        <v>1875.9082332761577</v>
      </c>
      <c r="P17" s="14">
        <f>('Perkins Loans'!P19*1000)/'Perkins Loans'!AG19</f>
        <v>1899.2322446464336</v>
      </c>
      <c r="Q17" s="14">
        <f>('Perkins Loans'!Q19*1000)/'Perkins Loans'!AH19</f>
        <v>2005.3525698097935</v>
      </c>
      <c r="R17" s="14">
        <f>('Perkins Loans'!R19*1000)/'Perkins Loans'!AI19</f>
        <v>2098.1390895074251</v>
      </c>
    </row>
    <row r="18" spans="1:18">
      <c r="A18" s="1" t="s">
        <v>33</v>
      </c>
      <c r="B18" s="14">
        <f>('Perkins Loans'!B20*1000)/'Perkins Loans'!S20</f>
        <v>909.27941938828405</v>
      </c>
      <c r="C18" s="14">
        <f>('Perkins Loans'!C20*1000)/'Perkins Loans'!T20</f>
        <v>250.67082143166277</v>
      </c>
      <c r="D18" s="14">
        <f>('Perkins Loans'!D20*1000)/'Perkins Loans'!U20</f>
        <v>1029.7344406849174</v>
      </c>
      <c r="E18" s="14">
        <f>('Perkins Loans'!E20*1000)/'Perkins Loans'!V20</f>
        <v>1114.8922551738851</v>
      </c>
      <c r="F18" s="14">
        <f>('Perkins Loans'!F20*1000)/'Perkins Loans'!W20</f>
        <v>1277.1412984178942</v>
      </c>
      <c r="G18" s="14">
        <f>('Perkins Loans'!G20*1000)/'Perkins Loans'!X20</f>
        <v>1258.443779392903</v>
      </c>
      <c r="H18" s="14">
        <f>('Perkins Loans'!H20*1000)/'Perkins Loans'!Y20</f>
        <v>1384.8727446528856</v>
      </c>
      <c r="I18" s="14">
        <f>('Perkins Loans'!I20*1000)/'Perkins Loans'!Z20</f>
        <v>1403.9215686274511</v>
      </c>
      <c r="J18" s="14">
        <f>('Perkins Loans'!J20*1000)/'Perkins Loans'!AA20</f>
        <v>1433.320834895638</v>
      </c>
      <c r="K18" s="14">
        <f>('Perkins Loans'!K20*1000)/'Perkins Loans'!AB20</f>
        <v>1519.0507042253521</v>
      </c>
      <c r="L18" s="14">
        <f>('Perkins Loans'!L20*1000)/'Perkins Loans'!AC20</f>
        <v>1645.0790126372976</v>
      </c>
      <c r="M18" s="14">
        <f>('Perkins Loans'!M20*1000)/'Perkins Loans'!AD20</f>
        <v>1697.3515926793743</v>
      </c>
      <c r="N18" s="14">
        <f>('Perkins Loans'!N20*1000)/'Perkins Loans'!AE20</f>
        <v>1757.7819497542328</v>
      </c>
      <c r="O18" s="14">
        <f>('Perkins Loans'!O20*1000)/'Perkins Loans'!AF20</f>
        <v>1773.4563064375182</v>
      </c>
      <c r="P18" s="14">
        <f>('Perkins Loans'!P20*1000)/'Perkins Loans'!AG20</f>
        <v>1871.7518686794665</v>
      </c>
      <c r="Q18" s="14">
        <f>('Perkins Loans'!Q20*1000)/'Perkins Loans'!AH20</f>
        <v>1939.5324053936495</v>
      </c>
      <c r="R18" s="14">
        <f>('Perkins Loans'!R20*1000)/'Perkins Loans'!AI20</f>
        <v>2002.7862015503877</v>
      </c>
    </row>
    <row r="19" spans="1:18">
      <c r="A19" s="1" t="s">
        <v>34</v>
      </c>
      <c r="B19" s="14">
        <f>('Perkins Loans'!B21*1000)/'Perkins Loans'!S21</f>
        <v>725.54239318514578</v>
      </c>
      <c r="C19" s="14">
        <f>('Perkins Loans'!C21*1000)/'Perkins Loans'!T21</f>
        <v>237.99153055051423</v>
      </c>
      <c r="D19" s="14">
        <f>('Perkins Loans'!D21*1000)/'Perkins Loans'!U21</f>
        <v>1007.9821200510855</v>
      </c>
      <c r="E19" s="14">
        <f>('Perkins Loans'!E21*1000)/'Perkins Loans'!V21</f>
        <v>1253.1623330990865</v>
      </c>
      <c r="F19" s="14">
        <f>('Perkins Loans'!F21*1000)/'Perkins Loans'!W21</f>
        <v>1295.335137716924</v>
      </c>
      <c r="G19" s="14">
        <f>('Perkins Loans'!G21*1000)/'Perkins Loans'!X21</f>
        <v>1355.825461088619</v>
      </c>
      <c r="H19" s="14">
        <f>('Perkins Loans'!H21*1000)/'Perkins Loans'!Y21</f>
        <v>1411.4163513735812</v>
      </c>
      <c r="I19" s="14">
        <f>('Perkins Loans'!I21*1000)/'Perkins Loans'!Z21</f>
        <v>1382.656967840735</v>
      </c>
      <c r="J19" s="14">
        <f>('Perkins Loans'!J21*1000)/'Perkins Loans'!AA21</f>
        <v>1483.3508587451804</v>
      </c>
      <c r="K19" s="14">
        <f>('Perkins Loans'!K21*1000)/'Perkins Loans'!AB21</f>
        <v>1590.2536178107607</v>
      </c>
      <c r="L19" s="14">
        <f>('Perkins Loans'!L21*1000)/'Perkins Loans'!AC21</f>
        <v>1556.0797891036907</v>
      </c>
      <c r="M19" s="14">
        <f>('Perkins Loans'!M21*1000)/'Perkins Loans'!AD21</f>
        <v>1632.2365560434814</v>
      </c>
      <c r="N19" s="14">
        <f>('Perkins Loans'!N21*1000)/'Perkins Loans'!AE21</f>
        <v>1685.0754786001708</v>
      </c>
      <c r="O19" s="14">
        <f>('Perkins Loans'!O21*1000)/'Perkins Loans'!AF21</f>
        <v>1672.3267424616906</v>
      </c>
      <c r="P19" s="14">
        <f>('Perkins Loans'!P21*1000)/'Perkins Loans'!AG21</f>
        <v>1689.9866232207169</v>
      </c>
      <c r="Q19" s="14">
        <f>('Perkins Loans'!Q21*1000)/'Perkins Loans'!AH21</f>
        <v>1837.9083644112945</v>
      </c>
      <c r="R19" s="14">
        <f>('Perkins Loans'!R21*1000)/'Perkins Loans'!AI21</f>
        <v>1858.4735138817919</v>
      </c>
    </row>
    <row r="20" spans="1:18">
      <c r="A20" s="1" t="s">
        <v>35</v>
      </c>
      <c r="B20" s="14">
        <f>('Perkins Loans'!B22*1000)/'Perkins Loans'!S22</f>
        <v>870.88671188143678</v>
      </c>
      <c r="C20" s="14">
        <f>('Perkins Loans'!C22*1000)/'Perkins Loans'!T22</f>
        <v>219.13442539358786</v>
      </c>
      <c r="D20" s="14">
        <f>('Perkins Loans'!D22*1000)/'Perkins Loans'!U22</f>
        <v>1183.6215219871851</v>
      </c>
      <c r="E20" s="14">
        <f>('Perkins Loans'!E22*1000)/'Perkins Loans'!V22</f>
        <v>1320.1063410791651</v>
      </c>
      <c r="F20" s="14">
        <f>('Perkins Loans'!F22*1000)/'Perkins Loans'!W22</f>
        <v>1343.914274160938</v>
      </c>
      <c r="G20" s="14">
        <f>('Perkins Loans'!G22*1000)/'Perkins Loans'!X22</f>
        <v>1494.8871650211565</v>
      </c>
      <c r="H20" s="14">
        <f>('Perkins Loans'!H22*1000)/'Perkins Loans'!Y22</f>
        <v>1517.1633716927313</v>
      </c>
      <c r="I20" s="14">
        <f>('Perkins Loans'!I22*1000)/'Perkins Loans'!Z22</f>
        <v>1474.7827823829023</v>
      </c>
      <c r="J20" s="14">
        <f>('Perkins Loans'!J22*1000)/'Perkins Loans'!AA22</f>
        <v>1522.4109701187065</v>
      </c>
      <c r="K20" s="14">
        <f>('Perkins Loans'!K22*1000)/'Perkins Loans'!AB22</f>
        <v>1649.968784591543</v>
      </c>
      <c r="L20" s="14">
        <f>('Perkins Loans'!L22*1000)/'Perkins Loans'!AC22</f>
        <v>1695.1666842271625</v>
      </c>
      <c r="M20" s="14">
        <f>('Perkins Loans'!M22*1000)/'Perkins Loans'!AD22</f>
        <v>1740.725450573457</v>
      </c>
      <c r="N20" s="14">
        <f>('Perkins Loans'!N22*1000)/'Perkins Loans'!AE22</f>
        <v>1789.7557546207054</v>
      </c>
      <c r="O20" s="14">
        <f>('Perkins Loans'!O22*1000)/'Perkins Loans'!AF22</f>
        <v>1833.1272026961965</v>
      </c>
      <c r="P20" s="14">
        <f>('Perkins Loans'!P22*1000)/'Perkins Loans'!AG22</f>
        <v>1902.6870381465947</v>
      </c>
      <c r="Q20" s="14">
        <f>('Perkins Loans'!Q22*1000)/'Perkins Loans'!AH22</f>
        <v>1931.2032593481304</v>
      </c>
      <c r="R20" s="14">
        <f>('Perkins Loans'!R22*1000)/'Perkins Loans'!AI22</f>
        <v>2157.1132904280316</v>
      </c>
    </row>
    <row r="21" spans="1:18">
      <c r="A21" s="1" t="s">
        <v>36</v>
      </c>
      <c r="B21" s="14">
        <f>('Perkins Loans'!B23*1000)/'Perkins Loans'!S23</f>
        <v>1027.1588458774002</v>
      </c>
      <c r="C21" s="14">
        <f>('Perkins Loans'!C23*1000)/'Perkins Loans'!T23</f>
        <v>377.46682383360582</v>
      </c>
      <c r="D21" s="14">
        <f>('Perkins Loans'!D23*1000)/'Perkins Loans'!U23</f>
        <v>1190.7173410688824</v>
      </c>
      <c r="E21" s="14">
        <f>('Perkins Loans'!E23*1000)/'Perkins Loans'!V23</f>
        <v>1332.9192546583852</v>
      </c>
      <c r="F21" s="14">
        <f>('Perkins Loans'!F23*1000)/'Perkins Loans'!W23</f>
        <v>1443.6589997889851</v>
      </c>
      <c r="G21" s="14">
        <f>('Perkins Loans'!G23*1000)/'Perkins Loans'!X23</f>
        <v>1389.094732625676</v>
      </c>
      <c r="H21" s="14">
        <f>('Perkins Loans'!H23*1000)/'Perkins Loans'!Y23</f>
        <v>1455.6588543116407</v>
      </c>
      <c r="I21" s="14">
        <f>('Perkins Loans'!I23*1000)/'Perkins Loans'!Z23</f>
        <v>1458.2965234111105</v>
      </c>
      <c r="J21" s="14">
        <f>('Perkins Loans'!J23*1000)/'Perkins Loans'!AA23</f>
        <v>1524.6820659226576</v>
      </c>
      <c r="K21" s="14">
        <f>('Perkins Loans'!K23*1000)/'Perkins Loans'!AB23</f>
        <v>1631.7008551492577</v>
      </c>
      <c r="L21" s="14">
        <f>('Perkins Loans'!L23*1000)/'Perkins Loans'!AC23</f>
        <v>1675.0139167287098</v>
      </c>
      <c r="M21" s="14">
        <f>('Perkins Loans'!M23*1000)/'Perkins Loans'!AD23</f>
        <v>1719.1510502011024</v>
      </c>
      <c r="N21" s="14">
        <f>('Perkins Loans'!N23*1000)/'Perkins Loans'!AE23</f>
        <v>1767.0073894684551</v>
      </c>
      <c r="O21" s="14">
        <f>('Perkins Loans'!O23*1000)/'Perkins Loans'!AF23</f>
        <v>1827.7664929650859</v>
      </c>
      <c r="P21" s="14">
        <f>('Perkins Loans'!P23*1000)/'Perkins Loans'!AG23</f>
        <v>1840.780953860494</v>
      </c>
      <c r="Q21" s="14">
        <f>('Perkins Loans'!Q23*1000)/'Perkins Loans'!AH23</f>
        <v>1929.2208101667991</v>
      </c>
      <c r="R21" s="14">
        <f>('Perkins Loans'!R23*1000)/'Perkins Loans'!AI23</f>
        <v>2144.9497611994439</v>
      </c>
    </row>
    <row r="22" spans="1:18">
      <c r="A22" s="1" t="s">
        <v>37</v>
      </c>
      <c r="B22" s="14">
        <f>('Perkins Loans'!B24*1000)/'Perkins Loans'!S24</f>
        <v>939.90157107703953</v>
      </c>
      <c r="C22" s="14">
        <f>('Perkins Loans'!C24*1000)/'Perkins Loans'!T24</f>
        <v>238.72144969483421</v>
      </c>
      <c r="D22" s="14">
        <f>('Perkins Loans'!D24*1000)/'Perkins Loans'!U24</f>
        <v>1038.6646088863617</v>
      </c>
      <c r="E22" s="14">
        <f>('Perkins Loans'!E24*1000)/'Perkins Loans'!V24</f>
        <v>1193.5405339608863</v>
      </c>
      <c r="F22" s="14">
        <f>('Perkins Loans'!F24*1000)/'Perkins Loans'!W24</f>
        <v>1296.2041070317362</v>
      </c>
      <c r="G22" s="14">
        <f>('Perkins Loans'!G24*1000)/'Perkins Loans'!X24</f>
        <v>1428.5472400948188</v>
      </c>
      <c r="H22" s="14">
        <f>('Perkins Loans'!H24*1000)/'Perkins Loans'!Y24</f>
        <v>1330.4937556860475</v>
      </c>
      <c r="I22" s="14">
        <f>('Perkins Loans'!I24*1000)/'Perkins Loans'!Z24</f>
        <v>1346.0736042727196</v>
      </c>
      <c r="J22" s="14">
        <f>('Perkins Loans'!J24*1000)/'Perkins Loans'!AA24</f>
        <v>1379.9808734459675</v>
      </c>
      <c r="K22" s="14">
        <f>('Perkins Loans'!K24*1000)/'Perkins Loans'!AB24</f>
        <v>1558.0128161888701</v>
      </c>
      <c r="L22" s="14">
        <f>('Perkins Loans'!L24*1000)/'Perkins Loans'!AC24</f>
        <v>1662.9471755452271</v>
      </c>
      <c r="M22" s="14">
        <f>('Perkins Loans'!M24*1000)/'Perkins Loans'!AD24</f>
        <v>1680.8367619926198</v>
      </c>
      <c r="N22" s="14">
        <f>('Perkins Loans'!N24*1000)/'Perkins Loans'!AE24</f>
        <v>1699.9130766298133</v>
      </c>
      <c r="O22" s="14">
        <f>('Perkins Loans'!O24*1000)/'Perkins Loans'!AF24</f>
        <v>1741.3235648706298</v>
      </c>
      <c r="P22" s="14">
        <f>('Perkins Loans'!P24*1000)/'Perkins Loans'!AG24</f>
        <v>1533.5384036144578</v>
      </c>
      <c r="Q22" s="14">
        <f>('Perkins Loans'!Q24*1000)/'Perkins Loans'!AH24</f>
        <v>1785.1905704856199</v>
      </c>
      <c r="R22" s="14">
        <f>('Perkins Loans'!R24*1000)/'Perkins Loans'!AI24</f>
        <v>1940.8841948310139</v>
      </c>
    </row>
    <row r="23" spans="1:18">
      <c r="A23" s="49" t="s">
        <v>38</v>
      </c>
      <c r="B23" s="14">
        <f>('Perkins Loans'!B25*1000)/'Perkins Loans'!S25</f>
        <v>769.50647918389859</v>
      </c>
      <c r="C23" s="14">
        <f>('Perkins Loans'!C25*1000)/'Perkins Loans'!T25</f>
        <v>264.05867970660148</v>
      </c>
      <c r="D23" s="14">
        <f>('Perkins Loans'!D25*1000)/'Perkins Loans'!U25</f>
        <v>935.62481794348969</v>
      </c>
      <c r="E23" s="14">
        <f>('Perkins Loans'!E25*1000)/'Perkins Loans'!V25</f>
        <v>1005.8276893999055</v>
      </c>
      <c r="F23" s="14">
        <f>('Perkins Loans'!F25*1000)/'Perkins Loans'!W25</f>
        <v>1020.7841981132076</v>
      </c>
      <c r="G23" s="14">
        <f>('Perkins Loans'!G25*1000)/'Perkins Loans'!X25</f>
        <v>1112.4511082138201</v>
      </c>
      <c r="H23" s="14">
        <f>('Perkins Loans'!H25*1000)/'Perkins Loans'!Y25</f>
        <v>1148.0428236868518</v>
      </c>
      <c r="I23" s="14">
        <f>('Perkins Loans'!I25*1000)/'Perkins Loans'!Z25</f>
        <v>1159.9438793405823</v>
      </c>
      <c r="J23" s="14">
        <f>('Perkins Loans'!J25*1000)/'Perkins Loans'!AA25</f>
        <v>1175.3601589667164</v>
      </c>
      <c r="K23" s="14">
        <f>('Perkins Loans'!K25*1000)/'Perkins Loans'!AB25</f>
        <v>1396.7088000000001</v>
      </c>
      <c r="L23" s="14">
        <f>('Perkins Loans'!L25*1000)/'Perkins Loans'!AC25</f>
        <v>1448.7151515151515</v>
      </c>
      <c r="M23" s="14">
        <f>('Perkins Loans'!M25*1000)/'Perkins Loans'!AD25</f>
        <v>1442.3154112554112</v>
      </c>
      <c r="N23" s="14">
        <f>('Perkins Loans'!N25*1000)/'Perkins Loans'!AE25</f>
        <v>1436.2712121212121</v>
      </c>
      <c r="O23" s="14">
        <f>('Perkins Loans'!O25*1000)/'Perkins Loans'!AF25</f>
        <v>1523.4195780590717</v>
      </c>
      <c r="P23" s="14">
        <f>('Perkins Loans'!P25*1000)/'Perkins Loans'!AG25</f>
        <v>1432.5894829097283</v>
      </c>
      <c r="Q23" s="14">
        <f>('Perkins Loans'!Q25*1000)/'Perkins Loans'!AH25</f>
        <v>1554.5652494018038</v>
      </c>
      <c r="R23" s="14">
        <f>('Perkins Loans'!R25*1000)/'Perkins Loans'!AI25</f>
        <v>1676.7674014927964</v>
      </c>
    </row>
    <row r="24" spans="1:18">
      <c r="A24" s="1"/>
      <c r="B24" s="14"/>
      <c r="C24" s="14"/>
      <c r="D24" s="14"/>
      <c r="E24" s="14"/>
      <c r="F24" s="14"/>
      <c r="G24" s="14"/>
      <c r="H24" s="14"/>
      <c r="I24" s="14"/>
      <c r="J24" s="14"/>
      <c r="K24" s="14"/>
      <c r="L24" s="14"/>
      <c r="M24" s="14"/>
      <c r="N24" s="14"/>
      <c r="O24" s="14"/>
      <c r="P24" s="14"/>
      <c r="Q24" s="14"/>
      <c r="R24" s="14"/>
    </row>
    <row r="25" spans="1:18">
      <c r="A25" s="53" t="s">
        <v>160</v>
      </c>
      <c r="B25" s="14" t="e">
        <f>('Perkins Loans'!B27*1000)/'Perkins Loans'!S27</f>
        <v>#DIV/0!</v>
      </c>
      <c r="C25" s="14" t="e">
        <f>('Perkins Loans'!C27*1000)/'Perkins Loans'!T27</f>
        <v>#DIV/0!</v>
      </c>
      <c r="D25" s="14" t="e">
        <f>('Perkins Loans'!D27*1000)/'Perkins Loans'!U27</f>
        <v>#DIV/0!</v>
      </c>
      <c r="E25" s="14" t="e">
        <f>('Perkins Loans'!E27*1000)/'Perkins Loans'!V27</f>
        <v>#DIV/0!</v>
      </c>
      <c r="F25" s="14" t="e">
        <f>('Perkins Loans'!F27*1000)/'Perkins Loans'!W27</f>
        <v>#DIV/0!</v>
      </c>
      <c r="G25" s="14" t="e">
        <f>('Perkins Loans'!G27*1000)/'Perkins Loans'!X27</f>
        <v>#DIV/0!</v>
      </c>
      <c r="H25" s="14" t="e">
        <f>('Perkins Loans'!H27*1000)/'Perkins Loans'!Y27</f>
        <v>#DIV/0!</v>
      </c>
      <c r="I25" s="14" t="e">
        <f>('Perkins Loans'!I27*1000)/'Perkins Loans'!Z27</f>
        <v>#DIV/0!</v>
      </c>
      <c r="J25" s="14" t="e">
        <f>('Perkins Loans'!J27*1000)/'Perkins Loans'!AA27</f>
        <v>#DIV/0!</v>
      </c>
      <c r="K25" s="14" t="e">
        <f>('Perkins Loans'!K27*1000)/'Perkins Loans'!AB27</f>
        <v>#DIV/0!</v>
      </c>
      <c r="L25" s="14" t="e">
        <f>('Perkins Loans'!L27*1000)/'Perkins Loans'!AC27</f>
        <v>#DIV/0!</v>
      </c>
      <c r="M25" s="14" t="e">
        <f>('Perkins Loans'!M27*1000)/'Perkins Loans'!AD27</f>
        <v>#DIV/0!</v>
      </c>
      <c r="N25" s="14" t="e">
        <f>('Perkins Loans'!N27*1000)/'Perkins Loans'!AE27</f>
        <v>#DIV/0!</v>
      </c>
      <c r="O25" s="14" t="e">
        <f>('Perkins Loans'!O27*1000)/'Perkins Loans'!AF27</f>
        <v>#DIV/0!</v>
      </c>
      <c r="P25" s="14">
        <f>('Perkins Loans'!P27*1000)/'Perkins Loans'!AG27</f>
        <v>2273.0124999999998</v>
      </c>
      <c r="Q25" s="14">
        <f>('Perkins Loans'!Q27*1000)/'Perkins Loans'!AH27</f>
        <v>1887.4691358024691</v>
      </c>
      <c r="R25" s="14">
        <f>('Perkins Loans'!R27*1000)/'Perkins Loans'!AI27</f>
        <v>2601.9166666666665</v>
      </c>
    </row>
    <row r="26" spans="1:18">
      <c r="A26" s="53" t="s">
        <v>161</v>
      </c>
      <c r="B26" s="14" t="e">
        <f>('Perkins Loans'!B28*1000)/'Perkins Loans'!S28</f>
        <v>#DIV/0!</v>
      </c>
      <c r="C26" s="14" t="e">
        <f>('Perkins Loans'!C28*1000)/'Perkins Loans'!T28</f>
        <v>#DIV/0!</v>
      </c>
      <c r="D26" s="14" t="e">
        <f>('Perkins Loans'!D28*1000)/'Perkins Loans'!U28</f>
        <v>#DIV/0!</v>
      </c>
      <c r="E26" s="14" t="e">
        <f>('Perkins Loans'!E28*1000)/'Perkins Loans'!V28</f>
        <v>#DIV/0!</v>
      </c>
      <c r="F26" s="14" t="e">
        <f>('Perkins Loans'!F28*1000)/'Perkins Loans'!W28</f>
        <v>#DIV/0!</v>
      </c>
      <c r="G26" s="14" t="e">
        <f>('Perkins Loans'!G28*1000)/'Perkins Loans'!X28</f>
        <v>#DIV/0!</v>
      </c>
      <c r="H26" s="14" t="e">
        <f>('Perkins Loans'!H28*1000)/'Perkins Loans'!Y28</f>
        <v>#DIV/0!</v>
      </c>
      <c r="I26" s="14" t="e">
        <f>('Perkins Loans'!I28*1000)/'Perkins Loans'!Z28</f>
        <v>#DIV/0!</v>
      </c>
      <c r="J26" s="14" t="e">
        <f>('Perkins Loans'!J28*1000)/'Perkins Loans'!AA28</f>
        <v>#DIV/0!</v>
      </c>
      <c r="K26" s="14" t="e">
        <f>('Perkins Loans'!K28*1000)/'Perkins Loans'!AB28</f>
        <v>#DIV/0!</v>
      </c>
      <c r="L26" s="14" t="e">
        <f>('Perkins Loans'!L28*1000)/'Perkins Loans'!AC28</f>
        <v>#DIV/0!</v>
      </c>
      <c r="M26" s="14" t="e">
        <f>('Perkins Loans'!M28*1000)/'Perkins Loans'!AD28</f>
        <v>#DIV/0!</v>
      </c>
      <c r="N26" s="14" t="e">
        <f>('Perkins Loans'!N28*1000)/'Perkins Loans'!AE28</f>
        <v>#DIV/0!</v>
      </c>
      <c r="O26" s="14" t="e">
        <f>('Perkins Loans'!O28*1000)/'Perkins Loans'!AF28</f>
        <v>#DIV/0!</v>
      </c>
      <c r="P26" s="14">
        <f>('Perkins Loans'!P28*1000)/'Perkins Loans'!AG28</f>
        <v>2072.8140053523639</v>
      </c>
      <c r="Q26" s="14">
        <f>('Perkins Loans'!Q28*1000)/'Perkins Loans'!AH28</f>
        <v>2426.3612463485883</v>
      </c>
      <c r="R26" s="14">
        <f>('Perkins Loans'!R28*1000)/'Perkins Loans'!AI28</f>
        <v>2472.2757411539687</v>
      </c>
    </row>
    <row r="27" spans="1:18">
      <c r="A27" s="53" t="s">
        <v>162</v>
      </c>
      <c r="B27" s="14" t="e">
        <f>('Perkins Loans'!B29*1000)/'Perkins Loans'!S29</f>
        <v>#DIV/0!</v>
      </c>
      <c r="C27" s="14" t="e">
        <f>('Perkins Loans'!C29*1000)/'Perkins Loans'!T29</f>
        <v>#DIV/0!</v>
      </c>
      <c r="D27" s="14" t="e">
        <f>('Perkins Loans'!D29*1000)/'Perkins Loans'!U29</f>
        <v>#DIV/0!</v>
      </c>
      <c r="E27" s="14" t="e">
        <f>('Perkins Loans'!E29*1000)/'Perkins Loans'!V29</f>
        <v>#DIV/0!</v>
      </c>
      <c r="F27" s="14" t="e">
        <f>('Perkins Loans'!F29*1000)/'Perkins Loans'!W29</f>
        <v>#DIV/0!</v>
      </c>
      <c r="G27" s="14" t="e">
        <f>('Perkins Loans'!G29*1000)/'Perkins Loans'!X29</f>
        <v>#DIV/0!</v>
      </c>
      <c r="H27" s="14" t="e">
        <f>('Perkins Loans'!H29*1000)/'Perkins Loans'!Y29</f>
        <v>#DIV/0!</v>
      </c>
      <c r="I27" s="14" t="e">
        <f>('Perkins Loans'!I29*1000)/'Perkins Loans'!Z29</f>
        <v>#DIV/0!</v>
      </c>
      <c r="J27" s="14" t="e">
        <f>('Perkins Loans'!J29*1000)/'Perkins Loans'!AA29</f>
        <v>#DIV/0!</v>
      </c>
      <c r="K27" s="14" t="e">
        <f>('Perkins Loans'!K29*1000)/'Perkins Loans'!AB29</f>
        <v>#DIV/0!</v>
      </c>
      <c r="L27" s="14" t="e">
        <f>('Perkins Loans'!L29*1000)/'Perkins Loans'!AC29</f>
        <v>#DIV/0!</v>
      </c>
      <c r="M27" s="14" t="e">
        <f>('Perkins Loans'!M29*1000)/'Perkins Loans'!AD29</f>
        <v>#DIV/0!</v>
      </c>
      <c r="N27" s="14" t="e">
        <f>('Perkins Loans'!N29*1000)/'Perkins Loans'!AE29</f>
        <v>#DIV/0!</v>
      </c>
      <c r="O27" s="14" t="e">
        <f>('Perkins Loans'!O29*1000)/'Perkins Loans'!AF29</f>
        <v>#DIV/0!</v>
      </c>
      <c r="P27" s="14">
        <f>('Perkins Loans'!P29*1000)/'Perkins Loans'!AG29</f>
        <v>1737.6335942529904</v>
      </c>
      <c r="Q27" s="14">
        <f>('Perkins Loans'!Q29*1000)/'Perkins Loans'!AH29</f>
        <v>1752.2386043992522</v>
      </c>
      <c r="R27" s="14">
        <f>('Perkins Loans'!R29*1000)/'Perkins Loans'!AI29</f>
        <v>1833.2207559669823</v>
      </c>
    </row>
    <row r="28" spans="1:18">
      <c r="A28" s="53" t="s">
        <v>163</v>
      </c>
      <c r="B28" s="14" t="e">
        <f>('Perkins Loans'!B30*1000)/'Perkins Loans'!S30</f>
        <v>#DIV/0!</v>
      </c>
      <c r="C28" s="14" t="e">
        <f>('Perkins Loans'!C30*1000)/'Perkins Loans'!T30</f>
        <v>#DIV/0!</v>
      </c>
      <c r="D28" s="14" t="e">
        <f>('Perkins Loans'!D30*1000)/'Perkins Loans'!U30</f>
        <v>#DIV/0!</v>
      </c>
      <c r="E28" s="14" t="e">
        <f>('Perkins Loans'!E30*1000)/'Perkins Loans'!V30</f>
        <v>#DIV/0!</v>
      </c>
      <c r="F28" s="14" t="e">
        <f>('Perkins Loans'!F30*1000)/'Perkins Loans'!W30</f>
        <v>#DIV/0!</v>
      </c>
      <c r="G28" s="14" t="e">
        <f>('Perkins Loans'!G30*1000)/'Perkins Loans'!X30</f>
        <v>#DIV/0!</v>
      </c>
      <c r="H28" s="14" t="e">
        <f>('Perkins Loans'!H30*1000)/'Perkins Loans'!Y30</f>
        <v>#DIV/0!</v>
      </c>
      <c r="I28" s="14" t="e">
        <f>('Perkins Loans'!I30*1000)/'Perkins Loans'!Z30</f>
        <v>#DIV/0!</v>
      </c>
      <c r="J28" s="14" t="e">
        <f>('Perkins Loans'!J30*1000)/'Perkins Loans'!AA30</f>
        <v>#DIV/0!</v>
      </c>
      <c r="K28" s="14" t="e">
        <f>('Perkins Loans'!K30*1000)/'Perkins Loans'!AB30</f>
        <v>#DIV/0!</v>
      </c>
      <c r="L28" s="14" t="e">
        <f>('Perkins Loans'!L30*1000)/'Perkins Loans'!AC30</f>
        <v>#DIV/0!</v>
      </c>
      <c r="M28" s="14" t="e">
        <f>('Perkins Loans'!M30*1000)/'Perkins Loans'!AD30</f>
        <v>#DIV/0!</v>
      </c>
      <c r="N28" s="14" t="e">
        <f>('Perkins Loans'!N30*1000)/'Perkins Loans'!AE30</f>
        <v>#DIV/0!</v>
      </c>
      <c r="O28" s="14" t="e">
        <f>('Perkins Loans'!O30*1000)/'Perkins Loans'!AF30</f>
        <v>#DIV/0!</v>
      </c>
      <c r="P28" s="14">
        <f>('Perkins Loans'!P30*1000)/'Perkins Loans'!AG30</f>
        <v>1686.1263157894737</v>
      </c>
      <c r="Q28" s="14">
        <f>('Perkins Loans'!Q30*1000)/'Perkins Loans'!AH30</f>
        <v>1779.2819939144442</v>
      </c>
      <c r="R28" s="14">
        <f>('Perkins Loans'!R30*1000)/'Perkins Loans'!AI30</f>
        <v>1810.9806026365347</v>
      </c>
    </row>
    <row r="29" spans="1:18">
      <c r="A29" s="53" t="s">
        <v>164</v>
      </c>
      <c r="B29" s="14" t="e">
        <f>('Perkins Loans'!B31*1000)/'Perkins Loans'!S31</f>
        <v>#DIV/0!</v>
      </c>
      <c r="C29" s="14" t="e">
        <f>('Perkins Loans'!C31*1000)/'Perkins Loans'!T31</f>
        <v>#DIV/0!</v>
      </c>
      <c r="D29" s="14" t="e">
        <f>('Perkins Loans'!D31*1000)/'Perkins Loans'!U31</f>
        <v>#DIV/0!</v>
      </c>
      <c r="E29" s="14" t="e">
        <f>('Perkins Loans'!E31*1000)/'Perkins Loans'!V31</f>
        <v>#DIV/0!</v>
      </c>
      <c r="F29" s="14" t="e">
        <f>('Perkins Loans'!F31*1000)/'Perkins Loans'!W31</f>
        <v>#DIV/0!</v>
      </c>
      <c r="G29" s="14" t="e">
        <f>('Perkins Loans'!G31*1000)/'Perkins Loans'!X31</f>
        <v>#DIV/0!</v>
      </c>
      <c r="H29" s="14" t="e">
        <f>('Perkins Loans'!H31*1000)/'Perkins Loans'!Y31</f>
        <v>#DIV/0!</v>
      </c>
      <c r="I29" s="14" t="e">
        <f>('Perkins Loans'!I31*1000)/'Perkins Loans'!Z31</f>
        <v>#DIV/0!</v>
      </c>
      <c r="J29" s="14" t="e">
        <f>('Perkins Loans'!J31*1000)/'Perkins Loans'!AA31</f>
        <v>#DIV/0!</v>
      </c>
      <c r="K29" s="14" t="e">
        <f>('Perkins Loans'!K31*1000)/'Perkins Loans'!AB31</f>
        <v>#DIV/0!</v>
      </c>
      <c r="L29" s="14" t="e">
        <f>('Perkins Loans'!L31*1000)/'Perkins Loans'!AC31</f>
        <v>#DIV/0!</v>
      </c>
      <c r="M29" s="14" t="e">
        <f>('Perkins Loans'!M31*1000)/'Perkins Loans'!AD31</f>
        <v>#DIV/0!</v>
      </c>
      <c r="N29" s="14" t="e">
        <f>('Perkins Loans'!N31*1000)/'Perkins Loans'!AE31</f>
        <v>#DIV/0!</v>
      </c>
      <c r="O29" s="14" t="e">
        <f>('Perkins Loans'!O31*1000)/'Perkins Loans'!AF31</f>
        <v>#DIV/0!</v>
      </c>
      <c r="P29" s="14">
        <f>('Perkins Loans'!P31*1000)/'Perkins Loans'!AG31</f>
        <v>1830.3714939207896</v>
      </c>
      <c r="Q29" s="14">
        <f>('Perkins Loans'!Q31*1000)/'Perkins Loans'!AH31</f>
        <v>1726.1353442622951</v>
      </c>
      <c r="R29" s="14">
        <f>('Perkins Loans'!R31*1000)/'Perkins Loans'!AI31</f>
        <v>1381.0173582580114</v>
      </c>
    </row>
    <row r="30" spans="1:18">
      <c r="A30" s="53" t="s">
        <v>166</v>
      </c>
      <c r="B30" s="14" t="e">
        <f>('Perkins Loans'!B32*1000)/'Perkins Loans'!S32</f>
        <v>#DIV/0!</v>
      </c>
      <c r="C30" s="14" t="e">
        <f>('Perkins Loans'!C32*1000)/'Perkins Loans'!T32</f>
        <v>#DIV/0!</v>
      </c>
      <c r="D30" s="14" t="e">
        <f>('Perkins Loans'!D32*1000)/'Perkins Loans'!U32</f>
        <v>#DIV/0!</v>
      </c>
      <c r="E30" s="14" t="e">
        <f>('Perkins Loans'!E32*1000)/'Perkins Loans'!V32</f>
        <v>#DIV/0!</v>
      </c>
      <c r="F30" s="14" t="e">
        <f>('Perkins Loans'!F32*1000)/'Perkins Loans'!W32</f>
        <v>#DIV/0!</v>
      </c>
      <c r="G30" s="14" t="e">
        <f>('Perkins Loans'!G32*1000)/'Perkins Loans'!X32</f>
        <v>#DIV/0!</v>
      </c>
      <c r="H30" s="14" t="e">
        <f>('Perkins Loans'!H32*1000)/'Perkins Loans'!Y32</f>
        <v>#DIV/0!</v>
      </c>
      <c r="I30" s="14" t="e">
        <f>('Perkins Loans'!I32*1000)/'Perkins Loans'!Z32</f>
        <v>#DIV/0!</v>
      </c>
      <c r="J30" s="14" t="e">
        <f>('Perkins Loans'!J32*1000)/'Perkins Loans'!AA32</f>
        <v>#DIV/0!</v>
      </c>
      <c r="K30" s="14" t="e">
        <f>('Perkins Loans'!K32*1000)/'Perkins Loans'!AB32</f>
        <v>#DIV/0!</v>
      </c>
      <c r="L30" s="14" t="e">
        <f>('Perkins Loans'!L32*1000)/'Perkins Loans'!AC32</f>
        <v>#DIV/0!</v>
      </c>
      <c r="M30" s="14" t="e">
        <f>('Perkins Loans'!M32*1000)/'Perkins Loans'!AD32</f>
        <v>#DIV/0!</v>
      </c>
      <c r="N30" s="14" t="e">
        <f>('Perkins Loans'!N32*1000)/'Perkins Loans'!AE32</f>
        <v>#DIV/0!</v>
      </c>
      <c r="O30" s="14" t="e">
        <f>('Perkins Loans'!O32*1000)/'Perkins Loans'!AF32</f>
        <v>#DIV/0!</v>
      </c>
      <c r="P30" s="14">
        <f>('Perkins Loans'!P32*1000)/'Perkins Loans'!AG32</f>
        <v>2350.7848101265822</v>
      </c>
      <c r="Q30" s="14">
        <f>('Perkins Loans'!Q32*1000)/'Perkins Loans'!AH32</f>
        <v>2335.3879056047199</v>
      </c>
      <c r="R30" s="14">
        <f>('Perkins Loans'!R32*1000)/'Perkins Loans'!AI32</f>
        <v>2378.5795081967212</v>
      </c>
    </row>
    <row r="31" spans="1:18">
      <c r="A31" s="53" t="s">
        <v>167</v>
      </c>
      <c r="B31" s="14" t="e">
        <f>('Perkins Loans'!B33*1000)/'Perkins Loans'!S33</f>
        <v>#DIV/0!</v>
      </c>
      <c r="C31" s="14" t="e">
        <f>('Perkins Loans'!C33*1000)/'Perkins Loans'!T33</f>
        <v>#DIV/0!</v>
      </c>
      <c r="D31" s="14" t="e">
        <f>('Perkins Loans'!D33*1000)/'Perkins Loans'!U33</f>
        <v>#DIV/0!</v>
      </c>
      <c r="E31" s="14" t="e">
        <f>('Perkins Loans'!E33*1000)/'Perkins Loans'!V33</f>
        <v>#DIV/0!</v>
      </c>
      <c r="F31" s="14" t="e">
        <f>('Perkins Loans'!F33*1000)/'Perkins Loans'!W33</f>
        <v>#DIV/0!</v>
      </c>
      <c r="G31" s="14" t="e">
        <f>('Perkins Loans'!G33*1000)/'Perkins Loans'!X33</f>
        <v>#DIV/0!</v>
      </c>
      <c r="H31" s="14" t="e">
        <f>('Perkins Loans'!H33*1000)/'Perkins Loans'!Y33</f>
        <v>#DIV/0!</v>
      </c>
      <c r="I31" s="14" t="e">
        <f>('Perkins Loans'!I33*1000)/'Perkins Loans'!Z33</f>
        <v>#DIV/0!</v>
      </c>
      <c r="J31" s="14" t="e">
        <f>('Perkins Loans'!J33*1000)/'Perkins Loans'!AA33</f>
        <v>#DIV/0!</v>
      </c>
      <c r="K31" s="14" t="e">
        <f>('Perkins Loans'!K33*1000)/'Perkins Loans'!AB33</f>
        <v>#DIV/0!</v>
      </c>
      <c r="L31" s="14" t="e">
        <f>('Perkins Loans'!L33*1000)/'Perkins Loans'!AC33</f>
        <v>#DIV/0!</v>
      </c>
      <c r="M31" s="14" t="e">
        <f>('Perkins Loans'!M33*1000)/'Perkins Loans'!AD33</f>
        <v>#DIV/0!</v>
      </c>
      <c r="N31" s="14" t="e">
        <f>('Perkins Loans'!N33*1000)/'Perkins Loans'!AE33</f>
        <v>#DIV/0!</v>
      </c>
      <c r="O31" s="14" t="e">
        <f>('Perkins Loans'!O33*1000)/'Perkins Loans'!AF33</f>
        <v>#DIV/0!</v>
      </c>
      <c r="P31" s="14">
        <f>('Perkins Loans'!P33*1000)/'Perkins Loans'!AG33</f>
        <v>1188.5977358490566</v>
      </c>
      <c r="Q31" s="14">
        <f>('Perkins Loans'!Q33*1000)/'Perkins Loans'!AH33</f>
        <v>1321.9449565446405</v>
      </c>
      <c r="R31" s="14">
        <f>('Perkins Loans'!R33*1000)/'Perkins Loans'!AI33</f>
        <v>1390.7154120040691</v>
      </c>
    </row>
    <row r="32" spans="1:18">
      <c r="A32" s="53" t="s">
        <v>168</v>
      </c>
      <c r="B32" s="14" t="e">
        <f>('Perkins Loans'!B34*1000)/'Perkins Loans'!S34</f>
        <v>#DIV/0!</v>
      </c>
      <c r="C32" s="14" t="e">
        <f>('Perkins Loans'!C34*1000)/'Perkins Loans'!T34</f>
        <v>#DIV/0!</v>
      </c>
      <c r="D32" s="14" t="e">
        <f>('Perkins Loans'!D34*1000)/'Perkins Loans'!U34</f>
        <v>#DIV/0!</v>
      </c>
      <c r="E32" s="14" t="e">
        <f>('Perkins Loans'!E34*1000)/'Perkins Loans'!V34</f>
        <v>#DIV/0!</v>
      </c>
      <c r="F32" s="14" t="e">
        <f>('Perkins Loans'!F34*1000)/'Perkins Loans'!W34</f>
        <v>#DIV/0!</v>
      </c>
      <c r="G32" s="14" t="e">
        <f>('Perkins Loans'!G34*1000)/'Perkins Loans'!X34</f>
        <v>#DIV/0!</v>
      </c>
      <c r="H32" s="14" t="e">
        <f>('Perkins Loans'!H34*1000)/'Perkins Loans'!Y34</f>
        <v>#DIV/0!</v>
      </c>
      <c r="I32" s="14" t="e">
        <f>('Perkins Loans'!I34*1000)/'Perkins Loans'!Z34</f>
        <v>#DIV/0!</v>
      </c>
      <c r="J32" s="14" t="e">
        <f>('Perkins Loans'!J34*1000)/'Perkins Loans'!AA34</f>
        <v>#DIV/0!</v>
      </c>
      <c r="K32" s="14" t="e">
        <f>('Perkins Loans'!K34*1000)/'Perkins Loans'!AB34</f>
        <v>#DIV/0!</v>
      </c>
      <c r="L32" s="14" t="e">
        <f>('Perkins Loans'!L34*1000)/'Perkins Loans'!AC34</f>
        <v>#DIV/0!</v>
      </c>
      <c r="M32" s="14" t="e">
        <f>('Perkins Loans'!M34*1000)/'Perkins Loans'!AD34</f>
        <v>#DIV/0!</v>
      </c>
      <c r="N32" s="14" t="e">
        <f>('Perkins Loans'!N34*1000)/'Perkins Loans'!AE34</f>
        <v>#DIV/0!</v>
      </c>
      <c r="O32" s="14" t="e">
        <f>('Perkins Loans'!O34*1000)/'Perkins Loans'!AF34</f>
        <v>#DIV/0!</v>
      </c>
      <c r="P32" s="14">
        <f>('Perkins Loans'!P34*1000)/'Perkins Loans'!AG34</f>
        <v>1734.2660982064099</v>
      </c>
      <c r="Q32" s="14">
        <f>('Perkins Loans'!Q34*1000)/'Perkins Loans'!AH34</f>
        <v>1706.851186031819</v>
      </c>
      <c r="R32" s="14">
        <f>('Perkins Loans'!R34*1000)/'Perkins Loans'!AI34</f>
        <v>2013.6010466067048</v>
      </c>
    </row>
    <row r="33" spans="1:18">
      <c r="A33" s="53" t="s">
        <v>169</v>
      </c>
      <c r="B33" s="14" t="e">
        <f>('Perkins Loans'!B35*1000)/'Perkins Loans'!S35</f>
        <v>#DIV/0!</v>
      </c>
      <c r="C33" s="14" t="e">
        <f>('Perkins Loans'!C35*1000)/'Perkins Loans'!T35</f>
        <v>#DIV/0!</v>
      </c>
      <c r="D33" s="14" t="e">
        <f>('Perkins Loans'!D35*1000)/'Perkins Loans'!U35</f>
        <v>#DIV/0!</v>
      </c>
      <c r="E33" s="14" t="e">
        <f>('Perkins Loans'!E35*1000)/'Perkins Loans'!V35</f>
        <v>#DIV/0!</v>
      </c>
      <c r="F33" s="14" t="e">
        <f>('Perkins Loans'!F35*1000)/'Perkins Loans'!W35</f>
        <v>#DIV/0!</v>
      </c>
      <c r="G33" s="14" t="e">
        <f>('Perkins Loans'!G35*1000)/'Perkins Loans'!X35</f>
        <v>#DIV/0!</v>
      </c>
      <c r="H33" s="14" t="e">
        <f>('Perkins Loans'!H35*1000)/'Perkins Loans'!Y35</f>
        <v>#DIV/0!</v>
      </c>
      <c r="I33" s="14" t="e">
        <f>('Perkins Loans'!I35*1000)/'Perkins Loans'!Z35</f>
        <v>#DIV/0!</v>
      </c>
      <c r="J33" s="14" t="e">
        <f>('Perkins Loans'!J35*1000)/'Perkins Loans'!AA35</f>
        <v>#DIV/0!</v>
      </c>
      <c r="K33" s="14" t="e">
        <f>('Perkins Loans'!K35*1000)/'Perkins Loans'!AB35</f>
        <v>#DIV/0!</v>
      </c>
      <c r="L33" s="14" t="e">
        <f>('Perkins Loans'!L35*1000)/'Perkins Loans'!AC35</f>
        <v>#DIV/0!</v>
      </c>
      <c r="M33" s="14" t="e">
        <f>('Perkins Loans'!M35*1000)/'Perkins Loans'!AD35</f>
        <v>#DIV/0!</v>
      </c>
      <c r="N33" s="14" t="e">
        <f>('Perkins Loans'!N35*1000)/'Perkins Loans'!AE35</f>
        <v>#DIV/0!</v>
      </c>
      <c r="O33" s="14" t="e">
        <f>('Perkins Loans'!O35*1000)/'Perkins Loans'!AF35</f>
        <v>#DIV/0!</v>
      </c>
      <c r="P33" s="14">
        <f>('Perkins Loans'!P35*1000)/'Perkins Loans'!AG35</f>
        <v>1550.77558893118</v>
      </c>
      <c r="Q33" s="14">
        <f>('Perkins Loans'!Q35*1000)/'Perkins Loans'!AH35</f>
        <v>1572.6440605444723</v>
      </c>
      <c r="R33" s="14">
        <f>('Perkins Loans'!R35*1000)/'Perkins Loans'!AI35</f>
        <v>1678.5207394277031</v>
      </c>
    </row>
    <row r="34" spans="1:18">
      <c r="A34" s="53" t="s">
        <v>170</v>
      </c>
      <c r="B34" s="14" t="e">
        <f>('Perkins Loans'!B36*1000)/'Perkins Loans'!S36</f>
        <v>#DIV/0!</v>
      </c>
      <c r="C34" s="14" t="e">
        <f>('Perkins Loans'!C36*1000)/'Perkins Loans'!T36</f>
        <v>#DIV/0!</v>
      </c>
      <c r="D34" s="14" t="e">
        <f>('Perkins Loans'!D36*1000)/'Perkins Loans'!U36</f>
        <v>#DIV/0!</v>
      </c>
      <c r="E34" s="14" t="e">
        <f>('Perkins Loans'!E36*1000)/'Perkins Loans'!V36</f>
        <v>#DIV/0!</v>
      </c>
      <c r="F34" s="14" t="e">
        <f>('Perkins Loans'!F36*1000)/'Perkins Loans'!W36</f>
        <v>#DIV/0!</v>
      </c>
      <c r="G34" s="14" t="e">
        <f>('Perkins Loans'!G36*1000)/'Perkins Loans'!X36</f>
        <v>#DIV/0!</v>
      </c>
      <c r="H34" s="14" t="e">
        <f>('Perkins Loans'!H36*1000)/'Perkins Loans'!Y36</f>
        <v>#DIV/0!</v>
      </c>
      <c r="I34" s="14" t="e">
        <f>('Perkins Loans'!I36*1000)/'Perkins Loans'!Z36</f>
        <v>#DIV/0!</v>
      </c>
      <c r="J34" s="14" t="e">
        <f>('Perkins Loans'!J36*1000)/'Perkins Loans'!AA36</f>
        <v>#DIV/0!</v>
      </c>
      <c r="K34" s="14" t="e">
        <f>('Perkins Loans'!K36*1000)/'Perkins Loans'!AB36</f>
        <v>#DIV/0!</v>
      </c>
      <c r="L34" s="14" t="e">
        <f>('Perkins Loans'!L36*1000)/'Perkins Loans'!AC36</f>
        <v>#DIV/0!</v>
      </c>
      <c r="M34" s="14" t="e">
        <f>('Perkins Loans'!M36*1000)/'Perkins Loans'!AD36</f>
        <v>#DIV/0!</v>
      </c>
      <c r="N34" s="14" t="e">
        <f>('Perkins Loans'!N36*1000)/'Perkins Loans'!AE36</f>
        <v>#DIV/0!</v>
      </c>
      <c r="O34" s="14" t="e">
        <f>('Perkins Loans'!O36*1000)/'Perkins Loans'!AF36</f>
        <v>#DIV/0!</v>
      </c>
      <c r="P34" s="14">
        <f>('Perkins Loans'!P36*1000)/'Perkins Loans'!AG36</f>
        <v>1455.4214574898785</v>
      </c>
      <c r="Q34" s="14">
        <f>('Perkins Loans'!Q36*1000)/'Perkins Loans'!AH36</f>
        <v>1541.2212045517624</v>
      </c>
      <c r="R34" s="14">
        <f>('Perkins Loans'!R36*1000)/'Perkins Loans'!AI36</f>
        <v>1639.2637362637363</v>
      </c>
    </row>
    <row r="35" spans="1:18">
      <c r="A35" s="53" t="s">
        <v>171</v>
      </c>
      <c r="B35" s="14" t="e">
        <f>('Perkins Loans'!B37*1000)/'Perkins Loans'!S37</f>
        <v>#DIV/0!</v>
      </c>
      <c r="C35" s="14" t="e">
        <f>('Perkins Loans'!C37*1000)/'Perkins Loans'!T37</f>
        <v>#DIV/0!</v>
      </c>
      <c r="D35" s="14" t="e">
        <f>('Perkins Loans'!D37*1000)/'Perkins Loans'!U37</f>
        <v>#DIV/0!</v>
      </c>
      <c r="E35" s="14" t="e">
        <f>('Perkins Loans'!E37*1000)/'Perkins Loans'!V37</f>
        <v>#DIV/0!</v>
      </c>
      <c r="F35" s="14" t="e">
        <f>('Perkins Loans'!F37*1000)/'Perkins Loans'!W37</f>
        <v>#DIV/0!</v>
      </c>
      <c r="G35" s="14" t="e">
        <f>('Perkins Loans'!G37*1000)/'Perkins Loans'!X37</f>
        <v>#DIV/0!</v>
      </c>
      <c r="H35" s="14" t="e">
        <f>('Perkins Loans'!H37*1000)/'Perkins Loans'!Y37</f>
        <v>#DIV/0!</v>
      </c>
      <c r="I35" s="14" t="e">
        <f>('Perkins Loans'!I37*1000)/'Perkins Loans'!Z37</f>
        <v>#DIV/0!</v>
      </c>
      <c r="J35" s="14" t="e">
        <f>('Perkins Loans'!J37*1000)/'Perkins Loans'!AA37</f>
        <v>#DIV/0!</v>
      </c>
      <c r="K35" s="14" t="e">
        <f>('Perkins Loans'!K37*1000)/'Perkins Loans'!AB37</f>
        <v>#DIV/0!</v>
      </c>
      <c r="L35" s="14" t="e">
        <f>('Perkins Loans'!L37*1000)/'Perkins Loans'!AC37</f>
        <v>#DIV/0!</v>
      </c>
      <c r="M35" s="14" t="e">
        <f>('Perkins Loans'!M37*1000)/'Perkins Loans'!AD37</f>
        <v>#DIV/0!</v>
      </c>
      <c r="N35" s="14" t="e">
        <f>('Perkins Loans'!N37*1000)/'Perkins Loans'!AE37</f>
        <v>#DIV/0!</v>
      </c>
      <c r="O35" s="14" t="e">
        <f>('Perkins Loans'!O37*1000)/'Perkins Loans'!AF37</f>
        <v>#DIV/0!</v>
      </c>
      <c r="P35" s="14">
        <f>('Perkins Loans'!P37*1000)/'Perkins Loans'!AG37</f>
        <v>1715.6441387559807</v>
      </c>
      <c r="Q35" s="14">
        <f>('Perkins Loans'!Q37*1000)/'Perkins Loans'!AH37</f>
        <v>1788.6467817896389</v>
      </c>
      <c r="R35" s="14">
        <f>('Perkins Loans'!R37*1000)/'Perkins Loans'!AI37</f>
        <v>1795.7031123452505</v>
      </c>
    </row>
    <row r="36" spans="1:18">
      <c r="A36" s="53" t="s">
        <v>172</v>
      </c>
      <c r="B36" s="14" t="e">
        <f>('Perkins Loans'!B38*1000)/'Perkins Loans'!S38</f>
        <v>#DIV/0!</v>
      </c>
      <c r="C36" s="14" t="e">
        <f>('Perkins Loans'!C38*1000)/'Perkins Loans'!T38</f>
        <v>#DIV/0!</v>
      </c>
      <c r="D36" s="14" t="e">
        <f>('Perkins Loans'!D38*1000)/'Perkins Loans'!U38</f>
        <v>#DIV/0!</v>
      </c>
      <c r="E36" s="14" t="e">
        <f>('Perkins Loans'!E38*1000)/'Perkins Loans'!V38</f>
        <v>#DIV/0!</v>
      </c>
      <c r="F36" s="14" t="e">
        <f>('Perkins Loans'!F38*1000)/'Perkins Loans'!W38</f>
        <v>#DIV/0!</v>
      </c>
      <c r="G36" s="14" t="e">
        <f>('Perkins Loans'!G38*1000)/'Perkins Loans'!X38</f>
        <v>#DIV/0!</v>
      </c>
      <c r="H36" s="14" t="e">
        <f>('Perkins Loans'!H38*1000)/'Perkins Loans'!Y38</f>
        <v>#DIV/0!</v>
      </c>
      <c r="I36" s="14" t="e">
        <f>('Perkins Loans'!I38*1000)/'Perkins Loans'!Z38</f>
        <v>#DIV/0!</v>
      </c>
      <c r="J36" s="14" t="e">
        <f>('Perkins Loans'!J38*1000)/'Perkins Loans'!AA38</f>
        <v>#DIV/0!</v>
      </c>
      <c r="K36" s="14" t="e">
        <f>('Perkins Loans'!K38*1000)/'Perkins Loans'!AB38</f>
        <v>#DIV/0!</v>
      </c>
      <c r="L36" s="14" t="e">
        <f>('Perkins Loans'!L38*1000)/'Perkins Loans'!AC38</f>
        <v>#DIV/0!</v>
      </c>
      <c r="M36" s="14" t="e">
        <f>('Perkins Loans'!M38*1000)/'Perkins Loans'!AD38</f>
        <v>#DIV/0!</v>
      </c>
      <c r="N36" s="14" t="e">
        <f>('Perkins Loans'!N38*1000)/'Perkins Loans'!AE38</f>
        <v>#DIV/0!</v>
      </c>
      <c r="O36" s="14" t="e">
        <f>('Perkins Loans'!O38*1000)/'Perkins Loans'!AF38</f>
        <v>#DIV/0!</v>
      </c>
      <c r="P36" s="14">
        <f>('Perkins Loans'!P38*1000)/'Perkins Loans'!AG38</f>
        <v>1360.899352651048</v>
      </c>
      <c r="Q36" s="14">
        <f>('Perkins Loans'!Q38*1000)/'Perkins Loans'!AH38</f>
        <v>1435.4249515576091</v>
      </c>
      <c r="R36" s="14">
        <f>('Perkins Loans'!R38*1000)/'Perkins Loans'!AI38</f>
        <v>1658.152990264256</v>
      </c>
    </row>
    <row r="37" spans="1:18">
      <c r="A37" s="53" t="s">
        <v>173</v>
      </c>
      <c r="B37" s="14" t="e">
        <f>('Perkins Loans'!B39*1000)/'Perkins Loans'!S39</f>
        <v>#DIV/0!</v>
      </c>
      <c r="C37" s="14" t="e">
        <f>('Perkins Loans'!C39*1000)/'Perkins Loans'!T39</f>
        <v>#DIV/0!</v>
      </c>
      <c r="D37" s="14" t="e">
        <f>('Perkins Loans'!D39*1000)/'Perkins Loans'!U39</f>
        <v>#DIV/0!</v>
      </c>
      <c r="E37" s="14" t="e">
        <f>('Perkins Loans'!E39*1000)/'Perkins Loans'!V39</f>
        <v>#DIV/0!</v>
      </c>
      <c r="F37" s="14" t="e">
        <f>('Perkins Loans'!F39*1000)/'Perkins Loans'!W39</f>
        <v>#DIV/0!</v>
      </c>
      <c r="G37" s="14" t="e">
        <f>('Perkins Loans'!G39*1000)/'Perkins Loans'!X39</f>
        <v>#DIV/0!</v>
      </c>
      <c r="H37" s="14" t="e">
        <f>('Perkins Loans'!H39*1000)/'Perkins Loans'!Y39</f>
        <v>#DIV/0!</v>
      </c>
      <c r="I37" s="14" t="e">
        <f>('Perkins Loans'!I39*1000)/'Perkins Loans'!Z39</f>
        <v>#DIV/0!</v>
      </c>
      <c r="J37" s="14" t="e">
        <f>('Perkins Loans'!J39*1000)/'Perkins Loans'!AA39</f>
        <v>#DIV/0!</v>
      </c>
      <c r="K37" s="14" t="e">
        <f>('Perkins Loans'!K39*1000)/'Perkins Loans'!AB39</f>
        <v>#DIV/0!</v>
      </c>
      <c r="L37" s="14" t="e">
        <f>('Perkins Loans'!L39*1000)/'Perkins Loans'!AC39</f>
        <v>#DIV/0!</v>
      </c>
      <c r="M37" s="14" t="e">
        <f>('Perkins Loans'!M39*1000)/'Perkins Loans'!AD39</f>
        <v>#DIV/0!</v>
      </c>
      <c r="N37" s="14" t="e">
        <f>('Perkins Loans'!N39*1000)/'Perkins Loans'!AE39</f>
        <v>#DIV/0!</v>
      </c>
      <c r="O37" s="14" t="e">
        <f>('Perkins Loans'!O39*1000)/'Perkins Loans'!AF39</f>
        <v>#DIV/0!</v>
      </c>
      <c r="P37" s="14">
        <f>('Perkins Loans'!P39*1000)/'Perkins Loans'!AG39</f>
        <v>1601.9074971923192</v>
      </c>
      <c r="Q37" s="14">
        <f>('Perkins Loans'!Q39*1000)/'Perkins Loans'!AH39</f>
        <v>1758.5888081438113</v>
      </c>
      <c r="R37" s="14">
        <f>('Perkins Loans'!R39*1000)/'Perkins Loans'!AI39</f>
        <v>1946.488906472543</v>
      </c>
    </row>
    <row r="38" spans="1:18">
      <c r="A38" s="53" t="s">
        <v>174</v>
      </c>
      <c r="B38" s="14" t="e">
        <f>('Perkins Loans'!B40*1000)/'Perkins Loans'!S40</f>
        <v>#DIV/0!</v>
      </c>
      <c r="C38" s="14" t="e">
        <f>('Perkins Loans'!C40*1000)/'Perkins Loans'!T40</f>
        <v>#DIV/0!</v>
      </c>
      <c r="D38" s="14" t="e">
        <f>('Perkins Loans'!D40*1000)/'Perkins Loans'!U40</f>
        <v>#DIV/0!</v>
      </c>
      <c r="E38" s="14" t="e">
        <f>('Perkins Loans'!E40*1000)/'Perkins Loans'!V40</f>
        <v>#DIV/0!</v>
      </c>
      <c r="F38" s="14" t="e">
        <f>('Perkins Loans'!F40*1000)/'Perkins Loans'!W40</f>
        <v>#DIV/0!</v>
      </c>
      <c r="G38" s="14" t="e">
        <f>('Perkins Loans'!G40*1000)/'Perkins Loans'!X40</f>
        <v>#DIV/0!</v>
      </c>
      <c r="H38" s="14" t="e">
        <f>('Perkins Loans'!H40*1000)/'Perkins Loans'!Y40</f>
        <v>#DIV/0!</v>
      </c>
      <c r="I38" s="14" t="e">
        <f>('Perkins Loans'!I40*1000)/'Perkins Loans'!Z40</f>
        <v>#DIV/0!</v>
      </c>
      <c r="J38" s="14" t="e">
        <f>('Perkins Loans'!J40*1000)/'Perkins Loans'!AA40</f>
        <v>#DIV/0!</v>
      </c>
      <c r="K38" s="14" t="e">
        <f>('Perkins Loans'!K40*1000)/'Perkins Loans'!AB40</f>
        <v>#DIV/0!</v>
      </c>
      <c r="L38" s="14" t="e">
        <f>('Perkins Loans'!L40*1000)/'Perkins Loans'!AC40</f>
        <v>#DIV/0!</v>
      </c>
      <c r="M38" s="14" t="e">
        <f>('Perkins Loans'!M40*1000)/'Perkins Loans'!AD40</f>
        <v>#DIV/0!</v>
      </c>
      <c r="N38" s="14" t="e">
        <f>('Perkins Loans'!N40*1000)/'Perkins Loans'!AE40</f>
        <v>#DIV/0!</v>
      </c>
      <c r="O38" s="14" t="e">
        <f>('Perkins Loans'!O40*1000)/'Perkins Loans'!AF40</f>
        <v>#DIV/0!</v>
      </c>
      <c r="P38" s="14">
        <f>('Perkins Loans'!P40*1000)/'Perkins Loans'!AG40</f>
        <v>1460.7014101320599</v>
      </c>
      <c r="Q38" s="14">
        <f>('Perkins Loans'!Q40*1000)/'Perkins Loans'!AH40</f>
        <v>1430.1726192574833</v>
      </c>
      <c r="R38" s="14">
        <f>('Perkins Loans'!R40*1000)/'Perkins Loans'!AI40</f>
        <v>1627.1000707872286</v>
      </c>
    </row>
    <row r="39" spans="1:18">
      <c r="A39" s="53" t="s">
        <v>175</v>
      </c>
      <c r="B39" s="14" t="e">
        <f>('Perkins Loans'!B41*1000)/'Perkins Loans'!S41</f>
        <v>#DIV/0!</v>
      </c>
      <c r="C39" s="14" t="e">
        <f>('Perkins Loans'!C41*1000)/'Perkins Loans'!T41</f>
        <v>#DIV/0!</v>
      </c>
      <c r="D39" s="14" t="e">
        <f>('Perkins Loans'!D41*1000)/'Perkins Loans'!U41</f>
        <v>#DIV/0!</v>
      </c>
      <c r="E39" s="14" t="e">
        <f>('Perkins Loans'!E41*1000)/'Perkins Loans'!V41</f>
        <v>#DIV/0!</v>
      </c>
      <c r="F39" s="14" t="e">
        <f>('Perkins Loans'!F41*1000)/'Perkins Loans'!W41</f>
        <v>#DIV/0!</v>
      </c>
      <c r="G39" s="14" t="e">
        <f>('Perkins Loans'!G41*1000)/'Perkins Loans'!X41</f>
        <v>#DIV/0!</v>
      </c>
      <c r="H39" s="14" t="e">
        <f>('Perkins Loans'!H41*1000)/'Perkins Loans'!Y41</f>
        <v>#DIV/0!</v>
      </c>
      <c r="I39" s="14" t="e">
        <f>('Perkins Loans'!I41*1000)/'Perkins Loans'!Z41</f>
        <v>#DIV/0!</v>
      </c>
      <c r="J39" s="14" t="e">
        <f>('Perkins Loans'!J41*1000)/'Perkins Loans'!AA41</f>
        <v>#DIV/0!</v>
      </c>
      <c r="K39" s="14" t="e">
        <f>('Perkins Loans'!K41*1000)/'Perkins Loans'!AB41</f>
        <v>#DIV/0!</v>
      </c>
      <c r="L39" s="14" t="e">
        <f>('Perkins Loans'!L41*1000)/'Perkins Loans'!AC41</f>
        <v>#DIV/0!</v>
      </c>
      <c r="M39" s="14" t="e">
        <f>('Perkins Loans'!M41*1000)/'Perkins Loans'!AD41</f>
        <v>#DIV/0!</v>
      </c>
      <c r="N39" s="14" t="e">
        <f>('Perkins Loans'!N41*1000)/'Perkins Loans'!AE41</f>
        <v>#DIV/0!</v>
      </c>
      <c r="O39" s="14" t="e">
        <f>('Perkins Loans'!O41*1000)/'Perkins Loans'!AF41</f>
        <v>#DIV/0!</v>
      </c>
      <c r="P39" s="14">
        <f>('Perkins Loans'!P41*1000)/'Perkins Loans'!AG41</f>
        <v>1767.9118209504923</v>
      </c>
      <c r="Q39" s="14">
        <f>('Perkins Loans'!Q41*1000)/'Perkins Loans'!AH41</f>
        <v>1884.2664280601289</v>
      </c>
      <c r="R39" s="14">
        <f>('Perkins Loans'!R41*1000)/'Perkins Loans'!AI41</f>
        <v>1914.9348595213319</v>
      </c>
    </row>
    <row r="40" spans="1:18">
      <c r="A40" s="53" t="s">
        <v>176</v>
      </c>
      <c r="B40" s="14" t="e">
        <f>('Perkins Loans'!B42*1000)/'Perkins Loans'!S42</f>
        <v>#DIV/0!</v>
      </c>
      <c r="C40" s="14" t="e">
        <f>('Perkins Loans'!C42*1000)/'Perkins Loans'!T42</f>
        <v>#DIV/0!</v>
      </c>
      <c r="D40" s="14" t="e">
        <f>('Perkins Loans'!D42*1000)/'Perkins Loans'!U42</f>
        <v>#DIV/0!</v>
      </c>
      <c r="E40" s="14" t="e">
        <f>('Perkins Loans'!E42*1000)/'Perkins Loans'!V42</f>
        <v>#DIV/0!</v>
      </c>
      <c r="F40" s="14" t="e">
        <f>('Perkins Loans'!F42*1000)/'Perkins Loans'!W42</f>
        <v>#DIV/0!</v>
      </c>
      <c r="G40" s="14" t="e">
        <f>('Perkins Loans'!G42*1000)/'Perkins Loans'!X42</f>
        <v>#DIV/0!</v>
      </c>
      <c r="H40" s="14" t="e">
        <f>('Perkins Loans'!H42*1000)/'Perkins Loans'!Y42</f>
        <v>#DIV/0!</v>
      </c>
      <c r="I40" s="14" t="e">
        <f>('Perkins Loans'!I42*1000)/'Perkins Loans'!Z42</f>
        <v>#DIV/0!</v>
      </c>
      <c r="J40" s="14" t="e">
        <f>('Perkins Loans'!J42*1000)/'Perkins Loans'!AA42</f>
        <v>#DIV/0!</v>
      </c>
      <c r="K40" s="14" t="e">
        <f>('Perkins Loans'!K42*1000)/'Perkins Loans'!AB42</f>
        <v>#DIV/0!</v>
      </c>
      <c r="L40" s="14" t="e">
        <f>('Perkins Loans'!L42*1000)/'Perkins Loans'!AC42</f>
        <v>#DIV/0!</v>
      </c>
      <c r="M40" s="14" t="e">
        <f>('Perkins Loans'!M42*1000)/'Perkins Loans'!AD42</f>
        <v>#DIV/0!</v>
      </c>
      <c r="N40" s="14" t="e">
        <f>('Perkins Loans'!N42*1000)/'Perkins Loans'!AE42</f>
        <v>#DIV/0!</v>
      </c>
      <c r="O40" s="14" t="e">
        <f>('Perkins Loans'!O42*1000)/'Perkins Loans'!AF42</f>
        <v>#DIV/0!</v>
      </c>
      <c r="P40" s="14">
        <f>('Perkins Loans'!P42*1000)/'Perkins Loans'!AG42</f>
        <v>1246.3154577191622</v>
      </c>
      <c r="Q40" s="14">
        <f>('Perkins Loans'!Q42*1000)/'Perkins Loans'!AH42</f>
        <v>1684.515790143894</v>
      </c>
      <c r="R40" s="14">
        <f>('Perkins Loans'!R42*1000)/'Perkins Loans'!AI42</f>
        <v>1811.8944153577661</v>
      </c>
    </row>
    <row r="41" spans="1:18">
      <c r="A41" s="53" t="s">
        <v>177</v>
      </c>
      <c r="B41" s="14" t="e">
        <f>('Perkins Loans'!B43*1000)/'Perkins Loans'!S43</f>
        <v>#DIV/0!</v>
      </c>
      <c r="C41" s="14" t="e">
        <f>('Perkins Loans'!C43*1000)/'Perkins Loans'!T43</f>
        <v>#DIV/0!</v>
      </c>
      <c r="D41" s="14" t="e">
        <f>('Perkins Loans'!D43*1000)/'Perkins Loans'!U43</f>
        <v>#DIV/0!</v>
      </c>
      <c r="E41" s="14" t="e">
        <f>('Perkins Loans'!E43*1000)/'Perkins Loans'!V43</f>
        <v>#DIV/0!</v>
      </c>
      <c r="F41" s="14" t="e">
        <f>('Perkins Loans'!F43*1000)/'Perkins Loans'!W43</f>
        <v>#DIV/0!</v>
      </c>
      <c r="G41" s="14" t="e">
        <f>('Perkins Loans'!G43*1000)/'Perkins Loans'!X43</f>
        <v>#DIV/0!</v>
      </c>
      <c r="H41" s="14" t="e">
        <f>('Perkins Loans'!H43*1000)/'Perkins Loans'!Y43</f>
        <v>#DIV/0!</v>
      </c>
      <c r="I41" s="14" t="e">
        <f>('Perkins Loans'!I43*1000)/'Perkins Loans'!Z43</f>
        <v>#DIV/0!</v>
      </c>
      <c r="J41" s="14" t="e">
        <f>('Perkins Loans'!J43*1000)/'Perkins Loans'!AA43</f>
        <v>#DIV/0!</v>
      </c>
      <c r="K41" s="14" t="e">
        <f>('Perkins Loans'!K43*1000)/'Perkins Loans'!AB43</f>
        <v>#DIV/0!</v>
      </c>
      <c r="L41" s="14" t="e">
        <f>('Perkins Loans'!L43*1000)/'Perkins Loans'!AC43</f>
        <v>#DIV/0!</v>
      </c>
      <c r="M41" s="14" t="e">
        <f>('Perkins Loans'!M43*1000)/'Perkins Loans'!AD43</f>
        <v>#DIV/0!</v>
      </c>
      <c r="N41" s="14" t="e">
        <f>('Perkins Loans'!N43*1000)/'Perkins Loans'!AE43</f>
        <v>#DIV/0!</v>
      </c>
      <c r="O41" s="14" t="e">
        <f>('Perkins Loans'!O43*1000)/'Perkins Loans'!AF43</f>
        <v>#DIV/0!</v>
      </c>
      <c r="P41" s="14">
        <f>('Perkins Loans'!P43*1000)/'Perkins Loans'!AG43</f>
        <v>1458.0979104477613</v>
      </c>
      <c r="Q41" s="14">
        <f>('Perkins Loans'!Q43*1000)/'Perkins Loans'!AH43</f>
        <v>1589.176363162014</v>
      </c>
      <c r="R41" s="14">
        <f>('Perkins Loans'!R43*1000)/'Perkins Loans'!AI43</f>
        <v>1744.1439563962808</v>
      </c>
    </row>
    <row r="42" spans="1:18">
      <c r="A42" s="53" t="s">
        <v>178</v>
      </c>
      <c r="B42" s="14" t="e">
        <f>('Perkins Loans'!B44*1000)/'Perkins Loans'!S44</f>
        <v>#DIV/0!</v>
      </c>
      <c r="C42" s="14" t="e">
        <f>('Perkins Loans'!C44*1000)/'Perkins Loans'!T44</f>
        <v>#DIV/0!</v>
      </c>
      <c r="D42" s="14" t="e">
        <f>('Perkins Loans'!D44*1000)/'Perkins Loans'!U44</f>
        <v>#DIV/0!</v>
      </c>
      <c r="E42" s="14" t="e">
        <f>('Perkins Loans'!E44*1000)/'Perkins Loans'!V44</f>
        <v>#DIV/0!</v>
      </c>
      <c r="F42" s="14" t="e">
        <f>('Perkins Loans'!F44*1000)/'Perkins Loans'!W44</f>
        <v>#DIV/0!</v>
      </c>
      <c r="G42" s="14" t="e">
        <f>('Perkins Loans'!G44*1000)/'Perkins Loans'!X44</f>
        <v>#DIV/0!</v>
      </c>
      <c r="H42" s="14" t="e">
        <f>('Perkins Loans'!H44*1000)/'Perkins Loans'!Y44</f>
        <v>#DIV/0!</v>
      </c>
      <c r="I42" s="14" t="e">
        <f>('Perkins Loans'!I44*1000)/'Perkins Loans'!Z44</f>
        <v>#DIV/0!</v>
      </c>
      <c r="J42" s="14" t="e">
        <f>('Perkins Loans'!J44*1000)/'Perkins Loans'!AA44</f>
        <v>#DIV/0!</v>
      </c>
      <c r="K42" s="14" t="e">
        <f>('Perkins Loans'!K44*1000)/'Perkins Loans'!AB44</f>
        <v>#DIV/0!</v>
      </c>
      <c r="L42" s="14" t="e">
        <f>('Perkins Loans'!L44*1000)/'Perkins Loans'!AC44</f>
        <v>#DIV/0!</v>
      </c>
      <c r="M42" s="14" t="e">
        <f>('Perkins Loans'!M44*1000)/'Perkins Loans'!AD44</f>
        <v>#DIV/0!</v>
      </c>
      <c r="N42" s="14" t="e">
        <f>('Perkins Loans'!N44*1000)/'Perkins Loans'!AE44</f>
        <v>#DIV/0!</v>
      </c>
      <c r="O42" s="14" t="e">
        <f>('Perkins Loans'!O44*1000)/'Perkins Loans'!AF44</f>
        <v>#DIV/0!</v>
      </c>
      <c r="P42" s="14">
        <f>('Perkins Loans'!P44*1000)/'Perkins Loans'!AG44</f>
        <v>1503.6604617604617</v>
      </c>
      <c r="Q42" s="14">
        <f>('Perkins Loans'!Q44*1000)/'Perkins Loans'!AH44</f>
        <v>1499.1850250033788</v>
      </c>
      <c r="R42" s="14">
        <f>('Perkins Loans'!R44*1000)/'Perkins Loans'!AI44</f>
        <v>1535.1929321872014</v>
      </c>
    </row>
    <row r="43" spans="1:18">
      <c r="A43" s="53" t="s">
        <v>179</v>
      </c>
      <c r="B43" s="14" t="e">
        <f>('Perkins Loans'!B45*1000)/'Perkins Loans'!S45</f>
        <v>#DIV/0!</v>
      </c>
      <c r="C43" s="14" t="e">
        <f>('Perkins Loans'!C45*1000)/'Perkins Loans'!T45</f>
        <v>#DIV/0!</v>
      </c>
      <c r="D43" s="14" t="e">
        <f>('Perkins Loans'!D45*1000)/'Perkins Loans'!U45</f>
        <v>#DIV/0!</v>
      </c>
      <c r="E43" s="14" t="e">
        <f>('Perkins Loans'!E45*1000)/'Perkins Loans'!V45</f>
        <v>#DIV/0!</v>
      </c>
      <c r="F43" s="14" t="e">
        <f>('Perkins Loans'!F45*1000)/'Perkins Loans'!W45</f>
        <v>#DIV/0!</v>
      </c>
      <c r="G43" s="14" t="e">
        <f>('Perkins Loans'!G45*1000)/'Perkins Loans'!X45</f>
        <v>#DIV/0!</v>
      </c>
      <c r="H43" s="14" t="e">
        <f>('Perkins Loans'!H45*1000)/'Perkins Loans'!Y45</f>
        <v>#DIV/0!</v>
      </c>
      <c r="I43" s="14" t="e">
        <f>('Perkins Loans'!I45*1000)/'Perkins Loans'!Z45</f>
        <v>#DIV/0!</v>
      </c>
      <c r="J43" s="14" t="e">
        <f>('Perkins Loans'!J45*1000)/'Perkins Loans'!AA45</f>
        <v>#DIV/0!</v>
      </c>
      <c r="K43" s="14" t="e">
        <f>('Perkins Loans'!K45*1000)/'Perkins Loans'!AB45</f>
        <v>#DIV/0!</v>
      </c>
      <c r="L43" s="14" t="e">
        <f>('Perkins Loans'!L45*1000)/'Perkins Loans'!AC45</f>
        <v>#DIV/0!</v>
      </c>
      <c r="M43" s="14" t="e">
        <f>('Perkins Loans'!M45*1000)/'Perkins Loans'!AD45</f>
        <v>#DIV/0!</v>
      </c>
      <c r="N43" s="14" t="e">
        <f>('Perkins Loans'!N45*1000)/'Perkins Loans'!AE45</f>
        <v>#DIV/0!</v>
      </c>
      <c r="O43" s="14" t="e">
        <f>('Perkins Loans'!O45*1000)/'Perkins Loans'!AF45</f>
        <v>#DIV/0!</v>
      </c>
      <c r="P43" s="14">
        <f>('Perkins Loans'!P45*1000)/'Perkins Loans'!AG45</f>
        <v>2401.0223713646533</v>
      </c>
      <c r="Q43" s="14">
        <f>('Perkins Loans'!Q45*1000)/'Perkins Loans'!AH45</f>
        <v>2603.6267029972751</v>
      </c>
      <c r="R43" s="14">
        <f>('Perkins Loans'!R45*1000)/'Perkins Loans'!AI45</f>
        <v>2523.4066390041494</v>
      </c>
    </row>
    <row r="44" spans="1:18">
      <c r="A44" s="53" t="s">
        <v>180</v>
      </c>
      <c r="B44" s="14" t="e">
        <f>('Perkins Loans'!B46*1000)/'Perkins Loans'!S46</f>
        <v>#DIV/0!</v>
      </c>
      <c r="C44" s="14" t="e">
        <f>('Perkins Loans'!C46*1000)/'Perkins Loans'!T46</f>
        <v>#DIV/0!</v>
      </c>
      <c r="D44" s="14" t="e">
        <f>('Perkins Loans'!D46*1000)/'Perkins Loans'!U46</f>
        <v>#DIV/0!</v>
      </c>
      <c r="E44" s="14" t="e">
        <f>('Perkins Loans'!E46*1000)/'Perkins Loans'!V46</f>
        <v>#DIV/0!</v>
      </c>
      <c r="F44" s="14" t="e">
        <f>('Perkins Loans'!F46*1000)/'Perkins Loans'!W46</f>
        <v>#DIV/0!</v>
      </c>
      <c r="G44" s="14" t="e">
        <f>('Perkins Loans'!G46*1000)/'Perkins Loans'!X46</f>
        <v>#DIV/0!</v>
      </c>
      <c r="H44" s="14" t="e">
        <f>('Perkins Loans'!H46*1000)/'Perkins Loans'!Y46</f>
        <v>#DIV/0!</v>
      </c>
      <c r="I44" s="14" t="e">
        <f>('Perkins Loans'!I46*1000)/'Perkins Loans'!Z46</f>
        <v>#DIV/0!</v>
      </c>
      <c r="J44" s="14" t="e">
        <f>('Perkins Loans'!J46*1000)/'Perkins Loans'!AA46</f>
        <v>#DIV/0!</v>
      </c>
      <c r="K44" s="14" t="e">
        <f>('Perkins Loans'!K46*1000)/'Perkins Loans'!AB46</f>
        <v>#DIV/0!</v>
      </c>
      <c r="L44" s="14" t="e">
        <f>('Perkins Loans'!L46*1000)/'Perkins Loans'!AC46</f>
        <v>#DIV/0!</v>
      </c>
      <c r="M44" s="14" t="e">
        <f>('Perkins Loans'!M46*1000)/'Perkins Loans'!AD46</f>
        <v>#DIV/0!</v>
      </c>
      <c r="N44" s="14" t="e">
        <f>('Perkins Loans'!N46*1000)/'Perkins Loans'!AE46</f>
        <v>#DIV/0!</v>
      </c>
      <c r="O44" s="14" t="e">
        <f>('Perkins Loans'!O46*1000)/'Perkins Loans'!AF46</f>
        <v>#DIV/0!</v>
      </c>
      <c r="P44" s="14">
        <f>('Perkins Loans'!P46*1000)/'Perkins Loans'!AG46</f>
        <v>1658.6572001336451</v>
      </c>
      <c r="Q44" s="14">
        <f>('Perkins Loans'!Q46*1000)/'Perkins Loans'!AH46</f>
        <v>1798.0823529411764</v>
      </c>
      <c r="R44" s="14">
        <f>('Perkins Loans'!R46*1000)/'Perkins Loans'!AI46</f>
        <v>1800.9954190702408</v>
      </c>
    </row>
    <row r="45" spans="1:18">
      <c r="A45" s="53" t="s">
        <v>181</v>
      </c>
      <c r="B45" s="14" t="e">
        <f>('Perkins Loans'!B47*1000)/'Perkins Loans'!S47</f>
        <v>#DIV/0!</v>
      </c>
      <c r="C45" s="14" t="e">
        <f>('Perkins Loans'!C47*1000)/'Perkins Loans'!T47</f>
        <v>#DIV/0!</v>
      </c>
      <c r="D45" s="14" t="e">
        <f>('Perkins Loans'!D47*1000)/'Perkins Loans'!U47</f>
        <v>#DIV/0!</v>
      </c>
      <c r="E45" s="14" t="e">
        <f>('Perkins Loans'!E47*1000)/'Perkins Loans'!V47</f>
        <v>#DIV/0!</v>
      </c>
      <c r="F45" s="14" t="e">
        <f>('Perkins Loans'!F47*1000)/'Perkins Loans'!W47</f>
        <v>#DIV/0!</v>
      </c>
      <c r="G45" s="14" t="e">
        <f>('Perkins Loans'!G47*1000)/'Perkins Loans'!X47</f>
        <v>#DIV/0!</v>
      </c>
      <c r="H45" s="14" t="e">
        <f>('Perkins Loans'!H47*1000)/'Perkins Loans'!Y47</f>
        <v>#DIV/0!</v>
      </c>
      <c r="I45" s="14" t="e">
        <f>('Perkins Loans'!I47*1000)/'Perkins Loans'!Z47</f>
        <v>#DIV/0!</v>
      </c>
      <c r="J45" s="14" t="e">
        <f>('Perkins Loans'!J47*1000)/'Perkins Loans'!AA47</f>
        <v>#DIV/0!</v>
      </c>
      <c r="K45" s="14" t="e">
        <f>('Perkins Loans'!K47*1000)/'Perkins Loans'!AB47</f>
        <v>#DIV/0!</v>
      </c>
      <c r="L45" s="14" t="e">
        <f>('Perkins Loans'!L47*1000)/'Perkins Loans'!AC47</f>
        <v>#DIV/0!</v>
      </c>
      <c r="M45" s="14" t="e">
        <f>('Perkins Loans'!M47*1000)/'Perkins Loans'!AD47</f>
        <v>#DIV/0!</v>
      </c>
      <c r="N45" s="14" t="e">
        <f>('Perkins Loans'!N47*1000)/'Perkins Loans'!AE47</f>
        <v>#DIV/0!</v>
      </c>
      <c r="O45" s="14" t="e">
        <f>('Perkins Loans'!O47*1000)/'Perkins Loans'!AF47</f>
        <v>#DIV/0!</v>
      </c>
      <c r="P45" s="14">
        <f>('Perkins Loans'!P47*1000)/'Perkins Loans'!AG47</f>
        <v>1547.2195836777637</v>
      </c>
      <c r="Q45" s="14">
        <f>('Perkins Loans'!Q47*1000)/'Perkins Loans'!AH47</f>
        <v>1613.3331445675917</v>
      </c>
      <c r="R45" s="14">
        <f>('Perkins Loans'!R47*1000)/'Perkins Loans'!AI47</f>
        <v>1688.3391921060747</v>
      </c>
    </row>
    <row r="46" spans="1:18">
      <c r="A46" s="53" t="s">
        <v>182</v>
      </c>
      <c r="B46" s="14" t="e">
        <f>('Perkins Loans'!B48*1000)/'Perkins Loans'!S48</f>
        <v>#DIV/0!</v>
      </c>
      <c r="C46" s="14" t="e">
        <f>('Perkins Loans'!C48*1000)/'Perkins Loans'!T48</f>
        <v>#DIV/0!</v>
      </c>
      <c r="D46" s="14" t="e">
        <f>('Perkins Loans'!D48*1000)/'Perkins Loans'!U48</f>
        <v>#DIV/0!</v>
      </c>
      <c r="E46" s="14" t="e">
        <f>('Perkins Loans'!E48*1000)/'Perkins Loans'!V48</f>
        <v>#DIV/0!</v>
      </c>
      <c r="F46" s="14" t="e">
        <f>('Perkins Loans'!F48*1000)/'Perkins Loans'!W48</f>
        <v>#DIV/0!</v>
      </c>
      <c r="G46" s="14" t="e">
        <f>('Perkins Loans'!G48*1000)/'Perkins Loans'!X48</f>
        <v>#DIV/0!</v>
      </c>
      <c r="H46" s="14" t="e">
        <f>('Perkins Loans'!H48*1000)/'Perkins Loans'!Y48</f>
        <v>#DIV/0!</v>
      </c>
      <c r="I46" s="14" t="e">
        <f>('Perkins Loans'!I48*1000)/'Perkins Loans'!Z48</f>
        <v>#DIV/0!</v>
      </c>
      <c r="J46" s="14" t="e">
        <f>('Perkins Loans'!J48*1000)/'Perkins Loans'!AA48</f>
        <v>#DIV/0!</v>
      </c>
      <c r="K46" s="14" t="e">
        <f>('Perkins Loans'!K48*1000)/'Perkins Loans'!AB48</f>
        <v>#DIV/0!</v>
      </c>
      <c r="L46" s="14" t="e">
        <f>('Perkins Loans'!L48*1000)/'Perkins Loans'!AC48</f>
        <v>#DIV/0!</v>
      </c>
      <c r="M46" s="14" t="e">
        <f>('Perkins Loans'!M48*1000)/'Perkins Loans'!AD48</f>
        <v>#DIV/0!</v>
      </c>
      <c r="N46" s="14" t="e">
        <f>('Perkins Loans'!N48*1000)/'Perkins Loans'!AE48</f>
        <v>#DIV/0!</v>
      </c>
      <c r="O46" s="14" t="e">
        <f>('Perkins Loans'!O48*1000)/'Perkins Loans'!AF48</f>
        <v>#DIV/0!</v>
      </c>
      <c r="P46" s="14">
        <f>('Perkins Loans'!P48*1000)/'Perkins Loans'!AG48</f>
        <v>1630.5626605766486</v>
      </c>
      <c r="Q46" s="14">
        <f>('Perkins Loans'!Q48*1000)/'Perkins Loans'!AH48</f>
        <v>1725.1087898089172</v>
      </c>
      <c r="R46" s="14">
        <f>('Perkins Loans'!R48*1000)/'Perkins Loans'!AI48</f>
        <v>2265.9879476584024</v>
      </c>
    </row>
    <row r="47" spans="1:18">
      <c r="A47" s="53" t="s">
        <v>183</v>
      </c>
      <c r="B47" s="14" t="e">
        <f>('Perkins Loans'!B49*1000)/'Perkins Loans'!S49</f>
        <v>#DIV/0!</v>
      </c>
      <c r="C47" s="14" t="e">
        <f>('Perkins Loans'!C49*1000)/'Perkins Loans'!T49</f>
        <v>#DIV/0!</v>
      </c>
      <c r="D47" s="14" t="e">
        <f>('Perkins Loans'!D49*1000)/'Perkins Loans'!U49</f>
        <v>#DIV/0!</v>
      </c>
      <c r="E47" s="14" t="e">
        <f>('Perkins Loans'!E49*1000)/'Perkins Loans'!V49</f>
        <v>#DIV/0!</v>
      </c>
      <c r="F47" s="14" t="e">
        <f>('Perkins Loans'!F49*1000)/'Perkins Loans'!W49</f>
        <v>#DIV/0!</v>
      </c>
      <c r="G47" s="14" t="e">
        <f>('Perkins Loans'!G49*1000)/'Perkins Loans'!X49</f>
        <v>#DIV/0!</v>
      </c>
      <c r="H47" s="14" t="e">
        <f>('Perkins Loans'!H49*1000)/'Perkins Loans'!Y49</f>
        <v>#DIV/0!</v>
      </c>
      <c r="I47" s="14" t="e">
        <f>('Perkins Loans'!I49*1000)/'Perkins Loans'!Z49</f>
        <v>#DIV/0!</v>
      </c>
      <c r="J47" s="14" t="e">
        <f>('Perkins Loans'!J49*1000)/'Perkins Loans'!AA49</f>
        <v>#DIV/0!</v>
      </c>
      <c r="K47" s="14" t="e">
        <f>('Perkins Loans'!K49*1000)/'Perkins Loans'!AB49</f>
        <v>#DIV/0!</v>
      </c>
      <c r="L47" s="14" t="e">
        <f>('Perkins Loans'!L49*1000)/'Perkins Loans'!AC49</f>
        <v>#DIV/0!</v>
      </c>
      <c r="M47" s="14" t="e">
        <f>('Perkins Loans'!M49*1000)/'Perkins Loans'!AD49</f>
        <v>#DIV/0!</v>
      </c>
      <c r="N47" s="14" t="e">
        <f>('Perkins Loans'!N49*1000)/'Perkins Loans'!AE49</f>
        <v>#DIV/0!</v>
      </c>
      <c r="O47" s="14" t="e">
        <f>('Perkins Loans'!O49*1000)/'Perkins Loans'!AF49</f>
        <v>#DIV/0!</v>
      </c>
      <c r="P47" s="14">
        <f>('Perkins Loans'!P49*1000)/'Perkins Loans'!AG49</f>
        <v>1566.5330550180549</v>
      </c>
      <c r="Q47" s="14">
        <f>('Perkins Loans'!Q49*1000)/'Perkins Loans'!AH49</f>
        <v>1629.7041355037395</v>
      </c>
      <c r="R47" s="14">
        <f>('Perkins Loans'!R49*1000)/'Perkins Loans'!AI49</f>
        <v>1691.7916017162968</v>
      </c>
    </row>
    <row r="48" spans="1:18">
      <c r="A48" s="53" t="s">
        <v>184</v>
      </c>
      <c r="B48" s="14" t="e">
        <f>('Perkins Loans'!B50*1000)/'Perkins Loans'!S50</f>
        <v>#DIV/0!</v>
      </c>
      <c r="C48" s="14" t="e">
        <f>('Perkins Loans'!C50*1000)/'Perkins Loans'!T50</f>
        <v>#DIV/0!</v>
      </c>
      <c r="D48" s="14" t="e">
        <f>('Perkins Loans'!D50*1000)/'Perkins Loans'!U50</f>
        <v>#DIV/0!</v>
      </c>
      <c r="E48" s="14" t="e">
        <f>('Perkins Loans'!E50*1000)/'Perkins Loans'!V50</f>
        <v>#DIV/0!</v>
      </c>
      <c r="F48" s="14" t="e">
        <f>('Perkins Loans'!F50*1000)/'Perkins Loans'!W50</f>
        <v>#DIV/0!</v>
      </c>
      <c r="G48" s="14" t="e">
        <f>('Perkins Loans'!G50*1000)/'Perkins Loans'!X50</f>
        <v>#DIV/0!</v>
      </c>
      <c r="H48" s="14" t="e">
        <f>('Perkins Loans'!H50*1000)/'Perkins Loans'!Y50</f>
        <v>#DIV/0!</v>
      </c>
      <c r="I48" s="14" t="e">
        <f>('Perkins Loans'!I50*1000)/'Perkins Loans'!Z50</f>
        <v>#DIV/0!</v>
      </c>
      <c r="J48" s="14" t="e">
        <f>('Perkins Loans'!J50*1000)/'Perkins Loans'!AA50</f>
        <v>#DIV/0!</v>
      </c>
      <c r="K48" s="14" t="e">
        <f>('Perkins Loans'!K50*1000)/'Perkins Loans'!AB50</f>
        <v>#DIV/0!</v>
      </c>
      <c r="L48" s="14" t="e">
        <f>('Perkins Loans'!L50*1000)/'Perkins Loans'!AC50</f>
        <v>#DIV/0!</v>
      </c>
      <c r="M48" s="14" t="e">
        <f>('Perkins Loans'!M50*1000)/'Perkins Loans'!AD50</f>
        <v>#DIV/0!</v>
      </c>
      <c r="N48" s="14" t="e">
        <f>('Perkins Loans'!N50*1000)/'Perkins Loans'!AE50</f>
        <v>#DIV/0!</v>
      </c>
      <c r="O48" s="14" t="e">
        <f>('Perkins Loans'!O50*1000)/'Perkins Loans'!AF50</f>
        <v>#DIV/0!</v>
      </c>
      <c r="P48" s="14">
        <f>('Perkins Loans'!P50*1000)/'Perkins Loans'!AG50</f>
        <v>1513.8099248804917</v>
      </c>
      <c r="Q48" s="14">
        <f>('Perkins Loans'!Q50*1000)/'Perkins Loans'!AH50</f>
        <v>1429.8678414096917</v>
      </c>
      <c r="R48" s="14">
        <f>('Perkins Loans'!R50*1000)/'Perkins Loans'!AI50</f>
        <v>1452.835142920452</v>
      </c>
    </row>
    <row r="49" spans="1:18">
      <c r="A49" s="53" t="s">
        <v>185</v>
      </c>
      <c r="B49" s="14" t="e">
        <f>('Perkins Loans'!B51*1000)/'Perkins Loans'!S51</f>
        <v>#DIV/0!</v>
      </c>
      <c r="C49" s="14" t="e">
        <f>('Perkins Loans'!C51*1000)/'Perkins Loans'!T51</f>
        <v>#DIV/0!</v>
      </c>
      <c r="D49" s="14" t="e">
        <f>('Perkins Loans'!D51*1000)/'Perkins Loans'!U51</f>
        <v>#DIV/0!</v>
      </c>
      <c r="E49" s="14" t="e">
        <f>('Perkins Loans'!E51*1000)/'Perkins Loans'!V51</f>
        <v>#DIV/0!</v>
      </c>
      <c r="F49" s="14" t="e">
        <f>('Perkins Loans'!F51*1000)/'Perkins Loans'!W51</f>
        <v>#DIV/0!</v>
      </c>
      <c r="G49" s="14" t="e">
        <f>('Perkins Loans'!G51*1000)/'Perkins Loans'!X51</f>
        <v>#DIV/0!</v>
      </c>
      <c r="H49" s="14" t="e">
        <f>('Perkins Loans'!H51*1000)/'Perkins Loans'!Y51</f>
        <v>#DIV/0!</v>
      </c>
      <c r="I49" s="14" t="e">
        <f>('Perkins Loans'!I51*1000)/'Perkins Loans'!Z51</f>
        <v>#DIV/0!</v>
      </c>
      <c r="J49" s="14" t="e">
        <f>('Perkins Loans'!J51*1000)/'Perkins Loans'!AA51</f>
        <v>#DIV/0!</v>
      </c>
      <c r="K49" s="14" t="e">
        <f>('Perkins Loans'!K51*1000)/'Perkins Loans'!AB51</f>
        <v>#DIV/0!</v>
      </c>
      <c r="L49" s="14" t="e">
        <f>('Perkins Loans'!L51*1000)/'Perkins Loans'!AC51</f>
        <v>#DIV/0!</v>
      </c>
      <c r="M49" s="14" t="e">
        <f>('Perkins Loans'!M51*1000)/'Perkins Loans'!AD51</f>
        <v>#DIV/0!</v>
      </c>
      <c r="N49" s="14" t="e">
        <f>('Perkins Loans'!N51*1000)/'Perkins Loans'!AE51</f>
        <v>#DIV/0!</v>
      </c>
      <c r="O49" s="14" t="e">
        <f>('Perkins Loans'!O51*1000)/'Perkins Loans'!AF51</f>
        <v>#DIV/0!</v>
      </c>
      <c r="P49" s="14">
        <f>('Perkins Loans'!P51*1000)/'Perkins Loans'!AG51</f>
        <v>1483.0568545045578</v>
      </c>
      <c r="Q49" s="14">
        <f>('Perkins Loans'!Q51*1000)/'Perkins Loans'!AH51</f>
        <v>1581.7242388223463</v>
      </c>
      <c r="R49" s="14">
        <f>('Perkins Loans'!R51*1000)/'Perkins Loans'!AI51</f>
        <v>1679.5766214756213</v>
      </c>
    </row>
    <row r="50" spans="1:18">
      <c r="A50" s="53" t="s">
        <v>186</v>
      </c>
      <c r="B50" s="14" t="e">
        <f>('Perkins Loans'!B52*1000)/'Perkins Loans'!S52</f>
        <v>#DIV/0!</v>
      </c>
      <c r="C50" s="14" t="e">
        <f>('Perkins Loans'!C52*1000)/'Perkins Loans'!T52</f>
        <v>#DIV/0!</v>
      </c>
      <c r="D50" s="14" t="e">
        <f>('Perkins Loans'!D52*1000)/'Perkins Loans'!U52</f>
        <v>#DIV/0!</v>
      </c>
      <c r="E50" s="14" t="e">
        <f>('Perkins Loans'!E52*1000)/'Perkins Loans'!V52</f>
        <v>#DIV/0!</v>
      </c>
      <c r="F50" s="14" t="e">
        <f>('Perkins Loans'!F52*1000)/'Perkins Loans'!W52</f>
        <v>#DIV/0!</v>
      </c>
      <c r="G50" s="14" t="e">
        <f>('Perkins Loans'!G52*1000)/'Perkins Loans'!X52</f>
        <v>#DIV/0!</v>
      </c>
      <c r="H50" s="14" t="e">
        <f>('Perkins Loans'!H52*1000)/'Perkins Loans'!Y52</f>
        <v>#DIV/0!</v>
      </c>
      <c r="I50" s="14" t="e">
        <f>('Perkins Loans'!I52*1000)/'Perkins Loans'!Z52</f>
        <v>#DIV/0!</v>
      </c>
      <c r="J50" s="14" t="e">
        <f>('Perkins Loans'!J52*1000)/'Perkins Loans'!AA52</f>
        <v>#DIV/0!</v>
      </c>
      <c r="K50" s="14" t="e">
        <f>('Perkins Loans'!K52*1000)/'Perkins Loans'!AB52</f>
        <v>#DIV/0!</v>
      </c>
      <c r="L50" s="14" t="e">
        <f>('Perkins Loans'!L52*1000)/'Perkins Loans'!AC52</f>
        <v>#DIV/0!</v>
      </c>
      <c r="M50" s="14" t="e">
        <f>('Perkins Loans'!M52*1000)/'Perkins Loans'!AD52</f>
        <v>#DIV/0!</v>
      </c>
      <c r="N50" s="14" t="e">
        <f>('Perkins Loans'!N52*1000)/'Perkins Loans'!AE52</f>
        <v>#DIV/0!</v>
      </c>
      <c r="O50" s="14" t="e">
        <f>('Perkins Loans'!O52*1000)/'Perkins Loans'!AF52</f>
        <v>#DIV/0!</v>
      </c>
      <c r="P50" s="14">
        <f>('Perkins Loans'!P52*1000)/'Perkins Loans'!AG52</f>
        <v>1608.3475505553972</v>
      </c>
      <c r="Q50" s="14">
        <f>('Perkins Loans'!Q52*1000)/'Perkins Loans'!AH52</f>
        <v>1704.2919891086271</v>
      </c>
      <c r="R50" s="14">
        <f>('Perkins Loans'!R52*1000)/'Perkins Loans'!AI52</f>
        <v>1652.3413351115062</v>
      </c>
    </row>
    <row r="51" spans="1:18">
      <c r="A51" s="53" t="s">
        <v>187</v>
      </c>
      <c r="B51" s="14" t="e">
        <f>('Perkins Loans'!B53*1000)/'Perkins Loans'!S53</f>
        <v>#DIV/0!</v>
      </c>
      <c r="C51" s="14" t="e">
        <f>('Perkins Loans'!C53*1000)/'Perkins Loans'!T53</f>
        <v>#DIV/0!</v>
      </c>
      <c r="D51" s="14" t="e">
        <f>('Perkins Loans'!D53*1000)/'Perkins Loans'!U53</f>
        <v>#DIV/0!</v>
      </c>
      <c r="E51" s="14" t="e">
        <f>('Perkins Loans'!E53*1000)/'Perkins Loans'!V53</f>
        <v>#DIV/0!</v>
      </c>
      <c r="F51" s="14" t="e">
        <f>('Perkins Loans'!F53*1000)/'Perkins Loans'!W53</f>
        <v>#DIV/0!</v>
      </c>
      <c r="G51" s="14" t="e">
        <f>('Perkins Loans'!G53*1000)/'Perkins Loans'!X53</f>
        <v>#DIV/0!</v>
      </c>
      <c r="H51" s="14" t="e">
        <f>('Perkins Loans'!H53*1000)/'Perkins Loans'!Y53</f>
        <v>#DIV/0!</v>
      </c>
      <c r="I51" s="14" t="e">
        <f>('Perkins Loans'!I53*1000)/'Perkins Loans'!Z53</f>
        <v>#DIV/0!</v>
      </c>
      <c r="J51" s="14" t="e">
        <f>('Perkins Loans'!J53*1000)/'Perkins Loans'!AA53</f>
        <v>#DIV/0!</v>
      </c>
      <c r="K51" s="14" t="e">
        <f>('Perkins Loans'!K53*1000)/'Perkins Loans'!AB53</f>
        <v>#DIV/0!</v>
      </c>
      <c r="L51" s="14" t="e">
        <f>('Perkins Loans'!L53*1000)/'Perkins Loans'!AC53</f>
        <v>#DIV/0!</v>
      </c>
      <c r="M51" s="14" t="e">
        <f>('Perkins Loans'!M53*1000)/'Perkins Loans'!AD53</f>
        <v>#DIV/0!</v>
      </c>
      <c r="N51" s="14" t="e">
        <f>('Perkins Loans'!N53*1000)/'Perkins Loans'!AE53</f>
        <v>#DIV/0!</v>
      </c>
      <c r="O51" s="14" t="e">
        <f>('Perkins Loans'!O53*1000)/'Perkins Loans'!AF53</f>
        <v>#DIV/0!</v>
      </c>
      <c r="P51" s="14">
        <f>('Perkins Loans'!P53*1000)/'Perkins Loans'!AG53</f>
        <v>1388.0596178964379</v>
      </c>
      <c r="Q51" s="14">
        <f>('Perkins Loans'!Q53*1000)/'Perkins Loans'!AH53</f>
        <v>1476.5256250682389</v>
      </c>
      <c r="R51" s="14">
        <f>('Perkins Loans'!R53*1000)/'Perkins Loans'!AI53</f>
        <v>1503.1905443815226</v>
      </c>
    </row>
    <row r="52" spans="1:18">
      <c r="A52" s="53" t="s">
        <v>188</v>
      </c>
      <c r="B52" s="14" t="e">
        <f>('Perkins Loans'!B54*1000)/'Perkins Loans'!S54</f>
        <v>#DIV/0!</v>
      </c>
      <c r="C52" s="14" t="e">
        <f>('Perkins Loans'!C54*1000)/'Perkins Loans'!T54</f>
        <v>#DIV/0!</v>
      </c>
      <c r="D52" s="14" t="e">
        <f>('Perkins Loans'!D54*1000)/'Perkins Loans'!U54</f>
        <v>#DIV/0!</v>
      </c>
      <c r="E52" s="14" t="e">
        <f>('Perkins Loans'!E54*1000)/'Perkins Loans'!V54</f>
        <v>#DIV/0!</v>
      </c>
      <c r="F52" s="14" t="e">
        <f>('Perkins Loans'!F54*1000)/'Perkins Loans'!W54</f>
        <v>#DIV/0!</v>
      </c>
      <c r="G52" s="14" t="e">
        <f>('Perkins Loans'!G54*1000)/'Perkins Loans'!X54</f>
        <v>#DIV/0!</v>
      </c>
      <c r="H52" s="14" t="e">
        <f>('Perkins Loans'!H54*1000)/'Perkins Loans'!Y54</f>
        <v>#DIV/0!</v>
      </c>
      <c r="I52" s="14" t="e">
        <f>('Perkins Loans'!I54*1000)/'Perkins Loans'!Z54</f>
        <v>#DIV/0!</v>
      </c>
      <c r="J52" s="14" t="e">
        <f>('Perkins Loans'!J54*1000)/'Perkins Loans'!AA54</f>
        <v>#DIV/0!</v>
      </c>
      <c r="K52" s="14" t="e">
        <f>('Perkins Loans'!K54*1000)/'Perkins Loans'!AB54</f>
        <v>#DIV/0!</v>
      </c>
      <c r="L52" s="14" t="e">
        <f>('Perkins Loans'!L54*1000)/'Perkins Loans'!AC54</f>
        <v>#DIV/0!</v>
      </c>
      <c r="M52" s="14" t="e">
        <f>('Perkins Loans'!M54*1000)/'Perkins Loans'!AD54</f>
        <v>#DIV/0!</v>
      </c>
      <c r="N52" s="14" t="e">
        <f>('Perkins Loans'!N54*1000)/'Perkins Loans'!AE54</f>
        <v>#DIV/0!</v>
      </c>
      <c r="O52" s="14" t="e">
        <f>('Perkins Loans'!O54*1000)/'Perkins Loans'!AF54</f>
        <v>#DIV/0!</v>
      </c>
      <c r="P52" s="14">
        <f>('Perkins Loans'!P54*1000)/'Perkins Loans'!AG54</f>
        <v>1516.0873786407767</v>
      </c>
      <c r="Q52" s="14">
        <f>('Perkins Loans'!Q54*1000)/'Perkins Loans'!AH54</f>
        <v>1517.3380823156942</v>
      </c>
      <c r="R52" s="14">
        <f>('Perkins Loans'!R54*1000)/'Perkins Loans'!AI54</f>
        <v>1636.7495571302038</v>
      </c>
    </row>
    <row r="53" spans="1:18">
      <c r="A53" s="53" t="s">
        <v>189</v>
      </c>
      <c r="B53" s="14" t="e">
        <f>('Perkins Loans'!B55*1000)/'Perkins Loans'!S55</f>
        <v>#DIV/0!</v>
      </c>
      <c r="C53" s="14" t="e">
        <f>('Perkins Loans'!C55*1000)/'Perkins Loans'!T55</f>
        <v>#DIV/0!</v>
      </c>
      <c r="D53" s="14" t="e">
        <f>('Perkins Loans'!D55*1000)/'Perkins Loans'!U55</f>
        <v>#DIV/0!</v>
      </c>
      <c r="E53" s="14" t="e">
        <f>('Perkins Loans'!E55*1000)/'Perkins Loans'!V55</f>
        <v>#DIV/0!</v>
      </c>
      <c r="F53" s="14" t="e">
        <f>('Perkins Loans'!F55*1000)/'Perkins Loans'!W55</f>
        <v>#DIV/0!</v>
      </c>
      <c r="G53" s="14" t="e">
        <f>('Perkins Loans'!G55*1000)/'Perkins Loans'!X55</f>
        <v>#DIV/0!</v>
      </c>
      <c r="H53" s="14" t="e">
        <f>('Perkins Loans'!H55*1000)/'Perkins Loans'!Y55</f>
        <v>#DIV/0!</v>
      </c>
      <c r="I53" s="14" t="e">
        <f>('Perkins Loans'!I55*1000)/'Perkins Loans'!Z55</f>
        <v>#DIV/0!</v>
      </c>
      <c r="J53" s="14" t="e">
        <f>('Perkins Loans'!J55*1000)/'Perkins Loans'!AA55</f>
        <v>#DIV/0!</v>
      </c>
      <c r="K53" s="14" t="e">
        <f>('Perkins Loans'!K55*1000)/'Perkins Loans'!AB55</f>
        <v>#DIV/0!</v>
      </c>
      <c r="L53" s="14" t="e">
        <f>('Perkins Loans'!L55*1000)/'Perkins Loans'!AC55</f>
        <v>#DIV/0!</v>
      </c>
      <c r="M53" s="14" t="e">
        <f>('Perkins Loans'!M55*1000)/'Perkins Loans'!AD55</f>
        <v>#DIV/0!</v>
      </c>
      <c r="N53" s="14" t="e">
        <f>('Perkins Loans'!N55*1000)/'Perkins Loans'!AE55</f>
        <v>#DIV/0!</v>
      </c>
      <c r="O53" s="14" t="e">
        <f>('Perkins Loans'!O55*1000)/'Perkins Loans'!AF55</f>
        <v>#DIV/0!</v>
      </c>
      <c r="P53" s="14">
        <f>('Perkins Loans'!P55*1000)/'Perkins Loans'!AG55</f>
        <v>1366.4789507086948</v>
      </c>
      <c r="Q53" s="14">
        <f>('Perkins Loans'!Q55*1000)/'Perkins Loans'!AH55</f>
        <v>1332.6240286909742</v>
      </c>
      <c r="R53" s="14">
        <f>('Perkins Loans'!R55*1000)/'Perkins Loans'!AI55</f>
        <v>1383.2286871662677</v>
      </c>
    </row>
    <row r="54" spans="1:18">
      <c r="A54" s="53" t="s">
        <v>190</v>
      </c>
      <c r="B54" s="14" t="e">
        <f>('Perkins Loans'!B56*1000)/'Perkins Loans'!S56</f>
        <v>#DIV/0!</v>
      </c>
      <c r="C54" s="14" t="e">
        <f>('Perkins Loans'!C56*1000)/'Perkins Loans'!T56</f>
        <v>#DIV/0!</v>
      </c>
      <c r="D54" s="14" t="e">
        <f>('Perkins Loans'!D56*1000)/'Perkins Loans'!U56</f>
        <v>#DIV/0!</v>
      </c>
      <c r="E54" s="14" t="e">
        <f>('Perkins Loans'!E56*1000)/'Perkins Loans'!V56</f>
        <v>#DIV/0!</v>
      </c>
      <c r="F54" s="14" t="e">
        <f>('Perkins Loans'!F56*1000)/'Perkins Loans'!W56</f>
        <v>#DIV/0!</v>
      </c>
      <c r="G54" s="14" t="e">
        <f>('Perkins Loans'!G56*1000)/'Perkins Loans'!X56</f>
        <v>#DIV/0!</v>
      </c>
      <c r="H54" s="14" t="e">
        <f>('Perkins Loans'!H56*1000)/'Perkins Loans'!Y56</f>
        <v>#DIV/0!</v>
      </c>
      <c r="I54" s="14" t="e">
        <f>('Perkins Loans'!I56*1000)/'Perkins Loans'!Z56</f>
        <v>#DIV/0!</v>
      </c>
      <c r="J54" s="14" t="e">
        <f>('Perkins Loans'!J56*1000)/'Perkins Loans'!AA56</f>
        <v>#DIV/0!</v>
      </c>
      <c r="K54" s="14" t="e">
        <f>('Perkins Loans'!K56*1000)/'Perkins Loans'!AB56</f>
        <v>#DIV/0!</v>
      </c>
      <c r="L54" s="14" t="e">
        <f>('Perkins Loans'!L56*1000)/'Perkins Loans'!AC56</f>
        <v>#DIV/0!</v>
      </c>
      <c r="M54" s="14" t="e">
        <f>('Perkins Loans'!M56*1000)/'Perkins Loans'!AD56</f>
        <v>#DIV/0!</v>
      </c>
      <c r="N54" s="14" t="e">
        <f>('Perkins Loans'!N56*1000)/'Perkins Loans'!AE56</f>
        <v>#DIV/0!</v>
      </c>
      <c r="O54" s="14" t="e">
        <f>('Perkins Loans'!O56*1000)/'Perkins Loans'!AF56</f>
        <v>#DIV/0!</v>
      </c>
      <c r="P54" s="14">
        <f>('Perkins Loans'!P56*1000)/'Perkins Loans'!AG56</f>
        <v>2295.2751239296981</v>
      </c>
      <c r="Q54" s="14">
        <f>('Perkins Loans'!Q56*1000)/'Perkins Loans'!AH56</f>
        <v>2141.0060606060606</v>
      </c>
      <c r="R54" s="14">
        <f>('Perkins Loans'!R56*1000)/'Perkins Loans'!AI56</f>
        <v>2373.6074585039878</v>
      </c>
    </row>
    <row r="55" spans="1:18">
      <c r="A55" s="53" t="s">
        <v>191</v>
      </c>
      <c r="B55" s="14" t="e">
        <f>('Perkins Loans'!B57*1000)/'Perkins Loans'!S57</f>
        <v>#DIV/0!</v>
      </c>
      <c r="C55" s="14" t="e">
        <f>('Perkins Loans'!C57*1000)/'Perkins Loans'!T57</f>
        <v>#DIV/0!</v>
      </c>
      <c r="D55" s="14" t="e">
        <f>('Perkins Loans'!D57*1000)/'Perkins Loans'!U57</f>
        <v>#DIV/0!</v>
      </c>
      <c r="E55" s="14" t="e">
        <f>('Perkins Loans'!E57*1000)/'Perkins Loans'!V57</f>
        <v>#DIV/0!</v>
      </c>
      <c r="F55" s="14" t="e">
        <f>('Perkins Loans'!F57*1000)/'Perkins Loans'!W57</f>
        <v>#DIV/0!</v>
      </c>
      <c r="G55" s="14" t="e">
        <f>('Perkins Loans'!G57*1000)/'Perkins Loans'!X57</f>
        <v>#DIV/0!</v>
      </c>
      <c r="H55" s="14" t="e">
        <f>('Perkins Loans'!H57*1000)/'Perkins Loans'!Y57</f>
        <v>#DIV/0!</v>
      </c>
      <c r="I55" s="14" t="e">
        <f>('Perkins Loans'!I57*1000)/'Perkins Loans'!Z57</f>
        <v>#DIV/0!</v>
      </c>
      <c r="J55" s="14" t="e">
        <f>('Perkins Loans'!J57*1000)/'Perkins Loans'!AA57</f>
        <v>#DIV/0!</v>
      </c>
      <c r="K55" s="14" t="e">
        <f>('Perkins Loans'!K57*1000)/'Perkins Loans'!AB57</f>
        <v>#DIV/0!</v>
      </c>
      <c r="L55" s="14" t="e">
        <f>('Perkins Loans'!L57*1000)/'Perkins Loans'!AC57</f>
        <v>#DIV/0!</v>
      </c>
      <c r="M55" s="14" t="e">
        <f>('Perkins Loans'!M57*1000)/'Perkins Loans'!AD57</f>
        <v>#DIV/0!</v>
      </c>
      <c r="N55" s="14" t="e">
        <f>('Perkins Loans'!N57*1000)/'Perkins Loans'!AE57</f>
        <v>#DIV/0!</v>
      </c>
      <c r="O55" s="14" t="e">
        <f>('Perkins Loans'!O57*1000)/'Perkins Loans'!AF57</f>
        <v>#DIV/0!</v>
      </c>
      <c r="P55" s="14">
        <f>('Perkins Loans'!P57*1000)/'Perkins Loans'!AG57</f>
        <v>1251.4412935323382</v>
      </c>
      <c r="Q55" s="14">
        <f>('Perkins Loans'!Q57*1000)/'Perkins Loans'!AH57</f>
        <v>1263.1333740271632</v>
      </c>
      <c r="R55" s="14">
        <f>('Perkins Loans'!R57*1000)/'Perkins Loans'!AI57</f>
        <v>1256.2370394002232</v>
      </c>
    </row>
    <row r="56" spans="1:18">
      <c r="A56" s="53" t="s">
        <v>192</v>
      </c>
      <c r="B56" s="14" t="e">
        <f>('Perkins Loans'!B58*1000)/'Perkins Loans'!S58</f>
        <v>#DIV/0!</v>
      </c>
      <c r="C56" s="14" t="e">
        <f>('Perkins Loans'!C58*1000)/'Perkins Loans'!T58</f>
        <v>#DIV/0!</v>
      </c>
      <c r="D56" s="14" t="e">
        <f>('Perkins Loans'!D58*1000)/'Perkins Loans'!U58</f>
        <v>#DIV/0!</v>
      </c>
      <c r="E56" s="14" t="e">
        <f>('Perkins Loans'!E58*1000)/'Perkins Loans'!V58</f>
        <v>#DIV/0!</v>
      </c>
      <c r="F56" s="14" t="e">
        <f>('Perkins Loans'!F58*1000)/'Perkins Loans'!W58</f>
        <v>#DIV/0!</v>
      </c>
      <c r="G56" s="14" t="e">
        <f>('Perkins Loans'!G58*1000)/'Perkins Loans'!X58</f>
        <v>#DIV/0!</v>
      </c>
      <c r="H56" s="14" t="e">
        <f>('Perkins Loans'!H58*1000)/'Perkins Loans'!Y58</f>
        <v>#DIV/0!</v>
      </c>
      <c r="I56" s="14" t="e">
        <f>('Perkins Loans'!I58*1000)/'Perkins Loans'!Z58</f>
        <v>#DIV/0!</v>
      </c>
      <c r="J56" s="14" t="e">
        <f>('Perkins Loans'!J58*1000)/'Perkins Loans'!AA58</f>
        <v>#DIV/0!</v>
      </c>
      <c r="K56" s="14" t="e">
        <f>('Perkins Loans'!K58*1000)/'Perkins Loans'!AB58</f>
        <v>#DIV/0!</v>
      </c>
      <c r="L56" s="14" t="e">
        <f>('Perkins Loans'!L58*1000)/'Perkins Loans'!AC58</f>
        <v>#DIV/0!</v>
      </c>
      <c r="M56" s="14" t="e">
        <f>('Perkins Loans'!M58*1000)/'Perkins Loans'!AD58</f>
        <v>#DIV/0!</v>
      </c>
      <c r="N56" s="14" t="e">
        <f>('Perkins Loans'!N58*1000)/'Perkins Loans'!AE58</f>
        <v>#DIV/0!</v>
      </c>
      <c r="O56" s="14" t="e">
        <f>('Perkins Loans'!O58*1000)/'Perkins Loans'!AF58</f>
        <v>#DIV/0!</v>
      </c>
      <c r="P56" s="14">
        <f>('Perkins Loans'!P58*1000)/'Perkins Loans'!AG58</f>
        <v>1716.5019335433974</v>
      </c>
      <c r="Q56" s="14">
        <f>('Perkins Loans'!Q58*1000)/'Perkins Loans'!AH58</f>
        <v>1800.9123678421911</v>
      </c>
      <c r="R56" s="14">
        <f>('Perkins Loans'!R58*1000)/'Perkins Loans'!AI58</f>
        <v>1812.8226675285498</v>
      </c>
    </row>
    <row r="57" spans="1:18">
      <c r="A57" s="53" t="s">
        <v>193</v>
      </c>
      <c r="B57" s="14" t="e">
        <f>('Perkins Loans'!B59*1000)/'Perkins Loans'!S59</f>
        <v>#DIV/0!</v>
      </c>
      <c r="C57" s="14" t="e">
        <f>('Perkins Loans'!C59*1000)/'Perkins Loans'!T59</f>
        <v>#DIV/0!</v>
      </c>
      <c r="D57" s="14" t="e">
        <f>('Perkins Loans'!D59*1000)/'Perkins Loans'!U59</f>
        <v>#DIV/0!</v>
      </c>
      <c r="E57" s="14" t="e">
        <f>('Perkins Loans'!E59*1000)/'Perkins Loans'!V59</f>
        <v>#DIV/0!</v>
      </c>
      <c r="F57" s="14" t="e">
        <f>('Perkins Loans'!F59*1000)/'Perkins Loans'!W59</f>
        <v>#DIV/0!</v>
      </c>
      <c r="G57" s="14" t="e">
        <f>('Perkins Loans'!G59*1000)/'Perkins Loans'!X59</f>
        <v>#DIV/0!</v>
      </c>
      <c r="H57" s="14" t="e">
        <f>('Perkins Loans'!H59*1000)/'Perkins Loans'!Y59</f>
        <v>#DIV/0!</v>
      </c>
      <c r="I57" s="14" t="e">
        <f>('Perkins Loans'!I59*1000)/'Perkins Loans'!Z59</f>
        <v>#DIV/0!</v>
      </c>
      <c r="J57" s="14" t="e">
        <f>('Perkins Loans'!J59*1000)/'Perkins Loans'!AA59</f>
        <v>#DIV/0!</v>
      </c>
      <c r="K57" s="14" t="e">
        <f>('Perkins Loans'!K59*1000)/'Perkins Loans'!AB59</f>
        <v>#DIV/0!</v>
      </c>
      <c r="L57" s="14" t="e">
        <f>('Perkins Loans'!L59*1000)/'Perkins Loans'!AC59</f>
        <v>#DIV/0!</v>
      </c>
      <c r="M57" s="14" t="e">
        <f>('Perkins Loans'!M59*1000)/'Perkins Loans'!AD59</f>
        <v>#DIV/0!</v>
      </c>
      <c r="N57" s="14" t="e">
        <f>('Perkins Loans'!N59*1000)/'Perkins Loans'!AE59</f>
        <v>#DIV/0!</v>
      </c>
      <c r="O57" s="14" t="e">
        <f>('Perkins Loans'!O59*1000)/'Perkins Loans'!AF59</f>
        <v>#DIV/0!</v>
      </c>
      <c r="P57" s="14">
        <f>('Perkins Loans'!P59*1000)/'Perkins Loans'!AG59</f>
        <v>1662.3063857668467</v>
      </c>
      <c r="Q57" s="14">
        <f>('Perkins Loans'!Q59*1000)/'Perkins Loans'!AH59</f>
        <v>1663.4779314727016</v>
      </c>
      <c r="R57" s="14">
        <f>('Perkins Loans'!R59*1000)/'Perkins Loans'!AI59</f>
        <v>1933.4944381829764</v>
      </c>
    </row>
    <row r="58" spans="1:18">
      <c r="A58" s="53" t="s">
        <v>194</v>
      </c>
      <c r="B58" s="14" t="e">
        <f>('Perkins Loans'!B60*1000)/'Perkins Loans'!S60</f>
        <v>#DIV/0!</v>
      </c>
      <c r="C58" s="14" t="e">
        <f>('Perkins Loans'!C60*1000)/'Perkins Loans'!T60</f>
        <v>#DIV/0!</v>
      </c>
      <c r="D58" s="14" t="e">
        <f>('Perkins Loans'!D60*1000)/'Perkins Loans'!U60</f>
        <v>#DIV/0!</v>
      </c>
      <c r="E58" s="14" t="e">
        <f>('Perkins Loans'!E60*1000)/'Perkins Loans'!V60</f>
        <v>#DIV/0!</v>
      </c>
      <c r="F58" s="14" t="e">
        <f>('Perkins Loans'!F60*1000)/'Perkins Loans'!W60</f>
        <v>#DIV/0!</v>
      </c>
      <c r="G58" s="14" t="e">
        <f>('Perkins Loans'!G60*1000)/'Perkins Loans'!X60</f>
        <v>#DIV/0!</v>
      </c>
      <c r="H58" s="14" t="e">
        <f>('Perkins Loans'!H60*1000)/'Perkins Loans'!Y60</f>
        <v>#DIV/0!</v>
      </c>
      <c r="I58" s="14" t="e">
        <f>('Perkins Loans'!I60*1000)/'Perkins Loans'!Z60</f>
        <v>#DIV/0!</v>
      </c>
      <c r="J58" s="14" t="e">
        <f>('Perkins Loans'!J60*1000)/'Perkins Loans'!AA60</f>
        <v>#DIV/0!</v>
      </c>
      <c r="K58" s="14" t="e">
        <f>('Perkins Loans'!K60*1000)/'Perkins Loans'!AB60</f>
        <v>#DIV/0!</v>
      </c>
      <c r="L58" s="14" t="e">
        <f>('Perkins Loans'!L60*1000)/'Perkins Loans'!AC60</f>
        <v>#DIV/0!</v>
      </c>
      <c r="M58" s="14" t="e">
        <f>('Perkins Loans'!M60*1000)/'Perkins Loans'!AD60</f>
        <v>#DIV/0!</v>
      </c>
      <c r="N58" s="14" t="e">
        <f>('Perkins Loans'!N60*1000)/'Perkins Loans'!AE60</f>
        <v>#DIV/0!</v>
      </c>
      <c r="O58" s="14" t="e">
        <f>('Perkins Loans'!O60*1000)/'Perkins Loans'!AF60</f>
        <v>#DIV/0!</v>
      </c>
      <c r="P58" s="14">
        <f>('Perkins Loans'!P60*1000)/'Perkins Loans'!AG60</f>
        <v>1768.0674789128398</v>
      </c>
      <c r="Q58" s="14">
        <f>('Perkins Loans'!Q60*1000)/'Perkins Loans'!AH60</f>
        <v>1609.4725433526012</v>
      </c>
      <c r="R58" s="14">
        <f>('Perkins Loans'!R60*1000)/'Perkins Loans'!AI60</f>
        <v>1542.0137157107231</v>
      </c>
    </row>
    <row r="59" spans="1:18">
      <c r="A59" s="1"/>
      <c r="B59" s="14" t="e">
        <f>('Perkins Loans'!B61*1000)/'Perkins Loans'!S61</f>
        <v>#DIV/0!</v>
      </c>
      <c r="C59" s="14" t="e">
        <f>('Perkins Loans'!C61*1000)/'Perkins Loans'!T61</f>
        <v>#DIV/0!</v>
      </c>
      <c r="D59" s="14" t="e">
        <f>('Perkins Loans'!D61*1000)/'Perkins Loans'!U61</f>
        <v>#DIV/0!</v>
      </c>
      <c r="E59" s="14" t="e">
        <f>('Perkins Loans'!E61*1000)/'Perkins Loans'!V61</f>
        <v>#DIV/0!</v>
      </c>
      <c r="F59" s="14" t="e">
        <f>('Perkins Loans'!F61*1000)/'Perkins Loans'!W61</f>
        <v>#DIV/0!</v>
      </c>
      <c r="G59" s="14" t="e">
        <f>('Perkins Loans'!G61*1000)/'Perkins Loans'!X61</f>
        <v>#DIV/0!</v>
      </c>
      <c r="H59" s="14" t="e">
        <f>('Perkins Loans'!H61*1000)/'Perkins Loans'!Y61</f>
        <v>#DIV/0!</v>
      </c>
      <c r="I59" s="14" t="e">
        <f>('Perkins Loans'!I61*1000)/'Perkins Loans'!Z61</f>
        <v>#DIV/0!</v>
      </c>
      <c r="J59" s="14" t="e">
        <f>('Perkins Loans'!J61*1000)/'Perkins Loans'!AA61</f>
        <v>#DIV/0!</v>
      </c>
      <c r="K59" s="14" t="e">
        <f>('Perkins Loans'!K61*1000)/'Perkins Loans'!AB61</f>
        <v>#DIV/0!</v>
      </c>
      <c r="L59" s="14" t="e">
        <f>('Perkins Loans'!L61*1000)/'Perkins Loans'!AC61</f>
        <v>#DIV/0!</v>
      </c>
      <c r="M59" s="14" t="e">
        <f>('Perkins Loans'!M61*1000)/'Perkins Loans'!AD61</f>
        <v>#DIV/0!</v>
      </c>
      <c r="N59" s="14" t="e">
        <f>('Perkins Loans'!N61*1000)/'Perkins Loans'!AE61</f>
        <v>#DIV/0!</v>
      </c>
      <c r="O59" s="14" t="e">
        <f>('Perkins Loans'!O61*1000)/'Perkins Loans'!AF61</f>
        <v>#DIV/0!</v>
      </c>
      <c r="P59" s="14" t="e">
        <f>('Perkins Loans'!P61*1000)/'Perkins Loans'!AG61</f>
        <v>#DIV/0!</v>
      </c>
      <c r="Q59" s="14" t="e">
        <f>('Perkins Loans'!Q61*1000)/'Perkins Loans'!AH61</f>
        <v>#DIV/0!</v>
      </c>
      <c r="R59" s="14" t="e">
        <f>('Perkins Loans'!R61*1000)/'Perkins Loans'!AI61</f>
        <v>#DIV/0!</v>
      </c>
    </row>
    <row r="60" spans="1:18">
      <c r="A60" s="53" t="s">
        <v>165</v>
      </c>
      <c r="B60" s="14" t="e">
        <f>('Perkins Loans'!B62*1000)/'Perkins Loans'!S62</f>
        <v>#DIV/0!</v>
      </c>
      <c r="C60" s="14" t="e">
        <f>('Perkins Loans'!C62*1000)/'Perkins Loans'!T62</f>
        <v>#DIV/0!</v>
      </c>
      <c r="D60" s="14" t="e">
        <f>('Perkins Loans'!D62*1000)/'Perkins Loans'!U62</f>
        <v>#DIV/0!</v>
      </c>
      <c r="E60" s="14" t="e">
        <f>('Perkins Loans'!E62*1000)/'Perkins Loans'!V62</f>
        <v>#DIV/0!</v>
      </c>
      <c r="F60" s="14" t="e">
        <f>('Perkins Loans'!F62*1000)/'Perkins Loans'!W62</f>
        <v>#DIV/0!</v>
      </c>
      <c r="G60" s="14" t="e">
        <f>('Perkins Loans'!G62*1000)/'Perkins Loans'!X62</f>
        <v>#DIV/0!</v>
      </c>
      <c r="H60" s="14" t="e">
        <f>('Perkins Loans'!H62*1000)/'Perkins Loans'!Y62</f>
        <v>#DIV/0!</v>
      </c>
      <c r="I60" s="14" t="e">
        <f>('Perkins Loans'!I62*1000)/'Perkins Loans'!Z62</f>
        <v>#DIV/0!</v>
      </c>
      <c r="J60" s="14" t="e">
        <f>('Perkins Loans'!J62*1000)/'Perkins Loans'!AA62</f>
        <v>#DIV/0!</v>
      </c>
      <c r="K60" s="14" t="e">
        <f>('Perkins Loans'!K62*1000)/'Perkins Loans'!AB62</f>
        <v>#DIV/0!</v>
      </c>
      <c r="L60" s="14" t="e">
        <f>('Perkins Loans'!L62*1000)/'Perkins Loans'!AC62</f>
        <v>#DIV/0!</v>
      </c>
      <c r="M60" s="14" t="e">
        <f>('Perkins Loans'!M62*1000)/'Perkins Loans'!AD62</f>
        <v>#DIV/0!</v>
      </c>
      <c r="N60" s="14" t="e">
        <f>('Perkins Loans'!N62*1000)/'Perkins Loans'!AE62</f>
        <v>#DIV/0!</v>
      </c>
      <c r="O60" s="14" t="e">
        <f>('Perkins Loans'!O62*1000)/'Perkins Loans'!AF62</f>
        <v>#DIV/0!</v>
      </c>
      <c r="P60" s="14">
        <f>('Perkins Loans'!P62*1000)/'Perkins Loans'!AG62</f>
        <v>1899.4347826086957</v>
      </c>
      <c r="Q60" s="14">
        <f>('Perkins Loans'!Q62*1000)/'Perkins Loans'!AH62</f>
        <v>2097.2748691099478</v>
      </c>
      <c r="R60" s="14">
        <f>('Perkins Loans'!R62*1000)/'Perkins Loans'!AI62</f>
        <v>2343.4078893019414</v>
      </c>
    </row>
  </sheetData>
  <phoneticPr fontId="8"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21"/>
  <sheetViews>
    <sheetView topLeftCell="M1" zoomScale="75" workbookViewId="0">
      <selection activeCell="R1" sqref="A1:R62"/>
    </sheetView>
  </sheetViews>
  <sheetFormatPr defaultRowHeight="13.2"/>
  <cols>
    <col min="1" max="1" width="17.6640625" customWidth="1"/>
    <col min="20" max="20" width="9.109375" style="63" customWidth="1"/>
    <col min="30" max="30" width="9.109375" style="133" customWidth="1"/>
  </cols>
  <sheetData>
    <row r="1" spans="1:35">
      <c r="A1" s="11" t="s">
        <v>0</v>
      </c>
      <c r="B1" s="12" t="s">
        <v>6</v>
      </c>
      <c r="C1" s="1"/>
      <c r="D1" s="1"/>
      <c r="E1" s="10"/>
      <c r="F1" s="10"/>
      <c r="G1" s="10"/>
      <c r="H1" s="10"/>
      <c r="I1" s="10"/>
      <c r="J1" s="10"/>
      <c r="K1" s="10"/>
      <c r="L1" s="10"/>
      <c r="M1" s="10"/>
      <c r="N1" s="10"/>
      <c r="O1" s="10"/>
      <c r="P1" s="10"/>
      <c r="Q1" s="10"/>
      <c r="R1" s="10"/>
      <c r="S1" s="10"/>
      <c r="T1" s="59"/>
      <c r="U1" s="10"/>
      <c r="V1" s="10"/>
      <c r="W1" s="10"/>
      <c r="X1" s="10"/>
      <c r="Y1" s="10"/>
      <c r="Z1" s="10"/>
      <c r="AA1" s="10"/>
      <c r="AB1" s="10"/>
      <c r="AC1" s="10"/>
      <c r="AD1" s="130"/>
      <c r="AE1" s="10"/>
      <c r="AF1" s="10"/>
      <c r="AG1" s="10"/>
      <c r="AH1" s="1"/>
    </row>
    <row r="2" spans="1:35">
      <c r="A2" s="11" t="s">
        <v>2</v>
      </c>
      <c r="B2" s="12" t="s">
        <v>7</v>
      </c>
      <c r="C2" s="10"/>
      <c r="D2" s="10"/>
      <c r="E2" s="10"/>
      <c r="F2" s="10"/>
      <c r="G2" s="10"/>
      <c r="H2" s="10"/>
      <c r="I2" s="10"/>
      <c r="J2" s="10"/>
      <c r="K2" s="10"/>
      <c r="L2" s="10"/>
      <c r="M2" s="10"/>
      <c r="N2" s="10"/>
      <c r="O2" s="10"/>
      <c r="P2" s="59"/>
      <c r="Q2" s="10"/>
      <c r="R2" s="80"/>
      <c r="S2" s="12" t="s">
        <v>8</v>
      </c>
      <c r="T2" s="59"/>
      <c r="U2" s="10"/>
      <c r="V2" s="10"/>
      <c r="W2" s="10"/>
      <c r="X2" s="10"/>
      <c r="Y2" s="10"/>
      <c r="Z2" s="10"/>
      <c r="AA2" s="10"/>
      <c r="AB2" s="10"/>
      <c r="AC2" s="10"/>
      <c r="AD2" s="130"/>
      <c r="AE2" s="10"/>
      <c r="AF2" s="10"/>
      <c r="AG2" s="10"/>
      <c r="AH2" s="1"/>
      <c r="AI2" s="80"/>
    </row>
    <row r="3" spans="1:35">
      <c r="A3" s="11" t="s">
        <v>3</v>
      </c>
      <c r="B3" s="13" t="s">
        <v>9</v>
      </c>
      <c r="C3" s="2" t="s">
        <v>10</v>
      </c>
      <c r="D3" s="2" t="s">
        <v>11</v>
      </c>
      <c r="E3" s="2" t="s">
        <v>12</v>
      </c>
      <c r="F3" s="2" t="s">
        <v>13</v>
      </c>
      <c r="G3" s="2" t="s">
        <v>14</v>
      </c>
      <c r="H3" s="2" t="s">
        <v>15</v>
      </c>
      <c r="I3" s="2" t="s">
        <v>16</v>
      </c>
      <c r="J3" s="2" t="s">
        <v>17</v>
      </c>
      <c r="K3" s="2" t="s">
        <v>18</v>
      </c>
      <c r="L3" s="2" t="s">
        <v>19</v>
      </c>
      <c r="M3" s="64" t="s">
        <v>195</v>
      </c>
      <c r="N3" s="19" t="s">
        <v>121</v>
      </c>
      <c r="O3" s="19" t="s">
        <v>122</v>
      </c>
      <c r="P3" s="107" t="s">
        <v>146</v>
      </c>
      <c r="Q3" s="19" t="s">
        <v>152</v>
      </c>
      <c r="R3" s="81" t="s">
        <v>159</v>
      </c>
      <c r="S3" s="13" t="s">
        <v>9</v>
      </c>
      <c r="T3" s="79" t="s">
        <v>10</v>
      </c>
      <c r="U3" s="2" t="s">
        <v>11</v>
      </c>
      <c r="V3" s="2" t="s">
        <v>12</v>
      </c>
      <c r="W3" s="2" t="s">
        <v>13</v>
      </c>
      <c r="X3" s="2" t="s">
        <v>14</v>
      </c>
      <c r="Y3" s="2" t="s">
        <v>15</v>
      </c>
      <c r="Z3" s="2" t="s">
        <v>16</v>
      </c>
      <c r="AA3" s="2" t="s">
        <v>17</v>
      </c>
      <c r="AB3" s="2" t="s">
        <v>18</v>
      </c>
      <c r="AC3" s="2" t="s">
        <v>19</v>
      </c>
      <c r="AD3" s="135" t="s">
        <v>195</v>
      </c>
      <c r="AE3" s="19" t="s">
        <v>121</v>
      </c>
      <c r="AF3" s="19" t="s">
        <v>122</v>
      </c>
      <c r="AG3" s="107" t="s">
        <v>146</v>
      </c>
      <c r="AH3" s="19" t="s">
        <v>152</v>
      </c>
      <c r="AI3" s="108" t="s">
        <v>159</v>
      </c>
    </row>
    <row r="4" spans="1:35">
      <c r="A4" s="1"/>
      <c r="B4" s="12"/>
      <c r="C4" s="1"/>
      <c r="D4" s="1"/>
      <c r="E4" s="1"/>
      <c r="F4" s="1"/>
      <c r="G4" s="1"/>
      <c r="H4" s="1"/>
      <c r="I4" s="1"/>
      <c r="J4" s="1"/>
      <c r="K4" s="1"/>
      <c r="L4" s="1"/>
      <c r="M4" s="65"/>
      <c r="N4" s="1"/>
      <c r="O4" s="1"/>
      <c r="P4" s="58"/>
      <c r="Q4" s="41"/>
      <c r="R4" s="41"/>
      <c r="S4" s="12"/>
      <c r="T4" s="58"/>
      <c r="U4" s="1"/>
      <c r="V4" s="1"/>
      <c r="W4" s="1"/>
      <c r="X4" s="1"/>
      <c r="Y4" s="1"/>
      <c r="Z4" s="1"/>
      <c r="AA4" s="1"/>
      <c r="AB4" s="1"/>
      <c r="AC4" s="1"/>
      <c r="AD4" s="65"/>
      <c r="AE4" s="1"/>
      <c r="AF4" s="1"/>
      <c r="AG4" s="1"/>
      <c r="AH4" s="41"/>
    </row>
    <row r="5" spans="1:35">
      <c r="A5" s="1" t="s">
        <v>20</v>
      </c>
      <c r="B5" s="14">
        <f>342920-5849.831-39.075-24.846-15.411</f>
        <v>336990.83699999994</v>
      </c>
      <c r="C5" s="60">
        <v>411471</v>
      </c>
      <c r="D5" s="3">
        <f>399540-6315.615-26.433-11.472-25.677</f>
        <v>393160.80299999996</v>
      </c>
      <c r="E5" s="3">
        <f>418878832/1000-6627.354-107.206-69.217-18.825</f>
        <v>412056.23</v>
      </c>
      <c r="F5" s="3">
        <f>422470200/1000-6232.798-115.019-191.332-29.232</f>
        <v>415901.81900000002</v>
      </c>
      <c r="G5" s="3">
        <f>466140784/1000-7316.89-100.201-101.839</f>
        <v>458621.85399999999</v>
      </c>
      <c r="H5" s="3">
        <f>503140238/1000-7486.074-113.768-77.132-33.8</f>
        <v>495429.46400000004</v>
      </c>
      <c r="I5" s="1">
        <f>586319.963-10049.143</f>
        <v>576270.81999999995</v>
      </c>
      <c r="J5" s="1">
        <f>651315.928-10495.04-67.248-149.026-31.603</f>
        <v>640573.01099999994</v>
      </c>
      <c r="K5" s="1">
        <f>752656.889-11804.346-85.675-135.167-46.777</f>
        <v>740584.92399999988</v>
      </c>
      <c r="L5" s="1">
        <f>755023.839-10789.416-52.151-188.594-0</f>
        <v>743993.67800000007</v>
      </c>
      <c r="M5" s="65">
        <f>((N5-L5)/2)+L5</f>
        <v>746877.63300000015</v>
      </c>
      <c r="N5" s="1">
        <f>762049.27-11887.653-102.565-243.073-54.391</f>
        <v>749761.58800000011</v>
      </c>
      <c r="O5" s="1">
        <f>811234.899-12675.227-135.55-192.48-64.112</f>
        <v>798167.53</v>
      </c>
      <c r="P5" s="1">
        <f>SUM(P10:P60)</f>
        <v>833240.98599999992</v>
      </c>
      <c r="Q5" s="1">
        <f>SUM(Q10:Q60)</f>
        <v>854319.09599999979</v>
      </c>
      <c r="R5" s="1">
        <f>SUM(R10:R60)</f>
        <v>884097.64299999992</v>
      </c>
      <c r="S5" s="14">
        <f>641901-21373-187-79-40</f>
        <v>620222</v>
      </c>
      <c r="T5" s="60">
        <v>658369</v>
      </c>
      <c r="U5" s="3">
        <f>631226-21422-153-56-97</f>
        <v>609498</v>
      </c>
      <c r="V5" s="1">
        <f>635326-21659-588-329-49</f>
        <v>612701</v>
      </c>
      <c r="W5" s="1">
        <f>678847-26618-425-333-68</f>
        <v>651403</v>
      </c>
      <c r="X5" s="1">
        <f>727566-26291-383-198</f>
        <v>700694</v>
      </c>
      <c r="Y5" s="1">
        <f>761276-25919-434-227-41</f>
        <v>734655</v>
      </c>
      <c r="Z5" s="1">
        <f>881344-32375</f>
        <v>848969</v>
      </c>
      <c r="AA5" s="1">
        <f>976385-35255-255-549-27</f>
        <v>940299</v>
      </c>
      <c r="AB5" s="1">
        <f>1068102-40084-340-421-34</f>
        <v>1027223</v>
      </c>
      <c r="AC5" s="1">
        <f>1056560-34007-223-637-0</f>
        <v>1021693</v>
      </c>
      <c r="AD5" s="65">
        <f>((AE5-AC5)/2)+AC5</f>
        <v>1036148</v>
      </c>
      <c r="AE5" s="1">
        <f>1086430-34555-418-827-27</f>
        <v>1050603</v>
      </c>
      <c r="AF5" s="1">
        <f>1115696-34394-483-885-36</f>
        <v>1079898</v>
      </c>
      <c r="AG5" s="1">
        <f>SUM(AG10:AG60)</f>
        <v>1117675</v>
      </c>
      <c r="AH5" s="1">
        <f>SUM(AH10:AH60)</f>
        <v>1124966</v>
      </c>
      <c r="AI5" s="1">
        <f>SUM(AI10:AI60)</f>
        <v>1119262</v>
      </c>
    </row>
    <row r="6" spans="1:35">
      <c r="A6" s="1" t="s">
        <v>21</v>
      </c>
      <c r="B6" s="14">
        <f t="shared" ref="B6:L6" si="0">SUM(B10:B25)</f>
        <v>89960.608000000007</v>
      </c>
      <c r="C6" s="60">
        <f t="shared" si="0"/>
        <v>104563</v>
      </c>
      <c r="D6" s="3">
        <f t="shared" si="0"/>
        <v>102957.288</v>
      </c>
      <c r="E6" s="3">
        <f t="shared" si="0"/>
        <v>107151.205</v>
      </c>
      <c r="F6" s="3">
        <f t="shared" si="0"/>
        <v>109647.38399999999</v>
      </c>
      <c r="G6" s="3">
        <f t="shared" si="0"/>
        <v>119427.70999999999</v>
      </c>
      <c r="H6" s="3">
        <f t="shared" si="0"/>
        <v>130105.239</v>
      </c>
      <c r="I6" s="3">
        <f t="shared" si="0"/>
        <v>150771.27000000002</v>
      </c>
      <c r="J6" s="3">
        <f t="shared" si="0"/>
        <v>175390.99799999999</v>
      </c>
      <c r="K6" s="3">
        <f t="shared" si="0"/>
        <v>191184.73299999998</v>
      </c>
      <c r="L6" s="3">
        <f t="shared" si="0"/>
        <v>191869.33800000002</v>
      </c>
      <c r="M6" s="65">
        <f>((N6-L6)/2)+L6</f>
        <v>194968.69400000002</v>
      </c>
      <c r="N6" s="3">
        <f t="shared" ref="N6:AF6" si="1">SUM(N10:N25)</f>
        <v>198068.05000000002</v>
      </c>
      <c r="O6" s="3">
        <f t="shared" si="1"/>
        <v>209341.68100000001</v>
      </c>
      <c r="P6" s="1">
        <f>SUM(P10:P25)</f>
        <v>223445.33800000002</v>
      </c>
      <c r="Q6" s="1">
        <f>SUM(Q10:Q25)</f>
        <v>232114.109</v>
      </c>
      <c r="R6" s="1">
        <f>SUM(R10:R25)</f>
        <v>237451.723</v>
      </c>
      <c r="S6" s="14">
        <f t="shared" si="1"/>
        <v>178901</v>
      </c>
      <c r="T6" s="60">
        <f t="shared" si="1"/>
        <v>167035</v>
      </c>
      <c r="U6" s="3">
        <f t="shared" si="1"/>
        <v>174728</v>
      </c>
      <c r="V6" s="3">
        <f t="shared" si="1"/>
        <v>177720</v>
      </c>
      <c r="W6" s="3">
        <f t="shared" si="1"/>
        <v>182586</v>
      </c>
      <c r="X6" s="3">
        <f t="shared" si="1"/>
        <v>199585</v>
      </c>
      <c r="Y6" s="3">
        <f t="shared" si="1"/>
        <v>209363</v>
      </c>
      <c r="Z6" s="3">
        <f t="shared" si="1"/>
        <v>242058</v>
      </c>
      <c r="AA6" s="3">
        <f t="shared" si="1"/>
        <v>274199</v>
      </c>
      <c r="AB6" s="3">
        <f t="shared" si="1"/>
        <v>299769</v>
      </c>
      <c r="AC6" s="3">
        <f t="shared" si="1"/>
        <v>295562</v>
      </c>
      <c r="AD6" s="131">
        <f t="shared" ref="AD6:AD25" si="2">((AE6-AC6)/2)+AC6</f>
        <v>303604</v>
      </c>
      <c r="AE6" s="3">
        <f t="shared" si="1"/>
        <v>311646</v>
      </c>
      <c r="AF6" s="3">
        <f t="shared" si="1"/>
        <v>316306</v>
      </c>
      <c r="AG6" s="3">
        <f>SUM(AG10:AG25)</f>
        <v>333659</v>
      </c>
      <c r="AH6" s="3">
        <f>SUM(AH10:AH25)</f>
        <v>341100</v>
      </c>
      <c r="AI6" s="3">
        <f>SUM(AI10:AI25)</f>
        <v>337953</v>
      </c>
    </row>
    <row r="7" spans="1:35">
      <c r="A7" s="1" t="s">
        <v>22</v>
      </c>
      <c r="B7" s="15"/>
      <c r="C7" s="61"/>
      <c r="D7" s="5"/>
      <c r="E7" s="5"/>
      <c r="F7" s="5"/>
      <c r="G7" s="5"/>
      <c r="H7" s="5"/>
      <c r="I7" s="5"/>
      <c r="J7" s="5"/>
      <c r="K7" s="5"/>
      <c r="L7" s="5"/>
      <c r="M7" s="65"/>
      <c r="N7" s="5"/>
      <c r="O7" s="5"/>
      <c r="P7" s="5"/>
      <c r="Q7" s="5"/>
      <c r="R7" s="5"/>
      <c r="S7" s="15"/>
      <c r="T7" s="61"/>
      <c r="U7" s="5"/>
      <c r="V7" s="5"/>
      <c r="W7" s="5"/>
      <c r="X7" s="5"/>
      <c r="Y7" s="5"/>
      <c r="Z7" s="5"/>
      <c r="AA7" s="5"/>
      <c r="AB7" s="5"/>
      <c r="AC7" s="5"/>
      <c r="AD7" s="131"/>
      <c r="AE7" s="5"/>
      <c r="AF7" s="5"/>
      <c r="AG7" s="5"/>
      <c r="AH7" s="5"/>
      <c r="AI7" s="5"/>
    </row>
    <row r="8" spans="1:35">
      <c r="A8" s="1" t="s">
        <v>23</v>
      </c>
      <c r="B8" s="16">
        <f t="shared" ref="B8:L8" si="3">(B6/B5)*100</f>
        <v>26.695268275202398</v>
      </c>
      <c r="C8" s="62">
        <f t="shared" si="3"/>
        <v>25.411997443319212</v>
      </c>
      <c r="D8" s="6">
        <f t="shared" si="3"/>
        <v>26.187068297344997</v>
      </c>
      <c r="E8" s="6">
        <f t="shared" si="3"/>
        <v>26.004024984648332</v>
      </c>
      <c r="F8" s="6">
        <f t="shared" si="3"/>
        <v>26.363766396510997</v>
      </c>
      <c r="G8" s="6">
        <f t="shared" si="3"/>
        <v>26.040562384539136</v>
      </c>
      <c r="H8" s="6">
        <f t="shared" si="3"/>
        <v>26.261102428094585</v>
      </c>
      <c r="I8" s="6">
        <f t="shared" si="3"/>
        <v>26.163266430877069</v>
      </c>
      <c r="J8" s="6">
        <f t="shared" si="3"/>
        <v>27.380329016078385</v>
      </c>
      <c r="K8" s="6">
        <f t="shared" si="3"/>
        <v>25.815369285049073</v>
      </c>
      <c r="L8" s="6">
        <f t="shared" si="3"/>
        <v>25.789108654227032</v>
      </c>
      <c r="M8" s="66">
        <f>((N8-L8)/2)+L8</f>
        <v>26.103289821842544</v>
      </c>
      <c r="N8" s="6">
        <f t="shared" ref="N8:AF8" si="4">(N6/N5)*100</f>
        <v>26.417470989458053</v>
      </c>
      <c r="O8" s="6">
        <f t="shared" si="4"/>
        <v>26.227787166436102</v>
      </c>
      <c r="P8" s="6">
        <f>(P6/P5)*100</f>
        <v>26.816412268995137</v>
      </c>
      <c r="Q8" s="6">
        <f>(Q6/Q5)*100</f>
        <v>27.169486212678549</v>
      </c>
      <c r="R8" s="6">
        <f>(R6/R5)*100</f>
        <v>26.858088004200237</v>
      </c>
      <c r="S8" s="16">
        <f t="shared" si="4"/>
        <v>28.844671746568164</v>
      </c>
      <c r="T8" s="62">
        <f t="shared" si="4"/>
        <v>25.371030531510446</v>
      </c>
      <c r="U8" s="6">
        <f t="shared" si="4"/>
        <v>28.667526390570604</v>
      </c>
      <c r="V8" s="6">
        <f t="shared" si="4"/>
        <v>29.005991503196505</v>
      </c>
      <c r="W8" s="6">
        <f t="shared" si="4"/>
        <v>28.029652918393065</v>
      </c>
      <c r="X8" s="6">
        <f t="shared" si="4"/>
        <v>28.483903101781948</v>
      </c>
      <c r="Y8" s="6">
        <f t="shared" si="4"/>
        <v>28.498138582055521</v>
      </c>
      <c r="Z8" s="6">
        <f t="shared" si="4"/>
        <v>28.511995137631647</v>
      </c>
      <c r="AA8" s="6">
        <f t="shared" si="4"/>
        <v>29.16083075702516</v>
      </c>
      <c r="AB8" s="6">
        <f t="shared" si="4"/>
        <v>29.18246573528825</v>
      </c>
      <c r="AC8" s="6">
        <f t="shared" si="4"/>
        <v>28.928650778658561</v>
      </c>
      <c r="AD8" s="132">
        <f t="shared" si="2"/>
        <v>29.296093431111</v>
      </c>
      <c r="AE8" s="6">
        <f t="shared" si="4"/>
        <v>29.663536083563439</v>
      </c>
      <c r="AF8" s="6">
        <f t="shared" si="4"/>
        <v>29.290358904266885</v>
      </c>
      <c r="AG8" s="6">
        <f>(AG6/AG5)*100</f>
        <v>29.852953676158094</v>
      </c>
      <c r="AH8" s="6">
        <f>(AH6/AH5)*100</f>
        <v>30.320916365472378</v>
      </c>
      <c r="AI8" s="6">
        <f>(AI6/AI5)*100</f>
        <v>30.194270867768225</v>
      </c>
    </row>
    <row r="9" spans="1:35">
      <c r="A9" s="1"/>
      <c r="B9" s="12"/>
      <c r="C9" s="58"/>
      <c r="D9" s="1"/>
      <c r="E9" s="1"/>
      <c r="F9" s="1"/>
      <c r="G9" s="1"/>
      <c r="H9" s="1"/>
      <c r="I9" s="1"/>
      <c r="J9" s="1"/>
      <c r="K9" s="1"/>
      <c r="L9" s="1"/>
      <c r="M9" s="65"/>
      <c r="N9" s="1"/>
      <c r="O9" s="1"/>
      <c r="P9" s="1"/>
      <c r="Q9" s="1"/>
      <c r="R9" s="1"/>
      <c r="S9" s="12"/>
      <c r="T9" s="58"/>
      <c r="U9" s="1"/>
      <c r="V9" s="1"/>
      <c r="W9" s="1"/>
      <c r="X9" s="1"/>
      <c r="Y9" s="1"/>
      <c r="Z9" s="1"/>
      <c r="AA9" s="1"/>
      <c r="AB9" s="1"/>
      <c r="AC9" s="1"/>
      <c r="AD9" s="65"/>
      <c r="AE9" s="1"/>
      <c r="AF9" s="1"/>
    </row>
    <row r="10" spans="1:35">
      <c r="A10" s="1" t="s">
        <v>24</v>
      </c>
      <c r="B10" s="14">
        <f>ROUND(5519,0)</f>
        <v>5519</v>
      </c>
      <c r="C10" s="60">
        <f>ROUND(6478,0)</f>
        <v>6478</v>
      </c>
      <c r="D10" s="3">
        <f>ROUND(6183,0)</f>
        <v>6183</v>
      </c>
      <c r="E10" s="3">
        <f>ROUND(6572210/1000,0)</f>
        <v>6572</v>
      </c>
      <c r="F10" s="3">
        <f>ROUND(6760403/1000,0)</f>
        <v>6760</v>
      </c>
      <c r="G10" s="3">
        <f>ROUND(7078313/1000,0)</f>
        <v>7078</v>
      </c>
      <c r="H10" s="3">
        <f>ROUND(7340673/1000,0)</f>
        <v>7341</v>
      </c>
      <c r="I10" s="1">
        <f>ROUND(8564.05,0)</f>
        <v>8564</v>
      </c>
      <c r="J10" s="1">
        <f>ROUND(8942.886,0)</f>
        <v>8943</v>
      </c>
      <c r="K10" s="1">
        <v>9954.723</v>
      </c>
      <c r="L10" s="1">
        <v>9836.8970000000008</v>
      </c>
      <c r="M10" s="65">
        <f t="shared" ref="M10:M25" si="5">((N10-L10)/2)+L10</f>
        <v>9855.1870000000017</v>
      </c>
      <c r="N10" s="1">
        <v>9873.4770000000008</v>
      </c>
      <c r="O10" s="1">
        <v>9696.0830000000005</v>
      </c>
      <c r="P10" s="93">
        <v>10710.468000000001</v>
      </c>
      <c r="Q10" s="1">
        <v>11429.619000000001</v>
      </c>
      <c r="R10" s="1">
        <v>12067.028</v>
      </c>
      <c r="S10" s="14">
        <f>ROUND(10588,0)</f>
        <v>10588</v>
      </c>
      <c r="T10" s="60">
        <f>ROUND(10435,0)</f>
        <v>10435</v>
      </c>
      <c r="U10" s="3">
        <f>ROUND(10350,0)</f>
        <v>10350</v>
      </c>
      <c r="V10" s="3">
        <f>ROUND(10700,0)</f>
        <v>10700</v>
      </c>
      <c r="W10" s="3">
        <f>ROUND(10758,0)</f>
        <v>10758</v>
      </c>
      <c r="X10" s="3">
        <f>ROUND(11433,0)</f>
        <v>11433</v>
      </c>
      <c r="Y10" s="3">
        <f>ROUND(11165,0)</f>
        <v>11165</v>
      </c>
      <c r="Z10" s="1">
        <f>ROUND(13004,0)</f>
        <v>13004</v>
      </c>
      <c r="AA10" s="1">
        <f>ROUND(13233,0)</f>
        <v>13233</v>
      </c>
      <c r="AB10" s="1">
        <v>13964</v>
      </c>
      <c r="AC10" s="1">
        <v>13804</v>
      </c>
      <c r="AD10" s="65">
        <f t="shared" si="2"/>
        <v>14251.5</v>
      </c>
      <c r="AE10" s="1">
        <v>14699</v>
      </c>
      <c r="AF10" s="1">
        <v>14576</v>
      </c>
      <c r="AG10">
        <v>16125</v>
      </c>
      <c r="AH10">
        <v>16979</v>
      </c>
      <c r="AI10" s="90">
        <v>17390</v>
      </c>
    </row>
    <row r="11" spans="1:35">
      <c r="A11" s="1" t="s">
        <v>25</v>
      </c>
      <c r="B11" s="14">
        <f>ROUND(2163,0)</f>
        <v>2163</v>
      </c>
      <c r="C11" s="60">
        <f>ROUND(2717,0)</f>
        <v>2717</v>
      </c>
      <c r="D11" s="3">
        <f>ROUND(2432,0)</f>
        <v>2432</v>
      </c>
      <c r="E11" s="3">
        <f>ROUND(2597660/1000,0)</f>
        <v>2598</v>
      </c>
      <c r="F11" s="3">
        <f>ROUND(2604794/1000,0)</f>
        <v>2605</v>
      </c>
      <c r="G11" s="3">
        <f>ROUND(2902468/1000,0)</f>
        <v>2902</v>
      </c>
      <c r="H11" s="3">
        <f>ROUND(3138365/1000,0)</f>
        <v>3138</v>
      </c>
      <c r="I11" s="1">
        <f>ROUND(3819.066,0)</f>
        <v>3819</v>
      </c>
      <c r="J11" s="1">
        <f>ROUND(4096.694,0)</f>
        <v>4097</v>
      </c>
      <c r="K11" s="9">
        <v>4339.7979999999998</v>
      </c>
      <c r="L11" s="1">
        <v>4472.5119999999997</v>
      </c>
      <c r="M11" s="65">
        <f t="shared" si="5"/>
        <v>4612.4764999999998</v>
      </c>
      <c r="N11" s="1">
        <v>4752.4409999999998</v>
      </c>
      <c r="O11" s="1">
        <v>4711.5469999999996</v>
      </c>
      <c r="P11" s="93">
        <v>5026.9309999999996</v>
      </c>
      <c r="Q11" s="1">
        <v>5137.8890000000001</v>
      </c>
      <c r="R11" s="1">
        <v>5557.0770000000002</v>
      </c>
      <c r="S11" s="14">
        <f>ROUND(5298,0)</f>
        <v>5298</v>
      </c>
      <c r="T11" s="60">
        <f>ROUND(4353,0)</f>
        <v>4353</v>
      </c>
      <c r="U11" s="3">
        <f>ROUND(5697,0)</f>
        <v>5697</v>
      </c>
      <c r="V11" s="3">
        <f>ROUND(5949,0)</f>
        <v>5949</v>
      </c>
      <c r="W11" s="3">
        <f>ROUND(5829,0)</f>
        <v>5829</v>
      </c>
      <c r="X11" s="3">
        <f>ROUND(8554,0)</f>
        <v>8554</v>
      </c>
      <c r="Y11" s="3">
        <f>ROUND(6311,0)</f>
        <v>6311</v>
      </c>
      <c r="Z11" s="1">
        <f>ROUND(7504,0)</f>
        <v>7504</v>
      </c>
      <c r="AA11" s="1">
        <f>ROUND(7982,0)</f>
        <v>7982</v>
      </c>
      <c r="AB11" s="1">
        <v>8395</v>
      </c>
      <c r="AC11" s="1">
        <v>8322</v>
      </c>
      <c r="AD11" s="65">
        <f t="shared" si="2"/>
        <v>8550</v>
      </c>
      <c r="AE11" s="1">
        <v>8778</v>
      </c>
      <c r="AF11" s="1">
        <v>8632</v>
      </c>
      <c r="AG11">
        <v>8899</v>
      </c>
      <c r="AH11">
        <v>8936</v>
      </c>
      <c r="AI11" s="90">
        <v>9547</v>
      </c>
    </row>
    <row r="12" spans="1:35">
      <c r="A12" s="1" t="s">
        <v>120</v>
      </c>
      <c r="B12" s="14">
        <v>821.60799999999995</v>
      </c>
      <c r="C12" s="60"/>
      <c r="D12" s="3">
        <v>1028.288</v>
      </c>
      <c r="E12" s="3">
        <v>1052.2049999999999</v>
      </c>
      <c r="F12" s="3">
        <v>1081.384</v>
      </c>
      <c r="G12" s="3">
        <v>1146.71</v>
      </c>
      <c r="H12" s="3">
        <v>1081.239</v>
      </c>
      <c r="I12" s="1">
        <v>1213.27</v>
      </c>
      <c r="J12" s="1">
        <v>1450.998</v>
      </c>
      <c r="K12" s="9">
        <v>1729.0150000000001</v>
      </c>
      <c r="L12" s="1">
        <v>1577.6130000000001</v>
      </c>
      <c r="M12" s="65">
        <f t="shared" si="5"/>
        <v>1689.875</v>
      </c>
      <c r="N12" s="1">
        <v>1802.1369999999999</v>
      </c>
      <c r="O12" s="1">
        <v>1932.4190000000001</v>
      </c>
      <c r="P12" s="93">
        <v>2051.4490000000001</v>
      </c>
      <c r="Q12" s="1">
        <v>2025.473</v>
      </c>
      <c r="R12" s="1">
        <v>2249.386</v>
      </c>
      <c r="S12" s="14">
        <v>1528</v>
      </c>
      <c r="T12" s="60"/>
      <c r="U12" s="3">
        <v>1416</v>
      </c>
      <c r="V12" s="3">
        <v>1938</v>
      </c>
      <c r="W12" s="3">
        <v>2069</v>
      </c>
      <c r="X12" s="3">
        <v>1947</v>
      </c>
      <c r="Y12" s="3">
        <v>1841</v>
      </c>
      <c r="Z12" s="1">
        <v>2413</v>
      </c>
      <c r="AA12" s="1">
        <v>2950</v>
      </c>
      <c r="AB12" s="1">
        <v>3006</v>
      </c>
      <c r="AC12" s="1">
        <v>3019</v>
      </c>
      <c r="AD12" s="65">
        <f t="shared" si="2"/>
        <v>3090.5</v>
      </c>
      <c r="AE12" s="1">
        <v>3162</v>
      </c>
      <c r="AF12" s="1">
        <v>3543</v>
      </c>
      <c r="AG12">
        <v>3739</v>
      </c>
      <c r="AH12">
        <v>3541</v>
      </c>
      <c r="AI12" s="90">
        <v>3718</v>
      </c>
    </row>
    <row r="13" spans="1:35">
      <c r="A13" s="1" t="s">
        <v>26</v>
      </c>
      <c r="B13" s="14">
        <f>ROUND(10069,0)</f>
        <v>10069</v>
      </c>
      <c r="C13" s="60">
        <f>ROUND(11653,0)</f>
        <v>11653</v>
      </c>
      <c r="D13" s="3">
        <f>ROUND(11417,0)</f>
        <v>11417</v>
      </c>
      <c r="E13" s="3">
        <f>ROUND(11640694/1000,0)</f>
        <v>11641</v>
      </c>
      <c r="F13" s="3">
        <f>ROUND(12028814/1000,0)</f>
        <v>12029</v>
      </c>
      <c r="G13" s="3">
        <f>ROUND(13521108/1000,0)</f>
        <v>13521</v>
      </c>
      <c r="H13" s="3">
        <f>ROUND(15009896/1000,0)</f>
        <v>15010</v>
      </c>
      <c r="I13" s="1">
        <f>ROUND(18911.235,0)</f>
        <v>18911</v>
      </c>
      <c r="J13" s="1">
        <f>ROUND(28599.794,0)</f>
        <v>28600</v>
      </c>
      <c r="K13" s="1">
        <v>26510.307000000001</v>
      </c>
      <c r="L13" s="1">
        <v>26337.86</v>
      </c>
      <c r="M13" s="65">
        <f t="shared" si="5"/>
        <v>26864.694</v>
      </c>
      <c r="N13" s="1">
        <v>27391.527999999998</v>
      </c>
      <c r="O13" s="1">
        <v>28809.438999999998</v>
      </c>
      <c r="P13" s="93">
        <v>31763.988000000001</v>
      </c>
      <c r="Q13" s="1">
        <v>32812.067999999999</v>
      </c>
      <c r="R13" s="1">
        <v>33609.243999999999</v>
      </c>
      <c r="S13" s="14">
        <f>ROUND(17495,0)</f>
        <v>17495</v>
      </c>
      <c r="T13" s="60">
        <f>ROUND(18262,0)</f>
        <v>18262</v>
      </c>
      <c r="U13" s="3">
        <f>ROUND(17531,0)</f>
        <v>17531</v>
      </c>
      <c r="V13" s="3">
        <f>ROUND(17074,0)</f>
        <v>17074</v>
      </c>
      <c r="W13" s="3">
        <f>ROUND(17655,0)</f>
        <v>17655</v>
      </c>
      <c r="X13" s="3">
        <f>ROUND(19689,0)</f>
        <v>19689</v>
      </c>
      <c r="Y13" s="3">
        <f>ROUND(23268,0)</f>
        <v>23268</v>
      </c>
      <c r="Z13" s="1">
        <f>ROUND(30579,0)</f>
        <v>30579</v>
      </c>
      <c r="AA13" s="1">
        <f>ROUND(39374,0)</f>
        <v>39374</v>
      </c>
      <c r="AB13" s="1">
        <v>40362</v>
      </c>
      <c r="AC13" s="1">
        <v>43536</v>
      </c>
      <c r="AD13" s="65">
        <f t="shared" si="2"/>
        <v>45822.5</v>
      </c>
      <c r="AE13" s="1">
        <v>48109</v>
      </c>
      <c r="AF13" s="1">
        <v>47885</v>
      </c>
      <c r="AG13">
        <v>50063</v>
      </c>
      <c r="AH13">
        <v>52582</v>
      </c>
      <c r="AI13" s="90">
        <v>51702</v>
      </c>
    </row>
    <row r="14" spans="1:35">
      <c r="A14" s="1" t="s">
        <v>27</v>
      </c>
      <c r="B14" s="14">
        <f>ROUND(5576,0)</f>
        <v>5576</v>
      </c>
      <c r="C14" s="60">
        <f>ROUND(6552,0)</f>
        <v>6552</v>
      </c>
      <c r="D14" s="3">
        <f>ROUND(6693,0)</f>
        <v>6693</v>
      </c>
      <c r="E14" s="3">
        <f>ROUND(7096104/1000,0)</f>
        <v>7096</v>
      </c>
      <c r="F14" s="3">
        <f>ROUND(6865691/1000,0)</f>
        <v>6866</v>
      </c>
      <c r="G14" s="3">
        <f>ROUND(7791914/1000,0)</f>
        <v>7792</v>
      </c>
      <c r="H14" s="3">
        <f>ROUND(8924343/1000,0)</f>
        <v>8924</v>
      </c>
      <c r="I14" s="1">
        <f>ROUND(9749.662,0)</f>
        <v>9750</v>
      </c>
      <c r="J14" s="1">
        <f>ROUND(11329.09,0)</f>
        <v>11329</v>
      </c>
      <c r="K14" s="1">
        <v>12769.751</v>
      </c>
      <c r="L14" s="1">
        <v>13838.939</v>
      </c>
      <c r="M14" s="65">
        <f t="shared" si="5"/>
        <v>13692.297999999999</v>
      </c>
      <c r="N14" s="1">
        <v>13545.656999999999</v>
      </c>
      <c r="O14" s="1">
        <v>14853.492</v>
      </c>
      <c r="P14" s="93">
        <v>16671.413</v>
      </c>
      <c r="Q14" s="1">
        <v>16308.133</v>
      </c>
      <c r="R14" s="1">
        <v>17142.005000000001</v>
      </c>
      <c r="S14" s="14">
        <f>ROUND(11691,0)</f>
        <v>11691</v>
      </c>
      <c r="T14" s="60">
        <f>ROUND(10342,0)</f>
        <v>10342</v>
      </c>
      <c r="U14" s="3">
        <f>ROUND(11531,0)</f>
        <v>11531</v>
      </c>
      <c r="V14" s="3">
        <f>ROUND(11614,0)</f>
        <v>11614</v>
      </c>
      <c r="W14" s="3">
        <f>ROUND(12027,0)</f>
        <v>12027</v>
      </c>
      <c r="X14" s="3">
        <f>ROUND(12845,0)</f>
        <v>12845</v>
      </c>
      <c r="Y14" s="3">
        <f>ROUND(13743,0)</f>
        <v>13743</v>
      </c>
      <c r="Z14" s="1">
        <f>ROUND(15924,0)</f>
        <v>15924</v>
      </c>
      <c r="AA14" s="1">
        <f>ROUND(17748,0)</f>
        <v>17748</v>
      </c>
      <c r="AB14" s="1">
        <v>18416</v>
      </c>
      <c r="AC14" s="1">
        <v>19273</v>
      </c>
      <c r="AD14" s="65">
        <f t="shared" si="2"/>
        <v>19515.5</v>
      </c>
      <c r="AE14" s="1">
        <v>19758</v>
      </c>
      <c r="AF14" s="1">
        <v>20647</v>
      </c>
      <c r="AG14">
        <v>23390</v>
      </c>
      <c r="AH14">
        <v>25222</v>
      </c>
      <c r="AI14" s="90">
        <v>23664</v>
      </c>
    </row>
    <row r="15" spans="1:35">
      <c r="A15" s="1" t="s">
        <v>28</v>
      </c>
      <c r="B15" s="14">
        <f>ROUND(3265,0)</f>
        <v>3265</v>
      </c>
      <c r="C15" s="60">
        <f>ROUND(4380,0)</f>
        <v>4380</v>
      </c>
      <c r="D15" s="3">
        <f>ROUND(3998,0)</f>
        <v>3998</v>
      </c>
      <c r="E15" s="3">
        <f>ROUND(4112876/1000,0)</f>
        <v>4113</v>
      </c>
      <c r="F15" s="3">
        <f>ROUND(4244557/1000,0)</f>
        <v>4245</v>
      </c>
      <c r="G15" s="3">
        <f>ROUND(4790502/1000,0)</f>
        <v>4791</v>
      </c>
      <c r="H15" s="3">
        <f>ROUND(5418203/1000,0)</f>
        <v>5418</v>
      </c>
      <c r="I15" s="1">
        <f>ROUND(5991.033,0)</f>
        <v>5991</v>
      </c>
      <c r="J15" s="1">
        <f>ROUND(6533.456,0)</f>
        <v>6533</v>
      </c>
      <c r="K15" s="1">
        <v>8180.64</v>
      </c>
      <c r="L15" s="1">
        <v>8352.7180000000008</v>
      </c>
      <c r="M15" s="65">
        <f t="shared" si="5"/>
        <v>8686.0404999999992</v>
      </c>
      <c r="N15" s="1">
        <v>9019.3629999999994</v>
      </c>
      <c r="O15" s="1">
        <v>9546.34</v>
      </c>
      <c r="P15" s="93">
        <v>9914.06</v>
      </c>
      <c r="Q15" s="1">
        <v>9817.0509999999995</v>
      </c>
      <c r="R15" s="1">
        <v>10006.802</v>
      </c>
      <c r="S15" s="14">
        <f>ROUND(8035,0)</f>
        <v>8035</v>
      </c>
      <c r="T15" s="60">
        <f>ROUND(7034,0)</f>
        <v>7034</v>
      </c>
      <c r="U15" s="3">
        <f>ROUND(8763,0)</f>
        <v>8763</v>
      </c>
      <c r="V15" s="3">
        <f>ROUND(8658,0)</f>
        <v>8658</v>
      </c>
      <c r="W15" s="3">
        <f>ROUND(8800,0)</f>
        <v>8800</v>
      </c>
      <c r="X15" s="3">
        <f>ROUND(9717,0)</f>
        <v>9717</v>
      </c>
      <c r="Y15" s="3">
        <f>ROUND(10635,0)</f>
        <v>10635</v>
      </c>
      <c r="Z15" s="1">
        <f>ROUND(11649,0)</f>
        <v>11649</v>
      </c>
      <c r="AA15" s="1">
        <f>ROUND(12505,0)</f>
        <v>12505</v>
      </c>
      <c r="AB15" s="1">
        <v>15447</v>
      </c>
      <c r="AC15" s="1">
        <v>14708</v>
      </c>
      <c r="AD15" s="65">
        <f t="shared" si="2"/>
        <v>14837.5</v>
      </c>
      <c r="AE15" s="1">
        <v>14967</v>
      </c>
      <c r="AF15" s="1">
        <v>15443</v>
      </c>
      <c r="AG15">
        <v>15606</v>
      </c>
      <c r="AH15">
        <v>16205</v>
      </c>
      <c r="AI15" s="90">
        <v>16102</v>
      </c>
    </row>
    <row r="16" spans="1:35">
      <c r="A16" s="1" t="s">
        <v>29</v>
      </c>
      <c r="B16" s="14">
        <f>ROUND(4550,0)</f>
        <v>4550</v>
      </c>
      <c r="C16" s="60">
        <f>ROUND(4928,0)</f>
        <v>4928</v>
      </c>
      <c r="D16" s="3">
        <f>ROUND(5045,0)</f>
        <v>5045</v>
      </c>
      <c r="E16" s="3">
        <f>ROUND(4678095/1000,0)</f>
        <v>4678</v>
      </c>
      <c r="F16" s="3">
        <f>ROUND(5050126/1000,0)</f>
        <v>5050</v>
      </c>
      <c r="G16" s="3">
        <f>ROUND(5622995/1000,0)</f>
        <v>5623</v>
      </c>
      <c r="H16" s="3">
        <f>ROUND(6122261/1000,0)</f>
        <v>6122</v>
      </c>
      <c r="I16" s="1">
        <f>ROUND(7596.981,0)</f>
        <v>7597</v>
      </c>
      <c r="J16" s="1">
        <f>ROUND(9989.527,0)</f>
        <v>9990</v>
      </c>
      <c r="K16" s="1">
        <v>10066.687</v>
      </c>
      <c r="L16" s="1">
        <v>9108.9349999999995</v>
      </c>
      <c r="M16" s="65">
        <f t="shared" si="5"/>
        <v>9048.777</v>
      </c>
      <c r="N16" s="1">
        <v>8988.6190000000006</v>
      </c>
      <c r="O16" s="1">
        <v>10364.73</v>
      </c>
      <c r="P16" s="93">
        <v>9910.35</v>
      </c>
      <c r="Q16" s="1">
        <v>10085.566999999999</v>
      </c>
      <c r="R16" s="1">
        <v>10646.831</v>
      </c>
      <c r="S16" s="14">
        <f>ROUND(10731,0)</f>
        <v>10731</v>
      </c>
      <c r="T16" s="60">
        <f>ROUND(7886,0)</f>
        <v>7886</v>
      </c>
      <c r="U16" s="3">
        <f>ROUND(11106,0)</f>
        <v>11106</v>
      </c>
      <c r="V16" s="3">
        <f>ROUND(10921,0)</f>
        <v>10921</v>
      </c>
      <c r="W16" s="3">
        <f>ROUND(11621,0)</f>
        <v>11621</v>
      </c>
      <c r="X16" s="3">
        <f>ROUND(12255,0)</f>
        <v>12255</v>
      </c>
      <c r="Y16" s="3">
        <f>ROUND(12284,0)</f>
        <v>12284</v>
      </c>
      <c r="Z16" s="1">
        <f>ROUND(12999,0)</f>
        <v>12999</v>
      </c>
      <c r="AA16" s="1">
        <f>ROUND(14916,0)</f>
        <v>14916</v>
      </c>
      <c r="AB16" s="1">
        <v>14088</v>
      </c>
      <c r="AC16" s="1">
        <v>12556</v>
      </c>
      <c r="AD16" s="65">
        <f t="shared" si="2"/>
        <v>13168.5</v>
      </c>
      <c r="AE16" s="1">
        <v>13781</v>
      </c>
      <c r="AF16" s="1">
        <v>17114</v>
      </c>
      <c r="AG16">
        <v>14303</v>
      </c>
      <c r="AH16">
        <v>14021</v>
      </c>
      <c r="AI16" s="90">
        <v>15456</v>
      </c>
    </row>
    <row r="17" spans="1:35">
      <c r="A17" s="1" t="s">
        <v>30</v>
      </c>
      <c r="B17" s="14">
        <f>ROUND(5338,0)</f>
        <v>5338</v>
      </c>
      <c r="C17" s="60">
        <f>ROUND(6428,0)</f>
        <v>6428</v>
      </c>
      <c r="D17" s="3">
        <f>ROUND(6438,0)</f>
        <v>6438</v>
      </c>
      <c r="E17" s="3">
        <f>ROUND(6726196/1000,0)</f>
        <v>6726</v>
      </c>
      <c r="F17" s="3">
        <f>ROUND(6739685/1000,0)</f>
        <v>6740</v>
      </c>
      <c r="G17" s="3">
        <f>ROUND(7180420/1000,0)</f>
        <v>7180</v>
      </c>
      <c r="H17" s="3">
        <f>ROUND(7424818/1000,0)</f>
        <v>7425</v>
      </c>
      <c r="I17" s="1">
        <f>ROUND(8569.172,0)</f>
        <v>8569</v>
      </c>
      <c r="J17" s="1">
        <f>ROUND(9195.358,0)</f>
        <v>9195</v>
      </c>
      <c r="K17" s="1">
        <v>10083.732</v>
      </c>
      <c r="L17" s="1">
        <v>10218.753000000001</v>
      </c>
      <c r="M17" s="65">
        <f t="shared" si="5"/>
        <v>10778.901000000002</v>
      </c>
      <c r="N17" s="1">
        <v>11339.049000000001</v>
      </c>
      <c r="O17" s="1">
        <v>11945.123</v>
      </c>
      <c r="P17" s="93">
        <v>12627.036</v>
      </c>
      <c r="Q17" s="1">
        <v>13588.415000000001</v>
      </c>
      <c r="R17" s="1">
        <v>13888.78</v>
      </c>
      <c r="S17" s="14">
        <f>ROUND(10507,0)</f>
        <v>10507</v>
      </c>
      <c r="T17" s="60">
        <f>ROUND(10264,0)</f>
        <v>10264</v>
      </c>
      <c r="U17" s="3">
        <f>ROUND(9252,0)</f>
        <v>9252</v>
      </c>
      <c r="V17" s="3">
        <f>ROUND(9587,0)</f>
        <v>9587</v>
      </c>
      <c r="W17" s="3">
        <f>ROUND(10137,0)</f>
        <v>10137</v>
      </c>
      <c r="X17" s="3">
        <f>ROUND(11053,0)</f>
        <v>11053</v>
      </c>
      <c r="Y17" s="3">
        <f>ROUND(10953,0)</f>
        <v>10953</v>
      </c>
      <c r="Z17" s="1">
        <f>ROUND(13346,0)</f>
        <v>13346</v>
      </c>
      <c r="AA17" s="1">
        <f>ROUND(14801,0)</f>
        <v>14801</v>
      </c>
      <c r="AB17" s="1">
        <v>17065</v>
      </c>
      <c r="AC17" s="1">
        <v>17467</v>
      </c>
      <c r="AD17" s="65">
        <f t="shared" si="2"/>
        <v>18096</v>
      </c>
      <c r="AE17" s="1">
        <v>18725</v>
      </c>
      <c r="AF17" s="1">
        <v>18951</v>
      </c>
      <c r="AG17">
        <v>19681</v>
      </c>
      <c r="AH17">
        <v>20355</v>
      </c>
      <c r="AI17" s="90">
        <v>19264</v>
      </c>
    </row>
    <row r="18" spans="1:35">
      <c r="A18" s="1" t="s">
        <v>31</v>
      </c>
      <c r="B18" s="14">
        <f>ROUND(4621,0)</f>
        <v>4621</v>
      </c>
      <c r="C18" s="60">
        <f>ROUND(5073,0)</f>
        <v>5073</v>
      </c>
      <c r="D18" s="3">
        <f>ROUND(4932,0)</f>
        <v>4932</v>
      </c>
      <c r="E18" s="3">
        <f>ROUND(5208570/1000,0)</f>
        <v>5209</v>
      </c>
      <c r="F18" s="3">
        <f>ROUND(5535892/1000,0)</f>
        <v>5536</v>
      </c>
      <c r="G18" s="3">
        <f>ROUND(5776719/1000,0)</f>
        <v>5777</v>
      </c>
      <c r="H18" s="3">
        <f>ROUND(6127072/1000,0)</f>
        <v>6127</v>
      </c>
      <c r="I18" s="1">
        <f>ROUND(7013.073,0)</f>
        <v>7013</v>
      </c>
      <c r="J18" s="1">
        <f>ROUND(7210.711,0)</f>
        <v>7211</v>
      </c>
      <c r="K18" s="1">
        <v>7856.9279999999999</v>
      </c>
      <c r="L18" s="1">
        <v>7930.6679999999997</v>
      </c>
      <c r="M18" s="65">
        <f t="shared" si="5"/>
        <v>7988.6659999999993</v>
      </c>
      <c r="N18" s="1">
        <v>8046.6639999999998</v>
      </c>
      <c r="O18" s="1">
        <v>8050.1639999999998</v>
      </c>
      <c r="P18" s="93">
        <v>8117.723</v>
      </c>
      <c r="Q18" s="1">
        <v>8904.0190000000002</v>
      </c>
      <c r="R18" s="1">
        <v>8930.6650000000009</v>
      </c>
      <c r="S18" s="14">
        <f>ROUND(9495,0)</f>
        <v>9495</v>
      </c>
      <c r="T18" s="60">
        <f>ROUND(8155,0)</f>
        <v>8155</v>
      </c>
      <c r="U18" s="3">
        <f>ROUND(8973,0)</f>
        <v>8973</v>
      </c>
      <c r="V18" s="3">
        <f>ROUND(8401,0)</f>
        <v>8401</v>
      </c>
      <c r="W18" s="3">
        <f>ROUND(10856,0)</f>
        <v>10856</v>
      </c>
      <c r="X18" s="3">
        <f>ROUND(10272,0)</f>
        <v>10272</v>
      </c>
      <c r="Y18" s="3">
        <f>ROUND(10612,0)</f>
        <v>10612</v>
      </c>
      <c r="Z18" s="1">
        <f>ROUND(10852,0)</f>
        <v>10852</v>
      </c>
      <c r="AA18" s="1">
        <f>ROUND(12170,0)</f>
        <v>12170</v>
      </c>
      <c r="AB18" s="1">
        <v>11942</v>
      </c>
      <c r="AC18" s="1">
        <v>11060</v>
      </c>
      <c r="AD18" s="65">
        <f t="shared" si="2"/>
        <v>11291</v>
      </c>
      <c r="AE18" s="1">
        <v>11522</v>
      </c>
      <c r="AF18" s="1">
        <v>12328</v>
      </c>
      <c r="AG18">
        <v>12954</v>
      </c>
      <c r="AH18">
        <v>12529</v>
      </c>
      <c r="AI18" s="90">
        <v>13686</v>
      </c>
    </row>
    <row r="19" spans="1:35">
      <c r="A19" s="1" t="s">
        <v>32</v>
      </c>
      <c r="B19" s="14">
        <f>ROUND(8808,0)</f>
        <v>8808</v>
      </c>
      <c r="C19" s="60">
        <f>ROUND(9771,0)</f>
        <v>9771</v>
      </c>
      <c r="D19" s="3">
        <f>ROUND(9283,0)</f>
        <v>9283</v>
      </c>
      <c r="E19" s="3">
        <f>ROUND(10612088/1000,0)</f>
        <v>10612</v>
      </c>
      <c r="F19" s="3">
        <f>ROUND(10357365/1000,0)</f>
        <v>10357</v>
      </c>
      <c r="G19" s="3">
        <f>ROUND(11320788/1000,0)</f>
        <v>11321</v>
      </c>
      <c r="H19" s="3">
        <f>ROUND(12090504/1000,0)</f>
        <v>12091</v>
      </c>
      <c r="I19" s="1">
        <f>ROUND(13939.342,0)</f>
        <v>13939</v>
      </c>
      <c r="J19" s="1">
        <f>ROUND(13819.899,0)</f>
        <v>13820</v>
      </c>
      <c r="K19" s="1">
        <v>16222.727000000001</v>
      </c>
      <c r="L19" s="1">
        <v>16486.348000000002</v>
      </c>
      <c r="M19" s="65">
        <f t="shared" si="5"/>
        <v>16558.181499999999</v>
      </c>
      <c r="N19" s="1">
        <v>16630.014999999999</v>
      </c>
      <c r="O19" s="1">
        <v>17767.13</v>
      </c>
      <c r="P19" s="93">
        <v>19583.005000000001</v>
      </c>
      <c r="Q19" s="1">
        <v>22122.905999999999</v>
      </c>
      <c r="R19" s="1">
        <v>23117.887999999999</v>
      </c>
      <c r="S19" s="14">
        <f>ROUND(14979,0)</f>
        <v>14979</v>
      </c>
      <c r="T19" s="60">
        <f>ROUND(15752,0)</f>
        <v>15752</v>
      </c>
      <c r="U19" s="3">
        <f>ROUND(13753,0)</f>
        <v>13753</v>
      </c>
      <c r="V19" s="3">
        <f>ROUND(13988,0)</f>
        <v>13988</v>
      </c>
      <c r="W19" s="3">
        <f>ROUND(14243,0)</f>
        <v>14243</v>
      </c>
      <c r="X19" s="3">
        <f>ROUND(15756,0)</f>
        <v>15756</v>
      </c>
      <c r="Y19" s="3">
        <f>ROUND(16899,0)</f>
        <v>16899</v>
      </c>
      <c r="Z19" s="1">
        <f>ROUND(18803,0)</f>
        <v>18803</v>
      </c>
      <c r="AA19" s="1">
        <f>ROUND(20864,0)</f>
        <v>20864</v>
      </c>
      <c r="AB19" s="1">
        <v>23697</v>
      </c>
      <c r="AC19" s="1">
        <v>22657</v>
      </c>
      <c r="AD19" s="65">
        <f t="shared" si="2"/>
        <v>23107</v>
      </c>
      <c r="AE19" s="1">
        <v>23557</v>
      </c>
      <c r="AF19" s="1">
        <v>23585</v>
      </c>
      <c r="AG19">
        <v>22945</v>
      </c>
      <c r="AH19">
        <v>23070</v>
      </c>
      <c r="AI19" s="90">
        <v>22200</v>
      </c>
    </row>
    <row r="20" spans="1:35">
      <c r="A20" s="1" t="s">
        <v>33</v>
      </c>
      <c r="B20" s="14">
        <f>ROUND(3531,0)</f>
        <v>3531</v>
      </c>
      <c r="C20" s="60">
        <f>ROUND(4428,0)</f>
        <v>4428</v>
      </c>
      <c r="D20" s="3">
        <f>ROUND(4210,0)</f>
        <v>4210</v>
      </c>
      <c r="E20" s="3">
        <f>ROUND(4514347/1000,0)</f>
        <v>4514</v>
      </c>
      <c r="F20" s="3">
        <f>ROUND(4467882/1000,0)</f>
        <v>4468</v>
      </c>
      <c r="G20" s="3">
        <f>ROUND(4970986/1000,0)</f>
        <v>4971</v>
      </c>
      <c r="H20" s="3">
        <f>ROUND(5644763/1000,0)</f>
        <v>5645</v>
      </c>
      <c r="I20" s="1">
        <f>ROUND(6734.212,0)</f>
        <v>6734</v>
      </c>
      <c r="J20" s="1">
        <f>ROUND(7384.251,0)</f>
        <v>7384</v>
      </c>
      <c r="K20" s="1">
        <v>8359.2819999999992</v>
      </c>
      <c r="L20" s="1">
        <v>8059.52</v>
      </c>
      <c r="M20" s="65">
        <f t="shared" si="5"/>
        <v>8101.8440000000001</v>
      </c>
      <c r="N20" s="1">
        <v>8144.1679999999997</v>
      </c>
      <c r="O20" s="1">
        <v>8069.2160000000003</v>
      </c>
      <c r="P20" s="93">
        <v>7983.8209999999999</v>
      </c>
      <c r="Q20" s="1">
        <v>8449.6309999999994</v>
      </c>
      <c r="R20" s="1">
        <v>8108.759</v>
      </c>
      <c r="S20" s="14">
        <f>ROUND(9162,0)</f>
        <v>9162</v>
      </c>
      <c r="T20" s="60">
        <f>ROUND(7135,0)</f>
        <v>7135</v>
      </c>
      <c r="U20" s="3">
        <f>ROUND(9887,0)</f>
        <v>9887</v>
      </c>
      <c r="V20" s="3">
        <f>ROUND(10124,0)</f>
        <v>10124</v>
      </c>
      <c r="W20" s="3">
        <f>ROUND(9856,0)</f>
        <v>9856</v>
      </c>
      <c r="X20" s="3">
        <f>ROUND(10797,0)</f>
        <v>10797</v>
      </c>
      <c r="Y20" s="3">
        <f>ROUND(11445,0)</f>
        <v>11445</v>
      </c>
      <c r="Z20" s="1">
        <f>ROUND(13045,0)</f>
        <v>13045</v>
      </c>
      <c r="AA20" s="1">
        <f>ROUND(13226,0)</f>
        <v>13226</v>
      </c>
      <c r="AB20" s="1">
        <v>17339</v>
      </c>
      <c r="AC20" s="1">
        <v>12805</v>
      </c>
      <c r="AD20" s="65">
        <f t="shared" si="2"/>
        <v>13098.5</v>
      </c>
      <c r="AE20" s="1">
        <v>13392</v>
      </c>
      <c r="AF20" s="1">
        <v>13184</v>
      </c>
      <c r="AG20">
        <v>13837</v>
      </c>
      <c r="AH20">
        <v>13688</v>
      </c>
      <c r="AI20" s="90">
        <v>13896</v>
      </c>
    </row>
    <row r="21" spans="1:35">
      <c r="A21" s="1" t="s">
        <v>34</v>
      </c>
      <c r="B21" s="14">
        <f>ROUND(4152,0)</f>
        <v>4152</v>
      </c>
      <c r="C21" s="60">
        <f>ROUND(4871,0)</f>
        <v>4871</v>
      </c>
      <c r="D21" s="3">
        <f>ROUND(4801,0)</f>
        <v>4801</v>
      </c>
      <c r="E21" s="3">
        <f>ROUND(5086587/1000,0)</f>
        <v>5087</v>
      </c>
      <c r="F21" s="3">
        <f>ROUND(5044491/1000,0)</f>
        <v>5044</v>
      </c>
      <c r="G21" s="3">
        <f>ROUND(5462951/1000,0)</f>
        <v>5463</v>
      </c>
      <c r="H21" s="3">
        <f>ROUND(5948837/1000,0)</f>
        <v>5949</v>
      </c>
      <c r="I21" s="1">
        <f>ROUND(5701.406,0)</f>
        <v>5701</v>
      </c>
      <c r="J21" s="1">
        <f>ROUND(7014.704,0)</f>
        <v>7015</v>
      </c>
      <c r="K21" s="1">
        <v>8421.1740000000009</v>
      </c>
      <c r="L21" s="1">
        <v>8574.52</v>
      </c>
      <c r="M21" s="65">
        <f t="shared" si="5"/>
        <v>8561.2865000000002</v>
      </c>
      <c r="N21" s="1">
        <v>8548.0529999999999</v>
      </c>
      <c r="O21" s="1">
        <v>9034.76</v>
      </c>
      <c r="P21" s="93">
        <v>8800.5689999999995</v>
      </c>
      <c r="Q21" s="1">
        <v>10741.967000000001</v>
      </c>
      <c r="R21" s="1">
        <v>11474.157999999999</v>
      </c>
      <c r="S21" s="14">
        <f>ROUND(8681,0)</f>
        <v>8681</v>
      </c>
      <c r="T21" s="60">
        <f>ROUND(7614,0)</f>
        <v>7614</v>
      </c>
      <c r="U21" s="3">
        <f>ROUND(9120,0)</f>
        <v>9120</v>
      </c>
      <c r="V21" s="3">
        <f>ROUND(9132,0)</f>
        <v>9132</v>
      </c>
      <c r="W21" s="3">
        <f>ROUND(8923,0)</f>
        <v>8923</v>
      </c>
      <c r="X21" s="3">
        <f>ROUND(9888,0)</f>
        <v>9888</v>
      </c>
      <c r="Y21" s="3">
        <f>ROUND(10667,0)</f>
        <v>10667</v>
      </c>
      <c r="Z21" s="1">
        <f>ROUND(10218,0)</f>
        <v>10218</v>
      </c>
      <c r="AA21" s="1">
        <f>ROUND(11384,0)</f>
        <v>11384</v>
      </c>
      <c r="AB21" s="1">
        <v>13728</v>
      </c>
      <c r="AC21" s="1">
        <v>14315</v>
      </c>
      <c r="AD21" s="65">
        <f t="shared" si="2"/>
        <v>13864.5</v>
      </c>
      <c r="AE21" s="1">
        <v>13414</v>
      </c>
      <c r="AF21" s="1">
        <v>13326</v>
      </c>
      <c r="AG21">
        <v>13335</v>
      </c>
      <c r="AH21">
        <v>15101</v>
      </c>
      <c r="AI21" s="90">
        <v>15606</v>
      </c>
    </row>
    <row r="22" spans="1:35">
      <c r="A22" s="1" t="s">
        <v>35</v>
      </c>
      <c r="B22" s="14">
        <f>ROUND(5970,0)</f>
        <v>5970</v>
      </c>
      <c r="C22" s="60">
        <f>ROUND(6872,0)</f>
        <v>6872</v>
      </c>
      <c r="D22" s="3">
        <f>ROUND(6825,0)</f>
        <v>6825</v>
      </c>
      <c r="E22" s="3">
        <f>ROUND(6978780/1000,0)</f>
        <v>6979</v>
      </c>
      <c r="F22" s="3">
        <f>ROUND(7276333/1000,0)</f>
        <v>7276</v>
      </c>
      <c r="G22" s="3">
        <f>ROUND(7912894/1000,0)</f>
        <v>7913</v>
      </c>
      <c r="H22" s="3">
        <f>ROUND(8835721/1000,0)</f>
        <v>8836</v>
      </c>
      <c r="I22" s="1">
        <f>ROUND(10498.841,0)</f>
        <v>10499</v>
      </c>
      <c r="J22" s="1">
        <f>ROUND(12061.549,0)</f>
        <v>12062</v>
      </c>
      <c r="K22" s="1">
        <v>13127.267</v>
      </c>
      <c r="L22" s="1">
        <v>13102.814</v>
      </c>
      <c r="M22" s="65">
        <f t="shared" si="5"/>
        <v>12793.979500000001</v>
      </c>
      <c r="N22" s="1">
        <v>12485.145</v>
      </c>
      <c r="O22" s="1">
        <v>13172.365</v>
      </c>
      <c r="P22" s="93">
        <v>13819.111000000001</v>
      </c>
      <c r="Q22" s="1">
        <v>14968.731</v>
      </c>
      <c r="R22" s="1">
        <v>14945.757</v>
      </c>
      <c r="S22" s="14">
        <f>ROUND(11411,0)</f>
        <v>11411</v>
      </c>
      <c r="T22" s="60">
        <f>ROUND(11057,0)</f>
        <v>11057</v>
      </c>
      <c r="U22" s="3">
        <f>ROUND(10718,0)</f>
        <v>10718</v>
      </c>
      <c r="V22" s="3">
        <f>ROUND(11276,0)</f>
        <v>11276</v>
      </c>
      <c r="W22" s="3">
        <f>ROUND(12455,0)</f>
        <v>12455</v>
      </c>
      <c r="X22" s="3">
        <f>ROUND(13688,0)</f>
        <v>13688</v>
      </c>
      <c r="Y22" s="3">
        <f>ROUND(14904,0)</f>
        <v>14904</v>
      </c>
      <c r="Z22" s="1">
        <f>ROUND(17628,0)</f>
        <v>17628</v>
      </c>
      <c r="AA22" s="1">
        <f>ROUND(18487,0)</f>
        <v>18487</v>
      </c>
      <c r="AB22" s="1">
        <v>20049</v>
      </c>
      <c r="AC22" s="1">
        <v>17511</v>
      </c>
      <c r="AD22" s="65">
        <f t="shared" si="2"/>
        <v>17913</v>
      </c>
      <c r="AE22" s="1">
        <v>18315</v>
      </c>
      <c r="AF22" s="1">
        <v>18656</v>
      </c>
      <c r="AG22">
        <v>20520</v>
      </c>
      <c r="AH22">
        <v>20944</v>
      </c>
      <c r="AI22" s="90">
        <v>21853</v>
      </c>
    </row>
    <row r="23" spans="1:35">
      <c r="A23" s="1" t="s">
        <v>36</v>
      </c>
      <c r="B23" s="14">
        <f>ROUND(16697,0)</f>
        <v>16697</v>
      </c>
      <c r="C23" s="60">
        <f>ROUND(19767,0)</f>
        <v>19767</v>
      </c>
      <c r="D23" s="3">
        <f>ROUND(19080,0)</f>
        <v>19080</v>
      </c>
      <c r="E23" s="3">
        <f>ROUND(19073031/1000,0)</f>
        <v>19073</v>
      </c>
      <c r="F23" s="3">
        <f>ROUND(20224083/1000,0)</f>
        <v>20224</v>
      </c>
      <c r="G23" s="3">
        <f>ROUND(21672753/1000,0)</f>
        <v>21673</v>
      </c>
      <c r="H23" s="3">
        <f>ROUND(23552449/1000,0)</f>
        <v>23552</v>
      </c>
      <c r="I23" s="1">
        <f>ROUND(26420.098,0)</f>
        <v>26420</v>
      </c>
      <c r="J23" s="1">
        <f>ROUND(29369.886,0)</f>
        <v>29370</v>
      </c>
      <c r="K23" s="1">
        <v>33774.9</v>
      </c>
      <c r="L23" s="1">
        <v>33900.377</v>
      </c>
      <c r="M23" s="65">
        <f t="shared" si="5"/>
        <v>35434.190999999999</v>
      </c>
      <c r="N23" s="1">
        <v>36968.004999999997</v>
      </c>
      <c r="O23" s="1">
        <v>39267.209000000003</v>
      </c>
      <c r="P23" s="93">
        <v>43637.792000000001</v>
      </c>
      <c r="Q23" s="1">
        <v>42046.031000000003</v>
      </c>
      <c r="R23" s="1">
        <v>42607.209000000003</v>
      </c>
      <c r="S23" s="14">
        <f>ROUND(32949,0)</f>
        <v>32949</v>
      </c>
      <c r="T23" s="60">
        <f>ROUND(31629,0)</f>
        <v>31629</v>
      </c>
      <c r="U23" s="3">
        <f>ROUND(30726,0)</f>
        <v>30726</v>
      </c>
      <c r="V23" s="3">
        <f>ROUND(32792,0)</f>
        <v>32792</v>
      </c>
      <c r="W23" s="3">
        <f>ROUND(31806,0)</f>
        <v>31806</v>
      </c>
      <c r="X23" s="3">
        <f>ROUND(34638,0)</f>
        <v>34638</v>
      </c>
      <c r="Y23" s="3">
        <f>ROUND(36726,0)</f>
        <v>36726</v>
      </c>
      <c r="Z23" s="1">
        <f>ROUND(41679,0)</f>
        <v>41679</v>
      </c>
      <c r="AA23" s="1">
        <f>ROUND(46813,0)</f>
        <v>46813</v>
      </c>
      <c r="AB23" s="1">
        <v>54052</v>
      </c>
      <c r="AC23" s="1">
        <v>56614</v>
      </c>
      <c r="AD23" s="65">
        <f t="shared" si="2"/>
        <v>57121</v>
      </c>
      <c r="AE23" s="1">
        <v>57628</v>
      </c>
      <c r="AF23" s="1">
        <v>56947</v>
      </c>
      <c r="AG23">
        <v>64133</v>
      </c>
      <c r="AH23">
        <v>60869</v>
      </c>
      <c r="AI23" s="90">
        <v>59226</v>
      </c>
    </row>
    <row r="24" spans="1:35">
      <c r="A24" s="1" t="s">
        <v>37</v>
      </c>
      <c r="B24" s="14">
        <f>ROUND(6315,0)</f>
        <v>6315</v>
      </c>
      <c r="C24" s="60">
        <f>ROUND(7635,0)</f>
        <v>7635</v>
      </c>
      <c r="D24" s="3">
        <f>ROUND(7667,0)</f>
        <v>7667</v>
      </c>
      <c r="E24" s="3">
        <f>ROUND(8115258/1000,0)</f>
        <v>8115</v>
      </c>
      <c r="F24" s="3">
        <f>ROUND(8044214/1000,0)</f>
        <v>8044</v>
      </c>
      <c r="G24" s="3">
        <f>ROUND(8855019/1000,0)</f>
        <v>8855</v>
      </c>
      <c r="H24" s="3">
        <f>ROUND(9610523/1000,0)</f>
        <v>9611</v>
      </c>
      <c r="I24" s="1">
        <f>ROUND(11471.454,0)</f>
        <v>11471</v>
      </c>
      <c r="J24" s="1">
        <f>ROUND(13287.396,0)</f>
        <v>13287</v>
      </c>
      <c r="K24" s="1">
        <v>14086.392</v>
      </c>
      <c r="L24" s="1">
        <v>14396.312</v>
      </c>
      <c r="M24" s="65">
        <f t="shared" si="5"/>
        <v>14516.787</v>
      </c>
      <c r="N24" s="1">
        <v>14637.262000000001</v>
      </c>
      <c r="O24" s="1">
        <v>16184.869000000001</v>
      </c>
      <c r="P24" s="93">
        <v>16599.298999999999</v>
      </c>
      <c r="Q24" s="1">
        <v>17691.771000000001</v>
      </c>
      <c r="R24" s="1">
        <v>17064.458999999999</v>
      </c>
      <c r="S24" s="14">
        <f>ROUND(11194,0)</f>
        <v>11194</v>
      </c>
      <c r="T24" s="60">
        <f>ROUND(12263,0)</f>
        <v>12263</v>
      </c>
      <c r="U24" s="3">
        <f>ROUND(10815,0)</f>
        <v>10815</v>
      </c>
      <c r="V24" s="3">
        <f>ROUND(11104,0)</f>
        <v>11104</v>
      </c>
      <c r="W24" s="3">
        <f>ROUND(10828,0)</f>
        <v>10828</v>
      </c>
      <c r="X24" s="3">
        <f>ROUND(12400,0)</f>
        <v>12400</v>
      </c>
      <c r="Y24" s="3">
        <f>ROUND(12970,0)</f>
        <v>12970</v>
      </c>
      <c r="Z24" s="1">
        <f>ROUND(16458,0)</f>
        <v>16458</v>
      </c>
      <c r="AA24" s="1">
        <f>ROUND(20547,0)</f>
        <v>20547</v>
      </c>
      <c r="AB24" s="1">
        <v>20917</v>
      </c>
      <c r="AC24" s="1">
        <v>20987</v>
      </c>
      <c r="AD24" s="65">
        <f t="shared" si="2"/>
        <v>22830.5</v>
      </c>
      <c r="AE24" s="1">
        <v>24674</v>
      </c>
      <c r="AF24" s="1">
        <v>24459</v>
      </c>
      <c r="AG24">
        <v>26400</v>
      </c>
      <c r="AH24">
        <v>30038</v>
      </c>
      <c r="AI24" s="90">
        <v>27662</v>
      </c>
    </row>
    <row r="25" spans="1:35">
      <c r="A25" s="49" t="s">
        <v>38</v>
      </c>
      <c r="B25" s="52">
        <f>ROUND(2565,0)</f>
        <v>2565</v>
      </c>
      <c r="C25" s="67">
        <f>ROUND(3010,0)</f>
        <v>3010</v>
      </c>
      <c r="D25" s="50">
        <f>ROUND(2925,0)</f>
        <v>2925</v>
      </c>
      <c r="E25" s="50">
        <f>ROUND(3085872/1000,0)</f>
        <v>3086</v>
      </c>
      <c r="F25" s="50">
        <f>ROUND(3321741/1000,0)</f>
        <v>3322</v>
      </c>
      <c r="G25" s="50">
        <f>ROUND(3420803/1000,0)</f>
        <v>3421</v>
      </c>
      <c r="H25" s="50">
        <f>ROUND(3835281/1000,0)</f>
        <v>3835</v>
      </c>
      <c r="I25" s="49">
        <f>ROUND(4580.482,0)</f>
        <v>4580</v>
      </c>
      <c r="J25" s="49">
        <f>ROUND(5103.65,0)</f>
        <v>5104</v>
      </c>
      <c r="K25" s="49">
        <v>5701.41</v>
      </c>
      <c r="L25" s="49">
        <v>5674.5519999999997</v>
      </c>
      <c r="M25" s="84">
        <f t="shared" si="5"/>
        <v>5785.5095000000001</v>
      </c>
      <c r="N25" s="49">
        <v>5896.4669999999996</v>
      </c>
      <c r="O25" s="49">
        <v>5936.7950000000001</v>
      </c>
      <c r="P25" s="94">
        <v>6228.3230000000003</v>
      </c>
      <c r="Q25" s="71">
        <v>5984.8379999999997</v>
      </c>
      <c r="R25" s="71">
        <v>6035.6750000000002</v>
      </c>
      <c r="S25" s="82">
        <f>ROUND(5157,0)</f>
        <v>5157</v>
      </c>
      <c r="T25" s="67">
        <f>ROUND(4854,0)</f>
        <v>4854</v>
      </c>
      <c r="U25" s="50">
        <f>ROUND(5090,0)</f>
        <v>5090</v>
      </c>
      <c r="V25" s="50">
        <f>ROUND(4462,0)</f>
        <v>4462</v>
      </c>
      <c r="W25" s="50">
        <f>ROUND(4723,0)</f>
        <v>4723</v>
      </c>
      <c r="X25" s="50">
        <f>ROUND(4653,0)</f>
        <v>4653</v>
      </c>
      <c r="Y25" s="50">
        <f>ROUND(4940,0)</f>
        <v>4940</v>
      </c>
      <c r="Z25" s="49">
        <f>ROUND(5957,0)</f>
        <v>5957</v>
      </c>
      <c r="AA25" s="49">
        <f>ROUND(7199,0)</f>
        <v>7199</v>
      </c>
      <c r="AB25" s="49">
        <v>7302</v>
      </c>
      <c r="AC25" s="49">
        <v>6928</v>
      </c>
      <c r="AD25" s="105">
        <f t="shared" si="2"/>
        <v>7046.5</v>
      </c>
      <c r="AE25" s="49">
        <v>7165</v>
      </c>
      <c r="AF25" s="49">
        <v>7030</v>
      </c>
      <c r="AG25" s="91">
        <v>7729</v>
      </c>
      <c r="AH25" s="91">
        <v>7020</v>
      </c>
      <c r="AI25" s="92">
        <v>6981</v>
      </c>
    </row>
    <row r="26" spans="1:35">
      <c r="A26" s="1"/>
      <c r="B26" s="1"/>
      <c r="C26" s="58"/>
      <c r="D26" s="1"/>
      <c r="E26" s="1"/>
      <c r="F26" s="1"/>
      <c r="G26" s="1"/>
      <c r="H26" s="1"/>
      <c r="I26" s="1"/>
      <c r="J26" s="1"/>
      <c r="K26" s="1"/>
      <c r="L26" s="1"/>
      <c r="M26" s="1"/>
      <c r="N26" s="1"/>
      <c r="O26" s="1"/>
      <c r="P26" s="93"/>
      <c r="Q26" s="1"/>
      <c r="R26" s="1"/>
      <c r="S26" s="83"/>
      <c r="T26" s="58"/>
      <c r="U26" s="1"/>
      <c r="V26" s="3"/>
      <c r="W26" s="1"/>
      <c r="X26" s="1"/>
      <c r="Y26" s="1"/>
      <c r="Z26" s="1"/>
      <c r="AA26" s="1"/>
      <c r="AB26" s="1"/>
      <c r="AC26" s="1"/>
      <c r="AD26" s="65"/>
      <c r="AE26" s="1"/>
      <c r="AF26" s="1"/>
      <c r="AI26" s="90"/>
    </row>
    <row r="27" spans="1:35">
      <c r="A27" s="53" t="s">
        <v>160</v>
      </c>
      <c r="P27" s="93">
        <v>918.54100000000005</v>
      </c>
      <c r="Q27" s="1">
        <v>783.68</v>
      </c>
      <c r="R27" s="1">
        <v>929.43799999999999</v>
      </c>
      <c r="S27" s="78"/>
      <c r="AG27">
        <v>1230</v>
      </c>
      <c r="AH27">
        <v>1447</v>
      </c>
      <c r="AI27" s="90">
        <v>1529</v>
      </c>
    </row>
    <row r="28" spans="1:35">
      <c r="A28" s="53" t="s">
        <v>161</v>
      </c>
      <c r="P28" s="93">
        <v>11614.106</v>
      </c>
      <c r="Q28" s="1">
        <v>11938.972</v>
      </c>
      <c r="R28" s="1">
        <v>12368.516</v>
      </c>
      <c r="S28" s="78"/>
      <c r="AG28">
        <v>18114</v>
      </c>
      <c r="AH28">
        <v>18086</v>
      </c>
      <c r="AI28" s="90">
        <v>19732</v>
      </c>
    </row>
    <row r="29" spans="1:35">
      <c r="A29" s="53" t="s">
        <v>162</v>
      </c>
      <c r="P29" s="93">
        <v>87548.816000000006</v>
      </c>
      <c r="Q29" s="1">
        <v>89464.501000000004</v>
      </c>
      <c r="R29" s="1">
        <v>95940.932000000001</v>
      </c>
      <c r="S29" s="78"/>
      <c r="AG29">
        <v>135123</v>
      </c>
      <c r="AH29">
        <v>135747</v>
      </c>
      <c r="AI29" s="90">
        <v>139590</v>
      </c>
    </row>
    <row r="30" spans="1:35">
      <c r="A30" s="53" t="s">
        <v>163</v>
      </c>
      <c r="P30" s="93">
        <v>10503.508</v>
      </c>
      <c r="Q30" s="1">
        <v>10995.129000000001</v>
      </c>
      <c r="R30" s="1">
        <v>11468.284</v>
      </c>
      <c r="S30" s="78"/>
      <c r="AG30">
        <v>11102</v>
      </c>
      <c r="AH30">
        <v>11447</v>
      </c>
      <c r="AI30" s="90">
        <v>11828</v>
      </c>
    </row>
    <row r="31" spans="1:35">
      <c r="A31" s="53" t="s">
        <v>164</v>
      </c>
      <c r="P31" s="93">
        <v>11247.612999999999</v>
      </c>
      <c r="Q31" s="1">
        <v>11577.227999999999</v>
      </c>
      <c r="R31" s="1">
        <v>11976.627</v>
      </c>
      <c r="S31" s="78"/>
      <c r="AG31">
        <v>10873</v>
      </c>
      <c r="AH31">
        <v>12464</v>
      </c>
      <c r="AI31" s="90">
        <v>10556</v>
      </c>
    </row>
    <row r="32" spans="1:35">
      <c r="A32" s="53" t="s">
        <v>166</v>
      </c>
      <c r="P32" s="93">
        <v>2302.8890000000001</v>
      </c>
      <c r="Q32" s="1">
        <v>2329.192</v>
      </c>
      <c r="R32" s="1">
        <v>2341.942</v>
      </c>
      <c r="S32" s="78"/>
      <c r="AG32">
        <v>3216</v>
      </c>
      <c r="AH32">
        <v>3172</v>
      </c>
      <c r="AI32" s="90">
        <v>3240</v>
      </c>
    </row>
    <row r="33" spans="1:35">
      <c r="A33" s="53" t="s">
        <v>167</v>
      </c>
      <c r="P33" s="93">
        <v>2440.377</v>
      </c>
      <c r="Q33" s="1">
        <v>2463.09</v>
      </c>
      <c r="R33" s="1">
        <v>2558.2860000000001</v>
      </c>
      <c r="S33" s="78"/>
      <c r="AG33">
        <v>5806</v>
      </c>
      <c r="AH33">
        <v>5592</v>
      </c>
      <c r="AI33" s="90">
        <v>6394</v>
      </c>
    </row>
    <row r="34" spans="1:35">
      <c r="A34" s="53" t="s">
        <v>168</v>
      </c>
      <c r="P34" s="93">
        <v>35314.040999999997</v>
      </c>
      <c r="Q34" s="1">
        <v>40814.902999999998</v>
      </c>
      <c r="R34" s="1">
        <v>45058.635000000002</v>
      </c>
      <c r="S34" s="78"/>
      <c r="AG34">
        <v>38891</v>
      </c>
      <c r="AH34">
        <v>44697</v>
      </c>
      <c r="AI34" s="90">
        <v>42894</v>
      </c>
    </row>
    <row r="35" spans="1:35">
      <c r="A35" s="53" t="s">
        <v>169</v>
      </c>
      <c r="P35" s="93">
        <v>18117.670999999998</v>
      </c>
      <c r="Q35" s="1">
        <v>18667.759999999998</v>
      </c>
      <c r="R35" s="1">
        <v>19970.48</v>
      </c>
      <c r="S35" s="78"/>
      <c r="AG35">
        <v>27219</v>
      </c>
      <c r="AH35">
        <v>25803</v>
      </c>
      <c r="AI35" s="90">
        <v>28751</v>
      </c>
    </row>
    <row r="36" spans="1:35">
      <c r="A36" s="53" t="s">
        <v>170</v>
      </c>
      <c r="P36" s="93">
        <v>11374.184999999999</v>
      </c>
      <c r="Q36" s="1">
        <v>11630.163</v>
      </c>
      <c r="R36" s="1">
        <v>11308.78</v>
      </c>
      <c r="S36" s="78"/>
      <c r="AG36">
        <v>14381</v>
      </c>
      <c r="AH36">
        <v>14850</v>
      </c>
      <c r="AI36" s="90">
        <v>14851</v>
      </c>
    </row>
    <row r="37" spans="1:35">
      <c r="A37" s="53" t="s">
        <v>171</v>
      </c>
      <c r="P37" s="93">
        <v>6401.3729999999996</v>
      </c>
      <c r="Q37" s="1">
        <v>6685.7420000000002</v>
      </c>
      <c r="R37" s="1">
        <v>6482.7259999999997</v>
      </c>
      <c r="S37" s="78"/>
      <c r="AG37">
        <v>12039</v>
      </c>
      <c r="AH37">
        <v>12356</v>
      </c>
      <c r="AI37" s="90">
        <v>13114</v>
      </c>
    </row>
    <row r="38" spans="1:35">
      <c r="A38" s="53" t="s">
        <v>172</v>
      </c>
      <c r="P38" s="93">
        <v>9218.3089999999993</v>
      </c>
      <c r="Q38" s="1">
        <v>9528.902</v>
      </c>
      <c r="R38" s="1">
        <v>9396.2260000000006</v>
      </c>
      <c r="S38" s="78"/>
      <c r="AG38">
        <v>11093</v>
      </c>
      <c r="AH38">
        <v>10180</v>
      </c>
      <c r="AI38" s="90">
        <v>9996</v>
      </c>
    </row>
    <row r="39" spans="1:35">
      <c r="A39" s="53" t="s">
        <v>173</v>
      </c>
      <c r="P39" s="93">
        <v>43423.877999999997</v>
      </c>
      <c r="Q39" s="1">
        <v>45308.748</v>
      </c>
      <c r="R39" s="1">
        <v>44035.915999999997</v>
      </c>
      <c r="S39" s="78"/>
      <c r="AG39">
        <v>44970</v>
      </c>
      <c r="AH39">
        <v>37385</v>
      </c>
      <c r="AI39" s="90">
        <v>35052</v>
      </c>
    </row>
    <row r="40" spans="1:35">
      <c r="A40" s="53" t="s">
        <v>174</v>
      </c>
      <c r="P40" s="93">
        <v>28767.059000000001</v>
      </c>
      <c r="Q40" s="1">
        <v>29730.668000000001</v>
      </c>
      <c r="R40" s="1">
        <v>31113.554</v>
      </c>
      <c r="S40" s="78"/>
      <c r="AG40">
        <v>46670</v>
      </c>
      <c r="AH40">
        <v>58241</v>
      </c>
      <c r="AI40" s="90">
        <v>47359</v>
      </c>
    </row>
    <row r="41" spans="1:35">
      <c r="A41" s="53" t="s">
        <v>175</v>
      </c>
      <c r="P41" s="93">
        <v>21008.807000000001</v>
      </c>
      <c r="Q41" s="1">
        <v>20975.477999999999</v>
      </c>
      <c r="R41" s="1">
        <v>20124.485000000001</v>
      </c>
      <c r="S41" s="78"/>
      <c r="AG41">
        <v>22856</v>
      </c>
      <c r="AH41">
        <v>20675</v>
      </c>
      <c r="AI41" s="90">
        <v>18956</v>
      </c>
    </row>
    <row r="42" spans="1:35">
      <c r="A42" s="53" t="s">
        <v>176</v>
      </c>
      <c r="P42" s="93">
        <v>15364.983</v>
      </c>
      <c r="Q42" s="1">
        <v>15390.137000000001</v>
      </c>
      <c r="R42" s="1">
        <v>15819.852000000001</v>
      </c>
      <c r="S42" s="78"/>
      <c r="AG42">
        <v>19106</v>
      </c>
      <c r="AH42">
        <v>18522</v>
      </c>
      <c r="AI42" s="90">
        <v>19522</v>
      </c>
    </row>
    <row r="43" spans="1:35">
      <c r="A43" s="53" t="s">
        <v>177</v>
      </c>
      <c r="P43" s="93">
        <v>2641.1660000000002</v>
      </c>
      <c r="Q43" s="1">
        <v>2499.9360000000001</v>
      </c>
      <c r="R43" s="1">
        <v>2534.8789999999999</v>
      </c>
      <c r="S43" s="78"/>
      <c r="AG43">
        <v>4860</v>
      </c>
      <c r="AH43">
        <v>4403</v>
      </c>
      <c r="AI43" s="90">
        <v>4930</v>
      </c>
    </row>
    <row r="44" spans="1:35">
      <c r="A44" s="53" t="s">
        <v>178</v>
      </c>
      <c r="P44" s="93">
        <v>5519.2179999999998</v>
      </c>
      <c r="Q44" s="1">
        <v>5447.9219999999996</v>
      </c>
      <c r="R44" s="1">
        <v>5649.491</v>
      </c>
      <c r="S44" s="78"/>
      <c r="AG44">
        <v>10027</v>
      </c>
      <c r="AH44">
        <v>8872</v>
      </c>
      <c r="AI44" s="90">
        <v>8795</v>
      </c>
    </row>
    <row r="45" spans="1:35">
      <c r="A45" s="53" t="s">
        <v>179</v>
      </c>
      <c r="P45" s="93">
        <v>1229.7280000000001</v>
      </c>
      <c r="Q45" s="1">
        <v>1133.2760000000001</v>
      </c>
      <c r="R45" s="1">
        <v>1735.779</v>
      </c>
      <c r="S45" s="78"/>
      <c r="AG45">
        <v>1471</v>
      </c>
      <c r="AH45">
        <v>1371</v>
      </c>
      <c r="AI45" s="90">
        <v>2379</v>
      </c>
    </row>
    <row r="46" spans="1:35">
      <c r="A46" s="53" t="s">
        <v>180</v>
      </c>
      <c r="P46" s="93">
        <v>7818.0680000000002</v>
      </c>
      <c r="Q46" s="1">
        <v>7776.6030000000001</v>
      </c>
      <c r="R46" s="1">
        <v>7911.7280000000001</v>
      </c>
      <c r="S46" s="78"/>
      <c r="AG46">
        <v>7792</v>
      </c>
      <c r="AH46">
        <v>6993</v>
      </c>
      <c r="AI46" s="90">
        <v>6885</v>
      </c>
    </row>
    <row r="47" spans="1:35">
      <c r="A47" s="53" t="s">
        <v>181</v>
      </c>
      <c r="P47" s="93">
        <v>16638.896000000001</v>
      </c>
      <c r="Q47" s="1">
        <v>17649.75</v>
      </c>
      <c r="R47" s="1">
        <v>18480.754000000001</v>
      </c>
      <c r="S47" s="78"/>
      <c r="AG47">
        <v>26093</v>
      </c>
      <c r="AH47">
        <v>25271</v>
      </c>
      <c r="AI47" s="90">
        <v>25472</v>
      </c>
    </row>
    <row r="48" spans="1:35">
      <c r="A48" s="53" t="s">
        <v>182</v>
      </c>
      <c r="B48" s="1"/>
      <c r="C48" s="1"/>
      <c r="D48" s="1"/>
      <c r="E48" s="1"/>
      <c r="F48" s="1"/>
      <c r="G48" s="1"/>
      <c r="H48" s="1"/>
      <c r="I48" s="1"/>
      <c r="J48" s="1"/>
      <c r="K48" s="1"/>
      <c r="L48" s="1"/>
      <c r="M48" s="1"/>
      <c r="N48" s="1"/>
      <c r="O48" s="1"/>
      <c r="P48" s="93">
        <v>4247.7550000000001</v>
      </c>
      <c r="Q48" s="1">
        <v>4539.607</v>
      </c>
      <c r="R48" s="1">
        <v>4364.3760000000002</v>
      </c>
      <c r="S48" s="72"/>
      <c r="T48" s="58"/>
      <c r="U48" s="1"/>
      <c r="V48" s="1"/>
      <c r="W48" s="1"/>
      <c r="X48" s="1"/>
      <c r="Y48" s="1"/>
      <c r="Z48" s="1"/>
      <c r="AA48" s="1"/>
      <c r="AB48" s="1"/>
      <c r="AC48" s="1"/>
      <c r="AD48" s="65"/>
      <c r="AE48" s="1"/>
      <c r="AF48" s="1"/>
      <c r="AG48">
        <v>6031</v>
      </c>
      <c r="AH48">
        <v>5781</v>
      </c>
      <c r="AI48" s="90">
        <v>5001</v>
      </c>
    </row>
    <row r="49" spans="1:35">
      <c r="A49" s="53" t="s">
        <v>183</v>
      </c>
      <c r="B49" s="1"/>
      <c r="C49" s="1"/>
      <c r="D49" s="1"/>
      <c r="E49" s="1"/>
      <c r="F49" s="1"/>
      <c r="G49" s="1"/>
      <c r="H49" s="1"/>
      <c r="I49" s="1"/>
      <c r="J49" s="1"/>
      <c r="K49" s="1"/>
      <c r="L49" s="1"/>
      <c r="M49" s="1"/>
      <c r="N49" s="1"/>
      <c r="O49" s="1"/>
      <c r="P49" s="93">
        <v>86996.792000000001</v>
      </c>
      <c r="Q49" s="1">
        <v>83905.085000000006</v>
      </c>
      <c r="R49" s="1">
        <v>91946.520999999993</v>
      </c>
      <c r="S49" s="72"/>
      <c r="T49" s="58"/>
      <c r="U49" s="1"/>
      <c r="V49" s="1"/>
      <c r="W49" s="1"/>
      <c r="X49" s="1"/>
      <c r="Y49" s="1"/>
      <c r="Z49" s="1"/>
      <c r="AA49" s="1"/>
      <c r="AB49" s="1"/>
      <c r="AC49" s="1"/>
      <c r="AD49" s="65"/>
      <c r="AE49" s="1"/>
      <c r="AF49" s="1"/>
      <c r="AG49">
        <v>97574</v>
      </c>
      <c r="AH49">
        <v>95194</v>
      </c>
      <c r="AI49" s="90">
        <v>97823</v>
      </c>
    </row>
    <row r="50" spans="1:35">
      <c r="A50" s="53" t="s">
        <v>184</v>
      </c>
      <c r="B50" s="1"/>
      <c r="C50" s="1"/>
      <c r="D50" s="1"/>
      <c r="E50" s="1"/>
      <c r="F50" s="1"/>
      <c r="G50" s="1"/>
      <c r="H50" s="1"/>
      <c r="I50" s="1"/>
      <c r="J50" s="1"/>
      <c r="K50" s="1"/>
      <c r="L50" s="1"/>
      <c r="M50" s="1"/>
      <c r="N50" s="1"/>
      <c r="O50" s="1"/>
      <c r="P50" s="93">
        <v>3501.45</v>
      </c>
      <c r="Q50" s="1">
        <v>3440.4859999999999</v>
      </c>
      <c r="R50" s="1">
        <v>3528.4360000000001</v>
      </c>
      <c r="S50" s="72"/>
      <c r="T50" s="58"/>
      <c r="U50" s="1"/>
      <c r="V50" s="1"/>
      <c r="W50" s="1"/>
      <c r="X50" s="1"/>
      <c r="Y50" s="1"/>
      <c r="Z50" s="1"/>
      <c r="AA50" s="1"/>
      <c r="AB50" s="1"/>
      <c r="AC50" s="1"/>
      <c r="AD50" s="65"/>
      <c r="AE50" s="1"/>
      <c r="AF50" s="1"/>
      <c r="AG50">
        <v>4607</v>
      </c>
      <c r="AH50">
        <v>4963</v>
      </c>
      <c r="AI50" s="90">
        <v>4879</v>
      </c>
    </row>
    <row r="51" spans="1:35">
      <c r="A51" s="53" t="s">
        <v>185</v>
      </c>
      <c r="B51" s="1"/>
      <c r="C51" s="1"/>
      <c r="D51" s="1"/>
      <c r="E51" s="1"/>
      <c r="F51" s="1"/>
      <c r="G51" s="1"/>
      <c r="H51" s="1"/>
      <c r="I51" s="1"/>
      <c r="J51" s="1"/>
      <c r="K51" s="1"/>
      <c r="L51" s="1"/>
      <c r="M51" s="1"/>
      <c r="N51" s="1"/>
      <c r="O51" s="1"/>
      <c r="P51" s="93">
        <v>36328.714</v>
      </c>
      <c r="Q51" s="1">
        <v>34580.752</v>
      </c>
      <c r="R51" s="1">
        <v>35452.49</v>
      </c>
      <c r="S51" s="72"/>
      <c r="T51" s="58"/>
      <c r="U51" s="1"/>
      <c r="V51" s="1"/>
      <c r="W51" s="1"/>
      <c r="X51" s="1"/>
      <c r="Y51" s="1"/>
      <c r="Z51" s="1"/>
      <c r="AA51" s="1"/>
      <c r="AB51" s="1"/>
      <c r="AC51" s="1"/>
      <c r="AD51" s="65"/>
      <c r="AE51" s="1"/>
      <c r="AF51" s="1"/>
      <c r="AG51">
        <v>45356</v>
      </c>
      <c r="AH51">
        <v>41887</v>
      </c>
      <c r="AI51" s="90">
        <v>44285</v>
      </c>
    </row>
    <row r="52" spans="1:35">
      <c r="A52" s="53" t="s">
        <v>186</v>
      </c>
      <c r="B52" s="1"/>
      <c r="C52" s="1"/>
      <c r="D52" s="1"/>
      <c r="E52" s="1"/>
      <c r="F52" s="1"/>
      <c r="G52" s="1"/>
      <c r="H52" s="1"/>
      <c r="I52" s="1"/>
      <c r="J52" s="1"/>
      <c r="K52" s="1"/>
      <c r="L52" s="1"/>
      <c r="M52" s="1"/>
      <c r="N52" s="1"/>
      <c r="O52" s="1"/>
      <c r="P52" s="93">
        <v>12696.249</v>
      </c>
      <c r="Q52" s="1">
        <v>12978.593000000001</v>
      </c>
      <c r="R52" s="1">
        <v>13037.361999999999</v>
      </c>
      <c r="S52" s="72"/>
      <c r="T52" s="58"/>
      <c r="U52" s="1"/>
      <c r="V52" s="1"/>
      <c r="W52" s="1"/>
      <c r="X52" s="1"/>
      <c r="Y52" s="1"/>
      <c r="Z52" s="1"/>
      <c r="AA52" s="1"/>
      <c r="AB52" s="1"/>
      <c r="AC52" s="1"/>
      <c r="AD52" s="65"/>
      <c r="AE52" s="1"/>
      <c r="AF52" s="1"/>
      <c r="AG52">
        <v>18283</v>
      </c>
      <c r="AH52">
        <v>18833</v>
      </c>
      <c r="AI52" s="90">
        <v>19403</v>
      </c>
    </row>
    <row r="53" spans="1:35">
      <c r="A53" s="53" t="s">
        <v>187</v>
      </c>
      <c r="B53" s="1"/>
      <c r="C53" s="1"/>
      <c r="D53" s="1"/>
      <c r="E53" s="1"/>
      <c r="F53" s="1"/>
      <c r="G53" s="1"/>
      <c r="H53" s="1"/>
      <c r="I53" s="1"/>
      <c r="J53" s="1"/>
      <c r="K53" s="1"/>
      <c r="L53" s="1"/>
      <c r="M53" s="1"/>
      <c r="N53" s="1"/>
      <c r="O53" s="1"/>
      <c r="P53" s="93">
        <v>52039.843999999997</v>
      </c>
      <c r="Q53" s="1">
        <v>55242.944000000003</v>
      </c>
      <c r="R53" s="1">
        <v>56015.593000000001</v>
      </c>
      <c r="S53" s="72"/>
      <c r="T53" s="58"/>
      <c r="U53" s="1"/>
      <c r="V53" s="1"/>
      <c r="W53" s="1"/>
      <c r="X53" s="1"/>
      <c r="Y53" s="1"/>
      <c r="Z53" s="1"/>
      <c r="AA53" s="1"/>
      <c r="AB53" s="1"/>
      <c r="AC53" s="1"/>
      <c r="AD53" s="65"/>
      <c r="AE53" s="1"/>
      <c r="AF53" s="1"/>
      <c r="AG53">
        <v>55256</v>
      </c>
      <c r="AH53">
        <v>58192</v>
      </c>
      <c r="AI53" s="90">
        <v>58059</v>
      </c>
    </row>
    <row r="54" spans="1:35">
      <c r="A54" s="53" t="s">
        <v>188</v>
      </c>
      <c r="B54" s="1"/>
      <c r="C54" s="1"/>
      <c r="D54" s="1"/>
      <c r="E54" s="1"/>
      <c r="F54" s="1"/>
      <c r="G54" s="1"/>
      <c r="H54" s="1"/>
      <c r="I54" s="1"/>
      <c r="J54" s="1"/>
      <c r="K54" s="1"/>
      <c r="L54" s="1"/>
      <c r="M54" s="1"/>
      <c r="N54" s="1"/>
      <c r="O54" s="1"/>
      <c r="P54" s="93">
        <v>8472.5220000000008</v>
      </c>
      <c r="Q54" s="1">
        <v>8197.6200000000008</v>
      </c>
      <c r="R54" s="1">
        <v>8573.5400000000009</v>
      </c>
      <c r="S54" s="72"/>
      <c r="T54" s="58"/>
      <c r="U54" s="1"/>
      <c r="V54" s="1"/>
      <c r="W54" s="1"/>
      <c r="X54" s="1"/>
      <c r="Y54" s="1"/>
      <c r="Z54" s="1"/>
      <c r="AA54" s="1"/>
      <c r="AB54" s="1"/>
      <c r="AC54" s="1"/>
      <c r="AD54" s="65"/>
      <c r="AE54" s="1"/>
      <c r="AF54" s="1"/>
      <c r="AG54">
        <v>10471</v>
      </c>
      <c r="AH54">
        <v>9589</v>
      </c>
      <c r="AI54" s="90">
        <v>10495</v>
      </c>
    </row>
    <row r="55" spans="1:35">
      <c r="A55" s="53" t="s">
        <v>189</v>
      </c>
      <c r="B55" s="1"/>
      <c r="C55" s="1"/>
      <c r="D55" s="1"/>
      <c r="E55" s="1"/>
      <c r="F55" s="1"/>
      <c r="G55" s="1"/>
      <c r="H55" s="1"/>
      <c r="I55" s="1"/>
      <c r="J55" s="1"/>
      <c r="K55" s="1"/>
      <c r="L55" s="1"/>
      <c r="M55" s="1"/>
      <c r="N55" s="1"/>
      <c r="O55" s="1"/>
      <c r="P55" s="93">
        <v>3682.66</v>
      </c>
      <c r="Q55" s="1">
        <v>3928.9630000000002</v>
      </c>
      <c r="R55" s="1">
        <v>3851.2089999999998</v>
      </c>
      <c r="S55" s="72"/>
      <c r="T55" s="58"/>
      <c r="U55" s="1"/>
      <c r="V55" s="1"/>
      <c r="W55" s="1"/>
      <c r="X55" s="1"/>
      <c r="Y55" s="1"/>
      <c r="Z55" s="1"/>
      <c r="AA55" s="1"/>
      <c r="AB55" s="1"/>
      <c r="AC55" s="1"/>
      <c r="AD55" s="65"/>
      <c r="AE55" s="1"/>
      <c r="AF55" s="1"/>
      <c r="AG55">
        <v>5921</v>
      </c>
      <c r="AH55">
        <v>6211</v>
      </c>
      <c r="AI55" s="90">
        <v>5834</v>
      </c>
    </row>
    <row r="56" spans="1:35">
      <c r="A56" s="53" t="s">
        <v>190</v>
      </c>
      <c r="B56" s="1"/>
      <c r="C56" s="1"/>
      <c r="D56" s="1"/>
      <c r="E56" s="1"/>
      <c r="F56" s="1"/>
      <c r="G56" s="1"/>
      <c r="H56" s="1"/>
      <c r="I56" s="1"/>
      <c r="J56" s="1"/>
      <c r="K56" s="1"/>
      <c r="L56" s="1"/>
      <c r="M56" s="1"/>
      <c r="N56" s="1"/>
      <c r="O56" s="1"/>
      <c r="P56" s="93">
        <v>4561.884</v>
      </c>
      <c r="Q56" s="1">
        <v>4543.5749999999998</v>
      </c>
      <c r="R56" s="1">
        <v>4777.8109999999997</v>
      </c>
      <c r="S56" s="72"/>
      <c r="T56" s="58"/>
      <c r="U56" s="1"/>
      <c r="V56" s="1"/>
      <c r="W56" s="1"/>
      <c r="X56" s="1"/>
      <c r="Y56" s="1"/>
      <c r="Z56" s="1"/>
      <c r="AA56" s="1"/>
      <c r="AB56" s="1"/>
      <c r="AC56" s="1"/>
      <c r="AD56" s="65"/>
      <c r="AE56" s="1"/>
      <c r="AF56" s="1"/>
      <c r="AG56">
        <v>7934</v>
      </c>
      <c r="AH56">
        <v>8792</v>
      </c>
      <c r="AI56" s="90">
        <v>8193</v>
      </c>
    </row>
    <row r="57" spans="1:35">
      <c r="A57" s="53" t="s">
        <v>191</v>
      </c>
      <c r="B57" s="1"/>
      <c r="C57" s="1"/>
      <c r="D57" s="1"/>
      <c r="E57" s="1"/>
      <c r="F57" s="1"/>
      <c r="G57" s="1"/>
      <c r="H57" s="1"/>
      <c r="I57" s="1"/>
      <c r="J57" s="1"/>
      <c r="K57" s="1"/>
      <c r="L57" s="1"/>
      <c r="M57" s="1"/>
      <c r="N57" s="1"/>
      <c r="O57" s="1"/>
      <c r="P57" s="93">
        <v>7412.3490000000002</v>
      </c>
      <c r="Q57" s="1">
        <v>7320.8739999999998</v>
      </c>
      <c r="R57" s="1">
        <v>6956.424</v>
      </c>
      <c r="S57" s="72"/>
      <c r="T57" s="58"/>
      <c r="U57" s="1"/>
      <c r="V57" s="1"/>
      <c r="W57" s="1"/>
      <c r="X57" s="1"/>
      <c r="Y57" s="1"/>
      <c r="Z57" s="1"/>
      <c r="AA57" s="1"/>
      <c r="AB57" s="1"/>
      <c r="AC57" s="1"/>
      <c r="AD57" s="65"/>
      <c r="AE57" s="1"/>
      <c r="AF57" s="1"/>
      <c r="AG57">
        <v>5628</v>
      </c>
      <c r="AH57">
        <v>5656</v>
      </c>
      <c r="AI57" s="90">
        <v>5577</v>
      </c>
    </row>
    <row r="58" spans="1:35">
      <c r="A58" s="53" t="s">
        <v>192</v>
      </c>
      <c r="B58" s="1"/>
      <c r="C58" s="1"/>
      <c r="D58" s="1"/>
      <c r="E58" s="1"/>
      <c r="F58" s="1"/>
      <c r="G58" s="1"/>
      <c r="H58" s="1"/>
      <c r="I58" s="1"/>
      <c r="J58" s="1"/>
      <c r="K58" s="1"/>
      <c r="L58" s="1"/>
      <c r="M58" s="1"/>
      <c r="N58" s="1"/>
      <c r="O58" s="1"/>
      <c r="P58" s="93">
        <v>16982.330999999998</v>
      </c>
      <c r="Q58" s="1">
        <v>17286.007000000001</v>
      </c>
      <c r="R58" s="1">
        <v>17630.258000000002</v>
      </c>
      <c r="S58" s="72"/>
      <c r="T58" s="58"/>
      <c r="U58" s="1"/>
      <c r="V58" s="1"/>
      <c r="W58" s="1"/>
      <c r="X58" s="1"/>
      <c r="Y58" s="1"/>
      <c r="Z58" s="1"/>
      <c r="AA58" s="1"/>
      <c r="AB58" s="1"/>
      <c r="AC58" s="1"/>
      <c r="AD58" s="65"/>
      <c r="AE58" s="1"/>
      <c r="AF58" s="1"/>
      <c r="AG58">
        <v>24416</v>
      </c>
      <c r="AH58">
        <v>23193</v>
      </c>
      <c r="AI58" s="90">
        <v>22194</v>
      </c>
    </row>
    <row r="59" spans="1:35">
      <c r="A59" s="53" t="s">
        <v>193</v>
      </c>
      <c r="B59" s="1"/>
      <c r="C59" s="58"/>
      <c r="D59" s="1"/>
      <c r="E59" s="1"/>
      <c r="F59" s="1"/>
      <c r="G59" s="1"/>
      <c r="H59" s="1"/>
      <c r="I59" s="1"/>
      <c r="J59" s="1"/>
      <c r="K59" s="1"/>
      <c r="L59" s="1"/>
      <c r="M59" s="1"/>
      <c r="N59" s="1"/>
      <c r="O59" s="1"/>
      <c r="P59" s="93">
        <v>22361.655999999999</v>
      </c>
      <c r="Q59" s="1">
        <v>22346.54</v>
      </c>
      <c r="R59" s="1">
        <v>22135.692999999999</v>
      </c>
      <c r="S59" s="72"/>
      <c r="T59" s="58"/>
      <c r="U59" s="1"/>
      <c r="V59" s="1"/>
      <c r="W59" s="1"/>
      <c r="X59" s="1"/>
      <c r="Y59" s="1"/>
      <c r="Z59" s="1"/>
      <c r="AA59" s="1"/>
      <c r="AB59" s="1"/>
      <c r="AC59" s="1"/>
      <c r="AD59" s="65"/>
      <c r="AE59" s="1"/>
      <c r="AF59" s="1"/>
      <c r="AG59">
        <v>27859</v>
      </c>
      <c r="AH59">
        <v>26580</v>
      </c>
      <c r="AI59" s="90">
        <v>26114</v>
      </c>
    </row>
    <row r="60" spans="1:35">
      <c r="A60" s="53" t="s">
        <v>194</v>
      </c>
      <c r="B60" s="1"/>
      <c r="C60" s="58"/>
      <c r="D60" s="1"/>
      <c r="E60" s="1"/>
      <c r="F60" s="1"/>
      <c r="G60" s="1"/>
      <c r="H60" s="1"/>
      <c r="I60" s="1"/>
      <c r="J60" s="1"/>
      <c r="K60" s="1"/>
      <c r="L60" s="1"/>
      <c r="M60" s="1"/>
      <c r="N60" s="1"/>
      <c r="O60" s="1"/>
      <c r="P60" s="93">
        <v>1098.21</v>
      </c>
      <c r="Q60" s="1">
        <v>1102.1610000000001</v>
      </c>
      <c r="R60" s="1">
        <v>1168.8969999999999</v>
      </c>
      <c r="S60" s="72"/>
      <c r="T60" s="58"/>
      <c r="U60" s="1"/>
      <c r="V60" s="1"/>
      <c r="W60" s="1"/>
      <c r="X60" s="1"/>
      <c r="Y60" s="1"/>
      <c r="Z60" s="1"/>
      <c r="AA60" s="1"/>
      <c r="AB60" s="1"/>
      <c r="AC60" s="1"/>
      <c r="AD60" s="65"/>
      <c r="AE60" s="1"/>
      <c r="AF60" s="1"/>
      <c r="AG60">
        <v>1748</v>
      </c>
      <c r="AH60">
        <v>1421</v>
      </c>
      <c r="AI60" s="90">
        <v>1627</v>
      </c>
    </row>
    <row r="61" spans="1:35">
      <c r="A61" s="1"/>
      <c r="B61" s="1"/>
      <c r="C61" s="58"/>
      <c r="D61" s="1"/>
      <c r="E61" s="1"/>
      <c r="F61" s="1"/>
      <c r="G61" s="1"/>
      <c r="H61" s="1"/>
      <c r="I61" s="1"/>
      <c r="J61" s="1"/>
      <c r="K61" s="1"/>
      <c r="L61" s="1"/>
      <c r="M61" s="1"/>
      <c r="N61" s="1"/>
      <c r="O61" s="1"/>
      <c r="P61" s="93"/>
      <c r="Q61" s="1"/>
      <c r="R61" s="1"/>
      <c r="S61" s="72"/>
      <c r="T61" s="58"/>
      <c r="U61" s="1"/>
      <c r="V61" s="1"/>
      <c r="W61" s="1"/>
      <c r="X61" s="1"/>
      <c r="Y61" s="1"/>
      <c r="Z61" s="1"/>
      <c r="AA61" s="1"/>
      <c r="AB61" s="1"/>
      <c r="AC61" s="1"/>
      <c r="AD61" s="65"/>
      <c r="AE61" s="1"/>
      <c r="AF61" s="1"/>
      <c r="AI61" s="90"/>
    </row>
    <row r="62" spans="1:35">
      <c r="A62" s="53" t="s">
        <v>165</v>
      </c>
      <c r="B62" s="1"/>
      <c r="C62" s="58"/>
      <c r="D62" s="1"/>
      <c r="E62" s="1"/>
      <c r="F62" s="1"/>
      <c r="G62" s="1"/>
      <c r="H62" s="1"/>
      <c r="I62" s="1"/>
      <c r="J62" s="1"/>
      <c r="K62" s="1"/>
      <c r="L62" s="1"/>
      <c r="M62" s="1"/>
      <c r="N62" s="1"/>
      <c r="O62" s="34"/>
      <c r="P62" s="93">
        <v>7521.9629999999997</v>
      </c>
      <c r="Q62" s="1">
        <v>7388.8919999999998</v>
      </c>
      <c r="R62" s="1">
        <v>8630.2960000000003</v>
      </c>
      <c r="S62" s="72"/>
      <c r="T62" s="58"/>
      <c r="U62" s="1"/>
      <c r="V62" s="1"/>
      <c r="W62" s="1"/>
      <c r="X62" s="1"/>
      <c r="Y62" s="1"/>
      <c r="Z62" s="1"/>
      <c r="AA62" s="1"/>
      <c r="AB62" s="1"/>
      <c r="AC62" s="1"/>
      <c r="AD62" s="65"/>
      <c r="AE62" s="1"/>
      <c r="AF62" s="34"/>
      <c r="AG62">
        <v>4886</v>
      </c>
      <c r="AH62">
        <v>5256</v>
      </c>
      <c r="AI62" s="90">
        <v>6154</v>
      </c>
    </row>
    <row r="63" spans="1:35">
      <c r="A63" s="53"/>
      <c r="B63" s="1"/>
      <c r="C63" s="58"/>
      <c r="D63" s="1"/>
      <c r="E63" s="1"/>
      <c r="F63" s="1"/>
      <c r="G63" s="1"/>
      <c r="H63" s="1"/>
      <c r="I63" s="1"/>
      <c r="J63" s="1"/>
      <c r="K63" s="1"/>
      <c r="L63" s="1"/>
      <c r="M63" s="1"/>
      <c r="N63" s="1"/>
      <c r="O63" s="34"/>
      <c r="P63" s="34"/>
      <c r="Q63" s="34"/>
      <c r="R63" s="1"/>
      <c r="S63" s="72"/>
      <c r="T63" s="58"/>
      <c r="U63" s="1"/>
      <c r="V63" s="1"/>
      <c r="W63" s="1"/>
      <c r="X63" s="1"/>
      <c r="Y63" s="1"/>
      <c r="Z63" s="1"/>
      <c r="AA63" s="1"/>
      <c r="AB63" s="1"/>
      <c r="AC63" s="1"/>
      <c r="AD63" s="65"/>
      <c r="AE63" s="1"/>
      <c r="AF63" s="34"/>
      <c r="AG63" s="34"/>
      <c r="AH63" s="1"/>
    </row>
    <row r="64" spans="1:35" s="88" customFormat="1">
      <c r="A64" s="85" t="s">
        <v>39</v>
      </c>
      <c r="B64" s="85" t="s">
        <v>42</v>
      </c>
      <c r="C64" s="85" t="s">
        <v>41</v>
      </c>
      <c r="D64" s="85" t="s">
        <v>42</v>
      </c>
      <c r="E64" s="85" t="s">
        <v>40</v>
      </c>
      <c r="F64" s="85" t="s">
        <v>40</v>
      </c>
      <c r="G64" s="85" t="s">
        <v>40</v>
      </c>
      <c r="H64" s="85" t="s">
        <v>40</v>
      </c>
      <c r="I64" s="85" t="s">
        <v>40</v>
      </c>
      <c r="J64" s="85" t="s">
        <v>40</v>
      </c>
      <c r="K64" s="85"/>
      <c r="L64" s="85"/>
      <c r="M64" s="134" t="s">
        <v>206</v>
      </c>
      <c r="N64" s="85"/>
      <c r="O64" s="87" t="s">
        <v>42</v>
      </c>
      <c r="P64" s="87" t="s">
        <v>42</v>
      </c>
      <c r="Q64" s="87" t="s">
        <v>42</v>
      </c>
      <c r="R64" s="87" t="s">
        <v>42</v>
      </c>
      <c r="S64" s="89" t="s">
        <v>42</v>
      </c>
      <c r="T64" s="85" t="s">
        <v>41</v>
      </c>
      <c r="U64" s="85" t="s">
        <v>42</v>
      </c>
      <c r="V64" s="85" t="s">
        <v>40</v>
      </c>
      <c r="W64" s="85" t="s">
        <v>40</v>
      </c>
      <c r="X64" s="85" t="s">
        <v>40</v>
      </c>
      <c r="Y64" s="85" t="s">
        <v>40</v>
      </c>
      <c r="Z64" s="85" t="s">
        <v>40</v>
      </c>
      <c r="AA64" s="85" t="s">
        <v>40</v>
      </c>
      <c r="AB64" s="85"/>
      <c r="AC64" s="85"/>
      <c r="AD64" s="134" t="s">
        <v>206</v>
      </c>
      <c r="AE64" s="85"/>
      <c r="AF64" s="87" t="s">
        <v>42</v>
      </c>
      <c r="AG64" s="87" t="s">
        <v>42</v>
      </c>
      <c r="AH64" s="87" t="s">
        <v>42</v>
      </c>
      <c r="AI64" s="87" t="s">
        <v>42</v>
      </c>
    </row>
    <row r="65" spans="1:35">
      <c r="A65" s="1" t="s">
        <v>43</v>
      </c>
      <c r="B65" s="1" t="s">
        <v>44</v>
      </c>
      <c r="C65" s="58" t="s">
        <v>45</v>
      </c>
      <c r="D65" s="1" t="s">
        <v>44</v>
      </c>
      <c r="E65" s="1" t="s">
        <v>44</v>
      </c>
      <c r="F65" s="1" t="s">
        <v>44</v>
      </c>
      <c r="G65" s="1" t="s">
        <v>44</v>
      </c>
      <c r="H65" s="1" t="s">
        <v>44</v>
      </c>
      <c r="I65" s="1" t="s">
        <v>44</v>
      </c>
      <c r="J65" s="1" t="s">
        <v>44</v>
      </c>
      <c r="K65" s="1"/>
      <c r="L65" s="1"/>
      <c r="M65" s="65" t="s">
        <v>207</v>
      </c>
      <c r="N65" s="1"/>
      <c r="O65" s="34" t="s">
        <v>133</v>
      </c>
      <c r="P65" s="34" t="s">
        <v>133</v>
      </c>
      <c r="Q65" s="34" t="s">
        <v>133</v>
      </c>
      <c r="R65" s="34" t="s">
        <v>133</v>
      </c>
      <c r="S65" s="72" t="s">
        <v>44</v>
      </c>
      <c r="T65" s="58" t="s">
        <v>45</v>
      </c>
      <c r="U65" s="1" t="s">
        <v>44</v>
      </c>
      <c r="V65" s="1" t="s">
        <v>44</v>
      </c>
      <c r="W65" s="1" t="s">
        <v>44</v>
      </c>
      <c r="X65" s="1" t="s">
        <v>44</v>
      </c>
      <c r="Y65" s="1" t="s">
        <v>44</v>
      </c>
      <c r="Z65" s="1" t="s">
        <v>44</v>
      </c>
      <c r="AA65" s="1" t="s">
        <v>44</v>
      </c>
      <c r="AB65" s="1"/>
      <c r="AC65" s="1"/>
      <c r="AD65" s="65" t="s">
        <v>207</v>
      </c>
      <c r="AE65" s="1"/>
      <c r="AF65" s="34" t="s">
        <v>133</v>
      </c>
      <c r="AG65" s="34" t="s">
        <v>133</v>
      </c>
      <c r="AH65" s="34" t="s">
        <v>133</v>
      </c>
      <c r="AI65" s="34" t="s">
        <v>133</v>
      </c>
    </row>
    <row r="66" spans="1:35">
      <c r="A66" s="1" t="s">
        <v>46</v>
      </c>
      <c r="B66" s="1" t="s">
        <v>47</v>
      </c>
      <c r="C66" s="58" t="s">
        <v>48</v>
      </c>
      <c r="D66" s="1" t="s">
        <v>47</v>
      </c>
      <c r="E66" s="1" t="s">
        <v>47</v>
      </c>
      <c r="F66" s="1" t="s">
        <v>47</v>
      </c>
      <c r="G66" s="1" t="s">
        <v>47</v>
      </c>
      <c r="H66" s="1" t="s">
        <v>47</v>
      </c>
      <c r="I66" s="1" t="s">
        <v>47</v>
      </c>
      <c r="J66" s="1" t="s">
        <v>47</v>
      </c>
      <c r="K66" s="1"/>
      <c r="L66" s="1"/>
      <c r="M66" s="65" t="s">
        <v>208</v>
      </c>
      <c r="N66" s="1"/>
      <c r="O66" s="34" t="s">
        <v>50</v>
      </c>
      <c r="P66" s="34" t="s">
        <v>50</v>
      </c>
      <c r="Q66" s="34" t="s">
        <v>50</v>
      </c>
      <c r="R66" s="34" t="s">
        <v>50</v>
      </c>
      <c r="S66" s="72" t="s">
        <v>47</v>
      </c>
      <c r="T66" s="58" t="s">
        <v>48</v>
      </c>
      <c r="U66" s="1" t="s">
        <v>47</v>
      </c>
      <c r="V66" s="1" t="s">
        <v>47</v>
      </c>
      <c r="W66" s="1" t="s">
        <v>47</v>
      </c>
      <c r="X66" s="1" t="s">
        <v>47</v>
      </c>
      <c r="Y66" s="1" t="s">
        <v>47</v>
      </c>
      <c r="Z66" s="1" t="s">
        <v>47</v>
      </c>
      <c r="AA66" s="1" t="s">
        <v>47</v>
      </c>
      <c r="AB66" s="1"/>
      <c r="AC66" s="1"/>
      <c r="AD66" s="65" t="s">
        <v>208</v>
      </c>
      <c r="AE66" s="1"/>
      <c r="AF66" s="34" t="s">
        <v>50</v>
      </c>
      <c r="AG66" s="34" t="s">
        <v>50</v>
      </c>
      <c r="AH66" s="34" t="s">
        <v>50</v>
      </c>
      <c r="AI66" s="34" t="s">
        <v>50</v>
      </c>
    </row>
    <row r="67" spans="1:35">
      <c r="A67" s="1" t="s">
        <v>49</v>
      </c>
      <c r="B67" s="1" t="s">
        <v>50</v>
      </c>
      <c r="C67" s="58" t="s">
        <v>51</v>
      </c>
      <c r="D67" s="1" t="s">
        <v>50</v>
      </c>
      <c r="E67" s="1" t="s">
        <v>50</v>
      </c>
      <c r="F67" s="1" t="s">
        <v>50</v>
      </c>
      <c r="G67" s="1" t="s">
        <v>50</v>
      </c>
      <c r="H67" s="1" t="s">
        <v>50</v>
      </c>
      <c r="I67" s="1" t="s">
        <v>50</v>
      </c>
      <c r="J67" s="1" t="s">
        <v>50</v>
      </c>
      <c r="K67" s="1"/>
      <c r="L67" s="1"/>
      <c r="M67" s="65" t="s">
        <v>209</v>
      </c>
      <c r="N67" s="1"/>
      <c r="O67" s="34" t="s">
        <v>131</v>
      </c>
      <c r="P67" s="34" t="s">
        <v>131</v>
      </c>
      <c r="Q67" s="34" t="s">
        <v>131</v>
      </c>
      <c r="R67" s="34" t="s">
        <v>131</v>
      </c>
      <c r="S67" s="72" t="s">
        <v>50</v>
      </c>
      <c r="T67" s="58" t="s">
        <v>51</v>
      </c>
      <c r="U67" s="1" t="s">
        <v>50</v>
      </c>
      <c r="V67" s="1" t="s">
        <v>50</v>
      </c>
      <c r="W67" s="1" t="s">
        <v>50</v>
      </c>
      <c r="X67" s="1" t="s">
        <v>50</v>
      </c>
      <c r="Y67" s="1" t="s">
        <v>50</v>
      </c>
      <c r="Z67" s="1" t="s">
        <v>50</v>
      </c>
      <c r="AA67" s="1" t="s">
        <v>50</v>
      </c>
      <c r="AB67" s="1"/>
      <c r="AC67" s="1"/>
      <c r="AD67" s="65" t="s">
        <v>209</v>
      </c>
      <c r="AE67" s="1"/>
      <c r="AF67" s="34" t="s">
        <v>131</v>
      </c>
      <c r="AG67" s="34" t="s">
        <v>131</v>
      </c>
      <c r="AH67" s="34" t="s">
        <v>131</v>
      </c>
      <c r="AI67" s="34" t="s">
        <v>131</v>
      </c>
    </row>
    <row r="68" spans="1:35">
      <c r="A68" s="1" t="s">
        <v>52</v>
      </c>
      <c r="B68" s="1" t="s">
        <v>2</v>
      </c>
      <c r="C68" s="58" t="s">
        <v>44</v>
      </c>
      <c r="D68" s="1" t="s">
        <v>2</v>
      </c>
      <c r="E68" s="1" t="s">
        <v>2</v>
      </c>
      <c r="F68" s="1" t="s">
        <v>2</v>
      </c>
      <c r="G68" s="1" t="s">
        <v>2</v>
      </c>
      <c r="H68" s="1" t="s">
        <v>2</v>
      </c>
      <c r="I68" s="1" t="s">
        <v>2</v>
      </c>
      <c r="J68" s="1" t="s">
        <v>2</v>
      </c>
      <c r="K68" s="1"/>
      <c r="L68" s="1"/>
      <c r="M68" s="65" t="s">
        <v>210</v>
      </c>
      <c r="N68" s="1"/>
      <c r="O68" s="34" t="s">
        <v>132</v>
      </c>
      <c r="P68" s="34" t="s">
        <v>132</v>
      </c>
      <c r="Q68" s="34" t="s">
        <v>132</v>
      </c>
      <c r="R68" s="34" t="s">
        <v>132</v>
      </c>
      <c r="S68" s="72" t="s">
        <v>2</v>
      </c>
      <c r="T68" s="58" t="s">
        <v>44</v>
      </c>
      <c r="U68" s="1" t="s">
        <v>2</v>
      </c>
      <c r="V68" s="1" t="s">
        <v>2</v>
      </c>
      <c r="W68" s="1" t="s">
        <v>2</v>
      </c>
      <c r="X68" s="1" t="s">
        <v>2</v>
      </c>
      <c r="Y68" s="1" t="s">
        <v>2</v>
      </c>
      <c r="Z68" s="1" t="s">
        <v>2</v>
      </c>
      <c r="AA68" s="1" t="s">
        <v>2</v>
      </c>
      <c r="AB68" s="1"/>
      <c r="AC68" s="1"/>
      <c r="AD68" s="65" t="s">
        <v>210</v>
      </c>
      <c r="AE68" s="1"/>
      <c r="AF68" s="34" t="s">
        <v>132</v>
      </c>
      <c r="AG68" s="34" t="s">
        <v>132</v>
      </c>
      <c r="AH68" s="34" t="s">
        <v>132</v>
      </c>
      <c r="AI68" s="34" t="s">
        <v>132</v>
      </c>
    </row>
    <row r="69" spans="1:35">
      <c r="A69" s="1" t="s">
        <v>53</v>
      </c>
      <c r="B69" s="1" t="s">
        <v>57</v>
      </c>
      <c r="C69" s="58" t="s">
        <v>58</v>
      </c>
      <c r="D69" s="1" t="s">
        <v>57</v>
      </c>
      <c r="E69" s="1" t="s">
        <v>57</v>
      </c>
      <c r="F69" s="1" t="s">
        <v>57</v>
      </c>
      <c r="G69" s="1" t="s">
        <v>57</v>
      </c>
      <c r="H69" s="1" t="s">
        <v>57</v>
      </c>
      <c r="I69" s="1" t="s">
        <v>57</v>
      </c>
      <c r="J69" s="1" t="s">
        <v>57</v>
      </c>
      <c r="K69" s="1"/>
      <c r="L69" s="1"/>
      <c r="M69" s="1"/>
      <c r="N69" s="1"/>
      <c r="O69" s="34" t="s">
        <v>134</v>
      </c>
      <c r="P69" s="34" t="s">
        <v>147</v>
      </c>
      <c r="Q69" s="34" t="s">
        <v>147</v>
      </c>
      <c r="R69" s="34" t="s">
        <v>147</v>
      </c>
      <c r="S69" s="72" t="s">
        <v>57</v>
      </c>
      <c r="T69" s="58" t="s">
        <v>58</v>
      </c>
      <c r="U69" s="1" t="s">
        <v>57</v>
      </c>
      <c r="V69" s="1" t="s">
        <v>57</v>
      </c>
      <c r="W69" s="1" t="s">
        <v>57</v>
      </c>
      <c r="X69" s="1" t="s">
        <v>57</v>
      </c>
      <c r="Y69" s="1" t="s">
        <v>57</v>
      </c>
      <c r="Z69" s="1" t="s">
        <v>57</v>
      </c>
      <c r="AA69" s="1" t="s">
        <v>57</v>
      </c>
      <c r="AB69" s="1"/>
      <c r="AC69" s="1"/>
      <c r="AD69" s="65"/>
      <c r="AE69" s="1"/>
      <c r="AF69" s="34" t="s">
        <v>134</v>
      </c>
      <c r="AG69" s="34" t="s">
        <v>147</v>
      </c>
      <c r="AH69" s="34" t="s">
        <v>202</v>
      </c>
      <c r="AI69" s="34" t="s">
        <v>200</v>
      </c>
    </row>
    <row r="70" spans="1:35">
      <c r="A70" s="1" t="s">
        <v>56</v>
      </c>
      <c r="B70" s="1" t="s">
        <v>60</v>
      </c>
      <c r="C70" s="58" t="s">
        <v>61</v>
      </c>
      <c r="D70" s="1" t="s">
        <v>62</v>
      </c>
      <c r="E70" s="1" t="s">
        <v>63</v>
      </c>
      <c r="F70" s="1" t="s">
        <v>64</v>
      </c>
      <c r="G70" s="1" t="s">
        <v>65</v>
      </c>
      <c r="H70" s="1" t="s">
        <v>66</v>
      </c>
      <c r="I70" s="1" t="s">
        <v>67</v>
      </c>
      <c r="J70" s="1" t="s">
        <v>68</v>
      </c>
      <c r="K70" s="1"/>
      <c r="L70" s="1"/>
      <c r="M70" s="1"/>
      <c r="N70" s="1"/>
      <c r="O70" s="35" t="s">
        <v>142</v>
      </c>
      <c r="P70" s="35" t="s">
        <v>148</v>
      </c>
      <c r="Q70" s="35" t="s">
        <v>148</v>
      </c>
      <c r="R70" s="35" t="s">
        <v>148</v>
      </c>
      <c r="S70" s="72" t="s">
        <v>60</v>
      </c>
      <c r="T70" s="58" t="s">
        <v>61</v>
      </c>
      <c r="U70" s="1" t="s">
        <v>62</v>
      </c>
      <c r="V70" s="1" t="s">
        <v>63</v>
      </c>
      <c r="W70" s="1" t="s">
        <v>64</v>
      </c>
      <c r="X70" s="1" t="s">
        <v>65</v>
      </c>
      <c r="Y70" s="1" t="s">
        <v>66</v>
      </c>
      <c r="Z70" s="1" t="s">
        <v>67</v>
      </c>
      <c r="AA70" s="1" t="s">
        <v>68</v>
      </c>
      <c r="AB70" s="1"/>
      <c r="AC70" s="1"/>
      <c r="AD70" s="65"/>
      <c r="AE70" s="1"/>
      <c r="AF70" s="35" t="s">
        <v>142</v>
      </c>
      <c r="AG70" s="35" t="s">
        <v>148</v>
      </c>
      <c r="AH70" s="35" t="s">
        <v>203</v>
      </c>
      <c r="AI70" s="35" t="s">
        <v>201</v>
      </c>
    </row>
    <row r="71" spans="1:35">
      <c r="A71" s="1" t="s">
        <v>59</v>
      </c>
      <c r="B71" s="1" t="s">
        <v>70</v>
      </c>
      <c r="C71" s="58" t="s">
        <v>71</v>
      </c>
      <c r="D71" s="1" t="s">
        <v>70</v>
      </c>
      <c r="E71" s="1" t="s">
        <v>70</v>
      </c>
      <c r="F71" s="1" t="s">
        <v>70</v>
      </c>
      <c r="G71" s="1" t="s">
        <v>70</v>
      </c>
      <c r="H71" s="1" t="s">
        <v>70</v>
      </c>
      <c r="I71" s="1" t="s">
        <v>72</v>
      </c>
      <c r="J71" s="1" t="s">
        <v>72</v>
      </c>
      <c r="K71" s="1"/>
      <c r="L71" s="1"/>
      <c r="M71" s="1"/>
      <c r="N71" s="1"/>
      <c r="O71" s="36" t="s">
        <v>135</v>
      </c>
      <c r="P71" s="36" t="s">
        <v>149</v>
      </c>
      <c r="Q71" s="36" t="s">
        <v>198</v>
      </c>
      <c r="R71" s="36" t="s">
        <v>199</v>
      </c>
      <c r="S71" s="72" t="s">
        <v>70</v>
      </c>
      <c r="T71" s="58" t="s">
        <v>71</v>
      </c>
      <c r="U71" s="1" t="s">
        <v>70</v>
      </c>
      <c r="V71" s="1" t="s">
        <v>70</v>
      </c>
      <c r="W71" s="1" t="s">
        <v>70</v>
      </c>
      <c r="X71" s="1" t="s">
        <v>70</v>
      </c>
      <c r="Y71" s="1" t="s">
        <v>70</v>
      </c>
      <c r="Z71" s="1" t="s">
        <v>72</v>
      </c>
      <c r="AA71" s="1" t="s">
        <v>72</v>
      </c>
      <c r="AB71" s="1"/>
      <c r="AC71" s="1"/>
      <c r="AD71" s="65"/>
      <c r="AE71" s="1"/>
      <c r="AF71" s="36" t="s">
        <v>135</v>
      </c>
      <c r="AG71" s="36" t="s">
        <v>149</v>
      </c>
      <c r="AH71" s="36" t="s">
        <v>198</v>
      </c>
      <c r="AI71" s="36" t="s">
        <v>199</v>
      </c>
    </row>
    <row r="72" spans="1:35">
      <c r="A72" s="1" t="s">
        <v>69</v>
      </c>
      <c r="B72" s="1" t="s">
        <v>74</v>
      </c>
      <c r="C72" s="58" t="s">
        <v>75</v>
      </c>
      <c r="D72" s="1" t="s">
        <v>74</v>
      </c>
      <c r="E72" s="1" t="s">
        <v>74</v>
      </c>
      <c r="F72" s="1" t="s">
        <v>74</v>
      </c>
      <c r="G72" s="1" t="s">
        <v>74</v>
      </c>
      <c r="H72" s="1" t="s">
        <v>74</v>
      </c>
      <c r="I72" s="1" t="s">
        <v>77</v>
      </c>
      <c r="J72" s="1" t="s">
        <v>77</v>
      </c>
      <c r="K72" s="1"/>
      <c r="L72" s="1"/>
      <c r="M72" s="1"/>
      <c r="N72" s="1"/>
      <c r="O72" s="34" t="s">
        <v>136</v>
      </c>
      <c r="P72" s="34" t="s">
        <v>136</v>
      </c>
      <c r="Q72" s="34" t="s">
        <v>136</v>
      </c>
      <c r="R72" s="34" t="s">
        <v>136</v>
      </c>
      <c r="S72" s="72" t="s">
        <v>74</v>
      </c>
      <c r="T72" s="58" t="s">
        <v>75</v>
      </c>
      <c r="U72" s="1" t="s">
        <v>74</v>
      </c>
      <c r="V72" s="1" t="s">
        <v>74</v>
      </c>
      <c r="W72" s="1" t="s">
        <v>74</v>
      </c>
      <c r="X72" s="1" t="s">
        <v>74</v>
      </c>
      <c r="Y72" s="1" t="s">
        <v>74</v>
      </c>
      <c r="Z72" s="1" t="s">
        <v>77</v>
      </c>
      <c r="AA72" s="1" t="s">
        <v>77</v>
      </c>
      <c r="AB72" s="1"/>
      <c r="AC72" s="1"/>
      <c r="AD72" s="65"/>
      <c r="AE72" s="1"/>
      <c r="AF72" s="34" t="s">
        <v>136</v>
      </c>
      <c r="AG72" s="34" t="s">
        <v>136</v>
      </c>
      <c r="AH72" s="34" t="s">
        <v>136</v>
      </c>
      <c r="AI72" s="34" t="s">
        <v>136</v>
      </c>
    </row>
    <row r="73" spans="1:35">
      <c r="A73" s="1" t="s">
        <v>73</v>
      </c>
      <c r="B73" s="1" t="s">
        <v>43</v>
      </c>
      <c r="C73" s="58" t="s">
        <v>78</v>
      </c>
      <c r="D73" s="1" t="s">
        <v>43</v>
      </c>
      <c r="E73" s="1" t="s">
        <v>43</v>
      </c>
      <c r="F73" s="1" t="s">
        <v>43</v>
      </c>
      <c r="G73" s="1" t="s">
        <v>43</v>
      </c>
      <c r="H73" s="1" t="s">
        <v>43</v>
      </c>
      <c r="I73" s="1" t="s">
        <v>79</v>
      </c>
      <c r="J73" s="1" t="s">
        <v>79</v>
      </c>
      <c r="K73" s="1"/>
      <c r="L73" s="1"/>
      <c r="M73" s="1"/>
      <c r="N73" s="1"/>
      <c r="O73" s="34" t="s">
        <v>137</v>
      </c>
      <c r="P73" s="34" t="s">
        <v>137</v>
      </c>
      <c r="Q73" s="34" t="s">
        <v>137</v>
      </c>
      <c r="R73" s="34" t="s">
        <v>137</v>
      </c>
      <c r="S73" s="72" t="s">
        <v>43</v>
      </c>
      <c r="T73" s="58" t="s">
        <v>78</v>
      </c>
      <c r="U73" s="1" t="s">
        <v>43</v>
      </c>
      <c r="V73" s="1" t="s">
        <v>43</v>
      </c>
      <c r="W73" s="1" t="s">
        <v>43</v>
      </c>
      <c r="X73" s="1" t="s">
        <v>43</v>
      </c>
      <c r="Y73" s="1" t="s">
        <v>43</v>
      </c>
      <c r="Z73" s="1" t="s">
        <v>79</v>
      </c>
      <c r="AA73" s="1" t="s">
        <v>79</v>
      </c>
      <c r="AB73" s="1"/>
      <c r="AC73" s="1"/>
      <c r="AD73" s="65"/>
      <c r="AE73" s="1"/>
      <c r="AF73" s="34" t="s">
        <v>137</v>
      </c>
      <c r="AG73" s="34" t="s">
        <v>137</v>
      </c>
      <c r="AH73" s="34" t="s">
        <v>137</v>
      </c>
      <c r="AI73" s="34" t="s">
        <v>137</v>
      </c>
    </row>
    <row r="74" spans="1:35">
      <c r="A74" s="1" t="s">
        <v>50</v>
      </c>
      <c r="B74" s="1" t="s">
        <v>51</v>
      </c>
      <c r="C74" s="58" t="s">
        <v>44</v>
      </c>
      <c r="D74" s="1" t="s">
        <v>51</v>
      </c>
      <c r="E74" s="1" t="s">
        <v>72</v>
      </c>
      <c r="F74" s="1" t="s">
        <v>72</v>
      </c>
      <c r="G74" s="1" t="s">
        <v>72</v>
      </c>
      <c r="H74" s="1" t="s">
        <v>72</v>
      </c>
      <c r="I74" s="1" t="s">
        <v>82</v>
      </c>
      <c r="J74" s="1" t="s">
        <v>82</v>
      </c>
      <c r="K74" s="1"/>
      <c r="L74" s="1"/>
      <c r="M74" s="1"/>
      <c r="N74" s="1"/>
      <c r="O74" s="34" t="s">
        <v>138</v>
      </c>
      <c r="P74" s="34" t="s">
        <v>138</v>
      </c>
      <c r="Q74" s="34" t="s">
        <v>138</v>
      </c>
      <c r="R74" s="34" t="s">
        <v>138</v>
      </c>
      <c r="S74" s="72" t="s">
        <v>51</v>
      </c>
      <c r="T74" s="58" t="s">
        <v>44</v>
      </c>
      <c r="U74" s="1" t="s">
        <v>51</v>
      </c>
      <c r="V74" s="1" t="s">
        <v>72</v>
      </c>
      <c r="W74" s="1" t="s">
        <v>72</v>
      </c>
      <c r="X74" s="1" t="s">
        <v>72</v>
      </c>
      <c r="Y74" s="1" t="s">
        <v>72</v>
      </c>
      <c r="Z74" s="1" t="s">
        <v>82</v>
      </c>
      <c r="AA74" s="1" t="s">
        <v>82</v>
      </c>
      <c r="AB74" s="1"/>
      <c r="AC74" s="1"/>
      <c r="AD74" s="65"/>
      <c r="AE74" s="1"/>
      <c r="AF74" s="34" t="s">
        <v>138</v>
      </c>
      <c r="AG74" s="34" t="s">
        <v>138</v>
      </c>
      <c r="AH74" s="34" t="s">
        <v>138</v>
      </c>
      <c r="AI74" s="34" t="s">
        <v>138</v>
      </c>
    </row>
    <row r="75" spans="1:35">
      <c r="A75" s="1" t="s">
        <v>80</v>
      </c>
      <c r="B75" s="1" t="s">
        <v>44</v>
      </c>
      <c r="C75" s="58" t="s">
        <v>83</v>
      </c>
      <c r="D75" s="1" t="s">
        <v>44</v>
      </c>
      <c r="E75" s="1" t="s">
        <v>76</v>
      </c>
      <c r="F75" s="1" t="s">
        <v>76</v>
      </c>
      <c r="G75" s="1" t="s">
        <v>76</v>
      </c>
      <c r="H75" s="1" t="s">
        <v>76</v>
      </c>
      <c r="I75" s="1" t="s">
        <v>85</v>
      </c>
      <c r="J75" s="1" t="s">
        <v>85</v>
      </c>
      <c r="K75" s="1"/>
      <c r="L75" s="1"/>
      <c r="M75" s="1"/>
      <c r="N75" s="1"/>
      <c r="O75" s="34" t="s">
        <v>139</v>
      </c>
      <c r="P75" s="34" t="s">
        <v>139</v>
      </c>
      <c r="Q75" s="34" t="s">
        <v>139</v>
      </c>
      <c r="R75" s="34" t="s">
        <v>139</v>
      </c>
      <c r="S75" s="72" t="s">
        <v>44</v>
      </c>
      <c r="T75" s="58" t="s">
        <v>83</v>
      </c>
      <c r="U75" s="1" t="s">
        <v>44</v>
      </c>
      <c r="V75" s="1" t="s">
        <v>76</v>
      </c>
      <c r="W75" s="1" t="s">
        <v>76</v>
      </c>
      <c r="X75" s="1" t="s">
        <v>76</v>
      </c>
      <c r="Y75" s="1" t="s">
        <v>76</v>
      </c>
      <c r="Z75" s="1" t="s">
        <v>85</v>
      </c>
      <c r="AA75" s="1" t="s">
        <v>85</v>
      </c>
      <c r="AB75" s="1"/>
      <c r="AC75" s="1"/>
      <c r="AD75" s="65"/>
      <c r="AE75" s="1"/>
      <c r="AF75" s="34" t="s">
        <v>139</v>
      </c>
      <c r="AG75" s="34" t="s">
        <v>139</v>
      </c>
      <c r="AH75" s="34" t="s">
        <v>139</v>
      </c>
      <c r="AI75" s="34" t="s">
        <v>139</v>
      </c>
    </row>
    <row r="76" spans="1:35">
      <c r="A76" s="1" t="s">
        <v>49</v>
      </c>
      <c r="B76" s="1" t="s">
        <v>55</v>
      </c>
      <c r="C76" s="58" t="s">
        <v>87</v>
      </c>
      <c r="D76" s="1" t="s">
        <v>55</v>
      </c>
      <c r="E76" s="1" t="s">
        <v>79</v>
      </c>
      <c r="F76" s="1" t="s">
        <v>79</v>
      </c>
      <c r="G76" s="1" t="s">
        <v>79</v>
      </c>
      <c r="H76" s="1" t="s">
        <v>79</v>
      </c>
      <c r="I76" s="1" t="s">
        <v>88</v>
      </c>
      <c r="J76" s="1" t="s">
        <v>88</v>
      </c>
      <c r="K76" s="1"/>
      <c r="L76" s="1"/>
      <c r="M76" s="1"/>
      <c r="N76" s="1"/>
      <c r="O76" s="34" t="s">
        <v>140</v>
      </c>
      <c r="P76" s="34" t="s">
        <v>140</v>
      </c>
      <c r="Q76" s="34" t="s">
        <v>140</v>
      </c>
      <c r="R76" s="34" t="s">
        <v>140</v>
      </c>
      <c r="S76" s="72" t="s">
        <v>55</v>
      </c>
      <c r="T76" s="58" t="s">
        <v>87</v>
      </c>
      <c r="U76" s="1" t="s">
        <v>55</v>
      </c>
      <c r="V76" s="1" t="s">
        <v>79</v>
      </c>
      <c r="W76" s="1" t="s">
        <v>79</v>
      </c>
      <c r="X76" s="1" t="s">
        <v>79</v>
      </c>
      <c r="Y76" s="1" t="s">
        <v>79</v>
      </c>
      <c r="Z76" s="1" t="s">
        <v>88</v>
      </c>
      <c r="AA76" s="1" t="s">
        <v>88</v>
      </c>
      <c r="AB76" s="1"/>
      <c r="AC76" s="1"/>
      <c r="AD76" s="65"/>
      <c r="AE76" s="1"/>
      <c r="AF76" s="34" t="s">
        <v>140</v>
      </c>
      <c r="AG76" s="34" t="s">
        <v>140</v>
      </c>
      <c r="AH76" s="34" t="s">
        <v>140</v>
      </c>
      <c r="AI76" s="34" t="s">
        <v>140</v>
      </c>
    </row>
    <row r="77" spans="1:35">
      <c r="A77" s="1" t="s">
        <v>86</v>
      </c>
      <c r="B77" s="1" t="s">
        <v>58</v>
      </c>
      <c r="C77" s="58" t="s">
        <v>90</v>
      </c>
      <c r="D77" s="1" t="s">
        <v>58</v>
      </c>
      <c r="E77" s="1" t="s">
        <v>81</v>
      </c>
      <c r="F77" s="1" t="s">
        <v>81</v>
      </c>
      <c r="G77" s="1" t="s">
        <v>81</v>
      </c>
      <c r="H77" s="1" t="s">
        <v>81</v>
      </c>
      <c r="I77" s="1" t="s">
        <v>44</v>
      </c>
      <c r="J77" s="1" t="s">
        <v>44</v>
      </c>
      <c r="K77" s="1"/>
      <c r="L77" s="1"/>
      <c r="M77" s="1"/>
      <c r="N77" s="1"/>
      <c r="O77" s="34" t="s">
        <v>48</v>
      </c>
      <c r="P77" s="34" t="s">
        <v>48</v>
      </c>
      <c r="Q77" s="34" t="s">
        <v>48</v>
      </c>
      <c r="R77" s="34" t="s">
        <v>48</v>
      </c>
      <c r="S77" s="72" t="s">
        <v>58</v>
      </c>
      <c r="T77" s="58" t="s">
        <v>90</v>
      </c>
      <c r="U77" s="1" t="s">
        <v>58</v>
      </c>
      <c r="V77" s="1" t="s">
        <v>81</v>
      </c>
      <c r="W77" s="1" t="s">
        <v>81</v>
      </c>
      <c r="X77" s="1" t="s">
        <v>81</v>
      </c>
      <c r="Y77" s="1" t="s">
        <v>81</v>
      </c>
      <c r="Z77" s="1" t="s">
        <v>44</v>
      </c>
      <c r="AA77" s="1" t="s">
        <v>44</v>
      </c>
      <c r="AB77" s="1"/>
      <c r="AC77" s="1"/>
      <c r="AD77" s="65"/>
      <c r="AE77" s="1"/>
      <c r="AF77" s="34" t="s">
        <v>48</v>
      </c>
      <c r="AG77" s="34" t="s">
        <v>48</v>
      </c>
      <c r="AH77" s="34" t="s">
        <v>48</v>
      </c>
      <c r="AI77" s="34" t="s">
        <v>48</v>
      </c>
    </row>
    <row r="78" spans="1:35">
      <c r="A78" s="1" t="s">
        <v>89</v>
      </c>
      <c r="B78" s="1" t="s">
        <v>61</v>
      </c>
      <c r="C78" s="58" t="s">
        <v>92</v>
      </c>
      <c r="D78" s="1" t="s">
        <v>61</v>
      </c>
      <c r="E78" s="1" t="s">
        <v>84</v>
      </c>
      <c r="F78" s="1" t="s">
        <v>84</v>
      </c>
      <c r="G78" s="1" t="s">
        <v>84</v>
      </c>
      <c r="H78" s="1" t="s">
        <v>84</v>
      </c>
      <c r="I78" s="1" t="s">
        <v>48</v>
      </c>
      <c r="J78" s="1" t="s">
        <v>48</v>
      </c>
      <c r="K78" s="1"/>
      <c r="L78" s="1"/>
      <c r="M78" s="1"/>
      <c r="N78" s="1"/>
      <c r="O78" s="34" t="s">
        <v>141</v>
      </c>
      <c r="P78" s="34" t="s">
        <v>150</v>
      </c>
      <c r="Q78" s="34"/>
      <c r="R78" s="34" t="s">
        <v>197</v>
      </c>
      <c r="S78" s="72" t="s">
        <v>61</v>
      </c>
      <c r="T78" s="58" t="s">
        <v>92</v>
      </c>
      <c r="U78" s="1" t="s">
        <v>61</v>
      </c>
      <c r="V78" s="1" t="s">
        <v>84</v>
      </c>
      <c r="W78" s="1" t="s">
        <v>84</v>
      </c>
      <c r="X78" s="1" t="s">
        <v>84</v>
      </c>
      <c r="Y78" s="1" t="s">
        <v>84</v>
      </c>
      <c r="Z78" s="1" t="s">
        <v>48</v>
      </c>
      <c r="AA78" s="1" t="s">
        <v>48</v>
      </c>
      <c r="AB78" s="1"/>
      <c r="AC78" s="1"/>
      <c r="AD78" s="65"/>
      <c r="AE78" s="1"/>
      <c r="AF78" s="34" t="s">
        <v>141</v>
      </c>
      <c r="AG78" s="34" t="s">
        <v>205</v>
      </c>
      <c r="AH78" s="34" t="s">
        <v>205</v>
      </c>
      <c r="AI78" s="34" t="s">
        <v>205</v>
      </c>
    </row>
    <row r="79" spans="1:35">
      <c r="A79" s="1" t="s">
        <v>91</v>
      </c>
      <c r="B79" s="1" t="s">
        <v>85</v>
      </c>
      <c r="C79" s="58" t="s">
        <v>94</v>
      </c>
      <c r="D79" s="1" t="s">
        <v>85</v>
      </c>
      <c r="E79" s="1" t="s">
        <v>85</v>
      </c>
      <c r="F79" s="1" t="s">
        <v>85</v>
      </c>
      <c r="G79" s="1" t="s">
        <v>85</v>
      </c>
      <c r="H79" s="1" t="s">
        <v>85</v>
      </c>
      <c r="I79" s="1" t="s">
        <v>95</v>
      </c>
      <c r="J79" s="1" t="s">
        <v>96</v>
      </c>
      <c r="K79" s="1"/>
      <c r="L79" s="1"/>
      <c r="M79" s="1"/>
      <c r="N79" s="1"/>
      <c r="O79" s="37">
        <v>2000</v>
      </c>
      <c r="P79" s="37">
        <v>2000</v>
      </c>
      <c r="Q79" s="37"/>
      <c r="R79" s="37">
        <v>2004</v>
      </c>
      <c r="S79" s="72" t="s">
        <v>85</v>
      </c>
      <c r="T79" s="58" t="s">
        <v>94</v>
      </c>
      <c r="U79" s="1" t="s">
        <v>85</v>
      </c>
      <c r="V79" s="1" t="s">
        <v>85</v>
      </c>
      <c r="W79" s="1" t="s">
        <v>85</v>
      </c>
      <c r="X79" s="1" t="s">
        <v>85</v>
      </c>
      <c r="Y79" s="1" t="s">
        <v>85</v>
      </c>
      <c r="Z79" s="1" t="s">
        <v>95</v>
      </c>
      <c r="AA79" s="1" t="s">
        <v>96</v>
      </c>
      <c r="AB79" s="1"/>
      <c r="AC79" s="1"/>
      <c r="AD79" s="65"/>
      <c r="AE79" s="1"/>
      <c r="AF79" s="37">
        <v>2000</v>
      </c>
      <c r="AG79" s="37">
        <v>2001</v>
      </c>
      <c r="AH79" s="37">
        <v>2001</v>
      </c>
      <c r="AI79" s="37">
        <v>2001</v>
      </c>
    </row>
    <row r="80" spans="1:35">
      <c r="A80" s="1" t="s">
        <v>93</v>
      </c>
      <c r="B80" s="1" t="s">
        <v>88</v>
      </c>
      <c r="C80" s="58"/>
      <c r="D80" s="1" t="s">
        <v>88</v>
      </c>
      <c r="E80" s="1" t="s">
        <v>88</v>
      </c>
      <c r="F80" s="1" t="s">
        <v>88</v>
      </c>
      <c r="G80" s="1" t="s">
        <v>88</v>
      </c>
      <c r="H80" s="1" t="s">
        <v>88</v>
      </c>
      <c r="I80" s="1" t="s">
        <v>98</v>
      </c>
      <c r="J80" s="1" t="s">
        <v>99</v>
      </c>
      <c r="K80" s="1"/>
      <c r="L80" s="1"/>
      <c r="M80" s="1"/>
      <c r="N80" s="1"/>
      <c r="O80" s="38" t="s">
        <v>144</v>
      </c>
      <c r="P80" s="38"/>
      <c r="Q80" s="38"/>
      <c r="R80" s="38"/>
      <c r="S80" s="72" t="s">
        <v>88</v>
      </c>
      <c r="T80" s="58"/>
      <c r="U80" s="1" t="s">
        <v>88</v>
      </c>
      <c r="V80" s="1" t="s">
        <v>88</v>
      </c>
      <c r="W80" s="1" t="s">
        <v>88</v>
      </c>
      <c r="X80" s="1" t="s">
        <v>88</v>
      </c>
      <c r="Y80" s="1" t="s">
        <v>88</v>
      </c>
      <c r="Z80" s="1" t="s">
        <v>98</v>
      </c>
      <c r="AA80" s="1" t="s">
        <v>99</v>
      </c>
      <c r="AB80" s="1"/>
      <c r="AC80" s="1"/>
      <c r="AD80" s="65"/>
      <c r="AE80" s="1"/>
      <c r="AF80" s="38" t="s">
        <v>144</v>
      </c>
      <c r="AG80" s="38"/>
      <c r="AH80" s="1"/>
    </row>
    <row r="81" spans="1:33">
      <c r="A81" s="1" t="s">
        <v>97</v>
      </c>
      <c r="B81" s="1" t="s">
        <v>44</v>
      </c>
      <c r="C81" s="58"/>
      <c r="D81" s="1" t="s">
        <v>44</v>
      </c>
      <c r="E81" s="1" t="s">
        <v>44</v>
      </c>
      <c r="F81" s="1" t="s">
        <v>44</v>
      </c>
      <c r="G81" s="1" t="s">
        <v>44</v>
      </c>
      <c r="H81" s="1" t="s">
        <v>44</v>
      </c>
      <c r="I81" s="1"/>
      <c r="J81" s="1"/>
      <c r="K81" s="1"/>
      <c r="L81" s="1"/>
      <c r="M81" s="1"/>
      <c r="N81" s="1"/>
      <c r="O81" s="1"/>
      <c r="P81" s="1"/>
      <c r="S81" s="72" t="s">
        <v>44</v>
      </c>
      <c r="T81" s="58"/>
      <c r="U81" s="1" t="s">
        <v>44</v>
      </c>
      <c r="V81" s="1" t="s">
        <v>44</v>
      </c>
      <c r="W81" s="1" t="s">
        <v>44</v>
      </c>
      <c r="X81" s="1" t="s">
        <v>44</v>
      </c>
      <c r="Y81" s="1" t="s">
        <v>44</v>
      </c>
      <c r="Z81" s="1"/>
      <c r="AA81" s="1"/>
      <c r="AB81" s="1"/>
      <c r="AC81" s="1"/>
      <c r="AD81" s="65"/>
      <c r="AE81" s="1"/>
      <c r="AF81" s="1"/>
      <c r="AG81" s="1"/>
    </row>
    <row r="82" spans="1:33">
      <c r="A82" s="1" t="s">
        <v>100</v>
      </c>
      <c r="B82" s="1" t="s">
        <v>48</v>
      </c>
      <c r="C82" s="58"/>
      <c r="D82" s="1" t="s">
        <v>48</v>
      </c>
      <c r="E82" s="1" t="s">
        <v>48</v>
      </c>
      <c r="F82" s="1" t="s">
        <v>48</v>
      </c>
      <c r="G82" s="1" t="s">
        <v>48</v>
      </c>
      <c r="H82" s="1" t="s">
        <v>48</v>
      </c>
      <c r="I82" s="1"/>
      <c r="J82" s="1"/>
      <c r="K82" s="1"/>
      <c r="L82" s="1"/>
      <c r="M82" s="1"/>
      <c r="N82" s="1"/>
      <c r="O82" s="1"/>
      <c r="P82" s="1"/>
      <c r="S82" s="72" t="s">
        <v>48</v>
      </c>
      <c r="T82" s="58"/>
      <c r="U82" s="1" t="s">
        <v>48</v>
      </c>
      <c r="V82" s="1" t="s">
        <v>48</v>
      </c>
      <c r="W82" s="1" t="s">
        <v>48</v>
      </c>
      <c r="X82" s="1" t="s">
        <v>48</v>
      </c>
      <c r="Y82" s="1" t="s">
        <v>48</v>
      </c>
      <c r="Z82" s="1"/>
      <c r="AA82" s="1"/>
      <c r="AB82" s="1"/>
      <c r="AC82" s="1"/>
      <c r="AD82" s="65"/>
      <c r="AE82" s="1"/>
      <c r="AF82" s="1"/>
      <c r="AG82" s="1"/>
    </row>
    <row r="83" spans="1:33">
      <c r="A83" s="1" t="s">
        <v>102</v>
      </c>
      <c r="B83" s="1" t="s">
        <v>103</v>
      </c>
      <c r="C83" s="58"/>
      <c r="D83" s="1" t="s">
        <v>103</v>
      </c>
      <c r="E83" s="1" t="s">
        <v>104</v>
      </c>
      <c r="F83" s="1" t="s">
        <v>104</v>
      </c>
      <c r="G83" s="1" t="s">
        <v>95</v>
      </c>
      <c r="H83" s="1" t="s">
        <v>96</v>
      </c>
      <c r="I83" s="1"/>
      <c r="J83" s="1"/>
      <c r="K83" s="1"/>
      <c r="L83" s="1"/>
      <c r="M83" s="1"/>
      <c r="N83" s="1"/>
      <c r="O83" s="1"/>
      <c r="P83" s="1"/>
      <c r="S83" s="72" t="s">
        <v>103</v>
      </c>
      <c r="T83" s="58"/>
      <c r="U83" s="1" t="s">
        <v>103</v>
      </c>
      <c r="V83" s="1" t="s">
        <v>104</v>
      </c>
      <c r="W83" s="1" t="s">
        <v>104</v>
      </c>
      <c r="X83" s="1" t="s">
        <v>95</v>
      </c>
      <c r="Y83" s="1" t="s">
        <v>96</v>
      </c>
      <c r="Z83" s="1"/>
      <c r="AA83" s="1"/>
      <c r="AB83" s="1"/>
      <c r="AC83" s="1"/>
      <c r="AD83" s="65"/>
      <c r="AE83" s="1"/>
      <c r="AF83" s="1"/>
      <c r="AG83" s="1"/>
    </row>
    <row r="84" spans="1:33">
      <c r="A84" s="1" t="s">
        <v>59</v>
      </c>
      <c r="B84" s="1" t="s">
        <v>106</v>
      </c>
      <c r="C84" s="1"/>
      <c r="D84" s="1" t="s">
        <v>106</v>
      </c>
      <c r="E84" s="1" t="s">
        <v>107</v>
      </c>
      <c r="F84" s="1" t="s">
        <v>107</v>
      </c>
      <c r="G84" s="1" t="s">
        <v>108</v>
      </c>
      <c r="H84" s="1" t="s">
        <v>101</v>
      </c>
      <c r="I84" s="1"/>
      <c r="J84" s="1"/>
      <c r="K84" s="1"/>
      <c r="L84" s="1"/>
      <c r="M84" s="1"/>
      <c r="N84" s="1"/>
      <c r="O84" s="1"/>
      <c r="P84" s="1"/>
      <c r="S84" s="72" t="s">
        <v>106</v>
      </c>
      <c r="T84" s="58"/>
      <c r="U84" s="1" t="s">
        <v>106</v>
      </c>
      <c r="V84" s="1" t="s">
        <v>107</v>
      </c>
      <c r="W84" s="1" t="s">
        <v>107</v>
      </c>
      <c r="X84" s="1" t="s">
        <v>108</v>
      </c>
      <c r="Y84" s="1" t="s">
        <v>101</v>
      </c>
      <c r="Z84" s="1"/>
      <c r="AA84" s="1"/>
      <c r="AB84" s="1"/>
      <c r="AC84" s="1"/>
      <c r="AD84" s="65"/>
      <c r="AE84" s="1"/>
      <c r="AF84" s="1"/>
      <c r="AG84" s="1"/>
    </row>
    <row r="85" spans="1:33">
      <c r="A85" s="1" t="s">
        <v>105</v>
      </c>
      <c r="S85" s="78"/>
    </row>
    <row r="86" spans="1:33">
      <c r="A86" s="1" t="s">
        <v>109</v>
      </c>
      <c r="S86" s="78"/>
    </row>
    <row r="87" spans="1:33">
      <c r="A87" s="1" t="s">
        <v>110</v>
      </c>
      <c r="S87" s="78"/>
    </row>
    <row r="88" spans="1:33">
      <c r="A88" s="1" t="s">
        <v>100</v>
      </c>
      <c r="S88" s="78"/>
    </row>
    <row r="89" spans="1:33">
      <c r="A89" s="1" t="s">
        <v>111</v>
      </c>
      <c r="S89" s="78"/>
    </row>
    <row r="90" spans="1:33">
      <c r="A90" s="1" t="s">
        <v>112</v>
      </c>
      <c r="S90" s="78"/>
    </row>
    <row r="91" spans="1:33">
      <c r="A91" s="1" t="s">
        <v>113</v>
      </c>
      <c r="S91" s="78"/>
    </row>
    <row r="92" spans="1:33">
      <c r="A92" s="1"/>
      <c r="S92" s="78"/>
    </row>
    <row r="93" spans="1:33">
      <c r="A93" s="1"/>
    </row>
    <row r="94" spans="1:33">
      <c r="A94" s="1"/>
    </row>
    <row r="95" spans="1:33">
      <c r="A95" s="1"/>
    </row>
    <row r="96" spans="1:33">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sheetData>
  <phoneticPr fontId="8"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0"/>
  <sheetViews>
    <sheetView topLeftCell="E1" zoomScale="75" workbookViewId="0">
      <selection activeCell="D5" sqref="A5:IV7"/>
    </sheetView>
  </sheetViews>
  <sheetFormatPr defaultRowHeight="13.2"/>
  <sheetData>
    <row r="1" spans="1:18">
      <c r="A1" s="11"/>
      <c r="B1" s="13" t="s">
        <v>9</v>
      </c>
      <c r="C1" s="2" t="s">
        <v>10</v>
      </c>
      <c r="D1" s="2" t="s">
        <v>11</v>
      </c>
      <c r="E1" s="2" t="s">
        <v>12</v>
      </c>
      <c r="F1" s="2" t="s">
        <v>13</v>
      </c>
      <c r="G1" s="2" t="s">
        <v>14</v>
      </c>
      <c r="H1" s="2" t="s">
        <v>15</v>
      </c>
      <c r="I1" s="2" t="s">
        <v>16</v>
      </c>
      <c r="J1" s="2" t="s">
        <v>17</v>
      </c>
      <c r="K1" s="2" t="s">
        <v>18</v>
      </c>
      <c r="L1" s="2" t="s">
        <v>19</v>
      </c>
      <c r="M1" s="64" t="s">
        <v>195</v>
      </c>
      <c r="N1" s="19" t="s">
        <v>121</v>
      </c>
      <c r="O1" s="19" t="s">
        <v>122</v>
      </c>
      <c r="P1" s="107" t="s">
        <v>146</v>
      </c>
      <c r="Q1" s="19" t="s">
        <v>152</v>
      </c>
      <c r="R1" s="81" t="s">
        <v>159</v>
      </c>
    </row>
    <row r="2" spans="1:18">
      <c r="A2" s="1"/>
      <c r="B2" s="12"/>
      <c r="C2" s="1"/>
      <c r="D2" s="1"/>
      <c r="E2" s="1"/>
      <c r="F2" s="1"/>
      <c r="G2" s="1"/>
      <c r="H2" s="1"/>
      <c r="I2" s="1"/>
      <c r="J2" s="1"/>
      <c r="K2" s="1"/>
      <c r="L2" s="1"/>
      <c r="M2" s="65"/>
      <c r="N2" s="1"/>
      <c r="O2" s="1"/>
      <c r="P2" s="58"/>
      <c r="Q2" s="41"/>
      <c r="R2" s="41"/>
    </row>
    <row r="3" spans="1:18">
      <c r="A3" s="1" t="s">
        <v>20</v>
      </c>
      <c r="B3" s="14">
        <f>(SEOG!B5*1000)/SEOG!S5</f>
        <v>543.3390576277526</v>
      </c>
      <c r="C3" s="14">
        <f>(SEOG!C5*1000)/SEOG!T5</f>
        <v>624.98538053887717</v>
      </c>
      <c r="D3" s="14">
        <f>(SEOG!D5*1000)/SEOG!U5</f>
        <v>645.05675654390984</v>
      </c>
      <c r="E3" s="14">
        <f>(SEOG!E5*1000)/SEOG!V5</f>
        <v>672.52416757929234</v>
      </c>
      <c r="F3" s="14">
        <f>(SEOG!F5*1000)/SEOG!W5</f>
        <v>638.4708375613867</v>
      </c>
      <c r="G3" s="14">
        <f>(SEOG!G5*1000)/SEOG!X5</f>
        <v>654.52516219633674</v>
      </c>
      <c r="H3" s="14">
        <f>(SEOG!H5*1000)/SEOG!Y5</f>
        <v>674.37023364708614</v>
      </c>
      <c r="I3" s="14">
        <f>(SEOG!I5*1000)/SEOG!Z5</f>
        <v>678.78900171855514</v>
      </c>
      <c r="J3" s="14">
        <f>(SEOG!J5*1000)/SEOG!AA5</f>
        <v>681.24395644364188</v>
      </c>
      <c r="K3" s="14">
        <f>(SEOG!K5*1000)/SEOG!AB5</f>
        <v>720.95827682986055</v>
      </c>
      <c r="L3" s="14">
        <f>(SEOG!L5*1000)/SEOG!AC5</f>
        <v>728.19690259207039</v>
      </c>
      <c r="M3" s="14">
        <f>(SEOG!M5*1000)/SEOG!AD5</f>
        <v>720.82138169450707</v>
      </c>
      <c r="N3" s="14">
        <f>(SEOG!N5*1000)/SEOG!AE5</f>
        <v>713.64881691752271</v>
      </c>
      <c r="O3" s="14">
        <f>(SEOG!O5*1000)/SEOG!AF5</f>
        <v>739.11381445284644</v>
      </c>
      <c r="P3" s="14">
        <f>(SEOG!P5*1000)/SEOG!AG5</f>
        <v>745.51277070704805</v>
      </c>
      <c r="Q3" s="14">
        <f>(SEOG!Q5*1000)/SEOG!AH5</f>
        <v>759.41770329058818</v>
      </c>
      <c r="R3" s="14">
        <f>(SEOG!R5*1000)/SEOG!AI5</f>
        <v>789.89337885142163</v>
      </c>
    </row>
    <row r="4" spans="1:18">
      <c r="A4" s="1" t="s">
        <v>21</v>
      </c>
      <c r="B4" s="14">
        <f>(SEOG!B6*1000)/SEOG!S6</f>
        <v>502.85134236253572</v>
      </c>
      <c r="C4" s="14">
        <f>(SEOG!C6*1000)/SEOG!T6</f>
        <v>625.99455203999162</v>
      </c>
      <c r="D4" s="14">
        <f>(SEOG!D6*1000)/SEOG!U6</f>
        <v>589.24321230712883</v>
      </c>
      <c r="E4" s="14">
        <f>(SEOG!E6*1000)/SEOG!V6</f>
        <v>602.92147760522175</v>
      </c>
      <c r="F4" s="14">
        <f>(SEOG!F6*1000)/SEOG!W6</f>
        <v>600.52459662843808</v>
      </c>
      <c r="G4" s="14">
        <f>(SEOG!G6*1000)/SEOG!X6</f>
        <v>598.38018889195075</v>
      </c>
      <c r="H4" s="14">
        <f>(SEOG!H6*1000)/SEOG!Y6</f>
        <v>621.43377292071671</v>
      </c>
      <c r="I4" s="14">
        <f>(SEOG!I6*1000)/SEOG!Z6</f>
        <v>622.87249336935793</v>
      </c>
      <c r="J4" s="14">
        <f>(SEOG!J6*1000)/SEOG!AA6</f>
        <v>639.64856910492017</v>
      </c>
      <c r="K4" s="14">
        <f>(SEOG!K6*1000)/SEOG!AB6</f>
        <v>637.77352895062518</v>
      </c>
      <c r="L4" s="14">
        <f>(SEOG!L6*1000)/SEOG!AC6</f>
        <v>649.16781588972879</v>
      </c>
      <c r="M4" s="14">
        <f>(SEOG!M6*1000)/SEOG!AD6</f>
        <v>642.18091329495007</v>
      </c>
      <c r="N4" s="14">
        <f>(SEOG!N6*1000)/SEOG!AE6</f>
        <v>635.55460362077497</v>
      </c>
      <c r="O4" s="14">
        <f>(SEOG!O6*1000)/SEOG!AF6</f>
        <v>661.8327853407776</v>
      </c>
      <c r="P4" s="14">
        <f>(SEOG!P6*1000)/SEOG!AG6</f>
        <v>669.68173494495886</v>
      </c>
      <c r="Q4" s="14">
        <f>(SEOG!Q6*1000)/SEOG!AH6</f>
        <v>680.48698035766643</v>
      </c>
      <c r="R4" s="14">
        <f>(SEOG!R6*1000)/SEOG!AI6</f>
        <v>702.61759179530884</v>
      </c>
    </row>
    <row r="5" spans="1:18">
      <c r="A5" s="1"/>
      <c r="B5" s="14"/>
      <c r="C5" s="14"/>
      <c r="D5" s="14"/>
      <c r="E5" s="14"/>
      <c r="F5" s="14"/>
      <c r="G5" s="14"/>
      <c r="H5" s="14"/>
      <c r="I5" s="14"/>
      <c r="J5" s="14"/>
      <c r="K5" s="14"/>
      <c r="L5" s="14"/>
      <c r="M5" s="14"/>
      <c r="N5" s="14"/>
      <c r="O5" s="14"/>
      <c r="P5" s="14"/>
      <c r="Q5" s="14"/>
      <c r="R5" s="14"/>
    </row>
    <row r="6" spans="1:18">
      <c r="A6" s="1"/>
      <c r="B6" s="14"/>
      <c r="C6" s="14"/>
      <c r="D6" s="14"/>
      <c r="E6" s="14"/>
      <c r="F6" s="14"/>
      <c r="G6" s="14"/>
      <c r="H6" s="14"/>
      <c r="I6" s="14"/>
      <c r="J6" s="14"/>
      <c r="K6" s="14"/>
      <c r="L6" s="14"/>
      <c r="M6" s="14"/>
      <c r="N6" s="14"/>
      <c r="O6" s="14"/>
      <c r="P6" s="14"/>
      <c r="Q6" s="14"/>
      <c r="R6" s="14"/>
    </row>
    <row r="7" spans="1:18">
      <c r="A7" s="1"/>
      <c r="B7" s="14"/>
      <c r="C7" s="14"/>
      <c r="D7" s="14"/>
      <c r="E7" s="14"/>
      <c r="F7" s="14"/>
      <c r="G7" s="14"/>
      <c r="H7" s="14"/>
      <c r="I7" s="14"/>
      <c r="J7" s="14"/>
      <c r="K7" s="14"/>
      <c r="L7" s="14"/>
      <c r="M7" s="14"/>
      <c r="N7" s="14"/>
      <c r="O7" s="14"/>
      <c r="P7" s="14"/>
      <c r="Q7" s="14"/>
      <c r="R7" s="14"/>
    </row>
    <row r="8" spans="1:18">
      <c r="A8" s="1" t="s">
        <v>24</v>
      </c>
      <c r="B8" s="14">
        <f>(SEOG!B10*1000)/SEOG!S10</f>
        <v>521.25047223271633</v>
      </c>
      <c r="C8" s="14">
        <f>(SEOG!C10*1000)/SEOG!T10</f>
        <v>620.79540009583138</v>
      </c>
      <c r="D8" s="14">
        <f>(SEOG!D10*1000)/SEOG!U10</f>
        <v>597.39130434782612</v>
      </c>
      <c r="E8" s="14">
        <f>(SEOG!E10*1000)/SEOG!V10</f>
        <v>614.20560747663546</v>
      </c>
      <c r="F8" s="14">
        <f>(SEOG!F10*1000)/SEOG!W10</f>
        <v>628.36958542480011</v>
      </c>
      <c r="G8" s="14">
        <f>(SEOG!G10*1000)/SEOG!X10</f>
        <v>619.08510452199778</v>
      </c>
      <c r="H8" s="14">
        <f>(SEOG!H10*1000)/SEOG!Y10</f>
        <v>657.50111957008505</v>
      </c>
      <c r="I8" s="14">
        <f>(SEOG!I10*1000)/SEOG!Z10</f>
        <v>658.5665948938788</v>
      </c>
      <c r="J8" s="14">
        <f>(SEOG!J10*1000)/SEOG!AA10</f>
        <v>675.81047381546136</v>
      </c>
      <c r="K8" s="14">
        <f>(SEOG!K10*1000)/SEOG!AB10</f>
        <v>712.88477513606415</v>
      </c>
      <c r="L8" s="14">
        <f>(SEOG!L10*1000)/SEOG!AC10</f>
        <v>712.61206896551721</v>
      </c>
      <c r="M8" s="14">
        <f>(SEOG!M10*1000)/SEOG!AD10</f>
        <v>691.51927867242057</v>
      </c>
      <c r="N8" s="14">
        <f>(SEOG!N10*1000)/SEOG!AE10</f>
        <v>671.71079665283355</v>
      </c>
      <c r="O8" s="14">
        <f>(SEOG!O10*1000)/SEOG!AF10</f>
        <v>665.20876783754113</v>
      </c>
      <c r="P8" s="14">
        <f>(SEOG!P10*1000)/SEOG!AG10</f>
        <v>664.21506976744183</v>
      </c>
      <c r="Q8" s="14">
        <f>(SEOG!Q10*1000)/SEOG!AH10</f>
        <v>673.16208257258972</v>
      </c>
      <c r="R8" s="14">
        <f>(SEOG!R10*1000)/SEOG!AI10</f>
        <v>693.90615296147212</v>
      </c>
    </row>
    <row r="9" spans="1:18">
      <c r="A9" s="1" t="s">
        <v>25</v>
      </c>
      <c r="B9" s="14">
        <f>(SEOG!B11*1000)/SEOG!S11</f>
        <v>408.26727066817665</v>
      </c>
      <c r="C9" s="14">
        <f>(SEOG!C11*1000)/SEOG!T11</f>
        <v>624.16724098322993</v>
      </c>
      <c r="D9" s="14">
        <f>(SEOG!D11*1000)/SEOG!U11</f>
        <v>426.89134632262596</v>
      </c>
      <c r="E9" s="14">
        <f>(SEOG!E11*1000)/SEOG!V11</f>
        <v>436.7120524457892</v>
      </c>
      <c r="F9" s="14">
        <f>(SEOG!F11*1000)/SEOG!W11</f>
        <v>446.90341396465948</v>
      </c>
      <c r="G9" s="14">
        <f>(SEOG!G11*1000)/SEOG!X11</f>
        <v>339.25648819265842</v>
      </c>
      <c r="H9" s="14">
        <f>(SEOG!H11*1000)/SEOG!Y11</f>
        <v>497.22706385675804</v>
      </c>
      <c r="I9" s="14">
        <f>(SEOG!I11*1000)/SEOG!Z11</f>
        <v>508.92857142857144</v>
      </c>
      <c r="J9" s="14">
        <f>(SEOG!J11*1000)/SEOG!AA11</f>
        <v>513.27987972939115</v>
      </c>
      <c r="K9" s="14">
        <f>(SEOG!K11*1000)/SEOG!AB11</f>
        <v>516.9503275759381</v>
      </c>
      <c r="L9" s="14">
        <f>(SEOG!L11*1000)/SEOG!AC11</f>
        <v>537.43234799327081</v>
      </c>
      <c r="M9" s="14">
        <f>(SEOG!M11*1000)/SEOG!AD11</f>
        <v>539.47093567251466</v>
      </c>
      <c r="N9" s="14">
        <f>(SEOG!N11*1000)/SEOG!AE11</f>
        <v>541.40362269309639</v>
      </c>
      <c r="O9" s="14">
        <f>(SEOG!O11*1000)/SEOG!AF11</f>
        <v>545.82333178869328</v>
      </c>
      <c r="P9" s="14">
        <f>(SEOG!P11*1000)/SEOG!AG11</f>
        <v>564.88717833464432</v>
      </c>
      <c r="Q9" s="14">
        <f>(SEOG!Q11*1000)/SEOG!AH11</f>
        <v>574.96519695613244</v>
      </c>
      <c r="R9" s="14">
        <f>(SEOG!R11*1000)/SEOG!AI11</f>
        <v>582.07573059599872</v>
      </c>
    </row>
    <row r="10" spans="1:18">
      <c r="A10" s="1" t="s">
        <v>120</v>
      </c>
      <c r="B10" s="14">
        <f>(SEOG!B12*1000)/SEOG!S12</f>
        <v>537.70157068062827</v>
      </c>
      <c r="C10" s="14" t="e">
        <f>(SEOG!C12*1000)/SEOG!T12</f>
        <v>#DIV/0!</v>
      </c>
      <c r="D10" s="14">
        <f>(SEOG!D12*1000)/SEOG!U12</f>
        <v>726.19209039548025</v>
      </c>
      <c r="E10" s="14">
        <f>(SEOG!E12*1000)/SEOG!V12</f>
        <v>542.9334365325077</v>
      </c>
      <c r="F10" s="14">
        <f>(SEOG!F12*1000)/SEOG!W12</f>
        <v>522.6602223296278</v>
      </c>
      <c r="G10" s="14">
        <f>(SEOG!G12*1000)/SEOG!X12</f>
        <v>588.96250642013354</v>
      </c>
      <c r="H10" s="14">
        <f>(SEOG!H12*1000)/SEOG!Y12</f>
        <v>587.31070070613794</v>
      </c>
      <c r="I10" s="14">
        <f>(SEOG!I12*1000)/SEOG!Z12</f>
        <v>502.80563613758807</v>
      </c>
      <c r="J10" s="14">
        <f>(SEOG!J12*1000)/SEOG!AA12</f>
        <v>491.86372881355931</v>
      </c>
      <c r="K10" s="14">
        <f>(SEOG!K12*1000)/SEOG!AB12</f>
        <v>575.18795741849635</v>
      </c>
      <c r="L10" s="14">
        <f>(SEOG!L12*1000)/SEOG!AC12</f>
        <v>522.56144418681686</v>
      </c>
      <c r="M10" s="14">
        <f>(SEOG!M12*1000)/SEOG!AD12</f>
        <v>546.79663484872992</v>
      </c>
      <c r="N10" s="14">
        <f>(SEOG!N12*1000)/SEOG!AE12</f>
        <v>569.93580012650216</v>
      </c>
      <c r="O10" s="14">
        <f>(SEOG!O12*1000)/SEOG!AF12</f>
        <v>545.41885407846462</v>
      </c>
      <c r="P10" s="14">
        <f>(SEOG!P12*1000)/SEOG!AG12</f>
        <v>548.66247659802082</v>
      </c>
      <c r="Q10" s="14">
        <f>(SEOG!Q12*1000)/SEOG!AH12</f>
        <v>572.00593052809938</v>
      </c>
      <c r="R10" s="14">
        <f>(SEOG!R12*1000)/SEOG!AI12</f>
        <v>604.99892415277031</v>
      </c>
    </row>
    <row r="11" spans="1:18">
      <c r="A11" s="1" t="s">
        <v>26</v>
      </c>
      <c r="B11" s="14">
        <f>(SEOG!B13*1000)/SEOG!S13</f>
        <v>575.53586739068305</v>
      </c>
      <c r="C11" s="14">
        <f>(SEOG!C13*1000)/SEOG!T13</f>
        <v>638.10097470156609</v>
      </c>
      <c r="D11" s="14">
        <f>(SEOG!D13*1000)/SEOG!U13</f>
        <v>651.24636358450744</v>
      </c>
      <c r="E11" s="14">
        <f>(SEOG!E13*1000)/SEOG!V13</f>
        <v>681.79688415134126</v>
      </c>
      <c r="F11" s="14">
        <f>(SEOG!F13*1000)/SEOG!W13</f>
        <v>681.3367318040215</v>
      </c>
      <c r="G11" s="14">
        <f>(SEOG!G13*1000)/SEOG!X13</f>
        <v>686.7286301996038</v>
      </c>
      <c r="H11" s="14">
        <f>(SEOG!H13*1000)/SEOG!Y13</f>
        <v>645.09197180677324</v>
      </c>
      <c r="I11" s="14">
        <f>(SEOG!I13*1000)/SEOG!Z13</f>
        <v>618.43094934432122</v>
      </c>
      <c r="J11" s="14">
        <f>(SEOG!J13*1000)/SEOG!AA13</f>
        <v>726.36765378168332</v>
      </c>
      <c r="K11" s="14">
        <f>(SEOG!K13*1000)/SEOG!AB13</f>
        <v>656.8135127099747</v>
      </c>
      <c r="L11" s="14">
        <f>(SEOG!L13*1000)/SEOG!AC13</f>
        <v>604.96738331495771</v>
      </c>
      <c r="M11" s="14">
        <f>(SEOG!M13*1000)/SEOG!AD13</f>
        <v>586.27735282885044</v>
      </c>
      <c r="N11" s="14">
        <f>(SEOG!N13*1000)/SEOG!AE13</f>
        <v>569.36390280404919</v>
      </c>
      <c r="O11" s="14">
        <f>(SEOG!O13*1000)/SEOG!AF13</f>
        <v>601.63807037694471</v>
      </c>
      <c r="P11" s="14">
        <f>(SEOG!P13*1000)/SEOG!AG13</f>
        <v>634.48031480334782</v>
      </c>
      <c r="Q11" s="14">
        <f>(SEOG!Q13*1000)/SEOG!AH13</f>
        <v>624.01711612338818</v>
      </c>
      <c r="R11" s="14">
        <f>(SEOG!R13*1000)/SEOG!AI13</f>
        <v>650.05694170438278</v>
      </c>
    </row>
    <row r="12" spans="1:18">
      <c r="A12" s="1" t="s">
        <v>27</v>
      </c>
      <c r="B12" s="14">
        <f>(SEOG!B14*1000)/SEOG!S14</f>
        <v>476.94807971944232</v>
      </c>
      <c r="C12" s="14">
        <f>(SEOG!C14*1000)/SEOG!T14</f>
        <v>633.53316573196673</v>
      </c>
      <c r="D12" s="14">
        <f>(SEOG!D14*1000)/SEOG!U14</f>
        <v>580.43534819183071</v>
      </c>
      <c r="E12" s="14">
        <f>(SEOG!E14*1000)/SEOG!V14</f>
        <v>610.98674014120888</v>
      </c>
      <c r="F12" s="14">
        <f>(SEOG!F14*1000)/SEOG!W14</f>
        <v>570.88218175771181</v>
      </c>
      <c r="G12" s="14">
        <f>(SEOG!G14*1000)/SEOG!X14</f>
        <v>606.61736084079405</v>
      </c>
      <c r="H12" s="14">
        <f>(SEOG!H14*1000)/SEOG!Y14</f>
        <v>649.34875936840569</v>
      </c>
      <c r="I12" s="14">
        <f>(SEOG!I14*1000)/SEOG!Z14</f>
        <v>612.28334589299175</v>
      </c>
      <c r="J12" s="14">
        <f>(SEOG!J14*1000)/SEOG!AA14</f>
        <v>638.325445120577</v>
      </c>
      <c r="K12" s="14">
        <f>(SEOG!K14*1000)/SEOG!AB14</f>
        <v>693.40524543874892</v>
      </c>
      <c r="L12" s="14">
        <f>(SEOG!L14*1000)/SEOG!AC14</f>
        <v>718.04799460384993</v>
      </c>
      <c r="M12" s="14">
        <f>(SEOG!M14*1000)/SEOG!AD14</f>
        <v>701.61143706284736</v>
      </c>
      <c r="N12" s="14">
        <f>(SEOG!N14*1000)/SEOG!AE14</f>
        <v>685.57834801093225</v>
      </c>
      <c r="O12" s="14">
        <f>(SEOG!O14*1000)/SEOG!AF14</f>
        <v>719.40194701409405</v>
      </c>
      <c r="P12" s="14">
        <f>(SEOG!P14*1000)/SEOG!AG14</f>
        <v>712.75814450619919</v>
      </c>
      <c r="Q12" s="14">
        <f>(SEOG!Q14*1000)/SEOG!AH14</f>
        <v>646.58365712473233</v>
      </c>
      <c r="R12" s="14">
        <f>(SEOG!R14*1000)/SEOG!AI14</f>
        <v>724.39169202163623</v>
      </c>
    </row>
    <row r="13" spans="1:18">
      <c r="A13" s="1" t="s">
        <v>28</v>
      </c>
      <c r="B13" s="14">
        <f>(SEOG!B15*1000)/SEOG!S15</f>
        <v>406.34723086496575</v>
      </c>
      <c r="C13" s="14">
        <f>(SEOG!C15*1000)/SEOG!T15</f>
        <v>622.68979243673584</v>
      </c>
      <c r="D13" s="14">
        <f>(SEOG!D15*1000)/SEOG!U15</f>
        <v>456.23644870478148</v>
      </c>
      <c r="E13" s="14">
        <f>(SEOG!E15*1000)/SEOG!V15</f>
        <v>475.05197505197503</v>
      </c>
      <c r="F13" s="14">
        <f>(SEOG!F15*1000)/SEOG!W15</f>
        <v>482.38636363636363</v>
      </c>
      <c r="G13" s="14">
        <f>(SEOG!G15*1000)/SEOG!X15</f>
        <v>493.0534115467737</v>
      </c>
      <c r="H13" s="14">
        <f>(SEOG!H15*1000)/SEOG!Y15</f>
        <v>509.44992947813824</v>
      </c>
      <c r="I13" s="14">
        <f>(SEOG!I15*1000)/SEOG!Z15</f>
        <v>514.29307236672673</v>
      </c>
      <c r="J13" s="14">
        <f>(SEOG!J15*1000)/SEOG!AA15</f>
        <v>522.43102758896441</v>
      </c>
      <c r="K13" s="14">
        <f>(SEOG!K15*1000)/SEOG!AB15</f>
        <v>529.59409594095939</v>
      </c>
      <c r="L13" s="14">
        <f>(SEOG!L15*1000)/SEOG!AC15</f>
        <v>567.90304596138162</v>
      </c>
      <c r="M13" s="14">
        <f>(SEOG!M15*1000)/SEOG!AD15</f>
        <v>585.41132266217357</v>
      </c>
      <c r="N13" s="14">
        <f>(SEOG!N15*1000)/SEOG!AE15</f>
        <v>602.61662323778978</v>
      </c>
      <c r="O13" s="14">
        <f>(SEOG!O15*1000)/SEOG!AF15</f>
        <v>618.1661594249822</v>
      </c>
      <c r="P13" s="14">
        <f>(SEOG!P15*1000)/SEOG!AG15</f>
        <v>635.27233115468414</v>
      </c>
      <c r="Q13" s="14">
        <f>(SEOG!Q15*1000)/SEOG!AH15</f>
        <v>605.80382597963592</v>
      </c>
      <c r="R13" s="14">
        <f>(SEOG!R15*1000)/SEOG!AI15</f>
        <v>621.46329648490871</v>
      </c>
    </row>
    <row r="14" spans="1:18">
      <c r="A14" s="1" t="s">
        <v>29</v>
      </c>
      <c r="B14" s="14">
        <f>(SEOG!B16*1000)/SEOG!S16</f>
        <v>424.00521852576645</v>
      </c>
      <c r="C14" s="14">
        <f>(SEOG!C16*1000)/SEOG!T16</f>
        <v>624.90489475019024</v>
      </c>
      <c r="D14" s="14">
        <f>(SEOG!D16*1000)/SEOG!U16</f>
        <v>454.25895912119574</v>
      </c>
      <c r="E14" s="14">
        <f>(SEOG!E16*1000)/SEOG!V16</f>
        <v>428.34905228458933</v>
      </c>
      <c r="F14" s="14">
        <f>(SEOG!F16*1000)/SEOG!W16</f>
        <v>434.55812752775148</v>
      </c>
      <c r="G14" s="14">
        <f>(SEOG!G16*1000)/SEOG!X16</f>
        <v>458.83312933496529</v>
      </c>
      <c r="H14" s="14">
        <f>(SEOG!H16*1000)/SEOG!Y16</f>
        <v>498.37186584174538</v>
      </c>
      <c r="I14" s="14">
        <f>(SEOG!I16*1000)/SEOG!Z16</f>
        <v>584.42957150550046</v>
      </c>
      <c r="J14" s="14">
        <f>(SEOG!J16*1000)/SEOG!AA16</f>
        <v>669.75060337892194</v>
      </c>
      <c r="K14" s="14">
        <f>(SEOG!K16*1000)/SEOG!AB16</f>
        <v>714.55756672345262</v>
      </c>
      <c r="L14" s="14">
        <f>(SEOG!L16*1000)/SEOG!AC16</f>
        <v>725.46471806307738</v>
      </c>
      <c r="M14" s="14">
        <f>(SEOG!M16*1000)/SEOG!AD16</f>
        <v>687.1532065155485</v>
      </c>
      <c r="N14" s="14">
        <f>(SEOG!N16*1000)/SEOG!AE16</f>
        <v>652.24722443944563</v>
      </c>
      <c r="O14" s="14">
        <f>(SEOG!O16*1000)/SEOG!AF16</f>
        <v>605.62872502045104</v>
      </c>
      <c r="P14" s="14">
        <f>(SEOG!P16*1000)/SEOG!AG16</f>
        <v>692.88610780955048</v>
      </c>
      <c r="Q14" s="14">
        <f>(SEOG!Q16*1000)/SEOG!AH16</f>
        <v>719.31866485985313</v>
      </c>
      <c r="R14" s="14">
        <f>(SEOG!R16*1000)/SEOG!AI16</f>
        <v>688.84776138716359</v>
      </c>
    </row>
    <row r="15" spans="1:18">
      <c r="A15" s="1" t="s">
        <v>30</v>
      </c>
      <c r="B15" s="14">
        <f>(SEOG!B17*1000)/SEOG!S17</f>
        <v>508.04225754259068</v>
      </c>
      <c r="C15" s="14">
        <f>(SEOG!C17*1000)/SEOG!T17</f>
        <v>626.26656274356981</v>
      </c>
      <c r="D15" s="14">
        <f>(SEOG!D17*1000)/SEOG!U17</f>
        <v>695.84954604409859</v>
      </c>
      <c r="E15" s="14">
        <f>(SEOG!E17*1000)/SEOG!V17</f>
        <v>701.57504954626052</v>
      </c>
      <c r="F15" s="14">
        <f>(SEOG!F17*1000)/SEOG!W17</f>
        <v>664.89099339054951</v>
      </c>
      <c r="G15" s="14">
        <f>(SEOG!G17*1000)/SEOG!X17</f>
        <v>649.59739437256849</v>
      </c>
      <c r="H15" s="14">
        <f>(SEOG!H17*1000)/SEOG!Y17</f>
        <v>677.89646672144613</v>
      </c>
      <c r="I15" s="14">
        <f>(SEOG!I17*1000)/SEOG!Z17</f>
        <v>642.06503821369699</v>
      </c>
      <c r="J15" s="14">
        <f>(SEOG!J17*1000)/SEOG!AA17</f>
        <v>621.24180798594693</v>
      </c>
      <c r="K15" s="14">
        <f>(SEOG!K17*1000)/SEOG!AB17</f>
        <v>590.90137708760619</v>
      </c>
      <c r="L15" s="14">
        <f>(SEOG!L17*1000)/SEOG!AC17</f>
        <v>585.03194595522984</v>
      </c>
      <c r="M15" s="14">
        <f>(SEOG!M17*1000)/SEOG!AD17</f>
        <v>595.65102785145893</v>
      </c>
      <c r="N15" s="14">
        <f>(SEOG!N17*1000)/SEOG!AE17</f>
        <v>605.55668891855805</v>
      </c>
      <c r="O15" s="14">
        <f>(SEOG!O17*1000)/SEOG!AF17</f>
        <v>630.31623661020524</v>
      </c>
      <c r="P15" s="14">
        <f>(SEOG!P17*1000)/SEOG!AG17</f>
        <v>641.58508205883845</v>
      </c>
      <c r="Q15" s="14">
        <f>(SEOG!Q17*1000)/SEOG!AH17</f>
        <v>667.57135838860233</v>
      </c>
      <c r="R15" s="14">
        <f>(SEOG!R17*1000)/SEOG!AI17</f>
        <v>720.97072259136212</v>
      </c>
    </row>
    <row r="16" spans="1:18">
      <c r="A16" s="1" t="s">
        <v>31</v>
      </c>
      <c r="B16" s="14">
        <f>(SEOG!B18*1000)/SEOG!S18</f>
        <v>486.67719852553978</v>
      </c>
      <c r="C16" s="14">
        <f>(SEOG!C18*1000)/SEOG!T18</f>
        <v>622.07234825260571</v>
      </c>
      <c r="D16" s="14">
        <f>(SEOG!D18*1000)/SEOG!U18</f>
        <v>549.6489468405216</v>
      </c>
      <c r="E16" s="14">
        <f>(SEOG!E18*1000)/SEOG!V18</f>
        <v>620.04523271039159</v>
      </c>
      <c r="F16" s="14">
        <f>(SEOG!F18*1000)/SEOG!W18</f>
        <v>509.9484156226971</v>
      </c>
      <c r="G16" s="14">
        <f>(SEOG!G18*1000)/SEOG!X18</f>
        <v>562.40264797507791</v>
      </c>
      <c r="H16" s="14">
        <f>(SEOG!H18*1000)/SEOG!Y18</f>
        <v>577.36524689031285</v>
      </c>
      <c r="I16" s="14">
        <f>(SEOG!I18*1000)/SEOG!Z18</f>
        <v>646.24032436417247</v>
      </c>
      <c r="J16" s="14">
        <f>(SEOG!J18*1000)/SEOG!AA18</f>
        <v>592.52259654889076</v>
      </c>
      <c r="K16" s="14">
        <f>(SEOG!K18*1000)/SEOG!AB18</f>
        <v>657.92396583486857</v>
      </c>
      <c r="L16" s="14">
        <f>(SEOG!L18*1000)/SEOG!AC18</f>
        <v>717.05858951175412</v>
      </c>
      <c r="M16" s="14">
        <f>(SEOG!M18*1000)/SEOG!AD18</f>
        <v>707.52510849349028</v>
      </c>
      <c r="N16" s="14">
        <f>(SEOG!N18*1000)/SEOG!AE18</f>
        <v>698.37389342128108</v>
      </c>
      <c r="O16" s="14">
        <f>(SEOG!O18*1000)/SEOG!AF18</f>
        <v>652.99837767683323</v>
      </c>
      <c r="P16" s="14">
        <f>(SEOG!P18*1000)/SEOG!AG18</f>
        <v>626.65763470742627</v>
      </c>
      <c r="Q16" s="14">
        <f>(SEOG!Q18*1000)/SEOG!AH18</f>
        <v>710.67275919865915</v>
      </c>
      <c r="R16" s="14">
        <f>(SEOG!R18*1000)/SEOG!AI18</f>
        <v>652.54018705246233</v>
      </c>
    </row>
    <row r="17" spans="1:18">
      <c r="A17" s="1" t="s">
        <v>32</v>
      </c>
      <c r="B17" s="14">
        <f>(SEOG!B19*1000)/SEOG!S19</f>
        <v>588.02323252553572</v>
      </c>
      <c r="C17" s="14">
        <f>(SEOG!C19*1000)/SEOG!T19</f>
        <v>620.30218384966986</v>
      </c>
      <c r="D17" s="14">
        <f>(SEOG!D19*1000)/SEOG!U19</f>
        <v>674.98000436268455</v>
      </c>
      <c r="E17" s="14">
        <f>(SEOG!E19*1000)/SEOG!V19</f>
        <v>758.65027166142409</v>
      </c>
      <c r="F17" s="14">
        <f>(SEOG!F19*1000)/SEOG!W19</f>
        <v>727.16422102085232</v>
      </c>
      <c r="G17" s="14">
        <f>(SEOG!G19*1000)/SEOG!X19</f>
        <v>718.51992891596853</v>
      </c>
      <c r="H17" s="14">
        <f>(SEOG!H19*1000)/SEOG!Y19</f>
        <v>715.48612343925674</v>
      </c>
      <c r="I17" s="14">
        <f>(SEOG!I19*1000)/SEOG!Z19</f>
        <v>741.31787480721164</v>
      </c>
      <c r="J17" s="14">
        <f>(SEOG!J19*1000)/SEOG!AA19</f>
        <v>662.38496932515341</v>
      </c>
      <c r="K17" s="14">
        <f>(SEOG!K19*1000)/SEOG!AB19</f>
        <v>684.58990589526104</v>
      </c>
      <c r="L17" s="14">
        <f>(SEOG!L19*1000)/SEOG!AC19</f>
        <v>727.64920333671716</v>
      </c>
      <c r="M17" s="14">
        <f>(SEOG!M19*1000)/SEOG!AD19</f>
        <v>716.58724628900325</v>
      </c>
      <c r="N17" s="14">
        <f>(SEOG!N19*1000)/SEOG!AE19</f>
        <v>705.94791357133761</v>
      </c>
      <c r="O17" s="14">
        <f>(SEOG!O19*1000)/SEOG!AF19</f>
        <v>753.32329870680519</v>
      </c>
      <c r="P17" s="14">
        <f>(SEOG!P19*1000)/SEOG!AG19</f>
        <v>853.47592067988671</v>
      </c>
      <c r="Q17" s="14">
        <f>(SEOG!Q19*1000)/SEOG!AH19</f>
        <v>958.94694408322493</v>
      </c>
      <c r="R17" s="14">
        <f>(SEOG!R19*1000)/SEOG!AI19</f>
        <v>1041.3463063063064</v>
      </c>
    </row>
    <row r="18" spans="1:18">
      <c r="A18" s="1" t="s">
        <v>33</v>
      </c>
      <c r="B18" s="14">
        <f>(SEOG!B20*1000)/SEOG!S20</f>
        <v>385.396201702685</v>
      </c>
      <c r="C18" s="14">
        <f>(SEOG!C20*1000)/SEOG!T20</f>
        <v>620.60266292922211</v>
      </c>
      <c r="D18" s="14">
        <f>(SEOG!D20*1000)/SEOG!U20</f>
        <v>425.81167189238391</v>
      </c>
      <c r="E18" s="14">
        <f>(SEOG!E20*1000)/SEOG!V20</f>
        <v>445.87119715527461</v>
      </c>
      <c r="F18" s="14">
        <f>(SEOG!F20*1000)/SEOG!W20</f>
        <v>453.3279220779221</v>
      </c>
      <c r="G18" s="14">
        <f>(SEOG!G20*1000)/SEOG!X20</f>
        <v>460.40566824117809</v>
      </c>
      <c r="H18" s="14">
        <f>(SEOG!H20*1000)/SEOG!Y20</f>
        <v>493.2284840541721</v>
      </c>
      <c r="I18" s="14">
        <f>(SEOG!I20*1000)/SEOG!Z20</f>
        <v>516.21310847067843</v>
      </c>
      <c r="J18" s="14">
        <f>(SEOG!J20*1000)/SEOG!AA20</f>
        <v>558.29426886435806</v>
      </c>
      <c r="K18" s="14">
        <f>(SEOG!K20*1000)/SEOG!AB20</f>
        <v>482.10865678528165</v>
      </c>
      <c r="L18" s="14">
        <f>(SEOG!L20*1000)/SEOG!AC20</f>
        <v>629.40413900819988</v>
      </c>
      <c r="M18" s="14">
        <f>(SEOG!M20*1000)/SEOG!AD20</f>
        <v>618.53219834332174</v>
      </c>
      <c r="N18" s="14">
        <f>(SEOG!N20*1000)/SEOG!AE20</f>
        <v>608.13679808841096</v>
      </c>
      <c r="O18" s="14">
        <f>(SEOG!O20*1000)/SEOG!AF20</f>
        <v>612.04611650485435</v>
      </c>
      <c r="P18" s="14">
        <f>(SEOG!P20*1000)/SEOG!AG20</f>
        <v>576.99074943990752</v>
      </c>
      <c r="Q18" s="14">
        <f>(SEOG!Q20*1000)/SEOG!AH20</f>
        <v>617.30208942139097</v>
      </c>
      <c r="R18" s="14">
        <f>(SEOG!R20*1000)/SEOG!AI20</f>
        <v>583.53187967760505</v>
      </c>
    </row>
    <row r="19" spans="1:18">
      <c r="A19" s="1" t="s">
        <v>34</v>
      </c>
      <c r="B19" s="14">
        <f>(SEOG!B21*1000)/SEOG!S21</f>
        <v>478.28591176131783</v>
      </c>
      <c r="C19" s="14">
        <f>(SEOG!C21*1000)/SEOG!T21</f>
        <v>639.74257945889156</v>
      </c>
      <c r="D19" s="14">
        <f>(SEOG!D21*1000)/SEOG!U21</f>
        <v>526.42543859649118</v>
      </c>
      <c r="E19" s="14">
        <f>(SEOG!E21*1000)/SEOG!V21</f>
        <v>557.05212439772231</v>
      </c>
      <c r="F19" s="14">
        <f>(SEOG!F21*1000)/SEOG!W21</f>
        <v>565.28073517875157</v>
      </c>
      <c r="G19" s="14">
        <f>(SEOG!G21*1000)/SEOG!X21</f>
        <v>552.48786407766988</v>
      </c>
      <c r="H19" s="14">
        <f>(SEOG!H21*1000)/SEOG!Y21</f>
        <v>557.70132183369265</v>
      </c>
      <c r="I19" s="14">
        <f>(SEOG!I21*1000)/SEOG!Z21</f>
        <v>557.93697396750827</v>
      </c>
      <c r="J19" s="14">
        <f>(SEOG!J21*1000)/SEOG!AA21</f>
        <v>616.2157413914266</v>
      </c>
      <c r="K19" s="14">
        <f>(SEOG!K21*1000)/SEOG!AB21</f>
        <v>613.43050699300704</v>
      </c>
      <c r="L19" s="14">
        <f>(SEOG!L21*1000)/SEOG!AC21</f>
        <v>598.98847362906042</v>
      </c>
      <c r="M19" s="14">
        <f>(SEOG!M21*1000)/SEOG!AD21</f>
        <v>617.49695264885133</v>
      </c>
      <c r="N19" s="14">
        <f>(SEOG!N21*1000)/SEOG!AE21</f>
        <v>637.2486208438944</v>
      </c>
      <c r="O19" s="14">
        <f>(SEOG!O21*1000)/SEOG!AF21</f>
        <v>677.97988893891636</v>
      </c>
      <c r="P19" s="14">
        <f>(SEOG!P21*1000)/SEOG!AG21</f>
        <v>659.96017997750278</v>
      </c>
      <c r="Q19" s="14">
        <f>(SEOG!Q21*1000)/SEOG!AH21</f>
        <v>711.34143434209659</v>
      </c>
      <c r="R19" s="14">
        <f>(SEOG!R21*1000)/SEOG!AI21</f>
        <v>735.24016403947201</v>
      </c>
    </row>
    <row r="20" spans="1:18">
      <c r="A20" s="1" t="s">
        <v>35</v>
      </c>
      <c r="B20" s="14">
        <f>(SEOG!B22*1000)/SEOG!S22</f>
        <v>523.17938830952585</v>
      </c>
      <c r="C20" s="14">
        <f>(SEOG!C22*1000)/SEOG!T22</f>
        <v>621.50673781315004</v>
      </c>
      <c r="D20" s="14">
        <f>(SEOG!D22*1000)/SEOG!U22</f>
        <v>636.77924986004848</v>
      </c>
      <c r="E20" s="14">
        <f>(SEOG!E22*1000)/SEOG!V22</f>
        <v>618.92515076268182</v>
      </c>
      <c r="F20" s="14">
        <f>(SEOG!F22*1000)/SEOG!W22</f>
        <v>584.1830590124448</v>
      </c>
      <c r="G20" s="14">
        <f>(SEOG!G22*1000)/SEOG!X22</f>
        <v>578.09760374050268</v>
      </c>
      <c r="H20" s="14">
        <f>(SEOG!H22*1000)/SEOG!Y22</f>
        <v>592.86097691894793</v>
      </c>
      <c r="I20" s="14">
        <f>(SEOG!I22*1000)/SEOG!Z22</f>
        <v>595.58656682550486</v>
      </c>
      <c r="J20" s="14">
        <f>(SEOG!J22*1000)/SEOG!AA22</f>
        <v>652.45848434034724</v>
      </c>
      <c r="K20" s="14">
        <f>(SEOG!K22*1000)/SEOG!AB22</f>
        <v>654.7591899845379</v>
      </c>
      <c r="L20" s="14">
        <f>(SEOG!L22*1000)/SEOG!AC22</f>
        <v>748.26189252469874</v>
      </c>
      <c r="M20" s="14">
        <f>(SEOG!M22*1000)/SEOG!AD22</f>
        <v>714.22874448724406</v>
      </c>
      <c r="N20" s="14">
        <f>(SEOG!N22*1000)/SEOG!AE22</f>
        <v>681.68959868959871</v>
      </c>
      <c r="O20" s="14">
        <f>(SEOG!O22*1000)/SEOG!AF22</f>
        <v>706.06587692967412</v>
      </c>
      <c r="P20" s="14">
        <f>(SEOG!P22*1000)/SEOG!AG22</f>
        <v>673.445955165692</v>
      </c>
      <c r="Q20" s="14">
        <f>(SEOG!Q22*1000)/SEOG!AH22</f>
        <v>714.70258785332317</v>
      </c>
      <c r="R20" s="14">
        <f>(SEOG!R22*1000)/SEOG!AI22</f>
        <v>683.92243627877178</v>
      </c>
    </row>
    <row r="21" spans="1:18">
      <c r="A21" s="1" t="s">
        <v>36</v>
      </c>
      <c r="B21" s="14">
        <f>(SEOG!B23*1000)/SEOG!S23</f>
        <v>506.75286048134996</v>
      </c>
      <c r="C21" s="14">
        <f>(SEOG!C23*1000)/SEOG!T23</f>
        <v>624.96443137626864</v>
      </c>
      <c r="D21" s="14">
        <f>(SEOG!D23*1000)/SEOG!U23</f>
        <v>620.97246631517282</v>
      </c>
      <c r="E21" s="14">
        <f>(SEOG!E23*1000)/SEOG!V23</f>
        <v>581.635764820688</v>
      </c>
      <c r="F21" s="14">
        <f>(SEOG!F23*1000)/SEOG!W23</f>
        <v>635.85487015028616</v>
      </c>
      <c r="G21" s="14">
        <f>(SEOG!G23*1000)/SEOG!X23</f>
        <v>625.70009815809226</v>
      </c>
      <c r="H21" s="14">
        <f>(SEOG!H23*1000)/SEOG!Y23</f>
        <v>641.28954963785873</v>
      </c>
      <c r="I21" s="14">
        <f>(SEOG!I23*1000)/SEOG!Z23</f>
        <v>633.89236785911373</v>
      </c>
      <c r="J21" s="14">
        <f>(SEOG!J23*1000)/SEOG!AA23</f>
        <v>627.38982761198815</v>
      </c>
      <c r="K21" s="14">
        <f>(SEOG!K23*1000)/SEOG!AB23</f>
        <v>624.85939465699698</v>
      </c>
      <c r="L21" s="14">
        <f>(SEOG!L23*1000)/SEOG!AC23</f>
        <v>598.7984774084149</v>
      </c>
      <c r="M21" s="14">
        <f>(SEOG!M23*1000)/SEOG!AD23</f>
        <v>620.33562087498467</v>
      </c>
      <c r="N21" s="14">
        <f>(SEOG!N23*1000)/SEOG!AE23</f>
        <v>641.49380509474565</v>
      </c>
      <c r="O21" s="14">
        <f>(SEOG!O23*1000)/SEOG!AF23</f>
        <v>689.53955432244015</v>
      </c>
      <c r="P21" s="14">
        <f>(SEOG!P23*1000)/SEOG!AG23</f>
        <v>680.42648870316373</v>
      </c>
      <c r="Q21" s="14">
        <f>(SEOG!Q23*1000)/SEOG!AH23</f>
        <v>690.76263779592239</v>
      </c>
      <c r="R21" s="14">
        <f>(SEOG!R23*1000)/SEOG!AI23</f>
        <v>719.40041535811974</v>
      </c>
    </row>
    <row r="22" spans="1:18">
      <c r="A22" s="1" t="s">
        <v>37</v>
      </c>
      <c r="B22" s="14">
        <f>(SEOG!B24*1000)/SEOG!S24</f>
        <v>564.14150437734497</v>
      </c>
      <c r="C22" s="14">
        <f>(SEOG!C24*1000)/SEOG!T24</f>
        <v>622.60458289162523</v>
      </c>
      <c r="D22" s="14">
        <f>(SEOG!D24*1000)/SEOG!U24</f>
        <v>708.92279241793801</v>
      </c>
      <c r="E22" s="14">
        <f>(SEOG!E24*1000)/SEOG!V24</f>
        <v>730.81772334293953</v>
      </c>
      <c r="F22" s="14">
        <f>(SEOG!F24*1000)/SEOG!W24</f>
        <v>742.8888067971925</v>
      </c>
      <c r="G22" s="14">
        <f>(SEOG!G24*1000)/SEOG!X24</f>
        <v>714.11290322580646</v>
      </c>
      <c r="H22" s="14">
        <f>(SEOG!H24*1000)/SEOG!Y24</f>
        <v>741.01773323053203</v>
      </c>
      <c r="I22" s="14">
        <f>(SEOG!I24*1000)/SEOG!Z24</f>
        <v>696.98626807631547</v>
      </c>
      <c r="J22" s="14">
        <f>(SEOG!J24*1000)/SEOG!AA24</f>
        <v>646.6637465323405</v>
      </c>
      <c r="K22" s="14">
        <f>(SEOG!K24*1000)/SEOG!AB24</f>
        <v>673.44227183630539</v>
      </c>
      <c r="L22" s="14">
        <f>(SEOG!L24*1000)/SEOG!AC24</f>
        <v>685.96331062086051</v>
      </c>
      <c r="M22" s="14">
        <f>(SEOG!M24*1000)/SEOG!AD24</f>
        <v>635.85059459932984</v>
      </c>
      <c r="N22" s="14">
        <f>(SEOG!N24*1000)/SEOG!AE24</f>
        <v>593.22614898273491</v>
      </c>
      <c r="O22" s="14">
        <f>(SEOG!O24*1000)/SEOG!AF24</f>
        <v>661.71425651089578</v>
      </c>
      <c r="P22" s="14">
        <f>(SEOG!P24*1000)/SEOG!AG24</f>
        <v>628.76132575757572</v>
      </c>
      <c r="Q22" s="14">
        <f>(SEOG!Q24*1000)/SEOG!AH24</f>
        <v>588.97965909847528</v>
      </c>
      <c r="R22" s="14">
        <f>(SEOG!R24*1000)/SEOG!AI24</f>
        <v>616.8917287253272</v>
      </c>
    </row>
    <row r="23" spans="1:18">
      <c r="A23" s="49" t="s">
        <v>38</v>
      </c>
      <c r="B23" s="14">
        <f>(SEOG!B25*1000)/SEOG!S25</f>
        <v>497.38219895287961</v>
      </c>
      <c r="C23" s="14">
        <f>(SEOG!C25*1000)/SEOG!T25</f>
        <v>620.10712814173883</v>
      </c>
      <c r="D23" s="14">
        <f>(SEOG!D25*1000)/SEOG!U25</f>
        <v>574.65618860510801</v>
      </c>
      <c r="E23" s="14">
        <f>(SEOG!E25*1000)/SEOG!V25</f>
        <v>691.61810847153743</v>
      </c>
      <c r="F23" s="14">
        <f>(SEOG!F25*1000)/SEOG!W25</f>
        <v>703.36650434046157</v>
      </c>
      <c r="G23" s="14">
        <f>(SEOG!G25*1000)/SEOG!X25</f>
        <v>735.22458628841605</v>
      </c>
      <c r="H23" s="14">
        <f>(SEOG!H25*1000)/SEOG!Y25</f>
        <v>776.31578947368416</v>
      </c>
      <c r="I23" s="14">
        <f>(SEOG!I25*1000)/SEOG!Z25</f>
        <v>768.84337753902969</v>
      </c>
      <c r="J23" s="14">
        <f>(SEOG!J25*1000)/SEOG!AA25</f>
        <v>708.98735935546608</v>
      </c>
      <c r="K23" s="14">
        <f>(SEOG!K25*1000)/SEOG!AB25</f>
        <v>780.80115036976167</v>
      </c>
      <c r="L23" s="14">
        <f>(SEOG!L25*1000)/SEOG!AC25</f>
        <v>819.07505773672051</v>
      </c>
      <c r="M23" s="14">
        <f>(SEOG!M25*1000)/SEOG!AD25</f>
        <v>821.04725750372529</v>
      </c>
      <c r="N23" s="14">
        <f>(SEOG!N25*1000)/SEOG!AE25</f>
        <v>822.95422191207263</v>
      </c>
      <c r="O23" s="14">
        <f>(SEOG!O25*1000)/SEOG!AF25</f>
        <v>844.49431009957323</v>
      </c>
      <c r="P23" s="14">
        <f>(SEOG!P25*1000)/SEOG!AG25</f>
        <v>805.83814206236252</v>
      </c>
      <c r="Q23" s="14">
        <f>(SEOG!Q25*1000)/SEOG!AH25</f>
        <v>852.54102564102561</v>
      </c>
      <c r="R23" s="14">
        <f>(SEOG!R25*1000)/SEOG!AI25</f>
        <v>864.58601919495777</v>
      </c>
    </row>
    <row r="24" spans="1:18">
      <c r="A24" s="1"/>
      <c r="B24" s="14"/>
      <c r="C24" s="14"/>
      <c r="D24" s="14"/>
      <c r="E24" s="14"/>
      <c r="F24" s="14"/>
      <c r="G24" s="14"/>
      <c r="H24" s="14"/>
      <c r="I24" s="14"/>
      <c r="J24" s="14"/>
      <c r="K24" s="14"/>
      <c r="L24" s="14"/>
      <c r="M24" s="14"/>
      <c r="N24" s="14"/>
      <c r="O24" s="14"/>
      <c r="P24" s="14"/>
      <c r="Q24" s="14"/>
      <c r="R24" s="14"/>
    </row>
    <row r="25" spans="1:18">
      <c r="A25" s="53" t="s">
        <v>160</v>
      </c>
      <c r="B25" s="14" t="e">
        <f>(SEOG!B27*1000)/SEOG!S27</f>
        <v>#DIV/0!</v>
      </c>
      <c r="C25" s="14" t="e">
        <f>(SEOG!C27*1000)/SEOG!T27</f>
        <v>#DIV/0!</v>
      </c>
      <c r="D25" s="14" t="e">
        <f>(SEOG!D27*1000)/SEOG!U27</f>
        <v>#DIV/0!</v>
      </c>
      <c r="E25" s="14" t="e">
        <f>(SEOG!E27*1000)/SEOG!V27</f>
        <v>#DIV/0!</v>
      </c>
      <c r="F25" s="14" t="e">
        <f>(SEOG!F27*1000)/SEOG!W27</f>
        <v>#DIV/0!</v>
      </c>
      <c r="G25" s="14" t="e">
        <f>(SEOG!G27*1000)/SEOG!X27</f>
        <v>#DIV/0!</v>
      </c>
      <c r="H25" s="14" t="e">
        <f>(SEOG!H27*1000)/SEOG!Y27</f>
        <v>#DIV/0!</v>
      </c>
      <c r="I25" s="14" t="e">
        <f>(SEOG!I27*1000)/SEOG!Z27</f>
        <v>#DIV/0!</v>
      </c>
      <c r="J25" s="14" t="e">
        <f>(SEOG!J27*1000)/SEOG!AA27</f>
        <v>#DIV/0!</v>
      </c>
      <c r="K25" s="14" t="e">
        <f>(SEOG!K27*1000)/SEOG!AB27</f>
        <v>#DIV/0!</v>
      </c>
      <c r="L25" s="14" t="e">
        <f>(SEOG!L27*1000)/SEOG!AC27</f>
        <v>#DIV/0!</v>
      </c>
      <c r="M25" s="14" t="e">
        <f>(SEOG!M27*1000)/SEOG!AD27</f>
        <v>#DIV/0!</v>
      </c>
      <c r="N25" s="14" t="e">
        <f>(SEOG!N27*1000)/SEOG!AE27</f>
        <v>#DIV/0!</v>
      </c>
      <c r="O25" s="14" t="e">
        <f>(SEOG!O27*1000)/SEOG!AF27</f>
        <v>#DIV/0!</v>
      </c>
      <c r="P25" s="14">
        <f>(SEOG!P27*1000)/SEOG!AG27</f>
        <v>746.7813008130081</v>
      </c>
      <c r="Q25" s="14">
        <f>(SEOG!Q27*1000)/SEOG!AH27</f>
        <v>541.5894955079475</v>
      </c>
      <c r="R25" s="14">
        <f>(SEOG!R27*1000)/SEOG!AI27</f>
        <v>607.87311968606934</v>
      </c>
    </row>
    <row r="26" spans="1:18">
      <c r="A26" s="53" t="s">
        <v>161</v>
      </c>
      <c r="B26" s="14" t="e">
        <f>(SEOG!B28*1000)/SEOG!S28</f>
        <v>#DIV/0!</v>
      </c>
      <c r="C26" s="14" t="e">
        <f>(SEOG!C28*1000)/SEOG!T28</f>
        <v>#DIV/0!</v>
      </c>
      <c r="D26" s="14" t="e">
        <f>(SEOG!D28*1000)/SEOG!U28</f>
        <v>#DIV/0!</v>
      </c>
      <c r="E26" s="14" t="e">
        <f>(SEOG!E28*1000)/SEOG!V28</f>
        <v>#DIV/0!</v>
      </c>
      <c r="F26" s="14" t="e">
        <f>(SEOG!F28*1000)/SEOG!W28</f>
        <v>#DIV/0!</v>
      </c>
      <c r="G26" s="14" t="e">
        <f>(SEOG!G28*1000)/SEOG!X28</f>
        <v>#DIV/0!</v>
      </c>
      <c r="H26" s="14" t="e">
        <f>(SEOG!H28*1000)/SEOG!Y28</f>
        <v>#DIV/0!</v>
      </c>
      <c r="I26" s="14" t="e">
        <f>(SEOG!I28*1000)/SEOG!Z28</f>
        <v>#DIV/0!</v>
      </c>
      <c r="J26" s="14" t="e">
        <f>(SEOG!J28*1000)/SEOG!AA28</f>
        <v>#DIV/0!</v>
      </c>
      <c r="K26" s="14" t="e">
        <f>(SEOG!K28*1000)/SEOG!AB28</f>
        <v>#DIV/0!</v>
      </c>
      <c r="L26" s="14" t="e">
        <f>(SEOG!L28*1000)/SEOG!AC28</f>
        <v>#DIV/0!</v>
      </c>
      <c r="M26" s="14" t="e">
        <f>(SEOG!M28*1000)/SEOG!AD28</f>
        <v>#DIV/0!</v>
      </c>
      <c r="N26" s="14" t="e">
        <f>(SEOG!N28*1000)/SEOG!AE28</f>
        <v>#DIV/0!</v>
      </c>
      <c r="O26" s="14" t="e">
        <f>(SEOG!O28*1000)/SEOG!AF28</f>
        <v>#DIV/0!</v>
      </c>
      <c r="P26" s="14">
        <f>(SEOG!P28*1000)/SEOG!AG28</f>
        <v>641.16738434360161</v>
      </c>
      <c r="Q26" s="14">
        <f>(SEOG!Q28*1000)/SEOG!AH28</f>
        <v>660.12230454495193</v>
      </c>
      <c r="R26" s="14">
        <f>(SEOG!R28*1000)/SEOG!AI28</f>
        <v>626.82525846340968</v>
      </c>
    </row>
    <row r="27" spans="1:18">
      <c r="A27" s="53" t="s">
        <v>162</v>
      </c>
      <c r="B27" s="14" t="e">
        <f>(SEOG!B29*1000)/SEOG!S29</f>
        <v>#DIV/0!</v>
      </c>
      <c r="C27" s="14" t="e">
        <f>(SEOG!C29*1000)/SEOG!T29</f>
        <v>#DIV/0!</v>
      </c>
      <c r="D27" s="14" t="e">
        <f>(SEOG!D29*1000)/SEOG!U29</f>
        <v>#DIV/0!</v>
      </c>
      <c r="E27" s="14" t="e">
        <f>(SEOG!E29*1000)/SEOG!V29</f>
        <v>#DIV/0!</v>
      </c>
      <c r="F27" s="14" t="e">
        <f>(SEOG!F29*1000)/SEOG!W29</f>
        <v>#DIV/0!</v>
      </c>
      <c r="G27" s="14" t="e">
        <f>(SEOG!G29*1000)/SEOG!X29</f>
        <v>#DIV/0!</v>
      </c>
      <c r="H27" s="14" t="e">
        <f>(SEOG!H29*1000)/SEOG!Y29</f>
        <v>#DIV/0!</v>
      </c>
      <c r="I27" s="14" t="e">
        <f>(SEOG!I29*1000)/SEOG!Z29</f>
        <v>#DIV/0!</v>
      </c>
      <c r="J27" s="14" t="e">
        <f>(SEOG!J29*1000)/SEOG!AA29</f>
        <v>#DIV/0!</v>
      </c>
      <c r="K27" s="14" t="e">
        <f>(SEOG!K29*1000)/SEOG!AB29</f>
        <v>#DIV/0!</v>
      </c>
      <c r="L27" s="14" t="e">
        <f>(SEOG!L29*1000)/SEOG!AC29</f>
        <v>#DIV/0!</v>
      </c>
      <c r="M27" s="14" t="e">
        <f>(SEOG!M29*1000)/SEOG!AD29</f>
        <v>#DIV/0!</v>
      </c>
      <c r="N27" s="14" t="e">
        <f>(SEOG!N29*1000)/SEOG!AE29</f>
        <v>#DIV/0!</v>
      </c>
      <c r="O27" s="14" t="e">
        <f>(SEOG!O29*1000)/SEOG!AF29</f>
        <v>#DIV/0!</v>
      </c>
      <c r="P27" s="14">
        <f>(SEOG!P29*1000)/SEOG!AG29</f>
        <v>647.91942156405651</v>
      </c>
      <c r="Q27" s="14">
        <f>(SEOG!Q29*1000)/SEOG!AH29</f>
        <v>659.05324611225296</v>
      </c>
      <c r="R27" s="14">
        <f>(SEOG!R29*1000)/SEOG!AI29</f>
        <v>687.30519378178951</v>
      </c>
    </row>
    <row r="28" spans="1:18">
      <c r="A28" s="53" t="s">
        <v>163</v>
      </c>
      <c r="B28" s="14" t="e">
        <f>(SEOG!B30*1000)/SEOG!S30</f>
        <v>#DIV/0!</v>
      </c>
      <c r="C28" s="14" t="e">
        <f>(SEOG!C30*1000)/SEOG!T30</f>
        <v>#DIV/0!</v>
      </c>
      <c r="D28" s="14" t="e">
        <f>(SEOG!D30*1000)/SEOG!U30</f>
        <v>#DIV/0!</v>
      </c>
      <c r="E28" s="14" t="e">
        <f>(SEOG!E30*1000)/SEOG!V30</f>
        <v>#DIV/0!</v>
      </c>
      <c r="F28" s="14" t="e">
        <f>(SEOG!F30*1000)/SEOG!W30</f>
        <v>#DIV/0!</v>
      </c>
      <c r="G28" s="14" t="e">
        <f>(SEOG!G30*1000)/SEOG!X30</f>
        <v>#DIV/0!</v>
      </c>
      <c r="H28" s="14" t="e">
        <f>(SEOG!H30*1000)/SEOG!Y30</f>
        <v>#DIV/0!</v>
      </c>
      <c r="I28" s="14" t="e">
        <f>(SEOG!I30*1000)/SEOG!Z30</f>
        <v>#DIV/0!</v>
      </c>
      <c r="J28" s="14" t="e">
        <f>(SEOG!J30*1000)/SEOG!AA30</f>
        <v>#DIV/0!</v>
      </c>
      <c r="K28" s="14" t="e">
        <f>(SEOG!K30*1000)/SEOG!AB30</f>
        <v>#DIV/0!</v>
      </c>
      <c r="L28" s="14" t="e">
        <f>(SEOG!L30*1000)/SEOG!AC30</f>
        <v>#DIV/0!</v>
      </c>
      <c r="M28" s="14" t="e">
        <f>(SEOG!M30*1000)/SEOG!AD30</f>
        <v>#DIV/0!</v>
      </c>
      <c r="N28" s="14" t="e">
        <f>(SEOG!N30*1000)/SEOG!AE30</f>
        <v>#DIV/0!</v>
      </c>
      <c r="O28" s="14" t="e">
        <f>(SEOG!O30*1000)/SEOG!AF30</f>
        <v>#DIV/0!</v>
      </c>
      <c r="P28" s="14">
        <f>(SEOG!P30*1000)/SEOG!AG30</f>
        <v>946.09151504233466</v>
      </c>
      <c r="Q28" s="14">
        <f>(SEOG!Q30*1000)/SEOG!AH30</f>
        <v>960.52494103258493</v>
      </c>
      <c r="R28" s="14">
        <f>(SEOG!R30*1000)/SEOG!AI30</f>
        <v>969.58775786269871</v>
      </c>
    </row>
    <row r="29" spans="1:18">
      <c r="A29" s="53" t="s">
        <v>164</v>
      </c>
      <c r="B29" s="14" t="e">
        <f>(SEOG!B31*1000)/SEOG!S31</f>
        <v>#DIV/0!</v>
      </c>
      <c r="C29" s="14" t="e">
        <f>(SEOG!C31*1000)/SEOG!T31</f>
        <v>#DIV/0!</v>
      </c>
      <c r="D29" s="14" t="e">
        <f>(SEOG!D31*1000)/SEOG!U31</f>
        <v>#DIV/0!</v>
      </c>
      <c r="E29" s="14" t="e">
        <f>(SEOG!E31*1000)/SEOG!V31</f>
        <v>#DIV/0!</v>
      </c>
      <c r="F29" s="14" t="e">
        <f>(SEOG!F31*1000)/SEOG!W31</f>
        <v>#DIV/0!</v>
      </c>
      <c r="G29" s="14" t="e">
        <f>(SEOG!G31*1000)/SEOG!X31</f>
        <v>#DIV/0!</v>
      </c>
      <c r="H29" s="14" t="e">
        <f>(SEOG!H31*1000)/SEOG!Y31</f>
        <v>#DIV/0!</v>
      </c>
      <c r="I29" s="14" t="e">
        <f>(SEOG!I31*1000)/SEOG!Z31</f>
        <v>#DIV/0!</v>
      </c>
      <c r="J29" s="14" t="e">
        <f>(SEOG!J31*1000)/SEOG!AA31</f>
        <v>#DIV/0!</v>
      </c>
      <c r="K29" s="14" t="e">
        <f>(SEOG!K31*1000)/SEOG!AB31</f>
        <v>#DIV/0!</v>
      </c>
      <c r="L29" s="14" t="e">
        <f>(SEOG!L31*1000)/SEOG!AC31</f>
        <v>#DIV/0!</v>
      </c>
      <c r="M29" s="14" t="e">
        <f>(SEOG!M31*1000)/SEOG!AD31</f>
        <v>#DIV/0!</v>
      </c>
      <c r="N29" s="14" t="e">
        <f>(SEOG!N31*1000)/SEOG!AE31</f>
        <v>#DIV/0!</v>
      </c>
      <c r="O29" s="14" t="e">
        <f>(SEOG!O31*1000)/SEOG!AF31</f>
        <v>#DIV/0!</v>
      </c>
      <c r="P29" s="14">
        <f>(SEOG!P31*1000)/SEOG!AG31</f>
        <v>1034.4535086912535</v>
      </c>
      <c r="Q29" s="14">
        <f>(SEOG!Q31*1000)/SEOG!AH31</f>
        <v>928.85333761232346</v>
      </c>
      <c r="R29" s="14">
        <f>(SEOG!R31*1000)/SEOG!AI31</f>
        <v>1134.5800492610838</v>
      </c>
    </row>
    <row r="30" spans="1:18">
      <c r="A30" s="53" t="s">
        <v>166</v>
      </c>
      <c r="B30" s="14" t="e">
        <f>(SEOG!B32*1000)/SEOG!S32</f>
        <v>#DIV/0!</v>
      </c>
      <c r="C30" s="14" t="e">
        <f>(SEOG!C32*1000)/SEOG!T32</f>
        <v>#DIV/0!</v>
      </c>
      <c r="D30" s="14" t="e">
        <f>(SEOG!D32*1000)/SEOG!U32</f>
        <v>#DIV/0!</v>
      </c>
      <c r="E30" s="14" t="e">
        <f>(SEOG!E32*1000)/SEOG!V32</f>
        <v>#DIV/0!</v>
      </c>
      <c r="F30" s="14" t="e">
        <f>(SEOG!F32*1000)/SEOG!W32</f>
        <v>#DIV/0!</v>
      </c>
      <c r="G30" s="14" t="e">
        <f>(SEOG!G32*1000)/SEOG!X32</f>
        <v>#DIV/0!</v>
      </c>
      <c r="H30" s="14" t="e">
        <f>(SEOG!H32*1000)/SEOG!Y32</f>
        <v>#DIV/0!</v>
      </c>
      <c r="I30" s="14" t="e">
        <f>(SEOG!I32*1000)/SEOG!Z32</f>
        <v>#DIV/0!</v>
      </c>
      <c r="J30" s="14" t="e">
        <f>(SEOG!J32*1000)/SEOG!AA32</f>
        <v>#DIV/0!</v>
      </c>
      <c r="K30" s="14" t="e">
        <f>(SEOG!K32*1000)/SEOG!AB32</f>
        <v>#DIV/0!</v>
      </c>
      <c r="L30" s="14" t="e">
        <f>(SEOG!L32*1000)/SEOG!AC32</f>
        <v>#DIV/0!</v>
      </c>
      <c r="M30" s="14" t="e">
        <f>(SEOG!M32*1000)/SEOG!AD32</f>
        <v>#DIV/0!</v>
      </c>
      <c r="N30" s="14" t="e">
        <f>(SEOG!N32*1000)/SEOG!AE32</f>
        <v>#DIV/0!</v>
      </c>
      <c r="O30" s="14" t="e">
        <f>(SEOG!O32*1000)/SEOG!AF32</f>
        <v>#DIV/0!</v>
      </c>
      <c r="P30" s="14">
        <f>(SEOG!P32*1000)/SEOG!AG32</f>
        <v>716.07245024875624</v>
      </c>
      <c r="Q30" s="14">
        <f>(SEOG!Q32*1000)/SEOG!AH32</f>
        <v>734.29760403530895</v>
      </c>
      <c r="R30" s="14">
        <f>(SEOG!R32*1000)/SEOG!AI32</f>
        <v>722.82160493827155</v>
      </c>
    </row>
    <row r="31" spans="1:18">
      <c r="A31" s="53" t="s">
        <v>167</v>
      </c>
      <c r="B31" s="14" t="e">
        <f>(SEOG!B33*1000)/SEOG!S33</f>
        <v>#DIV/0!</v>
      </c>
      <c r="C31" s="14" t="e">
        <f>(SEOG!C33*1000)/SEOG!T33</f>
        <v>#DIV/0!</v>
      </c>
      <c r="D31" s="14" t="e">
        <f>(SEOG!D33*1000)/SEOG!U33</f>
        <v>#DIV/0!</v>
      </c>
      <c r="E31" s="14" t="e">
        <f>(SEOG!E33*1000)/SEOG!V33</f>
        <v>#DIV/0!</v>
      </c>
      <c r="F31" s="14" t="e">
        <f>(SEOG!F33*1000)/SEOG!W33</f>
        <v>#DIV/0!</v>
      </c>
      <c r="G31" s="14" t="e">
        <f>(SEOG!G33*1000)/SEOG!X33</f>
        <v>#DIV/0!</v>
      </c>
      <c r="H31" s="14" t="e">
        <f>(SEOG!H33*1000)/SEOG!Y33</f>
        <v>#DIV/0!</v>
      </c>
      <c r="I31" s="14" t="e">
        <f>(SEOG!I33*1000)/SEOG!Z33</f>
        <v>#DIV/0!</v>
      </c>
      <c r="J31" s="14" t="e">
        <f>(SEOG!J33*1000)/SEOG!AA33</f>
        <v>#DIV/0!</v>
      </c>
      <c r="K31" s="14" t="e">
        <f>(SEOG!K33*1000)/SEOG!AB33</f>
        <v>#DIV/0!</v>
      </c>
      <c r="L31" s="14" t="e">
        <f>(SEOG!L33*1000)/SEOG!AC33</f>
        <v>#DIV/0!</v>
      </c>
      <c r="M31" s="14" t="e">
        <f>(SEOG!M33*1000)/SEOG!AD33</f>
        <v>#DIV/0!</v>
      </c>
      <c r="N31" s="14" t="e">
        <f>(SEOG!N33*1000)/SEOG!AE33</f>
        <v>#DIV/0!</v>
      </c>
      <c r="O31" s="14" t="e">
        <f>(SEOG!O33*1000)/SEOG!AF33</f>
        <v>#DIV/0!</v>
      </c>
      <c r="P31" s="14">
        <f>(SEOG!P33*1000)/SEOG!AG33</f>
        <v>420.31984154323112</v>
      </c>
      <c r="Q31" s="14">
        <f>(SEOG!Q33*1000)/SEOG!AH33</f>
        <v>440.46673819742489</v>
      </c>
      <c r="R31" s="14">
        <f>(SEOG!R33*1000)/SEOG!AI33</f>
        <v>400.10728808257744</v>
      </c>
    </row>
    <row r="32" spans="1:18">
      <c r="A32" s="53" t="s">
        <v>168</v>
      </c>
      <c r="B32" s="14" t="e">
        <f>(SEOG!B34*1000)/SEOG!S34</f>
        <v>#DIV/0!</v>
      </c>
      <c r="C32" s="14" t="e">
        <f>(SEOG!C34*1000)/SEOG!T34</f>
        <v>#DIV/0!</v>
      </c>
      <c r="D32" s="14" t="e">
        <f>(SEOG!D34*1000)/SEOG!U34</f>
        <v>#DIV/0!</v>
      </c>
      <c r="E32" s="14" t="e">
        <f>(SEOG!E34*1000)/SEOG!V34</f>
        <v>#DIV/0!</v>
      </c>
      <c r="F32" s="14" t="e">
        <f>(SEOG!F34*1000)/SEOG!W34</f>
        <v>#DIV/0!</v>
      </c>
      <c r="G32" s="14" t="e">
        <f>(SEOG!G34*1000)/SEOG!X34</f>
        <v>#DIV/0!</v>
      </c>
      <c r="H32" s="14" t="e">
        <f>(SEOG!H34*1000)/SEOG!Y34</f>
        <v>#DIV/0!</v>
      </c>
      <c r="I32" s="14" t="e">
        <f>(SEOG!I34*1000)/SEOG!Z34</f>
        <v>#DIV/0!</v>
      </c>
      <c r="J32" s="14" t="e">
        <f>(SEOG!J34*1000)/SEOG!AA34</f>
        <v>#DIV/0!</v>
      </c>
      <c r="K32" s="14" t="e">
        <f>(SEOG!K34*1000)/SEOG!AB34</f>
        <v>#DIV/0!</v>
      </c>
      <c r="L32" s="14" t="e">
        <f>(SEOG!L34*1000)/SEOG!AC34</f>
        <v>#DIV/0!</v>
      </c>
      <c r="M32" s="14" t="e">
        <f>(SEOG!M34*1000)/SEOG!AD34</f>
        <v>#DIV/0!</v>
      </c>
      <c r="N32" s="14" t="e">
        <f>(SEOG!N34*1000)/SEOG!AE34</f>
        <v>#DIV/0!</v>
      </c>
      <c r="O32" s="14" t="e">
        <f>(SEOG!O34*1000)/SEOG!AF34</f>
        <v>#DIV/0!</v>
      </c>
      <c r="P32" s="14">
        <f>(SEOG!P34*1000)/SEOG!AG34</f>
        <v>908.02604715744008</v>
      </c>
      <c r="Q32" s="14">
        <f>(SEOG!Q34*1000)/SEOG!AH34</f>
        <v>913.14636329060113</v>
      </c>
      <c r="R32" s="14">
        <f>(SEOG!R34*1000)/SEOG!AI34</f>
        <v>1050.4647503147294</v>
      </c>
    </row>
    <row r="33" spans="1:18">
      <c r="A33" s="53" t="s">
        <v>169</v>
      </c>
      <c r="B33" s="14" t="e">
        <f>(SEOG!B35*1000)/SEOG!S35</f>
        <v>#DIV/0!</v>
      </c>
      <c r="C33" s="14" t="e">
        <f>(SEOG!C35*1000)/SEOG!T35</f>
        <v>#DIV/0!</v>
      </c>
      <c r="D33" s="14" t="e">
        <f>(SEOG!D35*1000)/SEOG!U35</f>
        <v>#DIV/0!</v>
      </c>
      <c r="E33" s="14" t="e">
        <f>(SEOG!E35*1000)/SEOG!V35</f>
        <v>#DIV/0!</v>
      </c>
      <c r="F33" s="14" t="e">
        <f>(SEOG!F35*1000)/SEOG!W35</f>
        <v>#DIV/0!</v>
      </c>
      <c r="G33" s="14" t="e">
        <f>(SEOG!G35*1000)/SEOG!X35</f>
        <v>#DIV/0!</v>
      </c>
      <c r="H33" s="14" t="e">
        <f>(SEOG!H35*1000)/SEOG!Y35</f>
        <v>#DIV/0!</v>
      </c>
      <c r="I33" s="14" t="e">
        <f>(SEOG!I35*1000)/SEOG!Z35</f>
        <v>#DIV/0!</v>
      </c>
      <c r="J33" s="14" t="e">
        <f>(SEOG!J35*1000)/SEOG!AA35</f>
        <v>#DIV/0!</v>
      </c>
      <c r="K33" s="14" t="e">
        <f>(SEOG!K35*1000)/SEOG!AB35</f>
        <v>#DIV/0!</v>
      </c>
      <c r="L33" s="14" t="e">
        <f>(SEOG!L35*1000)/SEOG!AC35</f>
        <v>#DIV/0!</v>
      </c>
      <c r="M33" s="14" t="e">
        <f>(SEOG!M35*1000)/SEOG!AD35</f>
        <v>#DIV/0!</v>
      </c>
      <c r="N33" s="14" t="e">
        <f>(SEOG!N35*1000)/SEOG!AE35</f>
        <v>#DIV/0!</v>
      </c>
      <c r="O33" s="14" t="e">
        <f>(SEOG!O35*1000)/SEOG!AF35</f>
        <v>#DIV/0!</v>
      </c>
      <c r="P33" s="14">
        <f>(SEOG!P35*1000)/SEOG!AG35</f>
        <v>665.62588632940231</v>
      </c>
      <c r="Q33" s="14">
        <f>(SEOG!Q35*1000)/SEOG!AH35</f>
        <v>723.47246444211919</v>
      </c>
      <c r="R33" s="14">
        <f>(SEOG!R35*1000)/SEOG!AI35</f>
        <v>694.60123126152132</v>
      </c>
    </row>
    <row r="34" spans="1:18">
      <c r="A34" s="53" t="s">
        <v>170</v>
      </c>
      <c r="B34" s="14" t="e">
        <f>(SEOG!B36*1000)/SEOG!S36</f>
        <v>#DIV/0!</v>
      </c>
      <c r="C34" s="14" t="e">
        <f>(SEOG!C36*1000)/SEOG!T36</f>
        <v>#DIV/0!</v>
      </c>
      <c r="D34" s="14" t="e">
        <f>(SEOG!D36*1000)/SEOG!U36</f>
        <v>#DIV/0!</v>
      </c>
      <c r="E34" s="14" t="e">
        <f>(SEOG!E36*1000)/SEOG!V36</f>
        <v>#DIV/0!</v>
      </c>
      <c r="F34" s="14" t="e">
        <f>(SEOG!F36*1000)/SEOG!W36</f>
        <v>#DIV/0!</v>
      </c>
      <c r="G34" s="14" t="e">
        <f>(SEOG!G36*1000)/SEOG!X36</f>
        <v>#DIV/0!</v>
      </c>
      <c r="H34" s="14" t="e">
        <f>(SEOG!H36*1000)/SEOG!Y36</f>
        <v>#DIV/0!</v>
      </c>
      <c r="I34" s="14" t="e">
        <f>(SEOG!I36*1000)/SEOG!Z36</f>
        <v>#DIV/0!</v>
      </c>
      <c r="J34" s="14" t="e">
        <f>(SEOG!J36*1000)/SEOG!AA36</f>
        <v>#DIV/0!</v>
      </c>
      <c r="K34" s="14" t="e">
        <f>(SEOG!K36*1000)/SEOG!AB36</f>
        <v>#DIV/0!</v>
      </c>
      <c r="L34" s="14" t="e">
        <f>(SEOG!L36*1000)/SEOG!AC36</f>
        <v>#DIV/0!</v>
      </c>
      <c r="M34" s="14" t="e">
        <f>(SEOG!M36*1000)/SEOG!AD36</f>
        <v>#DIV/0!</v>
      </c>
      <c r="N34" s="14" t="e">
        <f>(SEOG!N36*1000)/SEOG!AE36</f>
        <v>#DIV/0!</v>
      </c>
      <c r="O34" s="14" t="e">
        <f>(SEOG!O36*1000)/SEOG!AF36</f>
        <v>#DIV/0!</v>
      </c>
      <c r="P34" s="14">
        <f>(SEOG!P36*1000)/SEOG!AG36</f>
        <v>790.91753007440377</v>
      </c>
      <c r="Q34" s="14">
        <f>(SEOG!Q36*1000)/SEOG!AH36</f>
        <v>783.17595959595963</v>
      </c>
      <c r="R34" s="14">
        <f>(SEOG!R36*1000)/SEOG!AI36</f>
        <v>761.48272843579559</v>
      </c>
    </row>
    <row r="35" spans="1:18">
      <c r="A35" s="53" t="s">
        <v>171</v>
      </c>
      <c r="B35" s="14" t="e">
        <f>(SEOG!B37*1000)/SEOG!S37</f>
        <v>#DIV/0!</v>
      </c>
      <c r="C35" s="14" t="e">
        <f>(SEOG!C37*1000)/SEOG!T37</f>
        <v>#DIV/0!</v>
      </c>
      <c r="D35" s="14" t="e">
        <f>(SEOG!D37*1000)/SEOG!U37</f>
        <v>#DIV/0!</v>
      </c>
      <c r="E35" s="14" t="e">
        <f>(SEOG!E37*1000)/SEOG!V37</f>
        <v>#DIV/0!</v>
      </c>
      <c r="F35" s="14" t="e">
        <f>(SEOG!F37*1000)/SEOG!W37</f>
        <v>#DIV/0!</v>
      </c>
      <c r="G35" s="14" t="e">
        <f>(SEOG!G37*1000)/SEOG!X37</f>
        <v>#DIV/0!</v>
      </c>
      <c r="H35" s="14" t="e">
        <f>(SEOG!H37*1000)/SEOG!Y37</f>
        <v>#DIV/0!</v>
      </c>
      <c r="I35" s="14" t="e">
        <f>(SEOG!I37*1000)/SEOG!Z37</f>
        <v>#DIV/0!</v>
      </c>
      <c r="J35" s="14" t="e">
        <f>(SEOG!J37*1000)/SEOG!AA37</f>
        <v>#DIV/0!</v>
      </c>
      <c r="K35" s="14" t="e">
        <f>(SEOG!K37*1000)/SEOG!AB37</f>
        <v>#DIV/0!</v>
      </c>
      <c r="L35" s="14" t="e">
        <f>(SEOG!L37*1000)/SEOG!AC37</f>
        <v>#DIV/0!</v>
      </c>
      <c r="M35" s="14" t="e">
        <f>(SEOG!M37*1000)/SEOG!AD37</f>
        <v>#DIV/0!</v>
      </c>
      <c r="N35" s="14" t="e">
        <f>(SEOG!N37*1000)/SEOG!AE37</f>
        <v>#DIV/0!</v>
      </c>
      <c r="O35" s="14" t="e">
        <f>(SEOG!O37*1000)/SEOG!AF37</f>
        <v>#DIV/0!</v>
      </c>
      <c r="P35" s="14">
        <f>(SEOG!P37*1000)/SEOG!AG37</f>
        <v>531.71966110142034</v>
      </c>
      <c r="Q35" s="14">
        <f>(SEOG!Q37*1000)/SEOG!AH37</f>
        <v>541.0927484622855</v>
      </c>
      <c r="R35" s="14">
        <f>(SEOG!R37*1000)/SEOG!AI37</f>
        <v>494.33628183620556</v>
      </c>
    </row>
    <row r="36" spans="1:18">
      <c r="A36" s="53" t="s">
        <v>172</v>
      </c>
      <c r="B36" s="14" t="e">
        <f>(SEOG!B38*1000)/SEOG!S38</f>
        <v>#DIV/0!</v>
      </c>
      <c r="C36" s="14" t="e">
        <f>(SEOG!C38*1000)/SEOG!T38</f>
        <v>#DIV/0!</v>
      </c>
      <c r="D36" s="14" t="e">
        <f>(SEOG!D38*1000)/SEOG!U38</f>
        <v>#DIV/0!</v>
      </c>
      <c r="E36" s="14" t="e">
        <f>(SEOG!E38*1000)/SEOG!V38</f>
        <v>#DIV/0!</v>
      </c>
      <c r="F36" s="14" t="e">
        <f>(SEOG!F38*1000)/SEOG!W38</f>
        <v>#DIV/0!</v>
      </c>
      <c r="G36" s="14" t="e">
        <f>(SEOG!G38*1000)/SEOG!X38</f>
        <v>#DIV/0!</v>
      </c>
      <c r="H36" s="14" t="e">
        <f>(SEOG!H38*1000)/SEOG!Y38</f>
        <v>#DIV/0!</v>
      </c>
      <c r="I36" s="14" t="e">
        <f>(SEOG!I38*1000)/SEOG!Z38</f>
        <v>#DIV/0!</v>
      </c>
      <c r="J36" s="14" t="e">
        <f>(SEOG!J38*1000)/SEOG!AA38</f>
        <v>#DIV/0!</v>
      </c>
      <c r="K36" s="14" t="e">
        <f>(SEOG!K38*1000)/SEOG!AB38</f>
        <v>#DIV/0!</v>
      </c>
      <c r="L36" s="14" t="e">
        <f>(SEOG!L38*1000)/SEOG!AC38</f>
        <v>#DIV/0!</v>
      </c>
      <c r="M36" s="14" t="e">
        <f>(SEOG!M38*1000)/SEOG!AD38</f>
        <v>#DIV/0!</v>
      </c>
      <c r="N36" s="14" t="e">
        <f>(SEOG!N38*1000)/SEOG!AE38</f>
        <v>#DIV/0!</v>
      </c>
      <c r="O36" s="14" t="e">
        <f>(SEOG!O38*1000)/SEOG!AF38</f>
        <v>#DIV/0!</v>
      </c>
      <c r="P36" s="14">
        <f>(SEOG!P38*1000)/SEOG!AG38</f>
        <v>831.00234382042731</v>
      </c>
      <c r="Q36" s="14">
        <f>(SEOG!Q38*1000)/SEOG!AH38</f>
        <v>936.04145383104128</v>
      </c>
      <c r="R36" s="14">
        <f>(SEOG!R38*1000)/SEOG!AI38</f>
        <v>939.99859943977594</v>
      </c>
    </row>
    <row r="37" spans="1:18">
      <c r="A37" s="53" t="s">
        <v>173</v>
      </c>
      <c r="B37" s="14" t="e">
        <f>(SEOG!B39*1000)/SEOG!S39</f>
        <v>#DIV/0!</v>
      </c>
      <c r="C37" s="14" t="e">
        <f>(SEOG!C39*1000)/SEOG!T39</f>
        <v>#DIV/0!</v>
      </c>
      <c r="D37" s="14" t="e">
        <f>(SEOG!D39*1000)/SEOG!U39</f>
        <v>#DIV/0!</v>
      </c>
      <c r="E37" s="14" t="e">
        <f>(SEOG!E39*1000)/SEOG!V39</f>
        <v>#DIV/0!</v>
      </c>
      <c r="F37" s="14" t="e">
        <f>(SEOG!F39*1000)/SEOG!W39</f>
        <v>#DIV/0!</v>
      </c>
      <c r="G37" s="14" t="e">
        <f>(SEOG!G39*1000)/SEOG!X39</f>
        <v>#DIV/0!</v>
      </c>
      <c r="H37" s="14" t="e">
        <f>(SEOG!H39*1000)/SEOG!Y39</f>
        <v>#DIV/0!</v>
      </c>
      <c r="I37" s="14" t="e">
        <f>(SEOG!I39*1000)/SEOG!Z39</f>
        <v>#DIV/0!</v>
      </c>
      <c r="J37" s="14" t="e">
        <f>(SEOG!J39*1000)/SEOG!AA39</f>
        <v>#DIV/0!</v>
      </c>
      <c r="K37" s="14" t="e">
        <f>(SEOG!K39*1000)/SEOG!AB39</f>
        <v>#DIV/0!</v>
      </c>
      <c r="L37" s="14" t="e">
        <f>(SEOG!L39*1000)/SEOG!AC39</f>
        <v>#DIV/0!</v>
      </c>
      <c r="M37" s="14" t="e">
        <f>(SEOG!M39*1000)/SEOG!AD39</f>
        <v>#DIV/0!</v>
      </c>
      <c r="N37" s="14" t="e">
        <f>(SEOG!N39*1000)/SEOG!AE39</f>
        <v>#DIV/0!</v>
      </c>
      <c r="O37" s="14" t="e">
        <f>(SEOG!O39*1000)/SEOG!AF39</f>
        <v>#DIV/0!</v>
      </c>
      <c r="P37" s="14">
        <f>(SEOG!P39*1000)/SEOG!AG39</f>
        <v>965.61881254169441</v>
      </c>
      <c r="Q37" s="14">
        <f>(SEOG!Q39*1000)/SEOG!AH39</f>
        <v>1211.9499264410861</v>
      </c>
      <c r="R37" s="14">
        <f>(SEOG!R39*1000)/SEOG!AI39</f>
        <v>1256.3025219673627</v>
      </c>
    </row>
    <row r="38" spans="1:18">
      <c r="A38" s="53" t="s">
        <v>174</v>
      </c>
      <c r="B38" s="14" t="e">
        <f>(SEOG!B40*1000)/SEOG!S40</f>
        <v>#DIV/0!</v>
      </c>
      <c r="C38" s="14" t="e">
        <f>(SEOG!C40*1000)/SEOG!T40</f>
        <v>#DIV/0!</v>
      </c>
      <c r="D38" s="14" t="e">
        <f>(SEOG!D40*1000)/SEOG!U40</f>
        <v>#DIV/0!</v>
      </c>
      <c r="E38" s="14" t="e">
        <f>(SEOG!E40*1000)/SEOG!V40</f>
        <v>#DIV/0!</v>
      </c>
      <c r="F38" s="14" t="e">
        <f>(SEOG!F40*1000)/SEOG!W40</f>
        <v>#DIV/0!</v>
      </c>
      <c r="G38" s="14" t="e">
        <f>(SEOG!G40*1000)/SEOG!X40</f>
        <v>#DIV/0!</v>
      </c>
      <c r="H38" s="14" t="e">
        <f>(SEOG!H40*1000)/SEOG!Y40</f>
        <v>#DIV/0!</v>
      </c>
      <c r="I38" s="14" t="e">
        <f>(SEOG!I40*1000)/SEOG!Z40</f>
        <v>#DIV/0!</v>
      </c>
      <c r="J38" s="14" t="e">
        <f>(SEOG!J40*1000)/SEOG!AA40</f>
        <v>#DIV/0!</v>
      </c>
      <c r="K38" s="14" t="e">
        <f>(SEOG!K40*1000)/SEOG!AB40</f>
        <v>#DIV/0!</v>
      </c>
      <c r="L38" s="14" t="e">
        <f>(SEOG!L40*1000)/SEOG!AC40</f>
        <v>#DIV/0!</v>
      </c>
      <c r="M38" s="14" t="e">
        <f>(SEOG!M40*1000)/SEOG!AD40</f>
        <v>#DIV/0!</v>
      </c>
      <c r="N38" s="14" t="e">
        <f>(SEOG!N40*1000)/SEOG!AE40</f>
        <v>#DIV/0!</v>
      </c>
      <c r="O38" s="14" t="e">
        <f>(SEOG!O40*1000)/SEOG!AF40</f>
        <v>#DIV/0!</v>
      </c>
      <c r="P38" s="14">
        <f>(SEOG!P40*1000)/SEOG!AG40</f>
        <v>616.39295050353542</v>
      </c>
      <c r="Q38" s="14">
        <f>(SEOG!Q40*1000)/SEOG!AH40</f>
        <v>510.47660582750984</v>
      </c>
      <c r="R38" s="14">
        <f>(SEOG!R40*1000)/SEOG!AI40</f>
        <v>656.97236005827824</v>
      </c>
    </row>
    <row r="39" spans="1:18">
      <c r="A39" s="53" t="s">
        <v>175</v>
      </c>
      <c r="B39" s="14" t="e">
        <f>(SEOG!B41*1000)/SEOG!S41</f>
        <v>#DIV/0!</v>
      </c>
      <c r="C39" s="14" t="e">
        <f>(SEOG!C41*1000)/SEOG!T41</f>
        <v>#DIV/0!</v>
      </c>
      <c r="D39" s="14" t="e">
        <f>(SEOG!D41*1000)/SEOG!U41</f>
        <v>#DIV/0!</v>
      </c>
      <c r="E39" s="14" t="e">
        <f>(SEOG!E41*1000)/SEOG!V41</f>
        <v>#DIV/0!</v>
      </c>
      <c r="F39" s="14" t="e">
        <f>(SEOG!F41*1000)/SEOG!W41</f>
        <v>#DIV/0!</v>
      </c>
      <c r="G39" s="14" t="e">
        <f>(SEOG!G41*1000)/SEOG!X41</f>
        <v>#DIV/0!</v>
      </c>
      <c r="H39" s="14" t="e">
        <f>(SEOG!H41*1000)/SEOG!Y41</f>
        <v>#DIV/0!</v>
      </c>
      <c r="I39" s="14" t="e">
        <f>(SEOG!I41*1000)/SEOG!Z41</f>
        <v>#DIV/0!</v>
      </c>
      <c r="J39" s="14" t="e">
        <f>(SEOG!J41*1000)/SEOG!AA41</f>
        <v>#DIV/0!</v>
      </c>
      <c r="K39" s="14" t="e">
        <f>(SEOG!K41*1000)/SEOG!AB41</f>
        <v>#DIV/0!</v>
      </c>
      <c r="L39" s="14" t="e">
        <f>(SEOG!L41*1000)/SEOG!AC41</f>
        <v>#DIV/0!</v>
      </c>
      <c r="M39" s="14" t="e">
        <f>(SEOG!M41*1000)/SEOG!AD41</f>
        <v>#DIV/0!</v>
      </c>
      <c r="N39" s="14" t="e">
        <f>(SEOG!N41*1000)/SEOG!AE41</f>
        <v>#DIV/0!</v>
      </c>
      <c r="O39" s="14" t="e">
        <f>(SEOG!O41*1000)/SEOG!AF41</f>
        <v>#DIV/0!</v>
      </c>
      <c r="P39" s="14">
        <f>(SEOG!P41*1000)/SEOG!AG41</f>
        <v>919.18126531326561</v>
      </c>
      <c r="Q39" s="14">
        <f>(SEOG!Q41*1000)/SEOG!AH41</f>
        <v>1014.5333978234582</v>
      </c>
      <c r="R39" s="14">
        <f>(SEOG!R41*1000)/SEOG!AI41</f>
        <v>1061.6419603291833</v>
      </c>
    </row>
    <row r="40" spans="1:18">
      <c r="A40" s="53" t="s">
        <v>176</v>
      </c>
      <c r="B40" s="14" t="e">
        <f>(SEOG!B42*1000)/SEOG!S42</f>
        <v>#DIV/0!</v>
      </c>
      <c r="C40" s="14" t="e">
        <f>(SEOG!C42*1000)/SEOG!T42</f>
        <v>#DIV/0!</v>
      </c>
      <c r="D40" s="14" t="e">
        <f>(SEOG!D42*1000)/SEOG!U42</f>
        <v>#DIV/0!</v>
      </c>
      <c r="E40" s="14" t="e">
        <f>(SEOG!E42*1000)/SEOG!V42</f>
        <v>#DIV/0!</v>
      </c>
      <c r="F40" s="14" t="e">
        <f>(SEOG!F42*1000)/SEOG!W42</f>
        <v>#DIV/0!</v>
      </c>
      <c r="G40" s="14" t="e">
        <f>(SEOG!G42*1000)/SEOG!X42</f>
        <v>#DIV/0!</v>
      </c>
      <c r="H40" s="14" t="e">
        <f>(SEOG!H42*1000)/SEOG!Y42</f>
        <v>#DIV/0!</v>
      </c>
      <c r="I40" s="14" t="e">
        <f>(SEOG!I42*1000)/SEOG!Z42</f>
        <v>#DIV/0!</v>
      </c>
      <c r="J40" s="14" t="e">
        <f>(SEOG!J42*1000)/SEOG!AA42</f>
        <v>#DIV/0!</v>
      </c>
      <c r="K40" s="14" t="e">
        <f>(SEOG!K42*1000)/SEOG!AB42</f>
        <v>#DIV/0!</v>
      </c>
      <c r="L40" s="14" t="e">
        <f>(SEOG!L42*1000)/SEOG!AC42</f>
        <v>#DIV/0!</v>
      </c>
      <c r="M40" s="14" t="e">
        <f>(SEOG!M42*1000)/SEOG!AD42</f>
        <v>#DIV/0!</v>
      </c>
      <c r="N40" s="14" t="e">
        <f>(SEOG!N42*1000)/SEOG!AE42</f>
        <v>#DIV/0!</v>
      </c>
      <c r="O40" s="14" t="e">
        <f>(SEOG!O42*1000)/SEOG!AF42</f>
        <v>#DIV/0!</v>
      </c>
      <c r="P40" s="14">
        <f>(SEOG!P42*1000)/SEOG!AG42</f>
        <v>804.19674447817442</v>
      </c>
      <c r="Q40" s="14">
        <f>(SEOG!Q42*1000)/SEOG!AH42</f>
        <v>830.91118669690093</v>
      </c>
      <c r="R40" s="14">
        <f>(SEOG!R42*1000)/SEOG!AI42</f>
        <v>810.36020899497998</v>
      </c>
    </row>
    <row r="41" spans="1:18">
      <c r="A41" s="53" t="s">
        <v>177</v>
      </c>
      <c r="B41" s="14" t="e">
        <f>(SEOG!B43*1000)/SEOG!S43</f>
        <v>#DIV/0!</v>
      </c>
      <c r="C41" s="14" t="e">
        <f>(SEOG!C43*1000)/SEOG!T43</f>
        <v>#DIV/0!</v>
      </c>
      <c r="D41" s="14" t="e">
        <f>(SEOG!D43*1000)/SEOG!U43</f>
        <v>#DIV/0!</v>
      </c>
      <c r="E41" s="14" t="e">
        <f>(SEOG!E43*1000)/SEOG!V43</f>
        <v>#DIV/0!</v>
      </c>
      <c r="F41" s="14" t="e">
        <f>(SEOG!F43*1000)/SEOG!W43</f>
        <v>#DIV/0!</v>
      </c>
      <c r="G41" s="14" t="e">
        <f>(SEOG!G43*1000)/SEOG!X43</f>
        <v>#DIV/0!</v>
      </c>
      <c r="H41" s="14" t="e">
        <f>(SEOG!H43*1000)/SEOG!Y43</f>
        <v>#DIV/0!</v>
      </c>
      <c r="I41" s="14" t="e">
        <f>(SEOG!I43*1000)/SEOG!Z43</f>
        <v>#DIV/0!</v>
      </c>
      <c r="J41" s="14" t="e">
        <f>(SEOG!J43*1000)/SEOG!AA43</f>
        <v>#DIV/0!</v>
      </c>
      <c r="K41" s="14" t="e">
        <f>(SEOG!K43*1000)/SEOG!AB43</f>
        <v>#DIV/0!</v>
      </c>
      <c r="L41" s="14" t="e">
        <f>(SEOG!L43*1000)/SEOG!AC43</f>
        <v>#DIV/0!</v>
      </c>
      <c r="M41" s="14" t="e">
        <f>(SEOG!M43*1000)/SEOG!AD43</f>
        <v>#DIV/0!</v>
      </c>
      <c r="N41" s="14" t="e">
        <f>(SEOG!N43*1000)/SEOG!AE43</f>
        <v>#DIV/0!</v>
      </c>
      <c r="O41" s="14" t="e">
        <f>(SEOG!O43*1000)/SEOG!AF43</f>
        <v>#DIV/0!</v>
      </c>
      <c r="P41" s="14">
        <f>(SEOG!P43*1000)/SEOG!AG43</f>
        <v>543.44979423868313</v>
      </c>
      <c r="Q41" s="14">
        <f>(SEOG!Q43*1000)/SEOG!AH43</f>
        <v>567.78014989779695</v>
      </c>
      <c r="R41" s="14">
        <f>(SEOG!R43*1000)/SEOG!AI43</f>
        <v>514.17423935091279</v>
      </c>
    </row>
    <row r="42" spans="1:18">
      <c r="A42" s="53" t="s">
        <v>178</v>
      </c>
      <c r="B42" s="14" t="e">
        <f>(SEOG!B44*1000)/SEOG!S44</f>
        <v>#DIV/0!</v>
      </c>
      <c r="C42" s="14" t="e">
        <f>(SEOG!C44*1000)/SEOG!T44</f>
        <v>#DIV/0!</v>
      </c>
      <c r="D42" s="14" t="e">
        <f>(SEOG!D44*1000)/SEOG!U44</f>
        <v>#DIV/0!</v>
      </c>
      <c r="E42" s="14" t="e">
        <f>(SEOG!E44*1000)/SEOG!V44</f>
        <v>#DIV/0!</v>
      </c>
      <c r="F42" s="14" t="e">
        <f>(SEOG!F44*1000)/SEOG!W44</f>
        <v>#DIV/0!</v>
      </c>
      <c r="G42" s="14" t="e">
        <f>(SEOG!G44*1000)/SEOG!X44</f>
        <v>#DIV/0!</v>
      </c>
      <c r="H42" s="14" t="e">
        <f>(SEOG!H44*1000)/SEOG!Y44</f>
        <v>#DIV/0!</v>
      </c>
      <c r="I42" s="14" t="e">
        <f>(SEOG!I44*1000)/SEOG!Z44</f>
        <v>#DIV/0!</v>
      </c>
      <c r="J42" s="14" t="e">
        <f>(SEOG!J44*1000)/SEOG!AA44</f>
        <v>#DIV/0!</v>
      </c>
      <c r="K42" s="14" t="e">
        <f>(SEOG!K44*1000)/SEOG!AB44</f>
        <v>#DIV/0!</v>
      </c>
      <c r="L42" s="14" t="e">
        <f>(SEOG!L44*1000)/SEOG!AC44</f>
        <v>#DIV/0!</v>
      </c>
      <c r="M42" s="14" t="e">
        <f>(SEOG!M44*1000)/SEOG!AD44</f>
        <v>#DIV/0!</v>
      </c>
      <c r="N42" s="14" t="e">
        <f>(SEOG!N44*1000)/SEOG!AE44</f>
        <v>#DIV/0!</v>
      </c>
      <c r="O42" s="14" t="e">
        <f>(SEOG!O44*1000)/SEOG!AF44</f>
        <v>#DIV/0!</v>
      </c>
      <c r="P42" s="14">
        <f>(SEOG!P44*1000)/SEOG!AG44</f>
        <v>550.43562381569757</v>
      </c>
      <c r="Q42" s="14">
        <f>(SEOG!Q44*1000)/SEOG!AH44</f>
        <v>614.05793507664566</v>
      </c>
      <c r="R42" s="14">
        <f>(SEOG!R44*1000)/SEOG!AI44</f>
        <v>642.35258669698692</v>
      </c>
    </row>
    <row r="43" spans="1:18">
      <c r="A43" s="53" t="s">
        <v>179</v>
      </c>
      <c r="B43" s="14" t="e">
        <f>(SEOG!B45*1000)/SEOG!S45</f>
        <v>#DIV/0!</v>
      </c>
      <c r="C43" s="14" t="e">
        <f>(SEOG!C45*1000)/SEOG!T45</f>
        <v>#DIV/0!</v>
      </c>
      <c r="D43" s="14" t="e">
        <f>(SEOG!D45*1000)/SEOG!U45</f>
        <v>#DIV/0!</v>
      </c>
      <c r="E43" s="14" t="e">
        <f>(SEOG!E45*1000)/SEOG!V45</f>
        <v>#DIV/0!</v>
      </c>
      <c r="F43" s="14" t="e">
        <f>(SEOG!F45*1000)/SEOG!W45</f>
        <v>#DIV/0!</v>
      </c>
      <c r="G43" s="14" t="e">
        <f>(SEOG!G45*1000)/SEOG!X45</f>
        <v>#DIV/0!</v>
      </c>
      <c r="H43" s="14" t="e">
        <f>(SEOG!H45*1000)/SEOG!Y45</f>
        <v>#DIV/0!</v>
      </c>
      <c r="I43" s="14" t="e">
        <f>(SEOG!I45*1000)/SEOG!Z45</f>
        <v>#DIV/0!</v>
      </c>
      <c r="J43" s="14" t="e">
        <f>(SEOG!J45*1000)/SEOG!AA45</f>
        <v>#DIV/0!</v>
      </c>
      <c r="K43" s="14" t="e">
        <f>(SEOG!K45*1000)/SEOG!AB45</f>
        <v>#DIV/0!</v>
      </c>
      <c r="L43" s="14" t="e">
        <f>(SEOG!L45*1000)/SEOG!AC45</f>
        <v>#DIV/0!</v>
      </c>
      <c r="M43" s="14" t="e">
        <f>(SEOG!M45*1000)/SEOG!AD45</f>
        <v>#DIV/0!</v>
      </c>
      <c r="N43" s="14" t="e">
        <f>(SEOG!N45*1000)/SEOG!AE45</f>
        <v>#DIV/0!</v>
      </c>
      <c r="O43" s="14" t="e">
        <f>(SEOG!O45*1000)/SEOG!AF45</f>
        <v>#DIV/0!</v>
      </c>
      <c r="P43" s="14">
        <f>(SEOG!P45*1000)/SEOG!AG45</f>
        <v>835.98096532970771</v>
      </c>
      <c r="Q43" s="14">
        <f>(SEOG!Q45*1000)/SEOG!AH45</f>
        <v>826.60539752005832</v>
      </c>
      <c r="R43" s="14">
        <f>(SEOG!R45*1000)/SEOG!AI45</f>
        <v>729.62547288776796</v>
      </c>
    </row>
    <row r="44" spans="1:18">
      <c r="A44" s="53" t="s">
        <v>180</v>
      </c>
      <c r="B44" s="14" t="e">
        <f>(SEOG!B46*1000)/SEOG!S46</f>
        <v>#DIV/0!</v>
      </c>
      <c r="C44" s="14" t="e">
        <f>(SEOG!C46*1000)/SEOG!T46</f>
        <v>#DIV/0!</v>
      </c>
      <c r="D44" s="14" t="e">
        <f>(SEOG!D46*1000)/SEOG!U46</f>
        <v>#DIV/0!</v>
      </c>
      <c r="E44" s="14" t="e">
        <f>(SEOG!E46*1000)/SEOG!V46</f>
        <v>#DIV/0!</v>
      </c>
      <c r="F44" s="14" t="e">
        <f>(SEOG!F46*1000)/SEOG!W46</f>
        <v>#DIV/0!</v>
      </c>
      <c r="G44" s="14" t="e">
        <f>(SEOG!G46*1000)/SEOG!X46</f>
        <v>#DIV/0!</v>
      </c>
      <c r="H44" s="14" t="e">
        <f>(SEOG!H46*1000)/SEOG!Y46</f>
        <v>#DIV/0!</v>
      </c>
      <c r="I44" s="14" t="e">
        <f>(SEOG!I46*1000)/SEOG!Z46</f>
        <v>#DIV/0!</v>
      </c>
      <c r="J44" s="14" t="e">
        <f>(SEOG!J46*1000)/SEOG!AA46</f>
        <v>#DIV/0!</v>
      </c>
      <c r="K44" s="14" t="e">
        <f>(SEOG!K46*1000)/SEOG!AB46</f>
        <v>#DIV/0!</v>
      </c>
      <c r="L44" s="14" t="e">
        <f>(SEOG!L46*1000)/SEOG!AC46</f>
        <v>#DIV/0!</v>
      </c>
      <c r="M44" s="14" t="e">
        <f>(SEOG!M46*1000)/SEOG!AD46</f>
        <v>#DIV/0!</v>
      </c>
      <c r="N44" s="14" t="e">
        <f>(SEOG!N46*1000)/SEOG!AE46</f>
        <v>#DIV/0!</v>
      </c>
      <c r="O44" s="14" t="e">
        <f>(SEOG!O46*1000)/SEOG!AF46</f>
        <v>#DIV/0!</v>
      </c>
      <c r="P44" s="14">
        <f>(SEOG!P46*1000)/SEOG!AG46</f>
        <v>1003.3454825462012</v>
      </c>
      <c r="Q44" s="14">
        <f>(SEOG!Q46*1000)/SEOG!AH46</f>
        <v>1112.0553410553412</v>
      </c>
      <c r="R44" s="14">
        <f>(SEOG!R46*1000)/SEOG!AI46</f>
        <v>1149.125344952796</v>
      </c>
    </row>
    <row r="45" spans="1:18">
      <c r="A45" s="53" t="s">
        <v>181</v>
      </c>
      <c r="B45" s="14" t="e">
        <f>(SEOG!B47*1000)/SEOG!S47</f>
        <v>#DIV/0!</v>
      </c>
      <c r="C45" s="14" t="e">
        <f>(SEOG!C47*1000)/SEOG!T47</f>
        <v>#DIV/0!</v>
      </c>
      <c r="D45" s="14" t="e">
        <f>(SEOG!D47*1000)/SEOG!U47</f>
        <v>#DIV/0!</v>
      </c>
      <c r="E45" s="14" t="e">
        <f>(SEOG!E47*1000)/SEOG!V47</f>
        <v>#DIV/0!</v>
      </c>
      <c r="F45" s="14" t="e">
        <f>(SEOG!F47*1000)/SEOG!W47</f>
        <v>#DIV/0!</v>
      </c>
      <c r="G45" s="14" t="e">
        <f>(SEOG!G47*1000)/SEOG!X47</f>
        <v>#DIV/0!</v>
      </c>
      <c r="H45" s="14" t="e">
        <f>(SEOG!H47*1000)/SEOG!Y47</f>
        <v>#DIV/0!</v>
      </c>
      <c r="I45" s="14" t="e">
        <f>(SEOG!I47*1000)/SEOG!Z47</f>
        <v>#DIV/0!</v>
      </c>
      <c r="J45" s="14" t="e">
        <f>(SEOG!J47*1000)/SEOG!AA47</f>
        <v>#DIV/0!</v>
      </c>
      <c r="K45" s="14" t="e">
        <f>(SEOG!K47*1000)/SEOG!AB47</f>
        <v>#DIV/0!</v>
      </c>
      <c r="L45" s="14" t="e">
        <f>(SEOG!L47*1000)/SEOG!AC47</f>
        <v>#DIV/0!</v>
      </c>
      <c r="M45" s="14" t="e">
        <f>(SEOG!M47*1000)/SEOG!AD47</f>
        <v>#DIV/0!</v>
      </c>
      <c r="N45" s="14" t="e">
        <f>(SEOG!N47*1000)/SEOG!AE47</f>
        <v>#DIV/0!</v>
      </c>
      <c r="O45" s="14" t="e">
        <f>(SEOG!O47*1000)/SEOG!AF47</f>
        <v>#DIV/0!</v>
      </c>
      <c r="P45" s="14">
        <f>(SEOG!P47*1000)/SEOG!AG47</f>
        <v>637.67661825010543</v>
      </c>
      <c r="Q45" s="14">
        <f>(SEOG!Q47*1000)/SEOG!AH47</f>
        <v>698.4191365596929</v>
      </c>
      <c r="R45" s="14">
        <f>(SEOG!R47*1000)/SEOG!AI47</f>
        <v>725.53211369346729</v>
      </c>
    </row>
    <row r="46" spans="1:18">
      <c r="A46" s="53" t="s">
        <v>182</v>
      </c>
      <c r="B46" s="14" t="e">
        <f>(SEOG!B48*1000)/SEOG!S48</f>
        <v>#DIV/0!</v>
      </c>
      <c r="C46" s="14" t="e">
        <f>(SEOG!C48*1000)/SEOG!T48</f>
        <v>#DIV/0!</v>
      </c>
      <c r="D46" s="14" t="e">
        <f>(SEOG!D48*1000)/SEOG!U48</f>
        <v>#DIV/0!</v>
      </c>
      <c r="E46" s="14" t="e">
        <f>(SEOG!E48*1000)/SEOG!V48</f>
        <v>#DIV/0!</v>
      </c>
      <c r="F46" s="14" t="e">
        <f>(SEOG!F48*1000)/SEOG!W48</f>
        <v>#DIV/0!</v>
      </c>
      <c r="G46" s="14" t="e">
        <f>(SEOG!G48*1000)/SEOG!X48</f>
        <v>#DIV/0!</v>
      </c>
      <c r="H46" s="14" t="e">
        <f>(SEOG!H48*1000)/SEOG!Y48</f>
        <v>#DIV/0!</v>
      </c>
      <c r="I46" s="14" t="e">
        <f>(SEOG!I48*1000)/SEOG!Z48</f>
        <v>#DIV/0!</v>
      </c>
      <c r="J46" s="14" t="e">
        <f>(SEOG!J48*1000)/SEOG!AA48</f>
        <v>#DIV/0!</v>
      </c>
      <c r="K46" s="14" t="e">
        <f>(SEOG!K48*1000)/SEOG!AB48</f>
        <v>#DIV/0!</v>
      </c>
      <c r="L46" s="14" t="e">
        <f>(SEOG!L48*1000)/SEOG!AC48</f>
        <v>#DIV/0!</v>
      </c>
      <c r="M46" s="14" t="e">
        <f>(SEOG!M48*1000)/SEOG!AD48</f>
        <v>#DIV/0!</v>
      </c>
      <c r="N46" s="14" t="e">
        <f>(SEOG!N48*1000)/SEOG!AE48</f>
        <v>#DIV/0!</v>
      </c>
      <c r="O46" s="14" t="e">
        <f>(SEOG!O48*1000)/SEOG!AF48</f>
        <v>#DIV/0!</v>
      </c>
      <c r="P46" s="14">
        <f>(SEOG!P48*1000)/SEOG!AG48</f>
        <v>704.3201790747803</v>
      </c>
      <c r="Q46" s="14">
        <f>(SEOG!Q48*1000)/SEOG!AH48</f>
        <v>785.26327624978376</v>
      </c>
      <c r="R46" s="14">
        <f>(SEOG!R48*1000)/SEOG!AI48</f>
        <v>872.70065986802638</v>
      </c>
    </row>
    <row r="47" spans="1:18">
      <c r="A47" s="53" t="s">
        <v>183</v>
      </c>
      <c r="B47" s="14" t="e">
        <f>(SEOG!B49*1000)/SEOG!S49</f>
        <v>#DIV/0!</v>
      </c>
      <c r="C47" s="14" t="e">
        <f>(SEOG!C49*1000)/SEOG!T49</f>
        <v>#DIV/0!</v>
      </c>
      <c r="D47" s="14" t="e">
        <f>(SEOG!D49*1000)/SEOG!U49</f>
        <v>#DIV/0!</v>
      </c>
      <c r="E47" s="14" t="e">
        <f>(SEOG!E49*1000)/SEOG!V49</f>
        <v>#DIV/0!</v>
      </c>
      <c r="F47" s="14" t="e">
        <f>(SEOG!F49*1000)/SEOG!W49</f>
        <v>#DIV/0!</v>
      </c>
      <c r="G47" s="14" t="e">
        <f>(SEOG!G49*1000)/SEOG!X49</f>
        <v>#DIV/0!</v>
      </c>
      <c r="H47" s="14" t="e">
        <f>(SEOG!H49*1000)/SEOG!Y49</f>
        <v>#DIV/0!</v>
      </c>
      <c r="I47" s="14" t="e">
        <f>(SEOG!I49*1000)/SEOG!Z49</f>
        <v>#DIV/0!</v>
      </c>
      <c r="J47" s="14" t="e">
        <f>(SEOG!J49*1000)/SEOG!AA49</f>
        <v>#DIV/0!</v>
      </c>
      <c r="K47" s="14" t="e">
        <f>(SEOG!K49*1000)/SEOG!AB49</f>
        <v>#DIV/0!</v>
      </c>
      <c r="L47" s="14" t="e">
        <f>(SEOG!L49*1000)/SEOG!AC49</f>
        <v>#DIV/0!</v>
      </c>
      <c r="M47" s="14" t="e">
        <f>(SEOG!M49*1000)/SEOG!AD49</f>
        <v>#DIV/0!</v>
      </c>
      <c r="N47" s="14" t="e">
        <f>(SEOG!N49*1000)/SEOG!AE49</f>
        <v>#DIV/0!</v>
      </c>
      <c r="O47" s="14" t="e">
        <f>(SEOG!O49*1000)/SEOG!AF49</f>
        <v>#DIV/0!</v>
      </c>
      <c r="P47" s="14">
        <f>(SEOG!P49*1000)/SEOG!AG49</f>
        <v>891.598089655031</v>
      </c>
      <c r="Q47" s="14">
        <f>(SEOG!Q49*1000)/SEOG!AH49</f>
        <v>881.41148601802638</v>
      </c>
      <c r="R47" s="14">
        <f>(SEOG!R49*1000)/SEOG!AI49</f>
        <v>939.92743015446263</v>
      </c>
    </row>
    <row r="48" spans="1:18">
      <c r="A48" s="53" t="s">
        <v>184</v>
      </c>
      <c r="B48" s="14" t="e">
        <f>(SEOG!B50*1000)/SEOG!S50</f>
        <v>#DIV/0!</v>
      </c>
      <c r="C48" s="14" t="e">
        <f>(SEOG!C50*1000)/SEOG!T50</f>
        <v>#DIV/0!</v>
      </c>
      <c r="D48" s="14" t="e">
        <f>(SEOG!D50*1000)/SEOG!U50</f>
        <v>#DIV/0!</v>
      </c>
      <c r="E48" s="14" t="e">
        <f>(SEOG!E50*1000)/SEOG!V50</f>
        <v>#DIV/0!</v>
      </c>
      <c r="F48" s="14" t="e">
        <f>(SEOG!F50*1000)/SEOG!W50</f>
        <v>#DIV/0!</v>
      </c>
      <c r="G48" s="14" t="e">
        <f>(SEOG!G50*1000)/SEOG!X50</f>
        <v>#DIV/0!</v>
      </c>
      <c r="H48" s="14" t="e">
        <f>(SEOG!H50*1000)/SEOG!Y50</f>
        <v>#DIV/0!</v>
      </c>
      <c r="I48" s="14" t="e">
        <f>(SEOG!I50*1000)/SEOG!Z50</f>
        <v>#DIV/0!</v>
      </c>
      <c r="J48" s="14" t="e">
        <f>(SEOG!J50*1000)/SEOG!AA50</f>
        <v>#DIV/0!</v>
      </c>
      <c r="K48" s="14" t="e">
        <f>(SEOG!K50*1000)/SEOG!AB50</f>
        <v>#DIV/0!</v>
      </c>
      <c r="L48" s="14" t="e">
        <f>(SEOG!L50*1000)/SEOG!AC50</f>
        <v>#DIV/0!</v>
      </c>
      <c r="M48" s="14" t="e">
        <f>(SEOG!M50*1000)/SEOG!AD50</f>
        <v>#DIV/0!</v>
      </c>
      <c r="N48" s="14" t="e">
        <f>(SEOG!N50*1000)/SEOG!AE50</f>
        <v>#DIV/0!</v>
      </c>
      <c r="O48" s="14" t="e">
        <f>(SEOG!O50*1000)/SEOG!AF50</f>
        <v>#DIV/0!</v>
      </c>
      <c r="P48" s="14">
        <f>(SEOG!P50*1000)/SEOG!AG50</f>
        <v>760.02821792923817</v>
      </c>
      <c r="Q48" s="14">
        <f>(SEOG!Q50*1000)/SEOG!AH50</f>
        <v>693.22708039492238</v>
      </c>
      <c r="R48" s="14">
        <f>(SEOG!R50*1000)/SEOG!AI50</f>
        <v>723.18835827013731</v>
      </c>
    </row>
    <row r="49" spans="1:18">
      <c r="A49" s="53" t="s">
        <v>185</v>
      </c>
      <c r="B49" s="14" t="e">
        <f>(SEOG!B51*1000)/SEOG!S51</f>
        <v>#DIV/0!</v>
      </c>
      <c r="C49" s="14" t="e">
        <f>(SEOG!C51*1000)/SEOG!T51</f>
        <v>#DIV/0!</v>
      </c>
      <c r="D49" s="14" t="e">
        <f>(SEOG!D51*1000)/SEOG!U51</f>
        <v>#DIV/0!</v>
      </c>
      <c r="E49" s="14" t="e">
        <f>(SEOG!E51*1000)/SEOG!V51</f>
        <v>#DIV/0!</v>
      </c>
      <c r="F49" s="14" t="e">
        <f>(SEOG!F51*1000)/SEOG!W51</f>
        <v>#DIV/0!</v>
      </c>
      <c r="G49" s="14" t="e">
        <f>(SEOG!G51*1000)/SEOG!X51</f>
        <v>#DIV/0!</v>
      </c>
      <c r="H49" s="14" t="e">
        <f>(SEOG!H51*1000)/SEOG!Y51</f>
        <v>#DIV/0!</v>
      </c>
      <c r="I49" s="14" t="e">
        <f>(SEOG!I51*1000)/SEOG!Z51</f>
        <v>#DIV/0!</v>
      </c>
      <c r="J49" s="14" t="e">
        <f>(SEOG!J51*1000)/SEOG!AA51</f>
        <v>#DIV/0!</v>
      </c>
      <c r="K49" s="14" t="e">
        <f>(SEOG!K51*1000)/SEOG!AB51</f>
        <v>#DIV/0!</v>
      </c>
      <c r="L49" s="14" t="e">
        <f>(SEOG!L51*1000)/SEOG!AC51</f>
        <v>#DIV/0!</v>
      </c>
      <c r="M49" s="14" t="e">
        <f>(SEOG!M51*1000)/SEOG!AD51</f>
        <v>#DIV/0!</v>
      </c>
      <c r="N49" s="14" t="e">
        <f>(SEOG!N51*1000)/SEOG!AE51</f>
        <v>#DIV/0!</v>
      </c>
      <c r="O49" s="14" t="e">
        <f>(SEOG!O51*1000)/SEOG!AF51</f>
        <v>#DIV/0!</v>
      </c>
      <c r="P49" s="14">
        <f>(SEOG!P51*1000)/SEOG!AG51</f>
        <v>800.96820707293409</v>
      </c>
      <c r="Q49" s="14">
        <f>(SEOG!Q51*1000)/SEOG!AH51</f>
        <v>825.57242103755345</v>
      </c>
      <c r="R49" s="14">
        <f>(SEOG!R51*1000)/SEOG!AI51</f>
        <v>800.55300891949867</v>
      </c>
    </row>
    <row r="50" spans="1:18">
      <c r="A50" s="53" t="s">
        <v>186</v>
      </c>
      <c r="B50" s="14" t="e">
        <f>(SEOG!B52*1000)/SEOG!S52</f>
        <v>#DIV/0!</v>
      </c>
      <c r="C50" s="14" t="e">
        <f>(SEOG!C52*1000)/SEOG!T52</f>
        <v>#DIV/0!</v>
      </c>
      <c r="D50" s="14" t="e">
        <f>(SEOG!D52*1000)/SEOG!U52</f>
        <v>#DIV/0!</v>
      </c>
      <c r="E50" s="14" t="e">
        <f>(SEOG!E52*1000)/SEOG!V52</f>
        <v>#DIV/0!</v>
      </c>
      <c r="F50" s="14" t="e">
        <f>(SEOG!F52*1000)/SEOG!W52</f>
        <v>#DIV/0!</v>
      </c>
      <c r="G50" s="14" t="e">
        <f>(SEOG!G52*1000)/SEOG!X52</f>
        <v>#DIV/0!</v>
      </c>
      <c r="H50" s="14" t="e">
        <f>(SEOG!H52*1000)/SEOG!Y52</f>
        <v>#DIV/0!</v>
      </c>
      <c r="I50" s="14" t="e">
        <f>(SEOG!I52*1000)/SEOG!Z52</f>
        <v>#DIV/0!</v>
      </c>
      <c r="J50" s="14" t="e">
        <f>(SEOG!J52*1000)/SEOG!AA52</f>
        <v>#DIV/0!</v>
      </c>
      <c r="K50" s="14" t="e">
        <f>(SEOG!K52*1000)/SEOG!AB52</f>
        <v>#DIV/0!</v>
      </c>
      <c r="L50" s="14" t="e">
        <f>(SEOG!L52*1000)/SEOG!AC52</f>
        <v>#DIV/0!</v>
      </c>
      <c r="M50" s="14" t="e">
        <f>(SEOG!M52*1000)/SEOG!AD52</f>
        <v>#DIV/0!</v>
      </c>
      <c r="N50" s="14" t="e">
        <f>(SEOG!N52*1000)/SEOG!AE52</f>
        <v>#DIV/0!</v>
      </c>
      <c r="O50" s="14" t="e">
        <f>(SEOG!O52*1000)/SEOG!AF52</f>
        <v>#DIV/0!</v>
      </c>
      <c r="P50" s="14">
        <f>(SEOG!P52*1000)/SEOG!AG52</f>
        <v>694.42919652135868</v>
      </c>
      <c r="Q50" s="14">
        <f>(SEOG!Q52*1000)/SEOG!AH52</f>
        <v>689.14102904476181</v>
      </c>
      <c r="R50" s="14">
        <f>(SEOG!R52*1000)/SEOG!AI52</f>
        <v>671.92506313456681</v>
      </c>
    </row>
    <row r="51" spans="1:18">
      <c r="A51" s="53" t="s">
        <v>187</v>
      </c>
      <c r="B51" s="14" t="e">
        <f>(SEOG!B53*1000)/SEOG!S53</f>
        <v>#DIV/0!</v>
      </c>
      <c r="C51" s="14" t="e">
        <f>(SEOG!C53*1000)/SEOG!T53</f>
        <v>#DIV/0!</v>
      </c>
      <c r="D51" s="14" t="e">
        <f>(SEOG!D53*1000)/SEOG!U53</f>
        <v>#DIV/0!</v>
      </c>
      <c r="E51" s="14" t="e">
        <f>(SEOG!E53*1000)/SEOG!V53</f>
        <v>#DIV/0!</v>
      </c>
      <c r="F51" s="14" t="e">
        <f>(SEOG!F53*1000)/SEOG!W53</f>
        <v>#DIV/0!</v>
      </c>
      <c r="G51" s="14" t="e">
        <f>(SEOG!G53*1000)/SEOG!X53</f>
        <v>#DIV/0!</v>
      </c>
      <c r="H51" s="14" t="e">
        <f>(SEOG!H53*1000)/SEOG!Y53</f>
        <v>#DIV/0!</v>
      </c>
      <c r="I51" s="14" t="e">
        <f>(SEOG!I53*1000)/SEOG!Z53</f>
        <v>#DIV/0!</v>
      </c>
      <c r="J51" s="14" t="e">
        <f>(SEOG!J53*1000)/SEOG!AA53</f>
        <v>#DIV/0!</v>
      </c>
      <c r="K51" s="14" t="e">
        <f>(SEOG!K53*1000)/SEOG!AB53</f>
        <v>#DIV/0!</v>
      </c>
      <c r="L51" s="14" t="e">
        <f>(SEOG!L53*1000)/SEOG!AC53</f>
        <v>#DIV/0!</v>
      </c>
      <c r="M51" s="14" t="e">
        <f>(SEOG!M53*1000)/SEOG!AD53</f>
        <v>#DIV/0!</v>
      </c>
      <c r="N51" s="14" t="e">
        <f>(SEOG!N53*1000)/SEOG!AE53</f>
        <v>#DIV/0!</v>
      </c>
      <c r="O51" s="14" t="e">
        <f>(SEOG!O53*1000)/SEOG!AF53</f>
        <v>#DIV/0!</v>
      </c>
      <c r="P51" s="14">
        <f>(SEOG!P53*1000)/SEOG!AG53</f>
        <v>941.79535254090058</v>
      </c>
      <c r="Q51" s="14">
        <f>(SEOG!Q53*1000)/SEOG!AH53</f>
        <v>949.32196865548531</v>
      </c>
      <c r="R51" s="14">
        <f>(SEOG!R53*1000)/SEOG!AI53</f>
        <v>964.80464699702031</v>
      </c>
    </row>
    <row r="52" spans="1:18">
      <c r="A52" s="53" t="s">
        <v>188</v>
      </c>
      <c r="B52" s="14" t="e">
        <f>(SEOG!B54*1000)/SEOG!S54</f>
        <v>#DIV/0!</v>
      </c>
      <c r="C52" s="14" t="e">
        <f>(SEOG!C54*1000)/SEOG!T54</f>
        <v>#DIV/0!</v>
      </c>
      <c r="D52" s="14" t="e">
        <f>(SEOG!D54*1000)/SEOG!U54</f>
        <v>#DIV/0!</v>
      </c>
      <c r="E52" s="14" t="e">
        <f>(SEOG!E54*1000)/SEOG!V54</f>
        <v>#DIV/0!</v>
      </c>
      <c r="F52" s="14" t="e">
        <f>(SEOG!F54*1000)/SEOG!W54</f>
        <v>#DIV/0!</v>
      </c>
      <c r="G52" s="14" t="e">
        <f>(SEOG!G54*1000)/SEOG!X54</f>
        <v>#DIV/0!</v>
      </c>
      <c r="H52" s="14" t="e">
        <f>(SEOG!H54*1000)/SEOG!Y54</f>
        <v>#DIV/0!</v>
      </c>
      <c r="I52" s="14" t="e">
        <f>(SEOG!I54*1000)/SEOG!Z54</f>
        <v>#DIV/0!</v>
      </c>
      <c r="J52" s="14" t="e">
        <f>(SEOG!J54*1000)/SEOG!AA54</f>
        <v>#DIV/0!</v>
      </c>
      <c r="K52" s="14" t="e">
        <f>(SEOG!K54*1000)/SEOG!AB54</f>
        <v>#DIV/0!</v>
      </c>
      <c r="L52" s="14" t="e">
        <f>(SEOG!L54*1000)/SEOG!AC54</f>
        <v>#DIV/0!</v>
      </c>
      <c r="M52" s="14" t="e">
        <f>(SEOG!M54*1000)/SEOG!AD54</f>
        <v>#DIV/0!</v>
      </c>
      <c r="N52" s="14" t="e">
        <f>(SEOG!N54*1000)/SEOG!AE54</f>
        <v>#DIV/0!</v>
      </c>
      <c r="O52" s="14" t="e">
        <f>(SEOG!O54*1000)/SEOG!AF54</f>
        <v>#DIV/0!</v>
      </c>
      <c r="P52" s="14">
        <f>(SEOG!P54*1000)/SEOG!AG54</f>
        <v>809.14162926177062</v>
      </c>
      <c r="Q52" s="14">
        <f>(SEOG!Q54*1000)/SEOG!AH54</f>
        <v>854.89832099280432</v>
      </c>
      <c r="R52" s="14">
        <f>(SEOG!R54*1000)/SEOG!AI54</f>
        <v>816.91662696522155</v>
      </c>
    </row>
    <row r="53" spans="1:18">
      <c r="A53" s="53" t="s">
        <v>189</v>
      </c>
      <c r="B53" s="14" t="e">
        <f>(SEOG!B55*1000)/SEOG!S55</f>
        <v>#DIV/0!</v>
      </c>
      <c r="C53" s="14" t="e">
        <f>(SEOG!C55*1000)/SEOG!T55</f>
        <v>#DIV/0!</v>
      </c>
      <c r="D53" s="14" t="e">
        <f>(SEOG!D55*1000)/SEOG!U55</f>
        <v>#DIV/0!</v>
      </c>
      <c r="E53" s="14" t="e">
        <f>(SEOG!E55*1000)/SEOG!V55</f>
        <v>#DIV/0!</v>
      </c>
      <c r="F53" s="14" t="e">
        <f>(SEOG!F55*1000)/SEOG!W55</f>
        <v>#DIV/0!</v>
      </c>
      <c r="G53" s="14" t="e">
        <f>(SEOG!G55*1000)/SEOG!X55</f>
        <v>#DIV/0!</v>
      </c>
      <c r="H53" s="14" t="e">
        <f>(SEOG!H55*1000)/SEOG!Y55</f>
        <v>#DIV/0!</v>
      </c>
      <c r="I53" s="14" t="e">
        <f>(SEOG!I55*1000)/SEOG!Z55</f>
        <v>#DIV/0!</v>
      </c>
      <c r="J53" s="14" t="e">
        <f>(SEOG!J55*1000)/SEOG!AA55</f>
        <v>#DIV/0!</v>
      </c>
      <c r="K53" s="14" t="e">
        <f>(SEOG!K55*1000)/SEOG!AB55</f>
        <v>#DIV/0!</v>
      </c>
      <c r="L53" s="14" t="e">
        <f>(SEOG!L55*1000)/SEOG!AC55</f>
        <v>#DIV/0!</v>
      </c>
      <c r="M53" s="14" t="e">
        <f>(SEOG!M55*1000)/SEOG!AD55</f>
        <v>#DIV/0!</v>
      </c>
      <c r="N53" s="14" t="e">
        <f>(SEOG!N55*1000)/SEOG!AE55</f>
        <v>#DIV/0!</v>
      </c>
      <c r="O53" s="14" t="e">
        <f>(SEOG!O55*1000)/SEOG!AF55</f>
        <v>#DIV/0!</v>
      </c>
      <c r="P53" s="14">
        <f>(SEOG!P55*1000)/SEOG!AG55</f>
        <v>621.96588414119242</v>
      </c>
      <c r="Q53" s="14">
        <f>(SEOG!Q55*1000)/SEOG!AH55</f>
        <v>632.5813878602479</v>
      </c>
      <c r="R53" s="14">
        <f>(SEOG!R55*1000)/SEOG!AI55</f>
        <v>660.1318135070278</v>
      </c>
    </row>
    <row r="54" spans="1:18">
      <c r="A54" s="53" t="s">
        <v>190</v>
      </c>
      <c r="B54" s="14" t="e">
        <f>(SEOG!B56*1000)/SEOG!S56</f>
        <v>#DIV/0!</v>
      </c>
      <c r="C54" s="14" t="e">
        <f>(SEOG!C56*1000)/SEOG!T56</f>
        <v>#DIV/0!</v>
      </c>
      <c r="D54" s="14" t="e">
        <f>(SEOG!D56*1000)/SEOG!U56</f>
        <v>#DIV/0!</v>
      </c>
      <c r="E54" s="14" t="e">
        <f>(SEOG!E56*1000)/SEOG!V56</f>
        <v>#DIV/0!</v>
      </c>
      <c r="F54" s="14" t="e">
        <f>(SEOG!F56*1000)/SEOG!W56</f>
        <v>#DIV/0!</v>
      </c>
      <c r="G54" s="14" t="e">
        <f>(SEOG!G56*1000)/SEOG!X56</f>
        <v>#DIV/0!</v>
      </c>
      <c r="H54" s="14" t="e">
        <f>(SEOG!H56*1000)/SEOG!Y56</f>
        <v>#DIV/0!</v>
      </c>
      <c r="I54" s="14" t="e">
        <f>(SEOG!I56*1000)/SEOG!Z56</f>
        <v>#DIV/0!</v>
      </c>
      <c r="J54" s="14" t="e">
        <f>(SEOG!J56*1000)/SEOG!AA56</f>
        <v>#DIV/0!</v>
      </c>
      <c r="K54" s="14" t="e">
        <f>(SEOG!K56*1000)/SEOG!AB56</f>
        <v>#DIV/0!</v>
      </c>
      <c r="L54" s="14" t="e">
        <f>(SEOG!L56*1000)/SEOG!AC56</f>
        <v>#DIV/0!</v>
      </c>
      <c r="M54" s="14" t="e">
        <f>(SEOG!M56*1000)/SEOG!AD56</f>
        <v>#DIV/0!</v>
      </c>
      <c r="N54" s="14" t="e">
        <f>(SEOG!N56*1000)/SEOG!AE56</f>
        <v>#DIV/0!</v>
      </c>
      <c r="O54" s="14" t="e">
        <f>(SEOG!O56*1000)/SEOG!AF56</f>
        <v>#DIV/0!</v>
      </c>
      <c r="P54" s="14">
        <f>(SEOG!P56*1000)/SEOG!AG56</f>
        <v>574.9790773884547</v>
      </c>
      <c r="Q54" s="14">
        <f>(SEOG!Q56*1000)/SEOG!AH56</f>
        <v>516.78514558689722</v>
      </c>
      <c r="R54" s="14">
        <f>(SEOG!R56*1000)/SEOG!AI56</f>
        <v>583.15769559379953</v>
      </c>
    </row>
    <row r="55" spans="1:18">
      <c r="A55" s="53" t="s">
        <v>191</v>
      </c>
      <c r="B55" s="14" t="e">
        <f>(SEOG!B57*1000)/SEOG!S57</f>
        <v>#DIV/0!</v>
      </c>
      <c r="C55" s="14" t="e">
        <f>(SEOG!C57*1000)/SEOG!T57</f>
        <v>#DIV/0!</v>
      </c>
      <c r="D55" s="14" t="e">
        <f>(SEOG!D57*1000)/SEOG!U57</f>
        <v>#DIV/0!</v>
      </c>
      <c r="E55" s="14" t="e">
        <f>(SEOG!E57*1000)/SEOG!V57</f>
        <v>#DIV/0!</v>
      </c>
      <c r="F55" s="14" t="e">
        <f>(SEOG!F57*1000)/SEOG!W57</f>
        <v>#DIV/0!</v>
      </c>
      <c r="G55" s="14" t="e">
        <f>(SEOG!G57*1000)/SEOG!X57</f>
        <v>#DIV/0!</v>
      </c>
      <c r="H55" s="14" t="e">
        <f>(SEOG!H57*1000)/SEOG!Y57</f>
        <v>#DIV/0!</v>
      </c>
      <c r="I55" s="14" t="e">
        <f>(SEOG!I57*1000)/SEOG!Z57</f>
        <v>#DIV/0!</v>
      </c>
      <c r="J55" s="14" t="e">
        <f>(SEOG!J57*1000)/SEOG!AA57</f>
        <v>#DIV/0!</v>
      </c>
      <c r="K55" s="14" t="e">
        <f>(SEOG!K57*1000)/SEOG!AB57</f>
        <v>#DIV/0!</v>
      </c>
      <c r="L55" s="14" t="e">
        <f>(SEOG!L57*1000)/SEOG!AC57</f>
        <v>#DIV/0!</v>
      </c>
      <c r="M55" s="14" t="e">
        <f>(SEOG!M57*1000)/SEOG!AD57</f>
        <v>#DIV/0!</v>
      </c>
      <c r="N55" s="14" t="e">
        <f>(SEOG!N57*1000)/SEOG!AE57</f>
        <v>#DIV/0!</v>
      </c>
      <c r="O55" s="14" t="e">
        <f>(SEOG!O57*1000)/SEOG!AF57</f>
        <v>#DIV/0!</v>
      </c>
      <c r="P55" s="14">
        <f>(SEOG!P57*1000)/SEOG!AG57</f>
        <v>1317.0485074626865</v>
      </c>
      <c r="Q55" s="14">
        <f>(SEOG!Q57*1000)/SEOG!AH57</f>
        <v>1294.3553748231966</v>
      </c>
      <c r="R55" s="14">
        <f>(SEOG!R57*1000)/SEOG!AI57</f>
        <v>1247.3415814954276</v>
      </c>
    </row>
    <row r="56" spans="1:18">
      <c r="A56" s="53" t="s">
        <v>192</v>
      </c>
      <c r="B56" s="14" t="e">
        <f>(SEOG!B58*1000)/SEOG!S58</f>
        <v>#DIV/0!</v>
      </c>
      <c r="C56" s="14" t="e">
        <f>(SEOG!C58*1000)/SEOG!T58</f>
        <v>#DIV/0!</v>
      </c>
      <c r="D56" s="14" t="e">
        <f>(SEOG!D58*1000)/SEOG!U58</f>
        <v>#DIV/0!</v>
      </c>
      <c r="E56" s="14" t="e">
        <f>(SEOG!E58*1000)/SEOG!V58</f>
        <v>#DIV/0!</v>
      </c>
      <c r="F56" s="14" t="e">
        <f>(SEOG!F58*1000)/SEOG!W58</f>
        <v>#DIV/0!</v>
      </c>
      <c r="G56" s="14" t="e">
        <f>(SEOG!G58*1000)/SEOG!X58</f>
        <v>#DIV/0!</v>
      </c>
      <c r="H56" s="14" t="e">
        <f>(SEOG!H58*1000)/SEOG!Y58</f>
        <v>#DIV/0!</v>
      </c>
      <c r="I56" s="14" t="e">
        <f>(SEOG!I58*1000)/SEOG!Z58</f>
        <v>#DIV/0!</v>
      </c>
      <c r="J56" s="14" t="e">
        <f>(SEOG!J58*1000)/SEOG!AA58</f>
        <v>#DIV/0!</v>
      </c>
      <c r="K56" s="14" t="e">
        <f>(SEOG!K58*1000)/SEOG!AB58</f>
        <v>#DIV/0!</v>
      </c>
      <c r="L56" s="14" t="e">
        <f>(SEOG!L58*1000)/SEOG!AC58</f>
        <v>#DIV/0!</v>
      </c>
      <c r="M56" s="14" t="e">
        <f>(SEOG!M58*1000)/SEOG!AD58</f>
        <v>#DIV/0!</v>
      </c>
      <c r="N56" s="14" t="e">
        <f>(SEOG!N58*1000)/SEOG!AE58</f>
        <v>#DIV/0!</v>
      </c>
      <c r="O56" s="14" t="e">
        <f>(SEOG!O58*1000)/SEOG!AF58</f>
        <v>#DIV/0!</v>
      </c>
      <c r="P56" s="14">
        <f>(SEOG!P58*1000)/SEOG!AG58</f>
        <v>695.54107961992133</v>
      </c>
      <c r="Q56" s="14">
        <f>(SEOG!Q58*1000)/SEOG!AH58</f>
        <v>745.31138705643946</v>
      </c>
      <c r="R56" s="14">
        <f>(SEOG!R58*1000)/SEOG!AI58</f>
        <v>794.37046048481568</v>
      </c>
    </row>
    <row r="57" spans="1:18">
      <c r="A57" s="53" t="s">
        <v>193</v>
      </c>
      <c r="B57" s="14" t="e">
        <f>(SEOG!B59*1000)/SEOG!S59</f>
        <v>#DIV/0!</v>
      </c>
      <c r="C57" s="14" t="e">
        <f>(SEOG!C59*1000)/SEOG!T59</f>
        <v>#DIV/0!</v>
      </c>
      <c r="D57" s="14" t="e">
        <f>(SEOG!D59*1000)/SEOG!U59</f>
        <v>#DIV/0!</v>
      </c>
      <c r="E57" s="14" t="e">
        <f>(SEOG!E59*1000)/SEOG!V59</f>
        <v>#DIV/0!</v>
      </c>
      <c r="F57" s="14" t="e">
        <f>(SEOG!F59*1000)/SEOG!W59</f>
        <v>#DIV/0!</v>
      </c>
      <c r="G57" s="14" t="e">
        <f>(SEOG!G59*1000)/SEOG!X59</f>
        <v>#DIV/0!</v>
      </c>
      <c r="H57" s="14" t="e">
        <f>(SEOG!H59*1000)/SEOG!Y59</f>
        <v>#DIV/0!</v>
      </c>
      <c r="I57" s="14" t="e">
        <f>(SEOG!I59*1000)/SEOG!Z59</f>
        <v>#DIV/0!</v>
      </c>
      <c r="J57" s="14" t="e">
        <f>(SEOG!J59*1000)/SEOG!AA59</f>
        <v>#DIV/0!</v>
      </c>
      <c r="K57" s="14" t="e">
        <f>(SEOG!K59*1000)/SEOG!AB59</f>
        <v>#DIV/0!</v>
      </c>
      <c r="L57" s="14" t="e">
        <f>(SEOG!L59*1000)/SEOG!AC59</f>
        <v>#DIV/0!</v>
      </c>
      <c r="M57" s="14" t="e">
        <f>(SEOG!M59*1000)/SEOG!AD59</f>
        <v>#DIV/0!</v>
      </c>
      <c r="N57" s="14" t="e">
        <f>(SEOG!N59*1000)/SEOG!AE59</f>
        <v>#DIV/0!</v>
      </c>
      <c r="O57" s="14" t="e">
        <f>(SEOG!O59*1000)/SEOG!AF59</f>
        <v>#DIV/0!</v>
      </c>
      <c r="P57" s="14">
        <f>(SEOG!P59*1000)/SEOG!AG59</f>
        <v>802.67260131375861</v>
      </c>
      <c r="Q57" s="14">
        <f>(SEOG!Q59*1000)/SEOG!AH59</f>
        <v>840.72761474793083</v>
      </c>
      <c r="R57" s="14">
        <f>(SEOG!R59*1000)/SEOG!AI59</f>
        <v>847.65616144596765</v>
      </c>
    </row>
    <row r="58" spans="1:18">
      <c r="A58" s="53" t="s">
        <v>194</v>
      </c>
      <c r="B58" s="14" t="e">
        <f>(SEOG!B60*1000)/SEOG!S60</f>
        <v>#DIV/0!</v>
      </c>
      <c r="C58" s="14" t="e">
        <f>(SEOG!C60*1000)/SEOG!T60</f>
        <v>#DIV/0!</v>
      </c>
      <c r="D58" s="14" t="e">
        <f>(SEOG!D60*1000)/SEOG!U60</f>
        <v>#DIV/0!</v>
      </c>
      <c r="E58" s="14" t="e">
        <f>(SEOG!E60*1000)/SEOG!V60</f>
        <v>#DIV/0!</v>
      </c>
      <c r="F58" s="14" t="e">
        <f>(SEOG!F60*1000)/SEOG!W60</f>
        <v>#DIV/0!</v>
      </c>
      <c r="G58" s="14" t="e">
        <f>(SEOG!G60*1000)/SEOG!X60</f>
        <v>#DIV/0!</v>
      </c>
      <c r="H58" s="14" t="e">
        <f>(SEOG!H60*1000)/SEOG!Y60</f>
        <v>#DIV/0!</v>
      </c>
      <c r="I58" s="14" t="e">
        <f>(SEOG!I60*1000)/SEOG!Z60</f>
        <v>#DIV/0!</v>
      </c>
      <c r="J58" s="14" t="e">
        <f>(SEOG!J60*1000)/SEOG!AA60</f>
        <v>#DIV/0!</v>
      </c>
      <c r="K58" s="14" t="e">
        <f>(SEOG!K60*1000)/SEOG!AB60</f>
        <v>#DIV/0!</v>
      </c>
      <c r="L58" s="14" t="e">
        <f>(SEOG!L60*1000)/SEOG!AC60</f>
        <v>#DIV/0!</v>
      </c>
      <c r="M58" s="14" t="e">
        <f>(SEOG!M60*1000)/SEOG!AD60</f>
        <v>#DIV/0!</v>
      </c>
      <c r="N58" s="14" t="e">
        <f>(SEOG!N60*1000)/SEOG!AE60</f>
        <v>#DIV/0!</v>
      </c>
      <c r="O58" s="14" t="e">
        <f>(SEOG!O60*1000)/SEOG!AF60</f>
        <v>#DIV/0!</v>
      </c>
      <c r="P58" s="14">
        <f>(SEOG!P60*1000)/SEOG!AG60</f>
        <v>628.26659038901607</v>
      </c>
      <c r="Q58" s="14">
        <f>(SEOG!Q60*1000)/SEOG!AH60</f>
        <v>775.6235045742435</v>
      </c>
      <c r="R58" s="14">
        <f>(SEOG!R60*1000)/SEOG!AI60</f>
        <v>718.43700061462812</v>
      </c>
    </row>
    <row r="59" spans="1:18">
      <c r="A59" s="1"/>
      <c r="B59" s="14"/>
      <c r="C59" s="14"/>
      <c r="D59" s="14"/>
      <c r="E59" s="14"/>
      <c r="F59" s="14"/>
      <c r="G59" s="14"/>
      <c r="H59" s="14"/>
      <c r="I59" s="14"/>
      <c r="J59" s="14"/>
      <c r="K59" s="14"/>
      <c r="L59" s="14"/>
      <c r="M59" s="14"/>
      <c r="N59" s="14"/>
      <c r="O59" s="14"/>
      <c r="P59" s="14"/>
      <c r="Q59" s="14"/>
      <c r="R59" s="14"/>
    </row>
    <row r="60" spans="1:18">
      <c r="A60" s="53" t="s">
        <v>165</v>
      </c>
      <c r="B60" s="14" t="e">
        <f>(SEOG!B62*1000)/SEOG!S62</f>
        <v>#DIV/0!</v>
      </c>
      <c r="C60" s="14" t="e">
        <f>(SEOG!C62*1000)/SEOG!T62</f>
        <v>#DIV/0!</v>
      </c>
      <c r="D60" s="14" t="e">
        <f>(SEOG!D62*1000)/SEOG!U62</f>
        <v>#DIV/0!</v>
      </c>
      <c r="E60" s="14" t="e">
        <f>(SEOG!E62*1000)/SEOG!V62</f>
        <v>#DIV/0!</v>
      </c>
      <c r="F60" s="14" t="e">
        <f>(SEOG!F62*1000)/SEOG!W62</f>
        <v>#DIV/0!</v>
      </c>
      <c r="G60" s="14" t="e">
        <f>(SEOG!G62*1000)/SEOG!X62</f>
        <v>#DIV/0!</v>
      </c>
      <c r="H60" s="14" t="e">
        <f>(SEOG!H62*1000)/SEOG!Y62</f>
        <v>#DIV/0!</v>
      </c>
      <c r="I60" s="14" t="e">
        <f>(SEOG!I62*1000)/SEOG!Z62</f>
        <v>#DIV/0!</v>
      </c>
      <c r="J60" s="14" t="e">
        <f>(SEOG!J62*1000)/SEOG!AA62</f>
        <v>#DIV/0!</v>
      </c>
      <c r="K60" s="14" t="e">
        <f>(SEOG!K62*1000)/SEOG!AB62</f>
        <v>#DIV/0!</v>
      </c>
      <c r="L60" s="14" t="e">
        <f>(SEOG!L62*1000)/SEOG!AC62</f>
        <v>#DIV/0!</v>
      </c>
      <c r="M60" s="14" t="e">
        <f>(SEOG!M62*1000)/SEOG!AD62</f>
        <v>#DIV/0!</v>
      </c>
      <c r="N60" s="14" t="e">
        <f>(SEOG!N62*1000)/SEOG!AE62</f>
        <v>#DIV/0!</v>
      </c>
      <c r="O60" s="14" t="e">
        <f>(SEOG!O62*1000)/SEOG!AF62</f>
        <v>#DIV/0!</v>
      </c>
      <c r="P60" s="14">
        <f>(SEOG!P62*1000)/SEOG!AG62</f>
        <v>1539.4930413426116</v>
      </c>
      <c r="Q60" s="14">
        <f>(SEOG!Q62*1000)/SEOG!AH62</f>
        <v>1405.8013698630136</v>
      </c>
      <c r="R60" s="14">
        <f>(SEOG!R62*1000)/SEOG!AI62</f>
        <v>1402.3880402989926</v>
      </c>
    </row>
  </sheetData>
  <phoneticPr fontId="8"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dimension ref="A1:U43"/>
  <sheetViews>
    <sheetView showGridLines="0" tabSelected="1" defaultGridColor="0" view="pageBreakPreview" colorId="22" zoomScale="60" zoomScaleNormal="75" workbookViewId="0"/>
  </sheetViews>
  <sheetFormatPr defaultColWidth="9.6640625" defaultRowHeight="13.2"/>
  <cols>
    <col min="1" max="1" width="7.6640625" style="21" customWidth="1"/>
    <col min="2" max="2" width="11.6640625" style="21" customWidth="1"/>
    <col min="3" max="3" width="10.44140625" style="21" customWidth="1"/>
    <col min="4" max="4" width="9.6640625" style="21" customWidth="1"/>
    <col min="5" max="5" width="11.109375" style="21" customWidth="1"/>
    <col min="6" max="6" width="8.88671875" style="21" customWidth="1"/>
    <col min="7" max="7" width="11" style="21" customWidth="1"/>
    <col min="8" max="8" width="12.33203125" style="21" customWidth="1"/>
    <col min="9" max="9" width="4.44140625" style="21" customWidth="1"/>
    <col min="10" max="10" width="8.44140625" style="21" customWidth="1"/>
    <col min="11" max="11" width="10.109375" style="21" customWidth="1"/>
    <col min="12" max="12" width="8.88671875" style="21" customWidth="1"/>
    <col min="13" max="13" width="9.44140625" style="21" customWidth="1"/>
    <col min="14" max="14" width="10.44140625" style="21" customWidth="1"/>
    <col min="15" max="15" width="10.109375" style="21" customWidth="1"/>
    <col min="16" max="16" width="2" style="21" customWidth="1"/>
    <col min="17" max="17" width="14.5546875" style="21" customWidth="1"/>
    <col min="18" max="18" width="9.6640625" style="137"/>
    <col min="19" max="16384" width="9.6640625" style="21"/>
  </cols>
  <sheetData>
    <row r="1" spans="1:18">
      <c r="A1" s="24" t="s">
        <v>217</v>
      </c>
      <c r="B1" s="24"/>
      <c r="C1" s="20"/>
      <c r="D1" s="20"/>
      <c r="E1" s="20"/>
      <c r="F1" s="20"/>
      <c r="G1" s="20"/>
      <c r="H1" s="20"/>
      <c r="I1" s="20"/>
      <c r="J1" s="20"/>
      <c r="K1" s="20"/>
      <c r="L1" s="20"/>
      <c r="M1" s="20"/>
      <c r="N1" s="20"/>
      <c r="O1" s="20"/>
      <c r="P1" s="20"/>
      <c r="Q1" s="33" t="s">
        <v>217</v>
      </c>
    </row>
    <row r="2" spans="1:18">
      <c r="A2" s="24"/>
      <c r="B2" s="24"/>
      <c r="C2" s="20"/>
      <c r="D2" s="20"/>
      <c r="E2" s="20"/>
      <c r="F2" s="20"/>
      <c r="G2" s="20"/>
      <c r="H2" s="20"/>
      <c r="I2" s="30"/>
      <c r="J2" s="20"/>
      <c r="K2" s="20"/>
      <c r="L2" s="20"/>
      <c r="M2" s="20"/>
      <c r="N2" s="20"/>
      <c r="O2" s="20"/>
      <c r="P2" s="20"/>
      <c r="Q2" s="175" t="s">
        <v>151</v>
      </c>
    </row>
    <row r="3" spans="1:18">
      <c r="A3" s="24" t="s">
        <v>213</v>
      </c>
      <c r="B3" s="24"/>
      <c r="C3" s="20"/>
      <c r="D3" s="20"/>
      <c r="E3" s="20"/>
      <c r="F3" s="20"/>
      <c r="G3" s="20"/>
      <c r="H3" s="20"/>
      <c r="I3" s="30"/>
      <c r="K3" s="20"/>
      <c r="L3" s="20"/>
      <c r="M3" s="20"/>
      <c r="N3" s="20"/>
      <c r="O3" s="20"/>
      <c r="P3" s="20"/>
    </row>
    <row r="4" spans="1:18">
      <c r="A4" s="20"/>
      <c r="B4" s="20"/>
      <c r="C4" s="20"/>
      <c r="D4" s="20"/>
      <c r="E4" s="20"/>
      <c r="F4" s="20"/>
      <c r="G4" s="20"/>
      <c r="H4" s="20"/>
      <c r="I4" s="30"/>
    </row>
    <row r="5" spans="1:18" ht="13.5" customHeight="1">
      <c r="A5" s="22"/>
      <c r="B5" s="22"/>
      <c r="C5" s="140" t="s">
        <v>157</v>
      </c>
      <c r="D5" s="140"/>
      <c r="E5" s="140"/>
      <c r="F5" s="140"/>
      <c r="G5" s="140"/>
      <c r="H5" s="140"/>
      <c r="I5" s="30"/>
      <c r="J5" s="140" t="s">
        <v>212</v>
      </c>
      <c r="K5" s="140"/>
      <c r="L5" s="140"/>
      <c r="M5" s="140"/>
      <c r="N5" s="140"/>
      <c r="O5" s="140"/>
      <c r="P5" s="22"/>
      <c r="Q5" s="23"/>
    </row>
    <row r="6" spans="1:18" ht="13.5" customHeight="1">
      <c r="A6" s="20"/>
      <c r="B6" s="20"/>
      <c r="C6" s="20" t="s">
        <v>127</v>
      </c>
      <c r="D6" s="25"/>
      <c r="F6" s="25"/>
      <c r="G6" s="20" t="s">
        <v>211</v>
      </c>
      <c r="H6" s="20"/>
      <c r="I6" s="30" t="s">
        <v>128</v>
      </c>
      <c r="J6" s="30" t="s">
        <v>127</v>
      </c>
      <c r="K6" s="25"/>
      <c r="M6" s="25"/>
      <c r="N6" s="20" t="s">
        <v>211</v>
      </c>
      <c r="O6" s="30"/>
      <c r="P6" s="30"/>
      <c r="Q6" s="31"/>
    </row>
    <row r="7" spans="1:18" ht="13.5" customHeight="1">
      <c r="A7" s="20"/>
      <c r="B7" s="20"/>
      <c r="C7" s="20" t="s">
        <v>114</v>
      </c>
      <c r="D7" s="25"/>
      <c r="E7" s="20" t="s">
        <v>153</v>
      </c>
      <c r="F7" s="25"/>
      <c r="G7" s="20" t="s">
        <v>115</v>
      </c>
      <c r="H7" s="20"/>
      <c r="I7" s="30" t="s">
        <v>128</v>
      </c>
      <c r="J7" s="30" t="s">
        <v>114</v>
      </c>
      <c r="K7" s="25"/>
      <c r="L7" s="20" t="s">
        <v>153</v>
      </c>
      <c r="M7" s="25"/>
      <c r="N7" s="20" t="s">
        <v>115</v>
      </c>
      <c r="O7" s="30"/>
      <c r="P7" s="30"/>
      <c r="Q7" s="31"/>
    </row>
    <row r="8" spans="1:18" ht="13.5" customHeight="1">
      <c r="C8" s="42"/>
      <c r="D8" s="154" t="s">
        <v>116</v>
      </c>
      <c r="E8" s="42"/>
      <c r="F8" s="154" t="s">
        <v>116</v>
      </c>
      <c r="G8" s="42"/>
      <c r="H8" s="42" t="s">
        <v>116</v>
      </c>
      <c r="I8" s="29"/>
      <c r="J8" s="42"/>
      <c r="K8" s="154" t="s">
        <v>116</v>
      </c>
      <c r="L8" s="153"/>
      <c r="M8" s="154" t="s">
        <v>116</v>
      </c>
      <c r="N8" s="157"/>
      <c r="O8" s="153" t="s">
        <v>116</v>
      </c>
      <c r="P8" s="29"/>
      <c r="Q8" s="29"/>
    </row>
    <row r="9" spans="1:18" ht="13.5" customHeight="1">
      <c r="C9" s="33" t="s">
        <v>128</v>
      </c>
      <c r="D9" s="155" t="s">
        <v>125</v>
      </c>
      <c r="E9" s="33" t="s">
        <v>128</v>
      </c>
      <c r="F9" s="155" t="s">
        <v>130</v>
      </c>
      <c r="G9" s="33" t="s">
        <v>128</v>
      </c>
      <c r="H9" s="39" t="s">
        <v>125</v>
      </c>
      <c r="I9" s="29"/>
      <c r="J9" s="33" t="s">
        <v>128</v>
      </c>
      <c r="K9" s="155" t="s">
        <v>125</v>
      </c>
      <c r="L9" s="158" t="s">
        <v>128</v>
      </c>
      <c r="M9" s="155" t="s">
        <v>130</v>
      </c>
      <c r="N9" s="158" t="s">
        <v>128</v>
      </c>
      <c r="O9" s="29" t="s">
        <v>130</v>
      </c>
      <c r="P9" s="29"/>
      <c r="Q9" s="29"/>
    </row>
    <row r="10" spans="1:18" ht="13.5" customHeight="1">
      <c r="C10" s="33" t="s">
        <v>128</v>
      </c>
      <c r="D10" s="156" t="s">
        <v>204</v>
      </c>
      <c r="E10" s="33" t="s">
        <v>128</v>
      </c>
      <c r="F10" s="156" t="s">
        <v>204</v>
      </c>
      <c r="G10" s="33" t="s">
        <v>128</v>
      </c>
      <c r="H10" s="39" t="s">
        <v>204</v>
      </c>
      <c r="I10" s="26"/>
      <c r="J10" s="33" t="s">
        <v>128</v>
      </c>
      <c r="K10" s="156" t="s">
        <v>204</v>
      </c>
      <c r="L10" s="158" t="s">
        <v>128</v>
      </c>
      <c r="M10" s="156" t="s">
        <v>204</v>
      </c>
      <c r="N10" s="158" t="s">
        <v>128</v>
      </c>
      <c r="O10" s="29" t="s">
        <v>204</v>
      </c>
      <c r="P10" s="29"/>
      <c r="Q10" s="29"/>
    </row>
    <row r="11" spans="1:18" s="33" customFormat="1" ht="13.5" customHeight="1">
      <c r="A11" s="160"/>
      <c r="B11" s="160"/>
      <c r="C11" s="44" t="s">
        <v>159</v>
      </c>
      <c r="D11" s="45" t="s">
        <v>159</v>
      </c>
      <c r="E11" s="44" t="s">
        <v>159</v>
      </c>
      <c r="F11" s="45" t="s">
        <v>159</v>
      </c>
      <c r="G11" s="44" t="s">
        <v>159</v>
      </c>
      <c r="H11" s="44" t="s">
        <v>159</v>
      </c>
      <c r="I11" s="44"/>
      <c r="J11" s="44" t="s">
        <v>159</v>
      </c>
      <c r="K11" s="45" t="s">
        <v>159</v>
      </c>
      <c r="L11" s="44" t="s">
        <v>159</v>
      </c>
      <c r="M11" s="45" t="s">
        <v>159</v>
      </c>
      <c r="N11" s="44" t="s">
        <v>159</v>
      </c>
      <c r="O11" s="44" t="s">
        <v>159</v>
      </c>
      <c r="P11" s="44"/>
      <c r="Q11" s="160"/>
      <c r="R11" s="161"/>
    </row>
    <row r="12" spans="1:18">
      <c r="C12" s="33"/>
      <c r="D12" s="43"/>
      <c r="E12" s="33"/>
      <c r="F12" s="43"/>
      <c r="G12" s="33"/>
      <c r="H12" s="39"/>
      <c r="I12" s="31"/>
      <c r="J12" s="39"/>
      <c r="K12" s="43"/>
      <c r="L12" s="33"/>
      <c r="M12" s="43"/>
      <c r="N12" s="33"/>
      <c r="O12" s="39"/>
      <c r="P12" s="39"/>
    </row>
    <row r="13" spans="1:18">
      <c r="A13" s="141" t="s">
        <v>20</v>
      </c>
      <c r="B13" s="141"/>
      <c r="C13" s="142">
        <f>'College Work-Study'!R5</f>
        <v>923333.1590000001</v>
      </c>
      <c r="D13" s="143">
        <f>(('College Work-Study'!R5-'College Work-Study'!M5)/'College Work-Study'!M5)*100</f>
        <v>22.716063304486045</v>
      </c>
      <c r="E13" s="142">
        <f>'Perkins Loans'!R5</f>
        <v>1139660.4359999998</v>
      </c>
      <c r="F13" s="143">
        <f>(('Perkins Loans'!R5-'Perkins Loans'!M5)/'Perkins Loans'!M5)*100</f>
        <v>15.029981492999614</v>
      </c>
      <c r="G13" s="142">
        <f>SEOG!R5</f>
        <v>884097.64299999992</v>
      </c>
      <c r="H13" s="144">
        <f>((SEOG!R5-SEOG!M5)/SEOG!M5)*100</f>
        <v>18.372488870609914</v>
      </c>
      <c r="I13" s="32"/>
      <c r="J13" s="171">
        <f>'CWS per-recipient'!R3</f>
        <v>1141.3166499177389</v>
      </c>
      <c r="K13" s="170">
        <f>(('CWS per-recipient'!R3-'CWS per-recipient'!M3)/'CWS per-recipient'!M3)*100</f>
        <v>1.8588361377720752</v>
      </c>
      <c r="L13" s="171">
        <f>'Perkins per-recipient'!R3</f>
        <v>1796.3957913983745</v>
      </c>
      <c r="M13" s="143">
        <f>(('Perkins per-recipient'!R3-'Perkins per-recipient'!M3)/'Perkins per-recipient'!M3)*100</f>
        <v>19.505056914023271</v>
      </c>
      <c r="N13" s="171">
        <f>'SEOG per-recipient'!R3</f>
        <v>789.89337885142163</v>
      </c>
      <c r="O13" s="144">
        <f>(('SEOG per-recipient'!R3-'SEOG per-recipient'!M3)/'SEOG per-recipient'!M3)*100</f>
        <v>9.5824012593161569</v>
      </c>
      <c r="P13" s="144"/>
      <c r="Q13" s="142" t="s">
        <v>20</v>
      </c>
      <c r="R13" s="138"/>
    </row>
    <row r="14" spans="1:18" ht="15.6">
      <c r="A14" s="141" t="s">
        <v>214</v>
      </c>
      <c r="B14" s="141"/>
      <c r="C14" s="149">
        <f>'College Work-Study'!R6</f>
        <v>254065.75800000003</v>
      </c>
      <c r="D14" s="143">
        <f>(('College Work-Study'!R6-'College Work-Study'!M6)/'College Work-Study'!M6)*100</f>
        <v>23.852791078168124</v>
      </c>
      <c r="E14" s="149">
        <f>'Perkins Loans'!R6</f>
        <v>254493.69199999995</v>
      </c>
      <c r="F14" s="143">
        <f>(('Perkins Loans'!R6-'Perkins Loans'!M6)/'Perkins Loans'!M6)*100</f>
        <v>14.99965084653169</v>
      </c>
      <c r="G14" s="149">
        <f>ROUND(SEOG!R6,0)</f>
        <v>237452</v>
      </c>
      <c r="H14" s="144">
        <f>((SEOG!R6-SEOG!M6)/SEOG!M6)*100</f>
        <v>21.789666909293643</v>
      </c>
      <c r="I14" s="32"/>
      <c r="J14" s="141">
        <f>'CWS per-recipient'!R4</f>
        <v>1292.2058347828743</v>
      </c>
      <c r="K14" s="170">
        <f>(('CWS per-recipient'!R4-'CWS per-recipient'!M4)/'CWS per-recipient'!M4)*100</f>
        <v>18.404223242558182</v>
      </c>
      <c r="L14" s="162">
        <f>'Perkins per-recipient'!R4</f>
        <v>1993.3399022495139</v>
      </c>
      <c r="M14" s="143">
        <f>(('Perkins per-recipient'!R4-'Perkins per-recipient'!M4)/'Perkins per-recipient'!M4)*100</f>
        <v>22.326293806504818</v>
      </c>
      <c r="N14" s="162">
        <f>'SEOG per-recipient'!R4</f>
        <v>702.61759179530884</v>
      </c>
      <c r="O14" s="144">
        <f>(('SEOG per-recipient'!R4-'SEOG per-recipient'!M4)/'SEOG per-recipient'!M4)*100</f>
        <v>9.4111608191943468</v>
      </c>
      <c r="P14" s="144"/>
      <c r="Q14" s="142" t="s">
        <v>124</v>
      </c>
      <c r="R14" s="138"/>
    </row>
    <row r="15" spans="1:18">
      <c r="A15" s="141" t="s">
        <v>123</v>
      </c>
      <c r="B15" s="141"/>
      <c r="C15" s="145"/>
      <c r="D15" s="143"/>
      <c r="E15" s="145"/>
      <c r="F15" s="146"/>
      <c r="G15" s="145"/>
      <c r="H15" s="147"/>
      <c r="I15" s="29"/>
      <c r="J15" s="141"/>
      <c r="K15" s="151"/>
      <c r="L15" s="163"/>
      <c r="M15" s="143"/>
      <c r="N15" s="145"/>
      <c r="O15" s="147"/>
      <c r="P15" s="147"/>
      <c r="Q15" s="145" t="s">
        <v>123</v>
      </c>
      <c r="R15" s="150"/>
    </row>
    <row r="16" spans="1:18">
      <c r="A16" s="141" t="s">
        <v>126</v>
      </c>
      <c r="B16" s="141"/>
      <c r="C16" s="148">
        <f>(C14/C13)*100</f>
        <v>27.516152271100232</v>
      </c>
      <c r="D16" s="143"/>
      <c r="E16" s="148">
        <f>(E14/E13)*100</f>
        <v>22.330659550947157</v>
      </c>
      <c r="F16" s="146"/>
      <c r="G16" s="148">
        <f>(G14/G13)*100</f>
        <v>26.858119335581126</v>
      </c>
      <c r="H16" s="147"/>
      <c r="I16" s="39"/>
      <c r="J16" s="148">
        <f>(J14/J13)*100</f>
        <v>113.22062416911301</v>
      </c>
      <c r="K16" s="159"/>
      <c r="L16" s="166">
        <f>(L14/L13)*100</f>
        <v>110.96329170855113</v>
      </c>
      <c r="M16" s="167"/>
      <c r="N16" s="166">
        <f>(N14/N13)*100</f>
        <v>88.95094079874174</v>
      </c>
      <c r="O16" s="147"/>
      <c r="P16" s="147"/>
      <c r="Q16" s="148" t="s">
        <v>126</v>
      </c>
      <c r="R16" s="150"/>
    </row>
    <row r="17" spans="1:18">
      <c r="C17" s="33"/>
      <c r="D17" s="128"/>
      <c r="E17" s="33"/>
      <c r="F17" s="43"/>
      <c r="G17" s="33"/>
      <c r="H17" s="39"/>
      <c r="I17" s="29"/>
      <c r="K17" s="152"/>
      <c r="L17" s="164"/>
      <c r="M17" s="128"/>
      <c r="N17" s="33"/>
      <c r="O17" s="39"/>
      <c r="P17" s="39"/>
      <c r="Q17" s="33"/>
      <c r="R17" s="150"/>
    </row>
    <row r="18" spans="1:18">
      <c r="A18" s="21" t="s">
        <v>24</v>
      </c>
      <c r="C18" s="27">
        <f>'College Work-Study'!R10</f>
        <v>14174.415000000001</v>
      </c>
      <c r="D18" s="46">
        <f>(('College Work-Study'!R10-'College Work-Study'!M10)/'College Work-Study'!M10)*100</f>
        <v>24.978138944482325</v>
      </c>
      <c r="E18" s="27">
        <f>'Perkins Loans'!R10</f>
        <v>12751.413</v>
      </c>
      <c r="F18" s="46">
        <f>(('Perkins Loans'!R10-'Perkins Loans'!M10)/'Perkins Loans'!M10)*100</f>
        <v>24.018374471424188</v>
      </c>
      <c r="G18" s="27">
        <f>SEOG!R10</f>
        <v>12067.028</v>
      </c>
      <c r="H18" s="48">
        <f>((SEOG!R10-SEOG!M10)/SEOG!M10)*100</f>
        <v>22.443419896547859</v>
      </c>
      <c r="I18" s="32"/>
      <c r="J18" s="172">
        <f>'CWS per-recipient'!R8</f>
        <v>1309.8988078735792</v>
      </c>
      <c r="K18" s="136">
        <f>(('CWS per-recipient'!R8-'CWS per-recipient'!M8)/'CWS per-recipient'!M8)*100</f>
        <v>17.112866546257337</v>
      </c>
      <c r="L18" s="173">
        <f>'Perkins per-recipient'!R8</f>
        <v>2059.0041982883899</v>
      </c>
      <c r="M18" s="46">
        <f>(('Perkins per-recipient'!R8-'Perkins per-recipient'!M8)/'Perkins per-recipient'!M8)*100</f>
        <v>27.372657972790805</v>
      </c>
      <c r="N18" s="173">
        <f>'SEOG per-recipient'!R8</f>
        <v>693.90615296147212</v>
      </c>
      <c r="O18" s="48">
        <f>(('SEOG per-recipient'!R8-'SEOG per-recipient'!M8)/'SEOG per-recipient'!M8)*100</f>
        <v>0.3451638099857276</v>
      </c>
      <c r="P18" s="48"/>
      <c r="Q18" s="27" t="s">
        <v>24</v>
      </c>
      <c r="R18" s="138"/>
    </row>
    <row r="19" spans="1:18">
      <c r="A19" s="21" t="s">
        <v>25</v>
      </c>
      <c r="C19" s="28">
        <f>'College Work-Study'!R11</f>
        <v>8064.87</v>
      </c>
      <c r="D19" s="46">
        <f>(('College Work-Study'!R11-'College Work-Study'!M11)/'College Work-Study'!M11)*100</f>
        <v>14.273451780537306</v>
      </c>
      <c r="E19" s="28">
        <f>'Perkins Loans'!R11</f>
        <v>6822.3720000000003</v>
      </c>
      <c r="F19" s="46">
        <f>(('Perkins Loans'!R11-'Perkins Loans'!M11)/'Perkins Loans'!M11)*100</f>
        <v>3.991226923631821</v>
      </c>
      <c r="G19" s="28">
        <f>SEOG!R11</f>
        <v>5557.0770000000002</v>
      </c>
      <c r="H19" s="48">
        <f>((SEOG!R11-SEOG!M11)/SEOG!M11)*100</f>
        <v>20.479247970152269</v>
      </c>
      <c r="I19" s="32"/>
      <c r="J19" s="21">
        <f>'CWS per-recipient'!R9</f>
        <v>1176.4945295404814</v>
      </c>
      <c r="K19" s="136">
        <f>(('CWS per-recipient'!R9-'CWS per-recipient'!M9)/'CWS per-recipient'!M9)*100</f>
        <v>16.498908500114517</v>
      </c>
      <c r="L19" s="165">
        <f>'Perkins per-recipient'!R9</f>
        <v>1626.6981402002862</v>
      </c>
      <c r="M19" s="46">
        <f>(('Perkins per-recipient'!R9-'Perkins per-recipient'!M9)/'Perkins per-recipient'!M9)*100</f>
        <v>-0.31074681772490936</v>
      </c>
      <c r="N19" s="28">
        <f>'SEOG per-recipient'!R9</f>
        <v>582.07573059599872</v>
      </c>
      <c r="O19" s="48">
        <f>(('SEOG per-recipient'!R9-'SEOG per-recipient'!M9)/'SEOG per-recipient'!M9)*100</f>
        <v>7.8975144175973302</v>
      </c>
      <c r="P19" s="48"/>
      <c r="Q19" s="28" t="s">
        <v>25</v>
      </c>
      <c r="R19" s="138"/>
    </row>
    <row r="20" spans="1:18">
      <c r="A20" s="21" t="s">
        <v>120</v>
      </c>
      <c r="C20" s="28">
        <f>'College Work-Study'!R12</f>
        <v>1243.444</v>
      </c>
      <c r="D20" s="46">
        <f>(('College Work-Study'!R12-'College Work-Study'!M12)/'College Work-Study'!M12)*100</f>
        <v>12.199428916633464</v>
      </c>
      <c r="E20" s="28">
        <f>'Perkins Loans'!R12</f>
        <v>2750.3270000000002</v>
      </c>
      <c r="F20" s="46">
        <f>(('Perkins Loans'!R12-'Perkins Loans'!M12)/'Perkins Loans'!M12)*100</f>
        <v>25.346376313901111</v>
      </c>
      <c r="G20" s="28">
        <f>SEOG!R12</f>
        <v>2249.386</v>
      </c>
      <c r="H20" s="48">
        <f>((SEOG!R12-SEOG!M12)/SEOG!M12)*100</f>
        <v>33.109608698868257</v>
      </c>
      <c r="I20" s="32"/>
      <c r="J20" s="21">
        <f>'CWS per-recipient'!R10</f>
        <v>1069.1693895098883</v>
      </c>
      <c r="K20" s="136">
        <f>(('CWS per-recipient'!R10-'CWS per-recipient'!M10)/'CWS per-recipient'!M10)*100</f>
        <v>22.088028627686736</v>
      </c>
      <c r="L20" s="28">
        <f>'Perkins per-recipient'!R10</f>
        <v>1772.117912371134</v>
      </c>
      <c r="M20" s="46">
        <f>(('Perkins per-recipient'!R10-'Perkins per-recipient'!M10)/'Perkins per-recipient'!M10)*100</f>
        <v>30.43453463076694</v>
      </c>
      <c r="N20" s="28">
        <f>'SEOG per-recipient'!R10</f>
        <v>604.99892415277031</v>
      </c>
      <c r="O20" s="48">
        <f>(('SEOG per-recipient'!R10-'SEOG per-recipient'!M10)/'SEOG per-recipient'!M10)*100</f>
        <v>10.64422960835191</v>
      </c>
      <c r="P20" s="48"/>
      <c r="Q20" s="28" t="s">
        <v>120</v>
      </c>
      <c r="R20" s="138"/>
    </row>
    <row r="21" spans="1:18">
      <c r="A21" s="21" t="s">
        <v>26</v>
      </c>
      <c r="C21" s="28">
        <f>'College Work-Study'!R13</f>
        <v>31636.986000000001</v>
      </c>
      <c r="D21" s="46">
        <f>(('College Work-Study'!R13-'College Work-Study'!M13)/'College Work-Study'!M13)*100</f>
        <v>46.766959554335202</v>
      </c>
      <c r="E21" s="28">
        <f>'Perkins Loans'!R13</f>
        <v>24434.777999999998</v>
      </c>
      <c r="F21" s="46">
        <f>(('Perkins Loans'!R13-'Perkins Loans'!M13)/'Perkins Loans'!M13)*100</f>
        <v>10.474152498214684</v>
      </c>
      <c r="G21" s="28">
        <f>SEOG!R13</f>
        <v>33609.243999999999</v>
      </c>
      <c r="H21" s="48">
        <f>((SEOG!R13-SEOG!M13)/SEOG!M13)*100</f>
        <v>25.105627482672983</v>
      </c>
      <c r="I21" s="32"/>
      <c r="J21" s="21">
        <f>'CWS per-recipient'!R11</f>
        <v>1521.8869540119299</v>
      </c>
      <c r="K21" s="136">
        <f>(('CWS per-recipient'!R11-'CWS per-recipient'!M11)/'CWS per-recipient'!M11)*100</f>
        <v>29.247130319484192</v>
      </c>
      <c r="L21" s="28">
        <f>'Perkins per-recipient'!R11</f>
        <v>1718.0971733933343</v>
      </c>
      <c r="M21" s="46">
        <f>(('Perkins per-recipient'!R11-'Perkins per-recipient'!M11)/'Perkins per-recipient'!M11)*100</f>
        <v>25.893305409827423</v>
      </c>
      <c r="N21" s="28">
        <f>'SEOG per-recipient'!R11</f>
        <v>650.05694170438278</v>
      </c>
      <c r="O21" s="48">
        <f>(('SEOG per-recipient'!R11-'SEOG per-recipient'!M11)/'SEOG per-recipient'!M11)*100</f>
        <v>10.878739996997847</v>
      </c>
      <c r="P21" s="48"/>
      <c r="Q21" s="28" t="s">
        <v>26</v>
      </c>
      <c r="R21" s="138"/>
    </row>
    <row r="22" spans="1:18">
      <c r="A22" s="141" t="s">
        <v>27</v>
      </c>
      <c r="B22" s="141"/>
      <c r="C22" s="149">
        <f>'College Work-Study'!R14</f>
        <v>18278.577000000001</v>
      </c>
      <c r="D22" s="143">
        <f>(('College Work-Study'!R14-'College Work-Study'!M14)/'College Work-Study'!M14)*100</f>
        <v>36.327874970744659</v>
      </c>
      <c r="E22" s="149">
        <f>'Perkins Loans'!R14</f>
        <v>13893.89</v>
      </c>
      <c r="F22" s="143">
        <f>(('Perkins Loans'!R14-'Perkins Loans'!M14)/'Perkins Loans'!M14)*100</f>
        <v>5.9930852200230156</v>
      </c>
      <c r="G22" s="149">
        <f>SEOG!R14</f>
        <v>17142.005000000001</v>
      </c>
      <c r="H22" s="144">
        <f>((SEOG!R14-SEOG!M14)/SEOG!M14)*100</f>
        <v>25.194507160156771</v>
      </c>
      <c r="I22" s="32"/>
      <c r="J22" s="141">
        <f>'CWS per-recipient'!R12</f>
        <v>1330.6090849530465</v>
      </c>
      <c r="K22" s="159">
        <f>(('CWS per-recipient'!R12-'CWS per-recipient'!M12)/'CWS per-recipient'!M12)*100</f>
        <v>27.425923755140229</v>
      </c>
      <c r="L22" s="149">
        <f>'Perkins per-recipient'!R12</f>
        <v>2163.4833385238244</v>
      </c>
      <c r="M22" s="143">
        <f>(('Perkins per-recipient'!R12-'Perkins per-recipient'!M12)/'Perkins per-recipient'!M12)*100</f>
        <v>35.552975539092053</v>
      </c>
      <c r="N22" s="149">
        <f>'SEOG per-recipient'!R12</f>
        <v>724.39169202163623</v>
      </c>
      <c r="O22" s="144">
        <f>(('SEOG per-recipient'!R12-'SEOG per-recipient'!M12)/'SEOG per-recipient'!M12)*100</f>
        <v>3.2468477216041043</v>
      </c>
      <c r="P22" s="144"/>
      <c r="Q22" s="149" t="s">
        <v>27</v>
      </c>
      <c r="R22" s="138"/>
    </row>
    <row r="23" spans="1:18">
      <c r="A23" s="141" t="s">
        <v>28</v>
      </c>
      <c r="B23" s="141"/>
      <c r="C23" s="149">
        <f>'College Work-Study'!R15</f>
        <v>17463.328000000001</v>
      </c>
      <c r="D23" s="143">
        <f>(('College Work-Study'!R15-'College Work-Study'!M15)/'College Work-Study'!M15)*100</f>
        <v>14.218470721691789</v>
      </c>
      <c r="E23" s="149">
        <f>'Perkins Loans'!R15</f>
        <v>14102.071</v>
      </c>
      <c r="F23" s="143">
        <f>(('Perkins Loans'!R15-'Perkins Loans'!M15)/'Perkins Loans'!M15)*100</f>
        <v>20.568165428060574</v>
      </c>
      <c r="G23" s="149">
        <f>SEOG!R15</f>
        <v>10006.802</v>
      </c>
      <c r="H23" s="144">
        <f>((SEOG!R15-SEOG!M15)/SEOG!M15)*100</f>
        <v>15.205564606796395</v>
      </c>
      <c r="I23" s="32"/>
      <c r="J23" s="141">
        <f>'CWS per-recipient'!R13</f>
        <v>1555.0603739982191</v>
      </c>
      <c r="K23" s="159">
        <f>(('CWS per-recipient'!R13-'CWS per-recipient'!M13)/'CWS per-recipient'!M13)*100</f>
        <v>15.530508363997944</v>
      </c>
      <c r="L23" s="149">
        <f>'Perkins per-recipient'!R13</f>
        <v>1662.1960160301744</v>
      </c>
      <c r="M23" s="143">
        <f>(('Perkins per-recipient'!R13-'Perkins per-recipient'!M13)/'Perkins per-recipient'!M13)*100</f>
        <v>16.589018054197176</v>
      </c>
      <c r="N23" s="149">
        <f>'SEOG per-recipient'!R13</f>
        <v>621.46329648490871</v>
      </c>
      <c r="O23" s="144">
        <f>(('SEOG per-recipient'!R13-'SEOG per-recipient'!M13)/'SEOG per-recipient'!M13)*100</f>
        <v>6.1584005001454063</v>
      </c>
      <c r="P23" s="144"/>
      <c r="Q23" s="149" t="s">
        <v>28</v>
      </c>
      <c r="R23" s="138"/>
    </row>
    <row r="24" spans="1:18">
      <c r="A24" s="141" t="s">
        <v>29</v>
      </c>
      <c r="B24" s="141"/>
      <c r="C24" s="149">
        <f>'College Work-Study'!R16</f>
        <v>13253.843999999999</v>
      </c>
      <c r="D24" s="143">
        <f>(('College Work-Study'!R16-'College Work-Study'!M16)/'College Work-Study'!M16)*100</f>
        <v>15.597620304183875</v>
      </c>
      <c r="E24" s="149">
        <f>'Perkins Loans'!R16</f>
        <v>14928.58</v>
      </c>
      <c r="F24" s="143">
        <f>(('Perkins Loans'!R16-'Perkins Loans'!M16)/'Perkins Loans'!M16)*100</f>
        <v>18.735830676303454</v>
      </c>
      <c r="G24" s="149">
        <f>SEOG!R16</f>
        <v>10646.831</v>
      </c>
      <c r="H24" s="148">
        <f>((SEOG!R16-SEOG!M16)/SEOG!M16)*100</f>
        <v>17.660441847555752</v>
      </c>
      <c r="I24" s="32"/>
      <c r="J24" s="141">
        <f>'CWS per-recipient'!R14</f>
        <v>1222.453790813503</v>
      </c>
      <c r="K24" s="159">
        <f>(('CWS per-recipient'!R14-'CWS per-recipient'!M14)/'CWS per-recipient'!M14)*100</f>
        <v>13.918352161967592</v>
      </c>
      <c r="L24" s="149">
        <f>'Perkins per-recipient'!R14</f>
        <v>2257.4595493724482</v>
      </c>
      <c r="M24" s="143">
        <f>(('Perkins per-recipient'!R14-'Perkins per-recipient'!M14)/'Perkins per-recipient'!M14)*100</f>
        <v>24.876410457234307</v>
      </c>
      <c r="N24" s="149">
        <f>'SEOG per-recipient'!R14</f>
        <v>688.84776138716359</v>
      </c>
      <c r="O24" s="144">
        <f>(('SEOG per-recipient'!R14-'SEOG per-recipient'!M14)/'SEOG per-recipient'!M14)*100</f>
        <v>0.24660510284277323</v>
      </c>
      <c r="P24" s="144"/>
      <c r="Q24" s="149" t="s">
        <v>29</v>
      </c>
      <c r="R24" s="139"/>
    </row>
    <row r="25" spans="1:18">
      <c r="A25" s="141" t="s">
        <v>30</v>
      </c>
      <c r="B25" s="141"/>
      <c r="C25" s="149">
        <f>'College Work-Study'!R17</f>
        <v>12654.763000000001</v>
      </c>
      <c r="D25" s="143">
        <f>(('College Work-Study'!R17-'College Work-Study'!M17)/'College Work-Study'!M17)*100</f>
        <v>21.698802852758</v>
      </c>
      <c r="E25" s="149">
        <f>'Perkins Loans'!R17</f>
        <v>17667.062999999998</v>
      </c>
      <c r="F25" s="143">
        <f>(('Perkins Loans'!R17-'Perkins Loans'!M17)/'Perkins Loans'!M17)*100</f>
        <v>25.344683347233854</v>
      </c>
      <c r="G25" s="149">
        <f>SEOG!R17</f>
        <v>13888.78</v>
      </c>
      <c r="H25" s="148">
        <f>((SEOG!R17-SEOG!M17)/SEOG!M17)*100</f>
        <v>28.851540616246485</v>
      </c>
      <c r="I25" s="32"/>
      <c r="J25" s="141">
        <f>'CWS per-recipient'!R15</f>
        <v>1418.6954035874439</v>
      </c>
      <c r="K25" s="159">
        <f>(('CWS per-recipient'!R15-'CWS per-recipient'!M15)/'CWS per-recipient'!M15)*100</f>
        <v>18.847339871118248</v>
      </c>
      <c r="L25" s="149">
        <f>'Perkins per-recipient'!R15</f>
        <v>2128.0490243314862</v>
      </c>
      <c r="M25" s="143">
        <f>(('Perkins per-recipient'!R15-'Perkins per-recipient'!M15)/'Perkins per-recipient'!M15)*100</f>
        <v>25.133309513596025</v>
      </c>
      <c r="N25" s="149">
        <f>'SEOG per-recipient'!R15</f>
        <v>720.97072259136212</v>
      </c>
      <c r="O25" s="144">
        <f>(('SEOG per-recipient'!R15-'SEOG per-recipient'!M15)/'SEOG per-recipient'!M15)*100</f>
        <v>21.039113319746491</v>
      </c>
      <c r="P25" s="144"/>
      <c r="Q25" s="149" t="s">
        <v>30</v>
      </c>
      <c r="R25" s="139"/>
    </row>
    <row r="26" spans="1:18">
      <c r="A26" s="21" t="s">
        <v>31</v>
      </c>
      <c r="C26" s="28">
        <f>'College Work-Study'!R18</f>
        <v>10610.531000000001</v>
      </c>
      <c r="D26" s="46">
        <f>(('College Work-Study'!R18-'College Work-Study'!M18)/'College Work-Study'!M18)*100</f>
        <v>10.177469263997354</v>
      </c>
      <c r="E26" s="28">
        <f>'Perkins Loans'!R18</f>
        <v>11678.013000000001</v>
      </c>
      <c r="F26" s="46">
        <f>(('Perkins Loans'!R18-'Perkins Loans'!M18)/'Perkins Loans'!M18)*100</f>
        <v>19.39263791544246</v>
      </c>
      <c r="G26" s="28">
        <f>SEOG!R18</f>
        <v>8930.6650000000009</v>
      </c>
      <c r="H26" s="47">
        <f>((SEOG!R18-SEOG!M18)/SEOG!M18)*100</f>
        <v>11.7916933815984</v>
      </c>
      <c r="I26" s="32"/>
      <c r="J26" s="21">
        <f>'CWS per-recipient'!R16</f>
        <v>1067.5652480128786</v>
      </c>
      <c r="K26" s="136">
        <f>(('CWS per-recipient'!R16-'CWS per-recipient'!M16)/'CWS per-recipient'!M16)*100</f>
        <v>7.4837249203861793</v>
      </c>
      <c r="L26" s="28">
        <f>'Perkins per-recipient'!R16</f>
        <v>2385.7023493360571</v>
      </c>
      <c r="M26" s="46">
        <f>(('Perkins per-recipient'!R16-'Perkins per-recipient'!M16)/'Perkins per-recipient'!M16)*100</f>
        <v>42.051628849752142</v>
      </c>
      <c r="N26" s="28">
        <f>'SEOG per-recipient'!R16</f>
        <v>652.54018705246233</v>
      </c>
      <c r="O26" s="48">
        <f>(('SEOG per-recipient'!R16-'SEOG per-recipient'!M16)/'SEOG per-recipient'!M16)*100</f>
        <v>-7.7714445439407118</v>
      </c>
      <c r="P26" s="48"/>
      <c r="Q26" s="28" t="s">
        <v>31</v>
      </c>
      <c r="R26" s="139"/>
    </row>
    <row r="27" spans="1:18">
      <c r="A27" s="21" t="s">
        <v>32</v>
      </c>
      <c r="C27" s="28">
        <f>'College Work-Study'!R19</f>
        <v>19443.241000000002</v>
      </c>
      <c r="D27" s="46">
        <f>(('College Work-Study'!R19-'College Work-Study'!M19)/'College Work-Study'!M19)*100</f>
        <v>30.510259725823797</v>
      </c>
      <c r="E27" s="28">
        <f>'Perkins Loans'!R19</f>
        <v>25855.367999999999</v>
      </c>
      <c r="F27" s="46">
        <f>(('Perkins Loans'!R19-'Perkins Loans'!M19)/'Perkins Loans'!M19)*100</f>
        <v>13.323530216814792</v>
      </c>
      <c r="G27" s="28">
        <f>SEOG!R19</f>
        <v>23117.887999999999</v>
      </c>
      <c r="H27" s="47">
        <f>((SEOG!R19-SEOG!M19)/SEOG!M19)*100</f>
        <v>39.616104582498998</v>
      </c>
      <c r="I27" s="32"/>
      <c r="J27" s="21">
        <f>'CWS per-recipient'!R17</f>
        <v>1068.9560173731377</v>
      </c>
      <c r="K27" s="136">
        <f>(('CWS per-recipient'!R17-'CWS per-recipient'!M17)/'CWS per-recipient'!M17)*100</f>
        <v>25.408671146734196</v>
      </c>
      <c r="L27" s="28">
        <f>'Perkins per-recipient'!R17</f>
        <v>2098.1390895074251</v>
      </c>
      <c r="M27" s="46">
        <f>(('Perkins per-recipient'!R17-'Perkins per-recipient'!M17)/'Perkins per-recipient'!M17)*100</f>
        <v>17.024960137472753</v>
      </c>
      <c r="N27" s="28">
        <f>'SEOG per-recipient'!R17</f>
        <v>1041.3463063063064</v>
      </c>
      <c r="O27" s="48">
        <f>(('SEOG per-recipient'!R17-'SEOG per-recipient'!M17)/'SEOG per-recipient'!M17)*100</f>
        <v>45.320240026477684</v>
      </c>
      <c r="P27" s="48"/>
      <c r="Q27" s="28" t="s">
        <v>32</v>
      </c>
      <c r="R27" s="139"/>
    </row>
    <row r="28" spans="1:18">
      <c r="A28" s="21" t="s">
        <v>33</v>
      </c>
      <c r="C28" s="28">
        <f>'College Work-Study'!R20</f>
        <v>10688.306</v>
      </c>
      <c r="D28" s="46">
        <f>(('College Work-Study'!R20-'College Work-Study'!M20)/'College Work-Study'!M20)*100</f>
        <v>17.143135212056109</v>
      </c>
      <c r="E28" s="28">
        <f>'Perkins Loans'!R20</f>
        <v>12917.971</v>
      </c>
      <c r="F28" s="46">
        <f>(('Perkins Loans'!R20-'Perkins Loans'!M20)/'Perkins Loans'!M20)*100</f>
        <v>-3.6075863342889458</v>
      </c>
      <c r="G28" s="28">
        <f>SEOG!R20</f>
        <v>8108.759</v>
      </c>
      <c r="H28" s="47">
        <f>((SEOG!R20-SEOG!M20)/SEOG!M20)*100</f>
        <v>8.5350939860110414E-2</v>
      </c>
      <c r="I28" s="32"/>
      <c r="J28" s="21">
        <f>'CWS per-recipient'!R18</f>
        <v>1322.319188420141</v>
      </c>
      <c r="K28" s="136">
        <f>(('CWS per-recipient'!R18-'CWS per-recipient'!M18)/'CWS per-recipient'!M18)*100</f>
        <v>19.309768728597291</v>
      </c>
      <c r="L28" s="28">
        <f>'Perkins per-recipient'!R18</f>
        <v>2002.7862015503877</v>
      </c>
      <c r="M28" s="46">
        <f>(('Perkins per-recipient'!R18-'Perkins per-recipient'!M18)/'Perkins per-recipient'!M18)*100</f>
        <v>17.994775519011117</v>
      </c>
      <c r="N28" s="28">
        <f>'SEOG per-recipient'!R18</f>
        <v>583.53187967760505</v>
      </c>
      <c r="O28" s="48">
        <f>(('SEOG per-recipient'!R18-'SEOG per-recipient'!M18)/'SEOG per-recipient'!M18)*100</f>
        <v>-5.6586090036155978</v>
      </c>
      <c r="P28" s="48"/>
      <c r="Q28" s="28" t="s">
        <v>33</v>
      </c>
      <c r="R28" s="139"/>
    </row>
    <row r="29" spans="1:18">
      <c r="A29" s="21" t="s">
        <v>34</v>
      </c>
      <c r="C29" s="28">
        <f>'College Work-Study'!R21</f>
        <v>10428.725</v>
      </c>
      <c r="D29" s="46">
        <f>(('College Work-Study'!R21-'College Work-Study'!M21)/'College Work-Study'!M21)*100</f>
        <v>15.186934636235124</v>
      </c>
      <c r="E29" s="28">
        <f>'Perkins Loans'!R21</f>
        <v>10911.098</v>
      </c>
      <c r="F29" s="46">
        <f>(('Perkins Loans'!R21-'Perkins Loans'!M21)/'Perkins Loans'!M21)*100</f>
        <v>-3.7541880577406221</v>
      </c>
      <c r="G29" s="28">
        <f>SEOG!R21</f>
        <v>11474.157999999999</v>
      </c>
      <c r="H29" s="47">
        <f>((SEOG!R21-SEOG!M21)/SEOG!M21)*100</f>
        <v>34.023759162831418</v>
      </c>
      <c r="I29" s="32"/>
      <c r="J29" s="21">
        <f>'CWS per-recipient'!R19</f>
        <v>1114.2990704135057</v>
      </c>
      <c r="K29" s="136">
        <f>(('CWS per-recipient'!R19-'CWS per-recipient'!M19)/'CWS per-recipient'!M19)*100</f>
        <v>16.866923585679075</v>
      </c>
      <c r="L29" s="28">
        <f>'Perkins per-recipient'!R19</f>
        <v>1858.4735138817919</v>
      </c>
      <c r="M29" s="46">
        <f>(('Perkins per-recipient'!R19-'Perkins per-recipient'!M19)/'Perkins per-recipient'!M19)*100</f>
        <v>13.860549624418757</v>
      </c>
      <c r="N29" s="28">
        <f>'SEOG per-recipient'!R19</f>
        <v>735.24016403947201</v>
      </c>
      <c r="O29" s="48">
        <f>(('SEOG per-recipient'!R19-'SEOG per-recipient'!M19)/'SEOG per-recipient'!M19)*100</f>
        <v>19.06782064033554</v>
      </c>
      <c r="P29" s="48"/>
      <c r="Q29" s="28" t="s">
        <v>34</v>
      </c>
      <c r="R29" s="139"/>
    </row>
    <row r="30" spans="1:18">
      <c r="A30" s="141" t="s">
        <v>35</v>
      </c>
      <c r="B30" s="141"/>
      <c r="C30" s="149">
        <f>'College Work-Study'!R22</f>
        <v>15774.49</v>
      </c>
      <c r="D30" s="143">
        <f>(('College Work-Study'!R22-'College Work-Study'!M22)/'College Work-Study'!M22)*100</f>
        <v>33.920968962058559</v>
      </c>
      <c r="E30" s="149">
        <f>'Perkins Loans'!R22</f>
        <v>21115.982</v>
      </c>
      <c r="F30" s="143">
        <f>(('Perkins Loans'!R22-'Perkins Loans'!M22)/'Perkins Loans'!M22)*100</f>
        <v>32.502067679711821</v>
      </c>
      <c r="G30" s="149">
        <f>SEOG!R22</f>
        <v>14945.757</v>
      </c>
      <c r="H30" s="148">
        <f>((SEOG!R22-SEOG!M22)/SEOG!M22)*100</f>
        <v>16.818672407596075</v>
      </c>
      <c r="I30" s="32"/>
      <c r="J30" s="141">
        <f>'CWS per-recipient'!R20</f>
        <v>1199.4897726408637</v>
      </c>
      <c r="K30" s="159">
        <f>(('CWS per-recipient'!R20-'CWS per-recipient'!M20)/'CWS per-recipient'!M20)*100</f>
        <v>17.306866546911522</v>
      </c>
      <c r="L30" s="149">
        <f>'Perkins per-recipient'!R20</f>
        <v>2157.1132904280316</v>
      </c>
      <c r="M30" s="143">
        <f>(('Perkins per-recipient'!R20-'Perkins per-recipient'!M20)/'Perkins per-recipient'!M20)*100</f>
        <v>23.920362611886993</v>
      </c>
      <c r="N30" s="149">
        <f>'SEOG per-recipient'!R20</f>
        <v>683.92243627877178</v>
      </c>
      <c r="O30" s="144">
        <f>(('SEOG per-recipient'!R20-'SEOG per-recipient'!M20)/'SEOG per-recipient'!M20)*100</f>
        <v>-4.2432215788556151</v>
      </c>
      <c r="P30" s="144"/>
      <c r="Q30" s="149" t="s">
        <v>35</v>
      </c>
      <c r="R30" s="139"/>
    </row>
    <row r="31" spans="1:18">
      <c r="A31" s="141" t="s">
        <v>36</v>
      </c>
      <c r="B31" s="141"/>
      <c r="C31" s="149">
        <f>'College Work-Study'!R23</f>
        <v>46293.720999999998</v>
      </c>
      <c r="D31" s="143">
        <f>(('College Work-Study'!R23-'College Work-Study'!M23)/'College Work-Study'!M23)*100</f>
        <v>22.488427705475551</v>
      </c>
      <c r="E31" s="149">
        <f>'Perkins Loans'!R23</f>
        <v>35479.614000000001</v>
      </c>
      <c r="F31" s="143">
        <f>(('Perkins Loans'!R23-'Perkins Loans'!M23)/'Perkins Loans'!M23)*100</f>
        <v>22.972554171723793</v>
      </c>
      <c r="G31" s="149">
        <f>SEOG!R23</f>
        <v>42607.209000000003</v>
      </c>
      <c r="H31" s="148">
        <f>((SEOG!R23-SEOG!M23)/SEOG!M23)*100</f>
        <v>20.24321085812289</v>
      </c>
      <c r="I31" s="32"/>
      <c r="J31" s="141">
        <f>'CWS per-recipient'!R21</f>
        <v>1419.7914800956878</v>
      </c>
      <c r="K31" s="159">
        <f>(('CWS per-recipient'!R21-'CWS per-recipient'!M21)/'CWS per-recipient'!M21)*100</f>
        <v>14.441742673728964</v>
      </c>
      <c r="L31" s="149">
        <f>'Perkins per-recipient'!R21</f>
        <v>2144.9497611994439</v>
      </c>
      <c r="M31" s="143">
        <f>(('Perkins per-recipient'!R21-'Perkins per-recipient'!M21)/'Perkins per-recipient'!M21)*100</f>
        <v>24.767963870803118</v>
      </c>
      <c r="N31" s="149">
        <f>'SEOG per-recipient'!R21</f>
        <v>719.40041535811974</v>
      </c>
      <c r="O31" s="144">
        <f>(('SEOG per-recipient'!R21-'SEOG per-recipient'!M21)/'SEOG per-recipient'!M21)*100</f>
        <v>15.969547959119931</v>
      </c>
      <c r="P31" s="144"/>
      <c r="Q31" s="149" t="s">
        <v>36</v>
      </c>
      <c r="R31" s="139"/>
    </row>
    <row r="32" spans="1:18">
      <c r="A32" s="141" t="s">
        <v>37</v>
      </c>
      <c r="B32" s="141"/>
      <c r="C32" s="149">
        <f>'College Work-Study'!R24</f>
        <v>17892.120999999999</v>
      </c>
      <c r="D32" s="143">
        <f>(('College Work-Study'!R24-'College Work-Study'!M24)/'College Work-Study'!M24)*100</f>
        <v>17.609995940668352</v>
      </c>
      <c r="E32" s="149">
        <f>'Perkins Loans'!R24</f>
        <v>19525.294999999998</v>
      </c>
      <c r="F32" s="143">
        <f>(('Perkins Loans'!R24-'Perkins Loans'!M24)/'Perkins Loans'!M24)*100</f>
        <v>7.162486967468455</v>
      </c>
      <c r="G32" s="149">
        <f>SEOG!R24</f>
        <v>17064.458999999999</v>
      </c>
      <c r="H32" s="148">
        <f>((SEOG!R24-SEOG!M24)/SEOG!M24)*100</f>
        <v>17.549833857863991</v>
      </c>
      <c r="I32" s="32"/>
      <c r="J32" s="141">
        <f>'CWS per-recipient'!R22</f>
        <v>1244.0634821304409</v>
      </c>
      <c r="K32" s="159">
        <f>(('CWS per-recipient'!R22-'CWS per-recipient'!M22)/'CWS per-recipient'!M22)*100</f>
        <v>17.111163389397277</v>
      </c>
      <c r="L32" s="149">
        <f>'Perkins per-recipient'!R22</f>
        <v>1940.8841948310139</v>
      </c>
      <c r="M32" s="143">
        <f>(('Perkins per-recipient'!R22-'Perkins per-recipient'!M22)/'Perkins per-recipient'!M22)*100</f>
        <v>15.471308024588287</v>
      </c>
      <c r="N32" s="149">
        <f>'SEOG per-recipient'!R22</f>
        <v>616.8917287253272</v>
      </c>
      <c r="O32" s="144">
        <f>(('SEOG per-recipient'!R22-'SEOG per-recipient'!M22)/'SEOG per-recipient'!M22)*100</f>
        <v>-2.9816541865387793</v>
      </c>
      <c r="P32" s="144"/>
      <c r="Q32" s="149" t="s">
        <v>37</v>
      </c>
      <c r="R32" s="139"/>
    </row>
    <row r="33" spans="1:21">
      <c r="A33" s="178" t="s">
        <v>38</v>
      </c>
      <c r="B33" s="178"/>
      <c r="C33" s="179">
        <f>'College Work-Study'!R25</f>
        <v>6164.3959999999997</v>
      </c>
      <c r="D33" s="143">
        <f>(('College Work-Study'!R25-'College Work-Study'!M25)/'College Work-Study'!M25)*100</f>
        <v>2.4265082181856705</v>
      </c>
      <c r="E33" s="179">
        <f>'Perkins Loans'!R25</f>
        <v>9659.857</v>
      </c>
      <c r="F33" s="143">
        <f>(('Perkins Loans'!R25-'Perkins Loans'!M25)/'Perkins Loans'!M25)*100</f>
        <v>15.973420083376046</v>
      </c>
      <c r="G33" s="179">
        <f>SEOG!R25</f>
        <v>6035.6750000000002</v>
      </c>
      <c r="H33" s="144">
        <f>((SEOG!R25-SEOG!M25)/SEOG!M25)*100</f>
        <v>4.3240011964374112</v>
      </c>
      <c r="I33" s="32"/>
      <c r="J33" s="141">
        <f>'CWS per-recipient'!R23</f>
        <v>941.27286608642544</v>
      </c>
      <c r="K33" s="159">
        <f>(('CWS per-recipient'!R23-'CWS per-recipient'!M23)/'CWS per-recipient'!M23)*100</f>
        <v>1.081466271817682</v>
      </c>
      <c r="L33" s="149">
        <f>'Perkins per-recipient'!R23</f>
        <v>1676.7674014927964</v>
      </c>
      <c r="M33" s="143">
        <f>(('Perkins per-recipient'!R23-'Perkins per-recipient'!M23)/'Perkins per-recipient'!M23)*100</f>
        <v>16.255250994878782</v>
      </c>
      <c r="N33" s="149">
        <f>'SEOG per-recipient'!R23</f>
        <v>864.58601919495777</v>
      </c>
      <c r="O33" s="144">
        <f>(('SEOG per-recipient'!R23-'SEOG per-recipient'!M23)/'SEOG per-recipient'!M23)*100</f>
        <v>5.3028326071760779</v>
      </c>
      <c r="P33" s="144"/>
      <c r="Q33" s="149" t="s">
        <v>38</v>
      </c>
      <c r="R33" s="139"/>
    </row>
    <row r="34" spans="1:21" ht="11.25" customHeight="1">
      <c r="A34" s="180"/>
      <c r="B34" s="181"/>
      <c r="C34" s="181"/>
      <c r="D34" s="181"/>
      <c r="E34" s="181"/>
      <c r="F34" s="181"/>
      <c r="G34" s="181"/>
      <c r="H34" s="181"/>
      <c r="I34" s="177"/>
      <c r="J34" s="181"/>
      <c r="K34" s="182"/>
      <c r="L34" s="183"/>
      <c r="M34" s="183"/>
      <c r="N34" s="183"/>
      <c r="O34" s="183"/>
      <c r="P34" s="184"/>
      <c r="Q34" s="184"/>
      <c r="R34" s="176"/>
      <c r="S34" s="176"/>
      <c r="T34" s="176"/>
      <c r="U34" s="39"/>
    </row>
    <row r="35" spans="1:21" ht="20.25" customHeight="1">
      <c r="A35" s="186" t="s">
        <v>215</v>
      </c>
      <c r="B35" s="187"/>
      <c r="C35" s="187"/>
      <c r="D35" s="187"/>
      <c r="E35" s="187"/>
      <c r="F35" s="187"/>
      <c r="G35" s="187"/>
      <c r="H35" s="187"/>
      <c r="I35" s="187"/>
      <c r="J35" s="187"/>
      <c r="K35" s="185"/>
      <c r="L35" s="31"/>
      <c r="M35" s="31"/>
      <c r="N35" s="31"/>
      <c r="O35" s="31"/>
      <c r="P35" s="176"/>
      <c r="Q35" s="176"/>
      <c r="R35" s="176"/>
      <c r="S35" s="176"/>
      <c r="T35" s="176"/>
      <c r="U35" s="39"/>
    </row>
    <row r="36" spans="1:21" ht="66.75" customHeight="1">
      <c r="A36" s="40" t="s">
        <v>154</v>
      </c>
      <c r="B36" s="188" t="s">
        <v>158</v>
      </c>
      <c r="C36" s="189"/>
      <c r="D36" s="189"/>
      <c r="E36" s="189"/>
      <c r="F36" s="189"/>
      <c r="G36" s="189"/>
      <c r="H36" s="189"/>
      <c r="I36" s="31"/>
      <c r="J36" s="31"/>
      <c r="K36" s="31"/>
      <c r="L36" s="30"/>
      <c r="M36" s="30"/>
      <c r="N36" s="30"/>
      <c r="O36" s="30"/>
      <c r="P36" s="30"/>
      <c r="Q36" s="31"/>
    </row>
    <row r="37" spans="1:21" ht="39" customHeight="1">
      <c r="A37" s="31"/>
      <c r="B37" s="188" t="s">
        <v>155</v>
      </c>
      <c r="C37" s="189"/>
      <c r="D37" s="189"/>
      <c r="E37" s="189"/>
      <c r="F37" s="189"/>
      <c r="G37" s="189"/>
      <c r="H37" s="189"/>
      <c r="I37" s="31"/>
      <c r="J37" s="31"/>
      <c r="K37" s="31"/>
      <c r="L37" s="30"/>
      <c r="M37" s="30"/>
      <c r="N37" s="30"/>
      <c r="O37" s="30"/>
      <c r="P37" s="30"/>
      <c r="Q37" s="31"/>
    </row>
    <row r="38" spans="1:21" ht="39" customHeight="1">
      <c r="A38" s="31"/>
      <c r="B38" s="188" t="s">
        <v>156</v>
      </c>
      <c r="C38" s="189"/>
      <c r="D38" s="189"/>
      <c r="E38" s="189"/>
      <c r="F38" s="189"/>
      <c r="G38" s="189"/>
      <c r="H38" s="189"/>
      <c r="I38" s="31"/>
      <c r="J38" s="31"/>
      <c r="K38" s="31"/>
      <c r="L38" s="30"/>
      <c r="M38" s="30"/>
      <c r="N38" s="30"/>
      <c r="O38" s="30"/>
      <c r="P38" s="30"/>
      <c r="Q38" s="31"/>
    </row>
    <row r="39" spans="1:21" ht="41.25" customHeight="1">
      <c r="A39" s="40" t="s">
        <v>129</v>
      </c>
      <c r="B39" s="188" t="s">
        <v>216</v>
      </c>
      <c r="C39" s="189"/>
      <c r="D39" s="189"/>
      <c r="E39" s="189"/>
      <c r="F39" s="189"/>
      <c r="G39" s="189"/>
      <c r="H39" s="189"/>
      <c r="I39" s="109"/>
      <c r="J39" s="109"/>
      <c r="K39" s="109"/>
      <c r="L39" s="109"/>
      <c r="M39" s="109"/>
      <c r="N39" s="109"/>
      <c r="O39" s="109"/>
      <c r="P39" s="109"/>
      <c r="Q39" s="31"/>
    </row>
    <row r="40" spans="1:21" ht="11.25" customHeight="1">
      <c r="B40" s="24"/>
      <c r="D40" s="20"/>
      <c r="E40" s="20"/>
      <c r="F40" s="20"/>
      <c r="G40" s="20"/>
      <c r="H40" s="20"/>
      <c r="I40" s="20"/>
      <c r="L40" s="20"/>
      <c r="M40" s="20"/>
      <c r="N40" s="20"/>
      <c r="O40" s="20"/>
      <c r="P40" s="20"/>
    </row>
    <row r="41" spans="1:21" ht="11.25" customHeight="1">
      <c r="B41" s="24"/>
      <c r="D41" s="20"/>
      <c r="E41" s="20"/>
      <c r="F41" s="20"/>
      <c r="G41" s="20"/>
      <c r="H41" s="20"/>
      <c r="I41" s="20"/>
      <c r="L41" s="20"/>
      <c r="M41" s="20"/>
      <c r="N41" s="20"/>
      <c r="O41" s="20"/>
      <c r="P41" s="20"/>
    </row>
    <row r="42" spans="1:21" ht="12.6" customHeight="1">
      <c r="C42" s="20"/>
      <c r="D42" s="20"/>
      <c r="E42" s="20"/>
      <c r="F42" s="20"/>
      <c r="G42" s="20"/>
      <c r="H42" s="20"/>
      <c r="I42" s="20"/>
      <c r="K42" s="20"/>
      <c r="L42" s="20"/>
      <c r="M42" s="20"/>
      <c r="N42" s="20"/>
      <c r="O42" s="20"/>
      <c r="P42" s="20"/>
    </row>
    <row r="43" spans="1:21">
      <c r="K43" s="20"/>
    </row>
  </sheetData>
  <mergeCells count="5">
    <mergeCell ref="A35:J35"/>
    <mergeCell ref="B39:H39"/>
    <mergeCell ref="B36:H36"/>
    <mergeCell ref="B37:H37"/>
    <mergeCell ref="B38:H38"/>
  </mergeCells>
  <phoneticPr fontId="8" type="noConversion"/>
  <pageMargins left="0.5" right="0.66" top="0.5" bottom="0.3" header="0.5" footer="0.5"/>
  <pageSetup scale="78" orientation="landscape" verticalDpi="300" r:id="rId1"/>
  <headerFooter alignWithMargins="0">
    <oddFooter>&amp;L&amp;"Arial,Regular"SREB Fact Book&amp;R&amp;"Arial,Regular"&amp;D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College Work-Study</vt:lpstr>
      <vt:lpstr>CWS per-recipient</vt:lpstr>
      <vt:lpstr>Perkins Loans</vt:lpstr>
      <vt:lpstr>Perkins per-recipient</vt:lpstr>
      <vt:lpstr>SEOG</vt:lpstr>
      <vt:lpstr>SEOG per-recipient</vt:lpstr>
      <vt:lpstr>TABLE</vt:lpstr>
      <vt:lpstr>DATA</vt:lpstr>
      <vt:lpstr>NOTE</vt:lpstr>
      <vt:lpstr>TABLE!Print_Area</vt:lpstr>
      <vt:lpstr>TABLE</vt:lpstr>
    </vt:vector>
  </TitlesOfParts>
  <Company>SREB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jmarks</dc:creator>
  <cp:lastModifiedBy>Aniket Gupta</cp:lastModifiedBy>
  <cp:lastPrinted>2003-03-28T18:35:47Z</cp:lastPrinted>
  <dcterms:created xsi:type="dcterms:W3CDTF">1999-04-02T16:44:59Z</dcterms:created>
  <dcterms:modified xsi:type="dcterms:W3CDTF">2024-02-03T22:15:40Z</dcterms:modified>
</cp:coreProperties>
</file>