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AE248ACF-D904-4657-90B6-F4C87952BF48}" xr6:coauthVersionLast="47" xr6:coauthVersionMax="47" xr10:uidLastSave="{00000000-0000-0000-0000-000000000000}"/>
  <bookViews>
    <workbookView xWindow="3348" yWindow="3348" windowWidth="17280" windowHeight="8880"/>
  </bookViews>
  <sheets>
    <sheet name="Annex1" sheetId="9" r:id="rId1"/>
    <sheet name="Annex2" sheetId="10" r:id="rId2"/>
    <sheet name="Annex3" sheetId="7" r:id="rId3"/>
  </sheets>
  <definedNames>
    <definedName name="_xlnm.Print_Titles" localSheetId="2">Annex3!$1:$2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9" l="1"/>
  <c r="C7" i="9"/>
  <c r="D7" i="9"/>
  <c r="E7" i="9"/>
  <c r="F7" i="9"/>
  <c r="G7" i="9"/>
  <c r="B8" i="9"/>
  <c r="D8" i="9"/>
  <c r="F8" i="9"/>
  <c r="O8" i="9"/>
  <c r="P8" i="9"/>
  <c r="Q8" i="9"/>
  <c r="B9" i="9"/>
  <c r="C9" i="9"/>
  <c r="D9" i="9"/>
  <c r="E9" i="9"/>
  <c r="F9" i="9"/>
  <c r="G9" i="9"/>
  <c r="O9" i="9"/>
  <c r="P9" i="9"/>
  <c r="Q9" i="9"/>
  <c r="O10" i="9"/>
  <c r="P10" i="9"/>
  <c r="Q10" i="9"/>
  <c r="B13" i="9"/>
  <c r="C13" i="9"/>
  <c r="B15" i="9"/>
  <c r="C15" i="9"/>
  <c r="B16" i="9"/>
  <c r="C16" i="9"/>
  <c r="B22" i="9"/>
  <c r="B23" i="9"/>
  <c r="C23" i="9"/>
  <c r="B24" i="9"/>
  <c r="B34" i="9"/>
  <c r="C34" i="9"/>
  <c r="D34" i="9"/>
  <c r="D38" i="9"/>
  <c r="D39" i="9" s="1"/>
  <c r="G38" i="9"/>
  <c r="B39" i="9"/>
  <c r="C39" i="9"/>
  <c r="E39" i="9"/>
  <c r="F39" i="9"/>
  <c r="G39" i="9"/>
  <c r="D41" i="9"/>
  <c r="D42" i="9" s="1"/>
  <c r="E41" i="9"/>
  <c r="E42" i="9" s="1"/>
  <c r="G41" i="9"/>
  <c r="G42" i="9" s="1"/>
  <c r="B42" i="9"/>
  <c r="F42" i="9"/>
  <c r="B53" i="9"/>
  <c r="B54" i="9"/>
  <c r="B55" i="9"/>
  <c r="C55" i="9"/>
  <c r="B10" i="10"/>
  <c r="D10" i="10"/>
  <c r="F10" i="10"/>
  <c r="H10" i="10"/>
  <c r="J10" i="10"/>
  <c r="L10" i="10"/>
  <c r="N10" i="10"/>
  <c r="B14" i="10"/>
  <c r="D14" i="10"/>
  <c r="J14" i="10"/>
  <c r="L14" i="10"/>
  <c r="N14" i="10"/>
  <c r="O17" i="10"/>
  <c r="B18" i="10"/>
  <c r="D18" i="10"/>
  <c r="F18" i="10"/>
  <c r="F14" i="10" s="1"/>
  <c r="H18" i="10"/>
  <c r="H14" i="10" s="1"/>
  <c r="B23" i="10"/>
  <c r="D23" i="10"/>
  <c r="F23" i="10"/>
  <c r="H23" i="10"/>
  <c r="J23" i="10"/>
  <c r="L23" i="10"/>
  <c r="N23" i="10"/>
  <c r="B25" i="10"/>
  <c r="D25" i="10"/>
  <c r="G25" i="10"/>
  <c r="B28" i="10"/>
  <c r="B32" i="10" s="1"/>
  <c r="C11" i="10" s="1"/>
  <c r="D28" i="10"/>
  <c r="F28" i="10"/>
  <c r="H28" i="10"/>
  <c r="J28" i="10"/>
  <c r="J32" i="10" s="1"/>
  <c r="K28" i="10"/>
  <c r="L28" i="10"/>
  <c r="N28" i="10"/>
  <c r="F32" i="10"/>
  <c r="G32" i="10"/>
  <c r="N32" i="10"/>
  <c r="O32" i="10"/>
  <c r="B12" i="7"/>
  <c r="D12" i="7"/>
  <c r="F12" i="7"/>
  <c r="H12" i="7"/>
  <c r="J12" i="7"/>
  <c r="L12" i="7"/>
  <c r="M15" i="7"/>
  <c r="E23" i="7"/>
  <c r="B26" i="7"/>
  <c r="D26" i="7"/>
  <c r="F26" i="7"/>
  <c r="H26" i="7"/>
  <c r="J26" i="7"/>
  <c r="L26" i="7"/>
  <c r="E29" i="7"/>
  <c r="B33" i="7"/>
  <c r="D33" i="7"/>
  <c r="F33" i="7"/>
  <c r="H33" i="7"/>
  <c r="J33" i="7"/>
  <c r="L33" i="7"/>
  <c r="D38" i="7"/>
  <c r="E27" i="7" s="1"/>
  <c r="H38" i="7"/>
  <c r="I24" i="7" s="1"/>
  <c r="L38" i="7"/>
  <c r="M29" i="7" s="1"/>
  <c r="B51" i="7"/>
  <c r="D51" i="7"/>
  <c r="F51" i="7"/>
  <c r="G51" i="7"/>
  <c r="H51" i="7"/>
  <c r="J51" i="7"/>
  <c r="K51" i="7" s="1"/>
  <c r="L51" i="7"/>
  <c r="G52" i="7"/>
  <c r="G53" i="7"/>
  <c r="C55" i="7"/>
  <c r="G56" i="7"/>
  <c r="G57" i="7"/>
  <c r="K57" i="7"/>
  <c r="G60" i="7"/>
  <c r="G61" i="7"/>
  <c r="C63" i="7"/>
  <c r="B65" i="7"/>
  <c r="C65" i="7" s="1"/>
  <c r="D65" i="7"/>
  <c r="D77" i="7" s="1"/>
  <c r="F65" i="7"/>
  <c r="G65" i="7" s="1"/>
  <c r="H65" i="7"/>
  <c r="J65" i="7"/>
  <c r="L65" i="7"/>
  <c r="L77" i="7" s="1"/>
  <c r="C67" i="7"/>
  <c r="G68" i="7"/>
  <c r="G69" i="7"/>
  <c r="B72" i="7"/>
  <c r="B77" i="7" s="1"/>
  <c r="C72" i="7"/>
  <c r="D72" i="7"/>
  <c r="F72" i="7"/>
  <c r="G72" i="7"/>
  <c r="H72" i="7"/>
  <c r="J72" i="7"/>
  <c r="J77" i="7" s="1"/>
  <c r="K53" i="7" s="1"/>
  <c r="L72" i="7"/>
  <c r="G73" i="7"/>
  <c r="C75" i="7"/>
  <c r="F77" i="7"/>
  <c r="G55" i="7" s="1"/>
  <c r="B90" i="7"/>
  <c r="D90" i="7"/>
  <c r="F90" i="7"/>
  <c r="F116" i="7" s="1"/>
  <c r="H90" i="7"/>
  <c r="I90" i="7"/>
  <c r="J90" i="7"/>
  <c r="L90" i="7"/>
  <c r="I97" i="7"/>
  <c r="G99" i="7"/>
  <c r="B104" i="7"/>
  <c r="D104" i="7"/>
  <c r="F104" i="7"/>
  <c r="G104" i="7" s="1"/>
  <c r="H104" i="7"/>
  <c r="J104" i="7"/>
  <c r="L104" i="7"/>
  <c r="L116" i="7" s="1"/>
  <c r="I105" i="7"/>
  <c r="B111" i="7"/>
  <c r="B116" i="7" s="1"/>
  <c r="C98" i="7" s="1"/>
  <c r="D111" i="7"/>
  <c r="F111" i="7"/>
  <c r="G111" i="7"/>
  <c r="H111" i="7"/>
  <c r="H116" i="7" s="1"/>
  <c r="J111" i="7"/>
  <c r="J116" i="7" s="1"/>
  <c r="K92" i="7" s="1"/>
  <c r="L111" i="7"/>
  <c r="M91" i="7" l="1"/>
  <c r="M95" i="7"/>
  <c r="M99" i="7"/>
  <c r="M107" i="7"/>
  <c r="M93" i="7"/>
  <c r="M97" i="7"/>
  <c r="M101" i="7"/>
  <c r="M105" i="7"/>
  <c r="M109" i="7"/>
  <c r="M113" i="7"/>
  <c r="M96" i="7"/>
  <c r="M114" i="7"/>
  <c r="M100" i="7"/>
  <c r="M90" i="7"/>
  <c r="M106" i="7"/>
  <c r="M98" i="7"/>
  <c r="M102" i="7"/>
  <c r="M104" i="7"/>
  <c r="M94" i="7"/>
  <c r="M112" i="7"/>
  <c r="M92" i="7"/>
  <c r="M108" i="7"/>
  <c r="M116" i="7"/>
  <c r="M52" i="7"/>
  <c r="M56" i="7"/>
  <c r="M60" i="7"/>
  <c r="M68" i="7"/>
  <c r="M54" i="7"/>
  <c r="M58" i="7"/>
  <c r="M62" i="7"/>
  <c r="M66" i="7"/>
  <c r="M70" i="7"/>
  <c r="M74" i="7"/>
  <c r="M57" i="7"/>
  <c r="M69" i="7"/>
  <c r="M77" i="7"/>
  <c r="M55" i="7"/>
  <c r="M61" i="7"/>
  <c r="M53" i="7"/>
  <c r="M63" i="7"/>
  <c r="M67" i="7"/>
  <c r="M75" i="7"/>
  <c r="M73" i="7"/>
  <c r="M59" i="7"/>
  <c r="M65" i="7"/>
  <c r="E54" i="7"/>
  <c r="E58" i="7"/>
  <c r="E62" i="7"/>
  <c r="E66" i="7"/>
  <c r="E70" i="7"/>
  <c r="E74" i="7"/>
  <c r="E52" i="7"/>
  <c r="E56" i="7"/>
  <c r="E60" i="7"/>
  <c r="E68" i="7"/>
  <c r="E55" i="7"/>
  <c r="E65" i="7"/>
  <c r="E67" i="7"/>
  <c r="E75" i="7"/>
  <c r="E53" i="7"/>
  <c r="E59" i="7"/>
  <c r="E77" i="7"/>
  <c r="E61" i="7"/>
  <c r="E73" i="7"/>
  <c r="E57" i="7"/>
  <c r="E63" i="7"/>
  <c r="E69" i="7"/>
  <c r="K96" i="7"/>
  <c r="I94" i="7"/>
  <c r="I98" i="7"/>
  <c r="I102" i="7"/>
  <c r="I106" i="7"/>
  <c r="I114" i="7"/>
  <c r="I92" i="7"/>
  <c r="I96" i="7"/>
  <c r="I100" i="7"/>
  <c r="I108" i="7"/>
  <c r="I112" i="7"/>
  <c r="C104" i="7"/>
  <c r="K18" i="10"/>
  <c r="K25" i="10"/>
  <c r="K29" i="10"/>
  <c r="K11" i="10"/>
  <c r="K26" i="10"/>
  <c r="K32" i="10"/>
  <c r="K12" i="10"/>
  <c r="K21" i="10"/>
  <c r="K17" i="10"/>
  <c r="K16" i="10"/>
  <c r="K23" i="10"/>
  <c r="G94" i="7"/>
  <c r="G98" i="7"/>
  <c r="G102" i="7"/>
  <c r="G106" i="7"/>
  <c r="G114" i="7"/>
  <c r="G116" i="7"/>
  <c r="G93" i="7"/>
  <c r="G97" i="7"/>
  <c r="G101" i="7"/>
  <c r="G105" i="7"/>
  <c r="G109" i="7"/>
  <c r="G113" i="7"/>
  <c r="G92" i="7"/>
  <c r="G96" i="7"/>
  <c r="G100" i="7"/>
  <c r="G108" i="7"/>
  <c r="G112" i="7"/>
  <c r="E31" i="7"/>
  <c r="E26" i="7"/>
  <c r="E15" i="7"/>
  <c r="H32" i="10"/>
  <c r="I23" i="10" s="1"/>
  <c r="K104" i="7"/>
  <c r="I91" i="7"/>
  <c r="K33" i="7"/>
  <c r="J38" i="7"/>
  <c r="M21" i="7"/>
  <c r="I14" i="7"/>
  <c r="K24" i="10"/>
  <c r="C10" i="10"/>
  <c r="I34" i="7"/>
  <c r="C33" i="7"/>
  <c r="B38" i="7"/>
  <c r="I28" i="7"/>
  <c r="K108" i="7"/>
  <c r="I99" i="7"/>
  <c r="E36" i="7"/>
  <c r="E38" i="7"/>
  <c r="E16" i="7"/>
  <c r="E20" i="7"/>
  <c r="E24" i="7"/>
  <c r="E28" i="7"/>
  <c r="E35" i="7"/>
  <c r="E34" i="7"/>
  <c r="E14" i="7"/>
  <c r="E18" i="7"/>
  <c r="E22" i="7"/>
  <c r="E30" i="7"/>
  <c r="I22" i="7"/>
  <c r="E19" i="7"/>
  <c r="I12" i="7"/>
  <c r="G12" i="10"/>
  <c r="G11" i="10"/>
  <c r="G17" i="10"/>
  <c r="G28" i="10"/>
  <c r="G16" i="10"/>
  <c r="G15" i="10"/>
  <c r="G19" i="10"/>
  <c r="G24" i="10"/>
  <c r="G30" i="10"/>
  <c r="G10" i="10"/>
  <c r="G23" i="10"/>
  <c r="I113" i="7"/>
  <c r="I95" i="7"/>
  <c r="K65" i="7"/>
  <c r="I18" i="7"/>
  <c r="K30" i="10"/>
  <c r="I107" i="7"/>
  <c r="G95" i="7"/>
  <c r="I30" i="7"/>
  <c r="I116" i="7"/>
  <c r="K112" i="7"/>
  <c r="E111" i="7"/>
  <c r="G107" i="7"/>
  <c r="I104" i="7"/>
  <c r="C102" i="7"/>
  <c r="G91" i="7"/>
  <c r="M72" i="7"/>
  <c r="C54" i="7"/>
  <c r="C58" i="7"/>
  <c r="C62" i="7"/>
  <c r="C66" i="7"/>
  <c r="C70" i="7"/>
  <c r="C74" i="7"/>
  <c r="C53" i="7"/>
  <c r="C57" i="7"/>
  <c r="C61" i="7"/>
  <c r="C69" i="7"/>
  <c r="C73" i="7"/>
  <c r="C56" i="7"/>
  <c r="C60" i="7"/>
  <c r="C68" i="7"/>
  <c r="C77" i="7"/>
  <c r="E51" i="7"/>
  <c r="I33" i="7"/>
  <c r="M26" i="7"/>
  <c r="E21" i="7"/>
  <c r="M17" i="7"/>
  <c r="E12" i="7"/>
  <c r="K19" i="10"/>
  <c r="K15" i="10"/>
  <c r="I10" i="10"/>
  <c r="C114" i="7"/>
  <c r="K73" i="7"/>
  <c r="M27" i="7"/>
  <c r="E14" i="10"/>
  <c r="E72" i="7"/>
  <c r="M33" i="7"/>
  <c r="D32" i="10"/>
  <c r="C111" i="7"/>
  <c r="I101" i="7"/>
  <c r="C90" i="7"/>
  <c r="K72" i="7"/>
  <c r="C59" i="7"/>
  <c r="C51" i="7"/>
  <c r="M35" i="7"/>
  <c r="E17" i="7"/>
  <c r="E13" i="7"/>
  <c r="G29" i="10"/>
  <c r="C28" i="10"/>
  <c r="O23" i="10"/>
  <c r="O14" i="10"/>
  <c r="K91" i="7"/>
  <c r="K95" i="7"/>
  <c r="K99" i="7"/>
  <c r="K107" i="7"/>
  <c r="K94" i="7"/>
  <c r="K98" i="7"/>
  <c r="K102" i="7"/>
  <c r="K106" i="7"/>
  <c r="K114" i="7"/>
  <c r="K93" i="7"/>
  <c r="K97" i="7"/>
  <c r="K101" i="7"/>
  <c r="K105" i="7"/>
  <c r="K109" i="7"/>
  <c r="K113" i="7"/>
  <c r="K116" i="7"/>
  <c r="I13" i="7"/>
  <c r="I17" i="7"/>
  <c r="I21" i="7"/>
  <c r="I29" i="7"/>
  <c r="I36" i="7"/>
  <c r="I35" i="7"/>
  <c r="I38" i="7"/>
  <c r="I15" i="7"/>
  <c r="I19" i="7"/>
  <c r="I23" i="7"/>
  <c r="I27" i="7"/>
  <c r="I31" i="7"/>
  <c r="D116" i="7"/>
  <c r="M111" i="7"/>
  <c r="C93" i="7"/>
  <c r="C97" i="7"/>
  <c r="C101" i="7"/>
  <c r="C105" i="7"/>
  <c r="C109" i="7"/>
  <c r="C113" i="7"/>
  <c r="C92" i="7"/>
  <c r="C96" i="7"/>
  <c r="C100" i="7"/>
  <c r="C108" i="7"/>
  <c r="C112" i="7"/>
  <c r="C91" i="7"/>
  <c r="C95" i="7"/>
  <c r="C99" i="7"/>
  <c r="C107" i="7"/>
  <c r="C116" i="7"/>
  <c r="C94" i="7"/>
  <c r="K56" i="7"/>
  <c r="K60" i="7"/>
  <c r="K68" i="7"/>
  <c r="K55" i="7"/>
  <c r="K59" i="7"/>
  <c r="K63" i="7"/>
  <c r="K67" i="7"/>
  <c r="K75" i="7"/>
  <c r="K54" i="7"/>
  <c r="K58" i="7"/>
  <c r="K62" i="7"/>
  <c r="K66" i="7"/>
  <c r="K70" i="7"/>
  <c r="K74" i="7"/>
  <c r="K77" i="7"/>
  <c r="K61" i="7"/>
  <c r="M34" i="7"/>
  <c r="M38" i="7"/>
  <c r="M14" i="7"/>
  <c r="M18" i="7"/>
  <c r="M22" i="7"/>
  <c r="M30" i="7"/>
  <c r="M13" i="7"/>
  <c r="M36" i="7"/>
  <c r="M16" i="7"/>
  <c r="M20" i="7"/>
  <c r="M24" i="7"/>
  <c r="M28" i="7"/>
  <c r="F38" i="7"/>
  <c r="G33" i="7"/>
  <c r="M23" i="7"/>
  <c r="I20" i="7"/>
  <c r="C25" i="10"/>
  <c r="C32" i="10"/>
  <c r="C17" i="10"/>
  <c r="C18" i="10"/>
  <c r="C19" i="10"/>
  <c r="C24" i="10"/>
  <c r="C16" i="10"/>
  <c r="C15" i="10"/>
  <c r="C30" i="10"/>
  <c r="C29" i="10"/>
  <c r="C12" i="10"/>
  <c r="C14" i="10"/>
  <c r="C23" i="10"/>
  <c r="L32" i="10"/>
  <c r="M23" i="10" s="1"/>
  <c r="I14" i="10"/>
  <c r="K111" i="7"/>
  <c r="I109" i="7"/>
  <c r="C106" i="7"/>
  <c r="K100" i="7"/>
  <c r="I93" i="7"/>
  <c r="K90" i="7"/>
  <c r="H77" i="7"/>
  <c r="I72" i="7" s="1"/>
  <c r="K69" i="7"/>
  <c r="M51" i="7"/>
  <c r="E33" i="7"/>
  <c r="I26" i="7"/>
  <c r="M19" i="7"/>
  <c r="I16" i="7"/>
  <c r="M12" i="7"/>
  <c r="O16" i="10"/>
  <c r="O15" i="10"/>
  <c r="O19" i="10"/>
  <c r="O24" i="10"/>
  <c r="O30" i="10"/>
  <c r="N34" i="10"/>
  <c r="O28" i="10"/>
  <c r="O18" i="10"/>
  <c r="O25" i="10"/>
  <c r="O29" i="10"/>
  <c r="O12" i="10"/>
  <c r="O21" i="10"/>
  <c r="O11" i="10"/>
  <c r="O26" i="10"/>
  <c r="O10" i="10"/>
  <c r="G14" i="10"/>
  <c r="K14" i="10"/>
  <c r="K10" i="10"/>
  <c r="I111" i="7"/>
  <c r="G90" i="7"/>
  <c r="I28" i="10"/>
  <c r="G18" i="10"/>
  <c r="G74" i="7"/>
  <c r="G70" i="7"/>
  <c r="G66" i="7"/>
  <c r="G62" i="7"/>
  <c r="G58" i="7"/>
  <c r="G54" i="7"/>
  <c r="G77" i="7"/>
  <c r="G75" i="7"/>
  <c r="G67" i="7"/>
  <c r="G63" i="7"/>
  <c r="G59" i="7"/>
  <c r="C42" i="9"/>
  <c r="E93" i="7" l="1"/>
  <c r="E97" i="7"/>
  <c r="E101" i="7"/>
  <c r="E105" i="7"/>
  <c r="E109" i="7"/>
  <c r="E113" i="7"/>
  <c r="E91" i="7"/>
  <c r="E95" i="7"/>
  <c r="E99" i="7"/>
  <c r="E107" i="7"/>
  <c r="E106" i="7"/>
  <c r="E100" i="7"/>
  <c r="E94" i="7"/>
  <c r="E112" i="7"/>
  <c r="E116" i="7"/>
  <c r="E92" i="7"/>
  <c r="E96" i="7"/>
  <c r="E98" i="7"/>
  <c r="E90" i="7"/>
  <c r="E102" i="7"/>
  <c r="E108" i="7"/>
  <c r="E114" i="7"/>
  <c r="G13" i="7"/>
  <c r="G17" i="7"/>
  <c r="G21" i="7"/>
  <c r="G29" i="7"/>
  <c r="G36" i="7"/>
  <c r="G16" i="7"/>
  <c r="G20" i="7"/>
  <c r="G24" i="7"/>
  <c r="G28" i="7"/>
  <c r="G38" i="7"/>
  <c r="G15" i="7"/>
  <c r="G19" i="7"/>
  <c r="G23" i="7"/>
  <c r="G27" i="7"/>
  <c r="G31" i="7"/>
  <c r="G34" i="7"/>
  <c r="G35" i="7"/>
  <c r="G26" i="7"/>
  <c r="G12" i="7"/>
  <c r="G22" i="7"/>
  <c r="G14" i="7"/>
  <c r="G30" i="7"/>
  <c r="G18" i="7"/>
  <c r="E11" i="10"/>
  <c r="E28" i="10"/>
  <c r="E16" i="10"/>
  <c r="E17" i="10"/>
  <c r="E18" i="10"/>
  <c r="E15" i="10"/>
  <c r="E19" i="10"/>
  <c r="E24" i="10"/>
  <c r="E30" i="10"/>
  <c r="E29" i="10"/>
  <c r="E32" i="10"/>
  <c r="E12" i="10"/>
  <c r="K14" i="7"/>
  <c r="K18" i="7"/>
  <c r="K22" i="7"/>
  <c r="K30" i="7"/>
  <c r="K12" i="7"/>
  <c r="K13" i="7"/>
  <c r="K17" i="7"/>
  <c r="K21" i="7"/>
  <c r="K29" i="7"/>
  <c r="K16" i="7"/>
  <c r="K20" i="7"/>
  <c r="K24" i="7"/>
  <c r="K28" i="7"/>
  <c r="K35" i="7"/>
  <c r="K23" i="7"/>
  <c r="K34" i="7"/>
  <c r="K38" i="7"/>
  <c r="K27" i="7"/>
  <c r="K31" i="7"/>
  <c r="K36" i="7"/>
  <c r="K15" i="7"/>
  <c r="K19" i="7"/>
  <c r="K26" i="7"/>
  <c r="E23" i="10"/>
  <c r="C16" i="7"/>
  <c r="C20" i="7"/>
  <c r="C24" i="7"/>
  <c r="C28" i="7"/>
  <c r="C35" i="7"/>
  <c r="C15" i="7"/>
  <c r="C19" i="7"/>
  <c r="C23" i="7"/>
  <c r="C27" i="7"/>
  <c r="C31" i="7"/>
  <c r="C12" i="7"/>
  <c r="C14" i="7"/>
  <c r="C18" i="7"/>
  <c r="C22" i="7"/>
  <c r="C30" i="7"/>
  <c r="C29" i="7"/>
  <c r="C13" i="7"/>
  <c r="C17" i="7"/>
  <c r="C21" i="7"/>
  <c r="C36" i="7"/>
  <c r="C34" i="7"/>
  <c r="C26" i="7"/>
  <c r="C38" i="7"/>
  <c r="E104" i="7"/>
  <c r="M15" i="10"/>
  <c r="M19" i="10"/>
  <c r="M24" i="10"/>
  <c r="M30" i="10"/>
  <c r="L34" i="10"/>
  <c r="M21" i="10"/>
  <c r="M18" i="10"/>
  <c r="M25" i="10"/>
  <c r="M28" i="10"/>
  <c r="M29" i="10"/>
  <c r="M12" i="10"/>
  <c r="M11" i="10"/>
  <c r="M26" i="10"/>
  <c r="M32" i="10"/>
  <c r="M17" i="10"/>
  <c r="M16" i="10"/>
  <c r="E25" i="10"/>
  <c r="M10" i="10"/>
  <c r="K52" i="7"/>
  <c r="I55" i="7"/>
  <c r="I59" i="7"/>
  <c r="I63" i="7"/>
  <c r="I67" i="7"/>
  <c r="I75" i="7"/>
  <c r="I53" i="7"/>
  <c r="I57" i="7"/>
  <c r="I61" i="7"/>
  <c r="I69" i="7"/>
  <c r="I73" i="7"/>
  <c r="I66" i="7"/>
  <c r="I74" i="7"/>
  <c r="I58" i="7"/>
  <c r="I52" i="7"/>
  <c r="I70" i="7"/>
  <c r="I62" i="7"/>
  <c r="I65" i="7"/>
  <c r="I60" i="7"/>
  <c r="I54" i="7"/>
  <c r="I56" i="7"/>
  <c r="I68" i="7"/>
  <c r="I77" i="7"/>
  <c r="M14" i="10"/>
  <c r="E10" i="10"/>
  <c r="I51" i="7"/>
  <c r="I12" i="10"/>
  <c r="I32" i="10"/>
  <c r="I11" i="10"/>
  <c r="I17" i="10"/>
  <c r="I16" i="10"/>
  <c r="I15" i="10"/>
  <c r="I19" i="10"/>
  <c r="I25" i="10"/>
  <c r="I18" i="10"/>
  <c r="I24" i="10"/>
  <c r="I29" i="10"/>
  <c r="I30" i="10"/>
</calcChain>
</file>

<file path=xl/sharedStrings.xml><?xml version="1.0" encoding="utf-8"?>
<sst xmlns="http://schemas.openxmlformats.org/spreadsheetml/2006/main" count="275" uniqueCount="114">
  <si>
    <t xml:space="preserve"> </t>
  </si>
  <si>
    <t>(%)</t>
  </si>
  <si>
    <t xml:space="preserve">  Bank Al-Amal</t>
  </si>
  <si>
    <t xml:space="preserve">  BCM - Banque Commerciale du Maroc</t>
  </si>
  <si>
    <t xml:space="preserve">  BMAO </t>
  </si>
  <si>
    <t xml:space="preserve">  BMCE - Banque Marocaine du Commerce Exterieur</t>
  </si>
  <si>
    <t xml:space="preserve">  BMCI</t>
  </si>
  <si>
    <t xml:space="preserve">  CDM - Credit du Maroc </t>
  </si>
  <si>
    <t xml:space="preserve">  CPM - Credit Populaire du Maroc</t>
  </si>
  <si>
    <t xml:space="preserve">  Mediafinance</t>
  </si>
  <si>
    <t xml:space="preserve">  SGMB</t>
  </si>
  <si>
    <t xml:space="preserve">  SMDC</t>
  </si>
  <si>
    <t xml:space="preserve">  UMB</t>
  </si>
  <si>
    <t xml:space="preserve">  Wafabank</t>
  </si>
  <si>
    <t xml:space="preserve">  ABN Amro</t>
  </si>
  <si>
    <t xml:space="preserve">  Arab Bank Maroc</t>
  </si>
  <si>
    <t xml:space="preserve">  Bex Maroc-Argentaria</t>
  </si>
  <si>
    <t xml:space="preserve">  Citibank</t>
  </si>
  <si>
    <t xml:space="preserve">  UNIBAN</t>
  </si>
  <si>
    <t xml:space="preserve">  BNDE - Banque Nationale pour le Développement Economique</t>
  </si>
  <si>
    <t xml:space="preserve">  CIH - Crédit Immobilier et Hôtelier</t>
  </si>
  <si>
    <t xml:space="preserve">  CNCA - Caisse Nationale de Crédit Agricole</t>
  </si>
  <si>
    <t>Total  I+II+III</t>
  </si>
  <si>
    <t>Source : Bank Al-Maghrib, Direction du Contrôle des Etablissements de Crédit.</t>
  </si>
  <si>
    <t>Total</t>
  </si>
  <si>
    <t>Total (2)</t>
  </si>
  <si>
    <t>BANKING SYSTEM</t>
  </si>
  <si>
    <t>Total assets</t>
  </si>
  <si>
    <t>Total deposits</t>
  </si>
  <si>
    <t>Total assets/GDP</t>
  </si>
  <si>
    <t>Total/GDP</t>
  </si>
  <si>
    <t>Pension and retirement funds</t>
  </si>
  <si>
    <t>CAPITAL MARKET</t>
  </si>
  <si>
    <t>Total capitalization/GDP</t>
  </si>
  <si>
    <t>of which:</t>
  </si>
  <si>
    <t>Official market</t>
  </si>
  <si>
    <t>Over-the-counter</t>
  </si>
  <si>
    <t>(Annual flow, end 1995)</t>
  </si>
  <si>
    <t>Treasury securities, bonds</t>
  </si>
  <si>
    <t>MONEY MARKET</t>
  </si>
  <si>
    <t>% held by banks</t>
  </si>
  <si>
    <t>** Each trade is counted twice (purchase/sale)</t>
  </si>
  <si>
    <t>Financial assets of non-financial agents</t>
  </si>
  <si>
    <t>(In millions of Dirhams and %)</t>
  </si>
  <si>
    <t>Liquid assets</t>
  </si>
  <si>
    <t>Currency and coins</t>
  </si>
  <si>
    <t>Demand deposits</t>
  </si>
  <si>
    <t>Short-term investments</t>
  </si>
  <si>
    <t>Passbook savings</t>
  </si>
  <si>
    <t>of which CEN</t>
  </si>
  <si>
    <t>Terms deposits</t>
  </si>
  <si>
    <t>Short-term BTs</t>
  </si>
  <si>
    <t>Short-term marketable securities</t>
  </si>
  <si>
    <t>Medium-term investments</t>
  </si>
  <si>
    <t>Medium-term BTs</t>
  </si>
  <si>
    <t>Of which 3-5 year national bonds</t>
  </si>
  <si>
    <t>Medium-terms marketable securities</t>
  </si>
  <si>
    <t>Institutional savings (1)</t>
  </si>
  <si>
    <t>Insurance (technical reserves)</t>
  </si>
  <si>
    <t>Memos. Total/GDP</t>
  </si>
  <si>
    <t>(1) Estimates for 1997</t>
  </si>
  <si>
    <t>(2) Exc. Corporate securities</t>
  </si>
  <si>
    <t>(In millions of Dirhams)</t>
  </si>
  <si>
    <t>ASSETS</t>
  </si>
  <si>
    <t>Amount</t>
  </si>
  <si>
    <t>Specialized banks III</t>
  </si>
  <si>
    <t>DEPOSITS</t>
  </si>
  <si>
    <t>Casablanca Stock Exchange</t>
  </si>
  <si>
    <t>OTHER FINANCIAL INSTITUTIONS</t>
  </si>
  <si>
    <t>Commercial banks' share</t>
  </si>
  <si>
    <t>Total credits</t>
  </si>
  <si>
    <t>Specialized banks' share (exl. FEC)</t>
  </si>
  <si>
    <t>(Outstanding balance, year-end)</t>
  </si>
  <si>
    <t>Source: Bank Al-Maghrib</t>
  </si>
  <si>
    <t>Moroccan commercial banks I</t>
  </si>
  <si>
    <t>Foreign commercial banks II</t>
  </si>
  <si>
    <t>CREDITS</t>
  </si>
  <si>
    <t>Assets, deposits, and credits by bank: 1992 to 1997</t>
  </si>
  <si>
    <t>CONTRACTUAL SAVINGS</t>
  </si>
  <si>
    <t xml:space="preserve"> INSTITUTIONS</t>
  </si>
  <si>
    <t>Number of listed companies</t>
  </si>
  <si>
    <t>% held by other than banking institutions</t>
  </si>
  <si>
    <t>OPCVMs (Mutual funds) shares</t>
  </si>
  <si>
    <t>Shares</t>
  </si>
  <si>
    <t>Trading volume/market capitalization</t>
  </si>
  <si>
    <t>* Most of which are issued by banks and finance companies.</t>
  </si>
  <si>
    <t>Non Bank deposits/GDP</t>
  </si>
  <si>
    <t>Treasury network and postal accounts (Deposits) in billions of DH</t>
  </si>
  <si>
    <t>National Savings Institution (Deposits) in billions of DH</t>
  </si>
  <si>
    <t>Consumer loan and leasing companies (loans) in billions of DH</t>
  </si>
  <si>
    <t>Insurance cies. Technical reserves (in billions of DH)</t>
  </si>
  <si>
    <t>Pension and retirement funds  (in billions of DH)</t>
  </si>
  <si>
    <t>Caisse de Dépôts de Gestion (Deposits exc. CEN)  (in billions of DH)</t>
  </si>
  <si>
    <t>OPCVMs (Net assets)  (in billions of DH)</t>
  </si>
  <si>
    <t>Market capitalization  (in billions of DH)</t>
  </si>
  <si>
    <t>Of which:  bank capitalization  (in billions of DH)</t>
  </si>
  <si>
    <t>Trading volume **  (in billions of DH)</t>
  </si>
  <si>
    <t>Trading volume  (in billions of DH)</t>
  </si>
  <si>
    <t>Private Negotiable Debt instruments*  (in billions of DH)</t>
  </si>
  <si>
    <t xml:space="preserve">Interbank lending (interest rate) </t>
  </si>
  <si>
    <t>Domestic debt (in billions of DH)</t>
  </si>
  <si>
    <t>Domestic debt/GDP</t>
  </si>
  <si>
    <t>Outstanding balance as at year-end</t>
  </si>
  <si>
    <t>ANNEX 2</t>
  </si>
  <si>
    <t>ANNEX 3</t>
  </si>
  <si>
    <t>Page 1 of 3</t>
  </si>
  <si>
    <t>Page 2 of 3</t>
  </si>
  <si>
    <t>Page 3 of 3</t>
  </si>
  <si>
    <t>Fin 1998</t>
  </si>
  <si>
    <t>Fin 1992</t>
  </si>
  <si>
    <t>(Annual flow, end 1998)</t>
  </si>
  <si>
    <t>GOVT DOMESTIC DEBT</t>
  </si>
  <si>
    <t>Total (in billions of dirhams)</t>
  </si>
  <si>
    <t>Morocco: Overview of the financial system, 1992/1998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</si>
</sst>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-* #,##0.00\ _F_-;\-* #,##0.00\ _F_-;_-* &quot;-&quot;??\ _F_-;_-@_-"/>
    <numFmt numFmtId="173" formatCode="0.0"/>
    <numFmt numFmtId="174" formatCode="0.0%"/>
    <numFmt numFmtId="183" formatCode="#,##0.0"/>
    <numFmt numFmtId="188" formatCode="_(* #,##0.0_);_(* \(#,##0.0\);_(* &quot;-&quot;??_);_(@_)"/>
    <numFmt numFmtId="200" formatCode="_-* #,##0.0\ _F_-;\-* #,##0.0\ _F_-;_-* &quot;-&quot;??\ _F_-;_-@_-"/>
  </numFmts>
  <fonts count="27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sz val="9"/>
      <name val="Times New Roman"/>
    </font>
    <font>
      <sz val="9"/>
      <name val="Times New Roman"/>
    </font>
    <font>
      <sz val="10"/>
      <name val="Times New Roman"/>
      <family val="1"/>
    </font>
    <font>
      <sz val="9"/>
      <name val="Arial"/>
    </font>
    <font>
      <sz val="11"/>
      <name val="Times New Roman"/>
      <family val="1"/>
    </font>
    <font>
      <b/>
      <sz val="11"/>
      <name val="Times New Roman"/>
    </font>
    <font>
      <i/>
      <sz val="11"/>
      <name val="Times New Roman"/>
      <family val="1"/>
    </font>
    <font>
      <sz val="11"/>
      <name val="Times New Roman"/>
    </font>
    <font>
      <b/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b/>
      <i/>
      <sz val="10.5"/>
      <name val="Times New Roman"/>
      <family val="1"/>
    </font>
    <font>
      <i/>
      <sz val="10.5"/>
      <name val="Times New Roman"/>
      <family val="1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1" fontId="3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centerContinuous" vertical="top" wrapText="1"/>
    </xf>
    <xf numFmtId="0" fontId="5" fillId="0" borderId="0" xfId="0" applyFont="1"/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1" fontId="6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centerContinuous" vertical="top" wrapText="1"/>
    </xf>
    <xf numFmtId="1" fontId="7" fillId="0" borderId="0" xfId="0" applyNumberFormat="1" applyFont="1" applyBorder="1" applyAlignment="1">
      <alignment horizontal="centerContinuous" vertical="top" wrapText="1"/>
    </xf>
    <xf numFmtId="0" fontId="7" fillId="0" borderId="0" xfId="0" applyFont="1" applyBorder="1" applyAlignment="1">
      <alignment vertical="top" wrapText="1"/>
    </xf>
    <xf numFmtId="0" fontId="0" fillId="0" borderId="0" xfId="0" applyBorder="1"/>
    <xf numFmtId="0" fontId="7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Continuous" vertical="top"/>
    </xf>
    <xf numFmtId="0" fontId="7" fillId="2" borderId="0" xfId="0" applyFont="1" applyFill="1" applyBorder="1" applyAlignment="1">
      <alignment horizontal="centerContinuous" vertical="top" wrapText="1"/>
    </xf>
    <xf numFmtId="1" fontId="7" fillId="2" borderId="0" xfId="0" applyNumberFormat="1" applyFont="1" applyFill="1" applyBorder="1" applyAlignment="1">
      <alignment horizontal="centerContinuous" vertical="top" wrapText="1"/>
    </xf>
    <xf numFmtId="0" fontId="9" fillId="2" borderId="0" xfId="0" applyFont="1" applyFill="1" applyBorder="1" applyAlignment="1">
      <alignment horizontal="centerContinuous" vertical="top" wrapText="1"/>
    </xf>
    <xf numFmtId="0" fontId="8" fillId="2" borderId="0" xfId="0" applyFont="1" applyFill="1" applyBorder="1" applyAlignment="1">
      <alignment horizontal="centerContinuous" vertical="top" wrapText="1"/>
    </xf>
    <xf numFmtId="1" fontId="9" fillId="2" borderId="0" xfId="0" applyNumberFormat="1" applyFont="1" applyFill="1" applyBorder="1" applyAlignment="1">
      <alignment horizontal="centerContinuous" vertical="top" wrapText="1"/>
    </xf>
    <xf numFmtId="0" fontId="7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Continuous" vertical="top" wrapText="1"/>
    </xf>
    <xf numFmtId="0" fontId="7" fillId="2" borderId="1" xfId="0" applyFont="1" applyFill="1" applyBorder="1" applyAlignment="1">
      <alignment horizontal="centerContinuous" vertical="top" wrapText="1"/>
    </xf>
    <xf numFmtId="1" fontId="7" fillId="2" borderId="1" xfId="0" applyNumberFormat="1" applyFont="1" applyFill="1" applyBorder="1" applyAlignment="1">
      <alignment horizontal="centerContinuous" vertical="top" wrapText="1"/>
    </xf>
    <xf numFmtId="1" fontId="9" fillId="2" borderId="1" xfId="0" applyNumberFormat="1" applyFont="1" applyFill="1" applyBorder="1" applyAlignment="1">
      <alignment horizontal="centerContinuous" vertical="top" wrapText="1"/>
    </xf>
    <xf numFmtId="0" fontId="7" fillId="0" borderId="0" xfId="0" applyFont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Continuous" vertical="top" wrapText="1"/>
    </xf>
    <xf numFmtId="0" fontId="7" fillId="0" borderId="0" xfId="0" applyFont="1" applyFill="1" applyBorder="1" applyAlignment="1">
      <alignment horizontal="centerContinuous" vertical="top" wrapText="1"/>
    </xf>
    <xf numFmtId="1" fontId="7" fillId="0" borderId="0" xfId="0" applyNumberFormat="1" applyFont="1" applyFill="1" applyBorder="1" applyAlignment="1">
      <alignment horizontal="centerContinuous" vertical="top" wrapText="1"/>
    </xf>
    <xf numFmtId="1" fontId="9" fillId="0" borderId="0" xfId="0" applyNumberFormat="1" applyFont="1" applyFill="1" applyBorder="1" applyAlignment="1">
      <alignment horizontal="centerContinuous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justify" wrapText="1"/>
    </xf>
    <xf numFmtId="1" fontId="9" fillId="0" borderId="0" xfId="0" applyNumberFormat="1" applyFont="1" applyBorder="1" applyAlignment="1">
      <alignment horizontal="center" vertical="justify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justify" wrapText="1"/>
    </xf>
    <xf numFmtId="1" fontId="9" fillId="0" borderId="1" xfId="0" applyNumberFormat="1" applyFont="1" applyBorder="1" applyAlignment="1">
      <alignment horizontal="center" vertical="justify" wrapText="1"/>
    </xf>
    <xf numFmtId="0" fontId="10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vertical="top" wrapText="1"/>
    </xf>
    <xf numFmtId="1" fontId="6" fillId="0" borderId="0" xfId="0" applyNumberFormat="1" applyFont="1" applyBorder="1" applyAlignment="1">
      <alignment vertical="top" wrapText="1"/>
    </xf>
    <xf numFmtId="1" fontId="7" fillId="0" borderId="0" xfId="0" applyNumberFormat="1" applyFont="1" applyBorder="1" applyAlignment="1">
      <alignment vertical="top" wrapText="1"/>
    </xf>
    <xf numFmtId="174" fontId="6" fillId="0" borderId="0" xfId="5" applyNumberFormat="1" applyFont="1" applyBorder="1" applyAlignment="1">
      <alignment vertical="top" wrapText="1"/>
    </xf>
    <xf numFmtId="174" fontId="9" fillId="0" borderId="0" xfId="5" applyNumberFormat="1" applyFont="1" applyBorder="1" applyAlignment="1">
      <alignment vertical="top" wrapText="1"/>
    </xf>
    <xf numFmtId="3" fontId="9" fillId="0" borderId="0" xfId="5" applyNumberFormat="1" applyFont="1" applyBorder="1" applyAlignment="1">
      <alignment vertical="top" wrapText="1"/>
    </xf>
    <xf numFmtId="3" fontId="7" fillId="0" borderId="0" xfId="0" applyNumberFormat="1" applyFont="1" applyBorder="1" applyAlignment="1">
      <alignment vertical="top" wrapText="1"/>
    </xf>
    <xf numFmtId="174" fontId="10" fillId="0" borderId="0" xfId="5" applyNumberFormat="1" applyFont="1" applyBorder="1" applyAlignment="1">
      <alignment vertical="top" wrapText="1"/>
    </xf>
    <xf numFmtId="3" fontId="10" fillId="0" borderId="0" xfId="5" applyNumberFormat="1" applyFont="1" applyBorder="1" applyAlignment="1">
      <alignment vertical="top" wrapText="1"/>
    </xf>
    <xf numFmtId="0" fontId="7" fillId="0" borderId="0" xfId="0" applyFont="1" applyBorder="1"/>
    <xf numFmtId="3" fontId="7" fillId="0" borderId="0" xfId="0" applyNumberFormat="1" applyFont="1" applyBorder="1"/>
    <xf numFmtId="1" fontId="6" fillId="0" borderId="0" xfId="5" applyNumberFormat="1" applyFont="1" applyBorder="1" applyAlignment="1">
      <alignment vertical="top" wrapText="1"/>
    </xf>
    <xf numFmtId="1" fontId="10" fillId="0" borderId="0" xfId="5" applyNumberFormat="1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3" fontId="9" fillId="0" borderId="0" xfId="0" applyNumberFormat="1" applyFont="1" applyBorder="1" applyAlignment="1">
      <alignment vertical="top" wrapText="1"/>
    </xf>
    <xf numFmtId="0" fontId="7" fillId="0" borderId="1" xfId="0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3" fontId="11" fillId="3" borderId="0" xfId="0" applyNumberFormat="1" applyFont="1" applyFill="1" applyBorder="1"/>
    <xf numFmtId="3" fontId="12" fillId="0" borderId="0" xfId="0" applyNumberFormat="1" applyFont="1" applyBorder="1"/>
    <xf numFmtId="0" fontId="11" fillId="3" borderId="0" xfId="0" applyFont="1" applyFill="1" applyBorder="1"/>
    <xf numFmtId="0" fontId="7" fillId="0" borderId="1" xfId="0" applyFont="1" applyBorder="1" applyAlignment="1">
      <alignment vertical="top" wrapText="1"/>
    </xf>
    <xf numFmtId="1" fontId="7" fillId="0" borderId="1" xfId="0" applyNumberFormat="1" applyFont="1" applyBorder="1" applyAlignment="1">
      <alignment vertical="top" wrapText="1"/>
    </xf>
    <xf numFmtId="0" fontId="3" fillId="4" borderId="0" xfId="0" applyFont="1" applyFill="1" applyBorder="1" applyAlignment="1">
      <alignment horizontal="centerContinuous"/>
    </xf>
    <xf numFmtId="0" fontId="13" fillId="4" borderId="0" xfId="0" applyFont="1" applyFill="1" applyBorder="1" applyAlignment="1">
      <alignment horizontal="centerContinuous"/>
    </xf>
    <xf numFmtId="0" fontId="13" fillId="0" borderId="0" xfId="0" applyFont="1" applyBorder="1"/>
    <xf numFmtId="0" fontId="4" fillId="4" borderId="0" xfId="0" applyFont="1" applyFill="1" applyBorder="1" applyAlignment="1">
      <alignment horizontal="centerContinuous"/>
    </xf>
    <xf numFmtId="0" fontId="3" fillId="4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3" fillId="0" borderId="0" xfId="0" applyFont="1" applyFill="1" applyBorder="1"/>
    <xf numFmtId="2" fontId="8" fillId="0" borderId="0" xfId="5" applyNumberFormat="1" applyFont="1" applyBorder="1"/>
    <xf numFmtId="43" fontId="14" fillId="0" borderId="0" xfId="3" applyNumberFormat="1" applyFont="1" applyBorder="1"/>
    <xf numFmtId="43" fontId="14" fillId="0" borderId="0" xfId="5" applyNumberFormat="1" applyFont="1" applyBorder="1"/>
    <xf numFmtId="2" fontId="14" fillId="0" borderId="0" xfId="5" applyNumberFormat="1" applyFont="1" applyBorder="1"/>
    <xf numFmtId="0" fontId="13" fillId="0" borderId="0" xfId="0" applyFont="1" applyBorder="1" applyAlignment="1">
      <alignment horizontal="centerContinuous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88" fontId="13" fillId="0" borderId="0" xfId="3" applyNumberFormat="1" applyFont="1" applyFill="1" applyBorder="1"/>
    <xf numFmtId="188" fontId="13" fillId="0" borderId="0" xfId="3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8" fillId="0" borderId="0" xfId="0" applyFont="1" applyFill="1" applyBorder="1" applyAlignment="1">
      <alignment horizontal="right"/>
    </xf>
    <xf numFmtId="174" fontId="8" fillId="0" borderId="0" xfId="5" applyNumberFormat="1" applyFont="1" applyBorder="1"/>
    <xf numFmtId="0" fontId="4" fillId="0" borderId="0" xfId="0" applyFont="1" applyBorder="1"/>
    <xf numFmtId="9" fontId="13" fillId="0" borderId="0" xfId="5" applyFont="1" applyFill="1" applyBorder="1"/>
    <xf numFmtId="173" fontId="13" fillId="0" borderId="0" xfId="0" applyNumberFormat="1" applyFont="1" applyBorder="1"/>
    <xf numFmtId="0" fontId="4" fillId="4" borderId="0" xfId="0" applyFont="1" applyFill="1" applyBorder="1" applyAlignment="1">
      <alignment horizontal="center"/>
    </xf>
    <xf numFmtId="3" fontId="18" fillId="0" borderId="0" xfId="4" applyNumberFormat="1" applyFont="1" applyAlignment="1">
      <alignment horizontal="left"/>
    </xf>
    <xf numFmtId="3" fontId="18" fillId="0" borderId="0" xfId="4" applyNumberFormat="1" applyFont="1" applyAlignment="1">
      <alignment horizontal="centerContinuous"/>
    </xf>
    <xf numFmtId="3" fontId="19" fillId="0" borderId="0" xfId="4" applyNumberFormat="1" applyFont="1"/>
    <xf numFmtId="3" fontId="17" fillId="0" borderId="0" xfId="4" applyNumberFormat="1" applyFont="1" applyAlignment="1">
      <alignment horizontal="left"/>
    </xf>
    <xf numFmtId="3" fontId="17" fillId="0" borderId="0" xfId="4" applyNumberFormat="1" applyFont="1" applyAlignment="1">
      <alignment horizontal="centerContinuous"/>
    </xf>
    <xf numFmtId="3" fontId="11" fillId="0" borderId="0" xfId="4" applyNumberFormat="1" applyFont="1"/>
    <xf numFmtId="3" fontId="7" fillId="0" borderId="0" xfId="4" applyNumberFormat="1" applyFont="1"/>
    <xf numFmtId="3" fontId="11" fillId="0" borderId="1" xfId="4" applyNumberFormat="1" applyFont="1" applyBorder="1"/>
    <xf numFmtId="3" fontId="17" fillId="0" borderId="1" xfId="4" applyNumberFormat="1" applyFont="1" applyBorder="1" applyAlignment="1">
      <alignment horizontal="centerContinuous"/>
    </xf>
    <xf numFmtId="3" fontId="11" fillId="0" borderId="0" xfId="4" applyNumberFormat="1" applyFont="1" applyBorder="1"/>
    <xf numFmtId="3" fontId="17" fillId="0" borderId="0" xfId="4" applyNumberFormat="1" applyFont="1" applyBorder="1" applyAlignment="1">
      <alignment horizontal="centerContinuous"/>
    </xf>
    <xf numFmtId="1" fontId="11" fillId="0" borderId="0" xfId="4" applyNumberFormat="1" applyFont="1" applyBorder="1"/>
    <xf numFmtId="1" fontId="7" fillId="0" borderId="0" xfId="4" applyNumberFormat="1" applyFont="1"/>
    <xf numFmtId="3" fontId="11" fillId="0" borderId="0" xfId="4" applyNumberFormat="1" applyFont="1" applyAlignment="1">
      <alignment horizontal="centerContinuous"/>
    </xf>
    <xf numFmtId="3" fontId="11" fillId="0" borderId="0" xfId="4" applyNumberFormat="1" applyFont="1" applyAlignment="1"/>
    <xf numFmtId="3" fontId="7" fillId="0" borderId="0" xfId="4" applyNumberFormat="1" applyFont="1" applyAlignment="1"/>
    <xf numFmtId="3" fontId="17" fillId="0" borderId="0" xfId="4" applyNumberFormat="1" applyFont="1" applyAlignment="1"/>
    <xf numFmtId="174" fontId="11" fillId="0" borderId="0" xfId="4" applyNumberFormat="1" applyFont="1" applyAlignment="1"/>
    <xf numFmtId="3" fontId="17" fillId="0" borderId="0" xfId="4" applyNumberFormat="1" applyFont="1"/>
    <xf numFmtId="3" fontId="11" fillId="0" borderId="0" xfId="4" applyNumberFormat="1" applyFont="1" applyAlignment="1">
      <alignment horizontal="center"/>
    </xf>
    <xf numFmtId="174" fontId="17" fillId="0" borderId="0" xfId="4" applyNumberFormat="1" applyFont="1" applyAlignment="1"/>
    <xf numFmtId="3" fontId="20" fillId="0" borderId="0" xfId="4" applyNumberFormat="1" applyFont="1"/>
    <xf numFmtId="183" fontId="20" fillId="0" borderId="0" xfId="4" applyNumberFormat="1" applyFont="1" applyAlignment="1">
      <alignment horizontal="right"/>
    </xf>
    <xf numFmtId="183" fontId="20" fillId="0" borderId="0" xfId="4" applyNumberFormat="1" applyFont="1"/>
    <xf numFmtId="188" fontId="20" fillId="0" borderId="0" xfId="2" applyNumberFormat="1" applyFont="1"/>
    <xf numFmtId="3" fontId="21" fillId="0" borderId="0" xfId="4" applyNumberFormat="1" applyFont="1"/>
    <xf numFmtId="3" fontId="21" fillId="0" borderId="0" xfId="4" applyNumberFormat="1" applyFont="1" applyBorder="1"/>
    <xf numFmtId="3" fontId="7" fillId="0" borderId="0" xfId="4" applyNumberFormat="1" applyFont="1" applyBorder="1"/>
    <xf numFmtId="9" fontId="7" fillId="0" borderId="0" xfId="5" applyFont="1"/>
    <xf numFmtId="0" fontId="7" fillId="2" borderId="0" xfId="0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/>
    </xf>
    <xf numFmtId="0" fontId="18" fillId="2" borderId="0" xfId="0" applyFont="1" applyFill="1" applyBorder="1" applyAlignment="1">
      <alignment horizontal="centerContinuous" vertical="top" wrapText="1"/>
    </xf>
    <xf numFmtId="0" fontId="17" fillId="0" borderId="0" xfId="0" applyFont="1" applyFill="1" applyBorder="1" applyAlignment="1">
      <alignment horizontal="center" vertical="top" wrapText="1"/>
    </xf>
    <xf numFmtId="0" fontId="13" fillId="0" borderId="0" xfId="0" applyFont="1" applyBorder="1" applyAlignment="1">
      <alignment vertical="top" wrapText="1"/>
    </xf>
    <xf numFmtId="3" fontId="17" fillId="0" borderId="0" xfId="4" applyNumberFormat="1" applyFont="1" applyBorder="1" applyAlignment="1">
      <alignment horizontal="left" indent="14"/>
    </xf>
    <xf numFmtId="9" fontId="15" fillId="0" borderId="0" xfId="0" applyNumberFormat="1" applyFont="1" applyBorder="1"/>
    <xf numFmtId="9" fontId="8" fillId="0" borderId="0" xfId="5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21" fillId="0" borderId="0" xfId="0" applyFont="1" applyBorder="1"/>
    <xf numFmtId="0" fontId="20" fillId="0" borderId="0" xfId="0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2" fillId="0" borderId="0" xfId="0" applyFont="1" applyBorder="1" applyAlignment="1">
      <alignment vertical="top" wrapText="1"/>
    </xf>
    <xf numFmtId="0" fontId="23" fillId="0" borderId="0" xfId="0" applyFont="1" applyFill="1" applyBorder="1" applyAlignment="1">
      <alignment horizontal="left" vertical="top" wrapText="1" indent="2"/>
    </xf>
    <xf numFmtId="0" fontId="22" fillId="0" borderId="0" xfId="0" applyFont="1" applyFill="1" applyBorder="1" applyAlignment="1">
      <alignment horizontal="left" indent="4"/>
    </xf>
    <xf numFmtId="0" fontId="22" fillId="0" borderId="0" xfId="0" applyFont="1" applyFill="1" applyBorder="1" applyAlignment="1">
      <alignment horizontal="left"/>
    </xf>
    <xf numFmtId="0" fontId="25" fillId="0" borderId="0" xfId="0" applyFont="1" applyFill="1" applyBorder="1"/>
    <xf numFmtId="0" fontId="4" fillId="4" borderId="0" xfId="0" applyFont="1" applyFill="1" applyBorder="1"/>
    <xf numFmtId="173" fontId="13" fillId="0" borderId="0" xfId="1" applyNumberFormat="1" applyFont="1" applyFill="1" applyBorder="1" applyAlignment="1">
      <alignment horizontal="right"/>
    </xf>
    <xf numFmtId="3" fontId="18" fillId="0" borderId="0" xfId="4" applyNumberFormat="1" applyFont="1" applyAlignment="1">
      <alignment textRotation="180"/>
    </xf>
    <xf numFmtId="3" fontId="18" fillId="0" borderId="0" xfId="4" applyNumberFormat="1" applyFont="1" applyAlignment="1">
      <alignment horizontal="right" textRotation="180"/>
    </xf>
    <xf numFmtId="0" fontId="6" fillId="0" borderId="0" xfId="0" applyFont="1" applyBorder="1" applyAlignment="1">
      <alignment horizontal="center" textRotation="180"/>
    </xf>
    <xf numFmtId="0" fontId="3" fillId="0" borderId="0" xfId="0" applyFont="1" applyBorder="1" applyAlignment="1">
      <alignment horizontal="center" textRotation="180"/>
    </xf>
    <xf numFmtId="0" fontId="3" fillId="0" borderId="0" xfId="0" applyFont="1" applyBorder="1" applyAlignment="1">
      <alignment horizontal="right" textRotation="180"/>
    </xf>
    <xf numFmtId="3" fontId="11" fillId="0" borderId="0" xfId="4" applyNumberFormat="1" applyFont="1" applyAlignment="1">
      <alignment horizontal="right"/>
    </xf>
    <xf numFmtId="3" fontId="7" fillId="0" borderId="0" xfId="4" applyNumberFormat="1" applyFont="1" applyAlignment="1">
      <alignment horizontal="right"/>
    </xf>
    <xf numFmtId="3" fontId="17" fillId="0" borderId="0" xfId="4" applyNumberFormat="1" applyFont="1" applyAlignment="1">
      <alignment horizontal="right"/>
    </xf>
    <xf numFmtId="188" fontId="20" fillId="0" borderId="0" xfId="2" applyNumberFormat="1" applyFont="1" applyAlignment="1">
      <alignment horizontal="right"/>
    </xf>
    <xf numFmtId="174" fontId="11" fillId="0" borderId="0" xfId="5" applyNumberFormat="1" applyFont="1" applyAlignment="1"/>
    <xf numFmtId="173" fontId="4" fillId="0" borderId="0" xfId="0" applyNumberFormat="1" applyFont="1" applyFill="1" applyBorder="1" applyAlignment="1">
      <alignment horizontal="center"/>
    </xf>
    <xf numFmtId="173" fontId="4" fillId="0" borderId="0" xfId="5" applyNumberFormat="1" applyFont="1" applyFill="1" applyBorder="1" applyAlignment="1">
      <alignment horizontal="center"/>
    </xf>
    <xf numFmtId="9" fontId="4" fillId="0" borderId="0" xfId="5" applyNumberFormat="1" applyFont="1" applyFill="1" applyBorder="1" applyAlignment="1">
      <alignment horizontal="center"/>
    </xf>
    <xf numFmtId="9" fontId="3" fillId="0" borderId="0" xfId="5" applyFont="1" applyBorder="1" applyAlignment="1">
      <alignment horizontal="center"/>
    </xf>
    <xf numFmtId="9" fontId="3" fillId="0" borderId="0" xfId="5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3" fontId="4" fillId="0" borderId="0" xfId="3" applyNumberFormat="1" applyFont="1" applyFill="1" applyBorder="1" applyAlignment="1">
      <alignment horizontal="right"/>
    </xf>
    <xf numFmtId="173" fontId="4" fillId="0" borderId="0" xfId="0" applyNumberFormat="1" applyFont="1" applyFill="1" applyBorder="1" applyAlignment="1">
      <alignment horizontal="right"/>
    </xf>
    <xf numFmtId="200" fontId="4" fillId="0" borderId="0" xfId="1" applyNumberFormat="1" applyFont="1" applyFill="1" applyBorder="1" applyAlignment="1">
      <alignment horizontal="center"/>
    </xf>
    <xf numFmtId="9" fontId="3" fillId="0" borderId="0" xfId="5" applyFont="1" applyFill="1" applyBorder="1" applyAlignment="1">
      <alignment horizontal="right"/>
    </xf>
    <xf numFmtId="188" fontId="4" fillId="0" borderId="0" xfId="3" applyNumberFormat="1" applyFont="1" applyFill="1" applyBorder="1"/>
    <xf numFmtId="9" fontId="4" fillId="0" borderId="0" xfId="5" applyFont="1" applyFill="1" applyBorder="1"/>
    <xf numFmtId="183" fontId="4" fillId="0" borderId="0" xfId="0" applyNumberFormat="1" applyFont="1" applyFill="1" applyBorder="1"/>
    <xf numFmtId="188" fontId="4" fillId="0" borderId="0" xfId="0" applyNumberFormat="1" applyFont="1" applyFill="1" applyBorder="1"/>
    <xf numFmtId="2" fontId="4" fillId="0" borderId="0" xfId="0" applyNumberFormat="1" applyFont="1" applyFill="1" applyBorder="1"/>
    <xf numFmtId="0" fontId="4" fillId="0" borderId="0" xfId="0" applyFont="1" applyBorder="1" applyAlignment="1">
      <alignment horizontal="center"/>
    </xf>
    <xf numFmtId="9" fontId="26" fillId="0" borderId="0" xfId="0" applyNumberFormat="1" applyFont="1" applyFill="1" applyBorder="1" applyAlignment="1">
      <alignment horizontal="center"/>
    </xf>
    <xf numFmtId="9" fontId="26" fillId="0" borderId="0" xfId="0" applyNumberFormat="1" applyFont="1" applyBorder="1" applyAlignment="1">
      <alignment horizontal="center"/>
    </xf>
    <xf numFmtId="9" fontId="13" fillId="0" borderId="0" xfId="5" applyFont="1" applyBorder="1"/>
    <xf numFmtId="173" fontId="4" fillId="0" borderId="0" xfId="3" applyNumberFormat="1" applyFont="1" applyFill="1" applyBorder="1" applyAlignment="1">
      <alignment horizontal="center"/>
    </xf>
    <xf numFmtId="9" fontId="13" fillId="0" borderId="0" xfId="5" applyFont="1" applyBorder="1" applyAlignment="1">
      <alignment horizontal="center"/>
    </xf>
    <xf numFmtId="174" fontId="3" fillId="0" borderId="0" xfId="5" applyNumberFormat="1" applyFont="1" applyFill="1" applyBorder="1" applyAlignment="1">
      <alignment horizontal="right"/>
    </xf>
    <xf numFmtId="188" fontId="4" fillId="0" borderId="0" xfId="3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vertical="top" wrapText="1"/>
    </xf>
    <xf numFmtId="0" fontId="0" fillId="0" borderId="0" xfId="0" applyAlignment="1"/>
    <xf numFmtId="0" fontId="3" fillId="0" borderId="0" xfId="0" applyFont="1" applyFill="1" applyBorder="1" applyAlignment="1">
      <alignment horizontal="center"/>
    </xf>
    <xf numFmtId="1" fontId="11" fillId="0" borderId="0" xfId="4" applyNumberFormat="1" applyFont="1" applyBorder="1" applyAlignment="1">
      <alignment horizontal="center"/>
    </xf>
    <xf numFmtId="0" fontId="2" fillId="0" borderId="0" xfId="4" applyAlignment="1">
      <alignment horizontal="center"/>
    </xf>
    <xf numFmtId="0" fontId="2" fillId="0" borderId="0" xfId="4" applyBorder="1" applyAlignment="1">
      <alignment horizontal="center"/>
    </xf>
    <xf numFmtId="0" fontId="9" fillId="0" borderId="0" xfId="0" applyFont="1" applyBorder="1" applyAlignment="1">
      <alignment horizontal="center" vertical="justify" wrapText="1"/>
    </xf>
    <xf numFmtId="0" fontId="0" fillId="0" borderId="0" xfId="0" applyAlignment="1">
      <alignment horizontal="center" vertical="justify" wrapText="1"/>
    </xf>
    <xf numFmtId="1" fontId="9" fillId="0" borderId="0" xfId="0" applyNumberFormat="1" applyFont="1" applyBorder="1" applyAlignment="1">
      <alignment horizontal="center" vertical="justify" wrapText="1"/>
    </xf>
  </cellXfs>
  <cellStyles count="6">
    <cellStyle name="Comma" xfId="1" builtinId="3"/>
    <cellStyle name="Comma_CHARTSF" xfId="2"/>
    <cellStyle name="Comma_FSDATA" xfId="3"/>
    <cellStyle name="Normal" xfId="0" builtinId="0"/>
    <cellStyle name="Normal_TBINTRO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03430571530918"/>
          <c:y val="0.11450802709765491"/>
          <c:w val="0.81033637032890826"/>
          <c:h val="0.545821595832155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Annex1!$L$26</c:f>
              <c:strCache>
                <c:ptCount val="1"/>
                <c:pt idx="0">
                  <c:v>Market capitalization  (in billions of DH)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Annex1!$M$25:$O$25</c:f>
              <c:numCache>
                <c:formatCode>General</c:formatCode>
                <c:ptCount val="3"/>
                <c:pt idx="0">
                  <c:v>1998</c:v>
                </c:pt>
                <c:pt idx="1">
                  <c:v>1996</c:v>
                </c:pt>
                <c:pt idx="2">
                  <c:v>1993</c:v>
                </c:pt>
              </c:numCache>
            </c:numRef>
          </c:cat>
          <c:val>
            <c:numRef>
              <c:f>Annex1!$M$26:$O$26</c:f>
              <c:numCache>
                <c:formatCode>General</c:formatCode>
                <c:ptCount val="3"/>
                <c:pt idx="0">
                  <c:v>145.1</c:v>
                </c:pt>
                <c:pt idx="1">
                  <c:v>75.599999999999994</c:v>
                </c:pt>
                <c:pt idx="2" formatCode="0.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C-4EA8-B1FD-65424FED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2240"/>
        <c:axId val="1"/>
      </c:barChart>
      <c:lineChart>
        <c:grouping val="standard"/>
        <c:varyColors val="0"/>
        <c:ser>
          <c:idx val="0"/>
          <c:order val="1"/>
          <c:tx>
            <c:strRef>
              <c:f>Annex1!$L$27</c:f>
              <c:strCache>
                <c:ptCount val="1"/>
                <c:pt idx="0">
                  <c:v>Total capitalization/GDP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Annex1!$M$25:$O$25</c:f>
              <c:numCache>
                <c:formatCode>General</c:formatCode>
                <c:ptCount val="3"/>
                <c:pt idx="0">
                  <c:v>1998</c:v>
                </c:pt>
                <c:pt idx="1">
                  <c:v>1996</c:v>
                </c:pt>
                <c:pt idx="2">
                  <c:v>1993</c:v>
                </c:pt>
              </c:numCache>
            </c:numRef>
          </c:cat>
          <c:val>
            <c:numRef>
              <c:f>Annex1!$M$27:$O$27</c:f>
              <c:numCache>
                <c:formatCode>0%</c:formatCode>
                <c:ptCount val="3"/>
                <c:pt idx="0">
                  <c:v>0.42551319648093838</c:v>
                </c:pt>
                <c:pt idx="1">
                  <c:v>0.23558741040822687</c:v>
                </c:pt>
                <c:pt idx="2">
                  <c:v>0.1043338683788122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C-4EA8-B1FD-65424FED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92812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92812240"/>
        <c:crosses val="autoZero"/>
        <c:crossBetween val="between"/>
        <c:majorUnit val="4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"/>
        <c:crosses val="max"/>
        <c:crossBetween val="between"/>
        <c:majorUnit val="0.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557321457913934E-2"/>
          <c:y val="0.82445779510311523"/>
          <c:w val="0.96704264041795918"/>
          <c:h val="9.92402901513009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Annex2!$J$30</c:f>
              <c:numCache>
                <c:formatCode>#,##0</c:formatCode>
                <c:ptCount val="1"/>
                <c:pt idx="0">
                  <c:v>30723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6-4340-ABA0-316A2B9B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192814640"/>
        <c:axId val="1"/>
        <c:axId val="0"/>
      </c:bar3DChart>
      <c:catAx>
        <c:axId val="1192814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4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18</xdr:row>
      <xdr:rowOff>99060</xdr:rowOff>
    </xdr:from>
    <xdr:to>
      <xdr:col>8</xdr:col>
      <xdr:colOff>480060</xdr:colOff>
      <xdr:row>27</xdr:row>
      <xdr:rowOff>129540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AE4E62DF-0D8F-4840-C43E-DD85487DC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0.1664</cdr:x>
      <cdr:y>0.02662</cdr:y>
    </cdr:from>
    <cdr:to>
      <cdr:x>0.57381</cdr:x>
      <cdr:y>0.12555</cdr:y>
    </cdr:to>
    <cdr:sp macro="" textlink="">
      <cdr:nvSpPr>
        <cdr:cNvPr id="35841" name="Text Box 1025">
          <a:extLst xmlns:a="http://schemas.openxmlformats.org/drawingml/2006/main">
            <a:ext uri="{FF2B5EF4-FFF2-40B4-BE49-F238E27FC236}">
              <a16:creationId xmlns:a16="http://schemas.microsoft.com/office/drawing/2014/main" id="{C1911290-736F-11EC-975A-5BA41DF923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3674" y="50800"/>
          <a:ext cx="1508791" cy="198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Stock market capitalization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31</xdr:row>
      <xdr:rowOff>76200</xdr:rowOff>
    </xdr:from>
    <xdr:to>
      <xdr:col>10</xdr:col>
      <xdr:colOff>205740</xdr:colOff>
      <xdr:row>31</xdr:row>
      <xdr:rowOff>83820</xdr:rowOff>
    </xdr:to>
    <xdr:graphicFrame macro="">
      <xdr:nvGraphicFramePr>
        <xdr:cNvPr id="4097" name="Chart 1025">
          <a:extLst>
            <a:ext uri="{FF2B5EF4-FFF2-40B4-BE49-F238E27FC236}">
              <a16:creationId xmlns:a16="http://schemas.microsoft.com/office/drawing/2014/main" id="{79C2011E-40F1-6DE7-19E5-BF6F1CBE0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A5" workbookViewId="0">
      <selection activeCell="B15" sqref="B15"/>
    </sheetView>
  </sheetViews>
  <sheetFormatPr defaultColWidth="9.109375" defaultRowHeight="15.6" x14ac:dyDescent="0.3"/>
  <cols>
    <col min="1" max="1" width="54.5546875" style="70" customWidth="1"/>
    <col min="2" max="2" width="11.33203125" style="65" customWidth="1"/>
    <col min="3" max="3" width="10" style="65" customWidth="1"/>
    <col min="4" max="4" width="10.109375" style="65" customWidth="1"/>
    <col min="5" max="5" width="10" style="65" customWidth="1"/>
    <col min="6" max="6" width="10.44140625" style="65" customWidth="1"/>
    <col min="7" max="7" width="8.88671875" style="65" customWidth="1"/>
    <col min="8" max="11" width="9.109375" style="65"/>
    <col min="12" max="12" width="16.6640625" style="65" customWidth="1"/>
    <col min="13" max="13" width="9.109375" style="65"/>
    <col min="14" max="14" width="15.44140625" style="65" customWidth="1"/>
    <col min="15" max="16384" width="9.109375" style="65"/>
  </cols>
  <sheetData>
    <row r="1" spans="1:18" x14ac:dyDescent="0.3">
      <c r="A1" s="63" t="s">
        <v>113</v>
      </c>
      <c r="B1" s="64"/>
      <c r="C1" s="64"/>
      <c r="D1" s="64"/>
      <c r="E1" s="64"/>
      <c r="F1" s="64"/>
      <c r="G1" s="64"/>
      <c r="H1" s="64"/>
    </row>
    <row r="2" spans="1:18" x14ac:dyDescent="0.3">
      <c r="A2" s="66"/>
      <c r="B2" s="64"/>
      <c r="C2" s="64"/>
      <c r="D2" s="64"/>
      <c r="E2" s="64"/>
      <c r="F2" s="64"/>
      <c r="G2" s="64"/>
      <c r="H2" s="64"/>
    </row>
    <row r="4" spans="1:18" x14ac:dyDescent="0.3">
      <c r="A4" s="67" t="s">
        <v>26</v>
      </c>
      <c r="B4" s="175" t="s">
        <v>27</v>
      </c>
      <c r="C4" s="175"/>
      <c r="D4" s="175" t="s">
        <v>70</v>
      </c>
      <c r="E4" s="175"/>
      <c r="F4" s="175" t="s">
        <v>28</v>
      </c>
      <c r="G4" s="175"/>
    </row>
    <row r="5" spans="1:18" x14ac:dyDescent="0.3">
      <c r="A5" s="67"/>
      <c r="B5" s="127" t="s">
        <v>108</v>
      </c>
      <c r="C5" s="127" t="s">
        <v>109</v>
      </c>
      <c r="D5" s="127" t="s">
        <v>108</v>
      </c>
      <c r="E5" s="127" t="s">
        <v>109</v>
      </c>
      <c r="F5" s="127" t="s">
        <v>108</v>
      </c>
      <c r="G5" s="127" t="s">
        <v>109</v>
      </c>
      <c r="N5" s="67"/>
    </row>
    <row r="6" spans="1:18" x14ac:dyDescent="0.3">
      <c r="A6" s="130" t="s">
        <v>112</v>
      </c>
      <c r="B6" s="150">
        <v>301</v>
      </c>
      <c r="C6" s="151">
        <v>185.6</v>
      </c>
      <c r="D6" s="151">
        <v>167.6</v>
      </c>
      <c r="E6" s="151">
        <v>95.9</v>
      </c>
      <c r="F6" s="151">
        <v>183.3</v>
      </c>
      <c r="G6" s="151">
        <v>111.4</v>
      </c>
      <c r="N6" s="67"/>
      <c r="R6" s="127"/>
    </row>
    <row r="7" spans="1:18" x14ac:dyDescent="0.3">
      <c r="A7" s="130" t="s">
        <v>69</v>
      </c>
      <c r="B7" s="152">
        <f>234.2/B6</f>
        <v>0.77807308970099665</v>
      </c>
      <c r="C7" s="152">
        <f>73.3%+3.7%</f>
        <v>0.77</v>
      </c>
      <c r="D7" s="152">
        <f>112.8/D6</f>
        <v>0.67303102625298328</v>
      </c>
      <c r="E7" s="152">
        <f>(60.8+3.7)/100</f>
        <v>0.64500000000000002</v>
      </c>
      <c r="F7" s="152">
        <f>170.9/F6</f>
        <v>0.9323513366066557</v>
      </c>
      <c r="G7" s="152">
        <f>0.903+0.048</f>
        <v>0.95100000000000007</v>
      </c>
      <c r="N7" s="130" t="s">
        <v>24</v>
      </c>
      <c r="O7" s="150">
        <v>301</v>
      </c>
      <c r="P7" s="151">
        <v>167.6</v>
      </c>
      <c r="Q7" s="151">
        <v>183.3</v>
      </c>
      <c r="R7" s="151"/>
    </row>
    <row r="8" spans="1:18" x14ac:dyDescent="0.3">
      <c r="A8" s="130" t="s">
        <v>71</v>
      </c>
      <c r="B8" s="152">
        <f>66.8/B6</f>
        <v>0.2219269102990033</v>
      </c>
      <c r="C8" s="152">
        <v>0.23</v>
      </c>
      <c r="D8" s="152">
        <f>54.8/D6</f>
        <v>0.32696897374701672</v>
      </c>
      <c r="E8" s="152">
        <v>0.35499999999999998</v>
      </c>
      <c r="F8" s="152">
        <f>12.4/F6</f>
        <v>6.7648663393344244E-2</v>
      </c>
      <c r="G8" s="152">
        <v>4.9000000000000002E-2</v>
      </c>
      <c r="N8" s="130" t="s">
        <v>69</v>
      </c>
      <c r="O8" s="152">
        <f>234.2/O7</f>
        <v>0.77807308970099665</v>
      </c>
      <c r="P8" s="152">
        <f>112.8/P7</f>
        <v>0.67303102625298328</v>
      </c>
      <c r="Q8" s="152">
        <f>170.9/Q7</f>
        <v>0.9323513366066557</v>
      </c>
      <c r="R8" s="152"/>
    </row>
    <row r="9" spans="1:18" x14ac:dyDescent="0.3">
      <c r="A9" s="131" t="s">
        <v>29</v>
      </c>
      <c r="B9" s="153">
        <f>B6/350</f>
        <v>0.86</v>
      </c>
      <c r="C9" s="153">
        <f>C6/242.9</f>
        <v>0.76410045286125972</v>
      </c>
      <c r="D9" s="153">
        <f>D6/350</f>
        <v>0.47885714285714281</v>
      </c>
      <c r="E9" s="153">
        <f>E6/242.9</f>
        <v>0.39481268011527376</v>
      </c>
      <c r="F9" s="153">
        <f>F6/350</f>
        <v>0.5237142857142858</v>
      </c>
      <c r="G9" s="153">
        <f>G6/242.9</f>
        <v>0.45862494853849323</v>
      </c>
      <c r="N9" s="130" t="s">
        <v>71</v>
      </c>
      <c r="O9" s="152">
        <f>66.8/O7</f>
        <v>0.2219269102990033</v>
      </c>
      <c r="P9" s="152">
        <f>54.8/P7</f>
        <v>0.32696897374701672</v>
      </c>
      <c r="Q9" s="152">
        <f>12.4/Q7</f>
        <v>6.7648663393344244E-2</v>
      </c>
      <c r="R9" s="152"/>
    </row>
    <row r="10" spans="1:18" x14ac:dyDescent="0.3">
      <c r="A10" s="71"/>
      <c r="B10" s="72"/>
      <c r="C10" s="72"/>
      <c r="D10" s="73"/>
      <c r="E10" s="74"/>
      <c r="F10" s="75"/>
      <c r="G10" s="75"/>
      <c r="N10" s="131" t="s">
        <v>29</v>
      </c>
      <c r="O10" s="153">
        <f>O7/350</f>
        <v>0.86</v>
      </c>
      <c r="P10" s="153">
        <f>P7/350</f>
        <v>0.47885714285714281</v>
      </c>
      <c r="Q10" s="153">
        <f>Q7/350</f>
        <v>0.5237142857142858</v>
      </c>
      <c r="R10" s="153"/>
    </row>
    <row r="11" spans="1:18" ht="29.25" customHeight="1" x14ac:dyDescent="0.3">
      <c r="A11" s="67" t="s">
        <v>68</v>
      </c>
      <c r="B11" s="173" t="s">
        <v>72</v>
      </c>
      <c r="C11" s="173"/>
      <c r="D11" s="76"/>
      <c r="E11" s="77" t="s">
        <v>0</v>
      </c>
    </row>
    <row r="12" spans="1:18" x14ac:dyDescent="0.3">
      <c r="A12" s="67"/>
      <c r="B12" s="127">
        <v>1998</v>
      </c>
      <c r="C12" s="127">
        <v>1995</v>
      </c>
      <c r="D12" s="78"/>
      <c r="E12" s="79" t="s">
        <v>0</v>
      </c>
    </row>
    <row r="13" spans="1:18" x14ac:dyDescent="0.3">
      <c r="A13" s="130" t="s">
        <v>87</v>
      </c>
      <c r="B13" s="157">
        <f>6.07+0.2</f>
        <v>6.2700000000000005</v>
      </c>
      <c r="C13" s="69">
        <f>1.7+5.1</f>
        <v>6.8</v>
      </c>
      <c r="D13" s="77"/>
      <c r="E13" s="78" t="s">
        <v>0</v>
      </c>
    </row>
    <row r="14" spans="1:18" x14ac:dyDescent="0.3">
      <c r="A14" s="130" t="s">
        <v>88</v>
      </c>
      <c r="B14" s="69">
        <v>5.3</v>
      </c>
      <c r="C14" s="69">
        <v>3.3</v>
      </c>
      <c r="D14" s="77"/>
    </row>
    <row r="15" spans="1:18" x14ac:dyDescent="0.3">
      <c r="A15" s="131" t="s">
        <v>86</v>
      </c>
      <c r="B15" s="171">
        <f>13.4/341</f>
        <v>3.929618768328446E-2</v>
      </c>
      <c r="C15" s="171">
        <f>10.4/281.2</f>
        <v>3.6984352773826459E-2</v>
      </c>
    </row>
    <row r="16" spans="1:18" x14ac:dyDescent="0.3">
      <c r="A16" s="130" t="s">
        <v>89</v>
      </c>
      <c r="B16" s="172">
        <f>14+6.1</f>
        <v>20.100000000000001</v>
      </c>
      <c r="C16" s="172">
        <f>6+4</f>
        <v>10</v>
      </c>
      <c r="F16" s="77" t="s">
        <v>0</v>
      </c>
      <c r="G16" s="77" t="s">
        <v>0</v>
      </c>
    </row>
    <row r="17" spans="1:15" x14ac:dyDescent="0.3">
      <c r="B17" s="80"/>
      <c r="C17" s="81"/>
      <c r="F17" s="77"/>
      <c r="G17" s="77"/>
    </row>
    <row r="18" spans="1:15" x14ac:dyDescent="0.3">
      <c r="B18" s="80"/>
      <c r="C18" s="81"/>
      <c r="F18" s="77"/>
      <c r="G18" s="77"/>
    </row>
    <row r="19" spans="1:15" ht="30" customHeight="1" x14ac:dyDescent="0.3">
      <c r="A19" s="67" t="s">
        <v>78</v>
      </c>
      <c r="B19" s="173" t="s">
        <v>72</v>
      </c>
      <c r="C19" s="173"/>
      <c r="D19" s="76"/>
    </row>
    <row r="20" spans="1:15" x14ac:dyDescent="0.3">
      <c r="A20" s="67" t="s">
        <v>79</v>
      </c>
      <c r="B20" s="127">
        <v>1998</v>
      </c>
      <c r="C20" s="127">
        <v>1995</v>
      </c>
      <c r="D20" s="79" t="s">
        <v>0</v>
      </c>
    </row>
    <row r="21" spans="1:15" x14ac:dyDescent="0.3">
      <c r="A21" s="130" t="s">
        <v>90</v>
      </c>
      <c r="B21" s="150">
        <v>36</v>
      </c>
      <c r="C21" s="150">
        <v>27.5</v>
      </c>
      <c r="D21" s="76"/>
    </row>
    <row r="22" spans="1:15" x14ac:dyDescent="0.3">
      <c r="A22" s="130" t="s">
        <v>91</v>
      </c>
      <c r="B22" s="150">
        <f>84.73-B21</f>
        <v>48.730000000000004</v>
      </c>
      <c r="C22" s="150">
        <v>29.5</v>
      </c>
    </row>
    <row r="23" spans="1:15" x14ac:dyDescent="0.3">
      <c r="A23" s="131" t="s">
        <v>30</v>
      </c>
      <c r="B23" s="154">
        <f>(B21+B22)/341</f>
        <v>0.24847507331378299</v>
      </c>
      <c r="C23" s="154">
        <f>(C21+C22)/281.2</f>
        <v>0.20270270270270271</v>
      </c>
    </row>
    <row r="24" spans="1:15" x14ac:dyDescent="0.3">
      <c r="A24" s="130" t="s">
        <v>92</v>
      </c>
      <c r="B24" s="150">
        <f>25.9-5.7</f>
        <v>20.2</v>
      </c>
      <c r="C24" s="151">
        <v>16.3</v>
      </c>
      <c r="D24" s="65" t="s">
        <v>0</v>
      </c>
      <c r="E24" s="65" t="s">
        <v>0</v>
      </c>
    </row>
    <row r="25" spans="1:15" x14ac:dyDescent="0.3">
      <c r="A25" s="130" t="s">
        <v>93</v>
      </c>
      <c r="B25" s="150">
        <v>25.2</v>
      </c>
      <c r="C25" s="150">
        <v>2.7</v>
      </c>
      <c r="D25" s="78" t="s">
        <v>0</v>
      </c>
      <c r="E25" s="78" t="s">
        <v>0</v>
      </c>
      <c r="L25" s="67"/>
      <c r="M25" s="155">
        <v>1998</v>
      </c>
      <c r="N25" s="155">
        <v>1996</v>
      </c>
      <c r="O25" s="84">
        <v>1993</v>
      </c>
    </row>
    <row r="26" spans="1:15" x14ac:dyDescent="0.3">
      <c r="D26" s="65" t="s">
        <v>0</v>
      </c>
      <c r="E26" s="82"/>
      <c r="F26" s="76"/>
      <c r="G26" s="76"/>
      <c r="H26" s="76"/>
      <c r="L26" s="130" t="s">
        <v>94</v>
      </c>
      <c r="M26" s="127">
        <v>145.1</v>
      </c>
      <c r="N26" s="127">
        <v>75.599999999999994</v>
      </c>
      <c r="O26" s="169">
        <v>26</v>
      </c>
    </row>
    <row r="27" spans="1:15" x14ac:dyDescent="0.3">
      <c r="A27" s="67" t="s">
        <v>32</v>
      </c>
      <c r="B27" s="77"/>
      <c r="C27" s="77"/>
      <c r="D27" s="77"/>
      <c r="E27" s="82"/>
      <c r="F27" s="76"/>
      <c r="G27" s="76"/>
      <c r="H27" s="76"/>
      <c r="L27" s="168" t="s">
        <v>33</v>
      </c>
      <c r="M27" s="170">
        <v>0.42551319648093838</v>
      </c>
      <c r="N27" s="170">
        <v>0.23558741040822687</v>
      </c>
      <c r="O27" s="170">
        <v>0.1043338683788122</v>
      </c>
    </row>
    <row r="28" spans="1:15" x14ac:dyDescent="0.3">
      <c r="A28" s="68" t="s">
        <v>0</v>
      </c>
      <c r="B28" s="83"/>
      <c r="C28" s="76"/>
      <c r="D28" s="76"/>
      <c r="E28" s="77" t="s">
        <v>0</v>
      </c>
    </row>
    <row r="29" spans="1:15" x14ac:dyDescent="0.3">
      <c r="A29" s="67" t="s">
        <v>67</v>
      </c>
      <c r="B29" s="155">
        <v>1998</v>
      </c>
      <c r="C29" s="155">
        <v>1996</v>
      </c>
      <c r="D29" s="84">
        <v>1993</v>
      </c>
      <c r="E29" s="78"/>
    </row>
    <row r="30" spans="1:15" x14ac:dyDescent="0.3">
      <c r="A30" s="130" t="s">
        <v>94</v>
      </c>
      <c r="B30" s="127">
        <v>145.1</v>
      </c>
      <c r="C30" s="127">
        <v>75.599999999999994</v>
      </c>
      <c r="D30" s="156">
        <v>26</v>
      </c>
    </row>
    <row r="31" spans="1:15" x14ac:dyDescent="0.3">
      <c r="A31" s="130" t="s">
        <v>95</v>
      </c>
      <c r="B31" s="127">
        <v>38.5</v>
      </c>
      <c r="C31" s="127">
        <v>26.9</v>
      </c>
      <c r="D31" s="157">
        <v>2.7</v>
      </c>
      <c r="E31" s="78"/>
    </row>
    <row r="32" spans="1:15" x14ac:dyDescent="0.3">
      <c r="A32" s="130" t="s">
        <v>96</v>
      </c>
      <c r="B32" s="158">
        <v>58</v>
      </c>
      <c r="C32" s="127">
        <v>20.399999999999999</v>
      </c>
      <c r="D32" s="69">
        <v>4.9000000000000004</v>
      </c>
    </row>
    <row r="33" spans="1:10" x14ac:dyDescent="0.3">
      <c r="A33" s="130" t="s">
        <v>80</v>
      </c>
      <c r="B33" s="127">
        <v>53</v>
      </c>
      <c r="C33" s="127">
        <v>47</v>
      </c>
      <c r="D33" s="69">
        <v>65</v>
      </c>
    </row>
    <row r="34" spans="1:10" x14ac:dyDescent="0.3">
      <c r="A34" s="131" t="s">
        <v>33</v>
      </c>
      <c r="B34" s="154">
        <f>B30/341</f>
        <v>0.42551319648093838</v>
      </c>
      <c r="C34" s="154">
        <f>C30/320.9</f>
        <v>0.23558741040822687</v>
      </c>
      <c r="D34" s="159">
        <f>D30/249.2</f>
        <v>0.1043338683788122</v>
      </c>
      <c r="E34" s="85"/>
    </row>
    <row r="35" spans="1:10" ht="14.4" x14ac:dyDescent="0.3">
      <c r="A35" s="132" t="s">
        <v>34</v>
      </c>
    </row>
    <row r="36" spans="1:10" s="123" customFormat="1" ht="26.4" x14ac:dyDescent="0.25">
      <c r="A36" s="133"/>
      <c r="B36" s="122" t="s">
        <v>35</v>
      </c>
      <c r="C36" s="122" t="s">
        <v>36</v>
      </c>
      <c r="D36" s="122" t="s">
        <v>24</v>
      </c>
      <c r="E36" s="122" t="s">
        <v>35</v>
      </c>
      <c r="F36" s="122" t="s">
        <v>36</v>
      </c>
      <c r="G36" s="122" t="s">
        <v>24</v>
      </c>
    </row>
    <row r="37" spans="1:10" ht="13.8" x14ac:dyDescent="0.25">
      <c r="A37" s="134" t="s">
        <v>83</v>
      </c>
      <c r="B37" s="76" t="s">
        <v>110</v>
      </c>
      <c r="C37" s="76"/>
      <c r="D37" s="76"/>
      <c r="E37" s="76" t="s">
        <v>37</v>
      </c>
      <c r="F37" s="76"/>
      <c r="G37" s="76"/>
    </row>
    <row r="38" spans="1:10" x14ac:dyDescent="0.3">
      <c r="A38" s="135" t="s">
        <v>97</v>
      </c>
      <c r="B38" s="160">
        <v>13.3</v>
      </c>
      <c r="C38" s="160">
        <v>34.799999999999997</v>
      </c>
      <c r="D38" s="160">
        <f>B38+C38</f>
        <v>48.099999999999994</v>
      </c>
      <c r="E38" s="160">
        <v>2.431</v>
      </c>
      <c r="F38" s="160">
        <v>18.280999999999999</v>
      </c>
      <c r="G38" s="160">
        <f>SUM(E38:F38)</f>
        <v>20.712</v>
      </c>
    </row>
    <row r="39" spans="1:10" x14ac:dyDescent="0.3">
      <c r="A39" s="135" t="s">
        <v>84</v>
      </c>
      <c r="B39" s="161">
        <f>B38/($D$38+$D$41)</f>
        <v>0.23251748251748255</v>
      </c>
      <c r="C39" s="161">
        <f>C38/($D$38+$D$41)</f>
        <v>0.60839160839160844</v>
      </c>
      <c r="D39" s="161">
        <f>D38/($D$38+$D$41)</f>
        <v>0.84090909090909083</v>
      </c>
      <c r="E39" s="87">
        <f>E38/23.2</f>
        <v>0.10478448275862069</v>
      </c>
      <c r="F39" s="87">
        <f>F38/23.2</f>
        <v>0.78797413793103444</v>
      </c>
      <c r="G39" s="87">
        <f>G38/23.2</f>
        <v>0.89275862068965517</v>
      </c>
    </row>
    <row r="40" spans="1:10" ht="13.8" x14ac:dyDescent="0.25">
      <c r="A40" s="134" t="s">
        <v>38</v>
      </c>
      <c r="B40" s="76"/>
      <c r="C40" s="76"/>
      <c r="D40" s="76"/>
      <c r="E40" s="76"/>
      <c r="F40" s="76"/>
      <c r="G40" s="76"/>
    </row>
    <row r="41" spans="1:10" x14ac:dyDescent="0.3">
      <c r="A41" s="135" t="s">
        <v>97</v>
      </c>
      <c r="B41" s="160">
        <v>2.9</v>
      </c>
      <c r="C41" s="160">
        <v>6.2</v>
      </c>
      <c r="D41" s="162">
        <f>B41+C41</f>
        <v>9.1</v>
      </c>
      <c r="E41" s="160">
        <f>108/1000</f>
        <v>0.108</v>
      </c>
      <c r="F41" s="160">
        <v>2.375</v>
      </c>
      <c r="G41" s="163">
        <f>SUM(E41:F41)</f>
        <v>2.4830000000000001</v>
      </c>
      <c r="H41" s="86"/>
      <c r="I41" s="86"/>
      <c r="J41" s="86"/>
    </row>
    <row r="42" spans="1:10" x14ac:dyDescent="0.3">
      <c r="A42" s="135" t="s">
        <v>84</v>
      </c>
      <c r="B42" s="87">
        <f>B41/($D$38+$D$41)</f>
        <v>5.0699300699300703E-2</v>
      </c>
      <c r="C42" s="87">
        <f>C41/($D$38+$D$41)</f>
        <v>0.1083916083916084</v>
      </c>
      <c r="D42" s="87">
        <f>D41/($D$38+$D$41)</f>
        <v>0.15909090909090909</v>
      </c>
      <c r="E42" s="87">
        <f>E41/23.2</f>
        <v>4.6551724137931039E-3</v>
      </c>
      <c r="F42" s="87">
        <f>F41/23.2</f>
        <v>0.10237068965517242</v>
      </c>
      <c r="G42" s="87">
        <f>G41/23.2</f>
        <v>0.10702586206896553</v>
      </c>
      <c r="H42" s="86"/>
      <c r="I42" s="86"/>
      <c r="J42" s="86"/>
    </row>
    <row r="43" spans="1:10" ht="13.8" x14ac:dyDescent="0.25">
      <c r="A43" s="130"/>
      <c r="B43" s="87"/>
      <c r="C43" s="87"/>
      <c r="D43" s="87"/>
      <c r="E43" s="87"/>
      <c r="F43" s="87"/>
      <c r="G43" s="87"/>
    </row>
    <row r="44" spans="1:10" x14ac:dyDescent="0.3">
      <c r="A44" s="67" t="s">
        <v>39</v>
      </c>
      <c r="B44" s="173" t="s">
        <v>72</v>
      </c>
      <c r="C44" s="173"/>
      <c r="D44" s="174"/>
      <c r="E44" s="88"/>
      <c r="F44" s="88"/>
    </row>
    <row r="45" spans="1:10" x14ac:dyDescent="0.3">
      <c r="A45" s="138"/>
      <c r="B45" s="84">
        <v>1998</v>
      </c>
      <c r="C45" s="84">
        <v>1996</v>
      </c>
      <c r="D45" s="78"/>
      <c r="E45" s="76"/>
    </row>
    <row r="46" spans="1:10" x14ac:dyDescent="0.3">
      <c r="A46" s="136" t="s">
        <v>98</v>
      </c>
      <c r="B46" s="69">
        <v>8</v>
      </c>
      <c r="C46" s="69">
        <v>1.8</v>
      </c>
      <c r="D46" s="77"/>
      <c r="E46" s="76"/>
    </row>
    <row r="47" spans="1:10" x14ac:dyDescent="0.3">
      <c r="A47" s="136" t="s">
        <v>99</v>
      </c>
      <c r="B47" s="69">
        <v>6.57</v>
      </c>
      <c r="C47" s="164">
        <v>6.85</v>
      </c>
      <c r="D47" s="77"/>
      <c r="E47" s="78" t="s">
        <v>0</v>
      </c>
    </row>
    <row r="48" spans="1:10" ht="13.8" x14ac:dyDescent="0.25">
      <c r="A48" s="136"/>
      <c r="B48" s="139"/>
      <c r="C48" s="139"/>
      <c r="D48" s="77"/>
      <c r="E48" s="78"/>
    </row>
    <row r="49" spans="1:5" x14ac:dyDescent="0.3">
      <c r="B49" s="77" t="s">
        <v>0</v>
      </c>
      <c r="C49" s="88" t="s">
        <v>0</v>
      </c>
      <c r="D49" s="65" t="s">
        <v>0</v>
      </c>
      <c r="E49" s="78" t="s">
        <v>0</v>
      </c>
    </row>
    <row r="50" spans="1:5" ht="32.25" customHeight="1" x14ac:dyDescent="0.3">
      <c r="A50" s="67" t="s">
        <v>111</v>
      </c>
      <c r="B50" s="173" t="s">
        <v>72</v>
      </c>
      <c r="C50" s="173"/>
      <c r="D50" s="174"/>
    </row>
    <row r="51" spans="1:5" x14ac:dyDescent="0.3">
      <c r="A51" s="89"/>
      <c r="B51" s="127">
        <v>1998</v>
      </c>
      <c r="C51" s="127">
        <v>1992</v>
      </c>
      <c r="D51" s="69"/>
    </row>
    <row r="52" spans="1:5" x14ac:dyDescent="0.3">
      <c r="A52" s="136" t="s">
        <v>100</v>
      </c>
      <c r="B52" s="127">
        <v>131</v>
      </c>
      <c r="C52" s="165">
        <v>67.2</v>
      </c>
    </row>
    <row r="53" spans="1:5" x14ac:dyDescent="0.3">
      <c r="A53" s="137" t="s">
        <v>40</v>
      </c>
      <c r="B53" s="166">
        <f>60.9/B52</f>
        <v>0.46488549618320607</v>
      </c>
      <c r="C53" s="167">
        <v>0.59</v>
      </c>
      <c r="D53" s="125"/>
    </row>
    <row r="54" spans="1:5" x14ac:dyDescent="0.3">
      <c r="A54" s="137" t="s">
        <v>81</v>
      </c>
      <c r="B54" s="166">
        <f>70.1/B52</f>
        <v>0.53511450381679382</v>
      </c>
      <c r="C54" s="167">
        <v>0.41</v>
      </c>
      <c r="D54" s="125"/>
    </row>
    <row r="55" spans="1:5" x14ac:dyDescent="0.3">
      <c r="A55" s="131" t="s">
        <v>101</v>
      </c>
      <c r="B55" s="154">
        <f>B52/341</f>
        <v>0.38416422287390029</v>
      </c>
      <c r="C55" s="153">
        <f>C52/242.9</f>
        <v>0.27665706051873201</v>
      </c>
      <c r="D55" s="126"/>
    </row>
    <row r="57" spans="1:5" ht="13.8" x14ac:dyDescent="0.25">
      <c r="A57" s="129" t="s">
        <v>85</v>
      </c>
    </row>
    <row r="58" spans="1:5" ht="13.8" x14ac:dyDescent="0.25">
      <c r="A58" s="129" t="s">
        <v>41</v>
      </c>
    </row>
    <row r="59" spans="1:5" ht="13.8" x14ac:dyDescent="0.25">
      <c r="A59" s="65"/>
    </row>
  </sheetData>
  <mergeCells count="7">
    <mergeCell ref="B50:D50"/>
    <mergeCell ref="F4:G4"/>
    <mergeCell ref="B11:C11"/>
    <mergeCell ref="B19:C19"/>
    <mergeCell ref="B4:C4"/>
    <mergeCell ref="D4:E4"/>
    <mergeCell ref="B44:D44"/>
  </mergeCells>
  <printOptions horizontalCentered="1" verticalCentered="1"/>
  <pageMargins left="0.37" right="0.41" top="0.49" bottom="0.28999999999999998" header="0.25" footer="0.28000000000000003"/>
  <pageSetup scale="74" orientation="portrait" horizontalDpi="4294967292" r:id="rId1"/>
  <headerFooter alignWithMargins="0">
    <oddHeader>&amp;R &amp;"Times New Roman,Bold"&amp;12ANNEX 1</oddHeader>
    <oddFooter xml:space="preserve">&amp;C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topLeftCell="B1" zoomScale="90" zoomScaleNormal="90" workbookViewId="0">
      <selection activeCell="E36" sqref="E36"/>
    </sheetView>
  </sheetViews>
  <sheetFormatPr defaultColWidth="8" defaultRowHeight="12" x14ac:dyDescent="0.25"/>
  <cols>
    <col min="1" max="1" width="29.109375" style="96" customWidth="1"/>
    <col min="2" max="2" width="7.33203125" style="96" customWidth="1"/>
    <col min="3" max="3" width="7" style="96" customWidth="1"/>
    <col min="4" max="4" width="7.33203125" style="96" customWidth="1"/>
    <col min="5" max="5" width="7" style="96" customWidth="1"/>
    <col min="6" max="6" width="7.33203125" style="96" customWidth="1"/>
    <col min="7" max="7" width="7" style="96" customWidth="1"/>
    <col min="8" max="8" width="7.33203125" style="96" customWidth="1"/>
    <col min="9" max="9" width="7" style="96" customWidth="1"/>
    <col min="10" max="10" width="7.33203125" style="96" customWidth="1"/>
    <col min="11" max="11" width="7" style="96" customWidth="1"/>
    <col min="12" max="12" width="8.33203125" style="96" customWidth="1"/>
    <col min="13" max="13" width="7.44140625" style="96" customWidth="1"/>
    <col min="14" max="16384" width="8" style="96"/>
  </cols>
  <sheetData>
    <row r="1" spans="1:17" s="92" customFormat="1" ht="18" x14ac:dyDescent="0.35">
      <c r="A1" s="90" t="s">
        <v>42</v>
      </c>
      <c r="C1"/>
      <c r="D1" s="91"/>
      <c r="E1" s="91"/>
      <c r="F1" s="91"/>
      <c r="G1" s="91"/>
      <c r="H1" s="91"/>
      <c r="I1" s="91"/>
      <c r="J1" s="91"/>
    </row>
    <row r="2" spans="1:17" ht="13.2" x14ac:dyDescent="0.25">
      <c r="A2" s="93" t="s">
        <v>43</v>
      </c>
      <c r="B2" s="94"/>
      <c r="C2" s="94"/>
      <c r="D2" s="94"/>
      <c r="E2" s="94"/>
      <c r="F2" s="94"/>
      <c r="G2" s="94"/>
      <c r="H2" s="94"/>
      <c r="I2" s="94"/>
      <c r="J2" s="94"/>
      <c r="K2" s="95"/>
    </row>
    <row r="3" spans="1:17" ht="13.2" x14ac:dyDescent="0.25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</row>
    <row r="4" spans="1:17" ht="13.2" x14ac:dyDescent="0.25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1:17" s="102" customFormat="1" ht="13.2" x14ac:dyDescent="0.25">
      <c r="A5" s="101"/>
      <c r="B5" s="176">
        <v>1992</v>
      </c>
      <c r="C5" s="176"/>
      <c r="D5" s="176">
        <v>1993</v>
      </c>
      <c r="E5" s="176"/>
      <c r="F5" s="176">
        <v>1994</v>
      </c>
      <c r="G5" s="176"/>
      <c r="H5" s="176">
        <v>1995</v>
      </c>
      <c r="I5" s="176"/>
      <c r="J5" s="176">
        <v>1996</v>
      </c>
      <c r="K5" s="177"/>
      <c r="L5" s="176">
        <v>1997</v>
      </c>
      <c r="M5" s="177"/>
      <c r="N5" s="176">
        <v>1998</v>
      </c>
      <c r="O5" s="177"/>
      <c r="P5" s="176"/>
      <c r="Q5" s="178"/>
    </row>
    <row r="6" spans="1:17" ht="13.2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9"/>
      <c r="Q6" s="99"/>
    </row>
    <row r="7" spans="1:17" ht="13.2" x14ac:dyDescent="0.25">
      <c r="A7" s="99"/>
      <c r="B7" s="124" t="s">
        <v>102</v>
      </c>
      <c r="C7" s="99"/>
      <c r="D7" s="99"/>
      <c r="E7" s="99"/>
      <c r="F7" s="99"/>
      <c r="G7" s="99"/>
      <c r="H7" s="99"/>
      <c r="I7" s="99"/>
      <c r="J7" s="99"/>
      <c r="K7" s="95"/>
    </row>
    <row r="8" spans="1:17" ht="13.2" x14ac:dyDescent="0.25">
      <c r="A8" s="94" t="s">
        <v>0</v>
      </c>
      <c r="B8" s="94"/>
      <c r="C8" s="94"/>
      <c r="D8" s="94"/>
      <c r="E8" s="94"/>
      <c r="F8" s="94"/>
      <c r="G8" s="94"/>
      <c r="H8" s="94"/>
      <c r="I8" s="94"/>
      <c r="J8" s="94"/>
      <c r="K8" s="103"/>
    </row>
    <row r="9" spans="1:17" s="105" customFormat="1" ht="13.2" x14ac:dyDescent="0.2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</row>
    <row r="10" spans="1:17" s="105" customFormat="1" ht="13.2" x14ac:dyDescent="0.25">
      <c r="A10" s="106" t="s">
        <v>44</v>
      </c>
      <c r="B10" s="104">
        <f>B11+B12</f>
        <v>101666</v>
      </c>
      <c r="C10" s="107">
        <f>B10/$B$32</f>
        <v>0.4786624983521347</v>
      </c>
      <c r="D10" s="104">
        <f>D11+D12</f>
        <v>106337</v>
      </c>
      <c r="E10" s="107">
        <f>D10/$D$32</f>
        <v>0.459726335358077</v>
      </c>
      <c r="F10" s="104">
        <f t="shared" ref="F10:N10" si="0">F11+F12</f>
        <v>117141</v>
      </c>
      <c r="G10" s="107">
        <f>F10/$F$32</f>
        <v>0.45265586237277133</v>
      </c>
      <c r="H10" s="104">
        <f t="shared" si="0"/>
        <v>126481</v>
      </c>
      <c r="I10" s="107">
        <f>H10/$H$32</f>
        <v>0.45151951107192195</v>
      </c>
      <c r="J10" s="104">
        <f t="shared" si="0"/>
        <v>133337</v>
      </c>
      <c r="K10" s="107">
        <f>J10/$J$32</f>
        <v>0.43868647720318743</v>
      </c>
      <c r="L10" s="104">
        <f t="shared" si="0"/>
        <v>143591</v>
      </c>
      <c r="M10" s="107">
        <f>L10/$L$32</f>
        <v>0.43459482690782741</v>
      </c>
      <c r="N10" s="145">
        <f t="shared" si="0"/>
        <v>153789</v>
      </c>
      <c r="O10" s="149">
        <f>N10/$N$32</f>
        <v>0.4271287838179379</v>
      </c>
    </row>
    <row r="11" spans="1:17" s="105" customFormat="1" ht="13.2" x14ac:dyDescent="0.25">
      <c r="A11" s="104" t="s">
        <v>45</v>
      </c>
      <c r="B11" s="104">
        <v>35745</v>
      </c>
      <c r="C11" s="107">
        <f t="shared" ref="C11:C19" si="1">B11/$B$32</f>
        <v>0.16829412983295353</v>
      </c>
      <c r="D11" s="104">
        <v>37202</v>
      </c>
      <c r="E11" s="107">
        <f t="shared" ref="E11:E19" si="2">D11/$D$32</f>
        <v>0.16083526080283608</v>
      </c>
      <c r="F11" s="104">
        <v>41107</v>
      </c>
      <c r="G11" s="107">
        <f t="shared" ref="G11:G25" si="3">F11/$F$32</f>
        <v>0.15884553260222734</v>
      </c>
      <c r="H11" s="104">
        <v>43261</v>
      </c>
      <c r="I11" s="107">
        <f t="shared" ref="I11:I25" si="4">H11/$H$32</f>
        <v>0.15443573001859898</v>
      </c>
      <c r="J11" s="104">
        <v>46447</v>
      </c>
      <c r="K11" s="107">
        <f t="shared" ref="K11:K26" si="5">J11/$J$32</f>
        <v>0.15281332868338454</v>
      </c>
      <c r="L11" s="104">
        <v>48640</v>
      </c>
      <c r="M11" s="107">
        <f t="shared" ref="M11:M32" si="6">L11/$L$32</f>
        <v>0.14721460523846708</v>
      </c>
      <c r="N11" s="145">
        <v>50644</v>
      </c>
      <c r="O11" s="149">
        <f t="shared" ref="O11:O32" si="7">N11/$N$32</f>
        <v>0.14065706993137123</v>
      </c>
    </row>
    <row r="12" spans="1:17" s="105" customFormat="1" ht="13.2" x14ac:dyDescent="0.25">
      <c r="A12" s="104" t="s">
        <v>46</v>
      </c>
      <c r="B12" s="104">
        <v>65921</v>
      </c>
      <c r="C12" s="107">
        <f t="shared" si="1"/>
        <v>0.31036836851918115</v>
      </c>
      <c r="D12" s="104">
        <v>69135</v>
      </c>
      <c r="E12" s="107">
        <f t="shared" si="2"/>
        <v>0.29889107455524094</v>
      </c>
      <c r="F12" s="104">
        <v>76034</v>
      </c>
      <c r="G12" s="107">
        <f t="shared" si="3"/>
        <v>0.293810329770544</v>
      </c>
      <c r="H12" s="104">
        <v>83220</v>
      </c>
      <c r="I12" s="107">
        <f t="shared" si="4"/>
        <v>0.297083781053323</v>
      </c>
      <c r="J12" s="104">
        <v>86890</v>
      </c>
      <c r="K12" s="107">
        <f t="shared" si="5"/>
        <v>0.28587314851980283</v>
      </c>
      <c r="L12" s="104">
        <v>94951</v>
      </c>
      <c r="M12" s="107">
        <f t="shared" si="6"/>
        <v>0.28738022166936034</v>
      </c>
      <c r="N12" s="145">
        <v>103145</v>
      </c>
      <c r="O12" s="149">
        <f t="shared" si="7"/>
        <v>0.28647171388656673</v>
      </c>
    </row>
    <row r="13" spans="1:17" s="105" customFormat="1" ht="13.2" x14ac:dyDescent="0.25">
      <c r="A13" s="104"/>
      <c r="B13" s="104"/>
      <c r="C13" s="104"/>
      <c r="D13" s="104"/>
      <c r="E13" s="104"/>
      <c r="F13" s="104"/>
      <c r="G13" s="107" t="s">
        <v>0</v>
      </c>
      <c r="H13" s="104"/>
      <c r="I13" s="107" t="s">
        <v>0</v>
      </c>
      <c r="J13" s="104"/>
      <c r="K13" s="107" t="s">
        <v>0</v>
      </c>
      <c r="L13" s="104"/>
      <c r="M13" s="107"/>
      <c r="N13" s="145"/>
      <c r="O13" s="149"/>
    </row>
    <row r="14" spans="1:17" s="105" customFormat="1" ht="13.2" x14ac:dyDescent="0.25">
      <c r="A14" s="106" t="s">
        <v>47</v>
      </c>
      <c r="B14" s="104">
        <f>SUM(B17:B19)+B15</f>
        <v>61702</v>
      </c>
      <c r="C14" s="107">
        <f t="shared" si="1"/>
        <v>0.29050452927550424</v>
      </c>
      <c r="D14" s="104">
        <f t="shared" ref="D14:N14" si="8">SUM(D17:D19)+D15</f>
        <v>68850</v>
      </c>
      <c r="E14" s="107">
        <f t="shared" si="2"/>
        <v>0.29765893517217529</v>
      </c>
      <c r="F14" s="104">
        <f t="shared" si="8"/>
        <v>76582</v>
      </c>
      <c r="G14" s="107">
        <f t="shared" si="3"/>
        <v>0.2959279095468843</v>
      </c>
      <c r="H14" s="104">
        <f t="shared" si="8"/>
        <v>84563</v>
      </c>
      <c r="I14" s="107">
        <f t="shared" si="4"/>
        <v>0.30187810354737027</v>
      </c>
      <c r="J14" s="104">
        <f t="shared" si="8"/>
        <v>91072</v>
      </c>
      <c r="K14" s="107">
        <f t="shared" si="5"/>
        <v>0.29963217150414878</v>
      </c>
      <c r="L14" s="104">
        <f t="shared" si="8"/>
        <v>98303</v>
      </c>
      <c r="M14" s="107">
        <f t="shared" si="6"/>
        <v>0.29752543870799814</v>
      </c>
      <c r="N14" s="145">
        <f t="shared" si="8"/>
        <v>101975</v>
      </c>
      <c r="O14" s="149">
        <f t="shared" si="7"/>
        <v>0.28322219228835754</v>
      </c>
    </row>
    <row r="15" spans="1:17" s="105" customFormat="1" ht="13.2" x14ac:dyDescent="0.25">
      <c r="A15" s="104" t="s">
        <v>48</v>
      </c>
      <c r="B15" s="104">
        <v>14912</v>
      </c>
      <c r="C15" s="107">
        <f t="shared" si="1"/>
        <v>7.0208478502420013E-2</v>
      </c>
      <c r="D15" s="104">
        <v>15959</v>
      </c>
      <c r="E15" s="107">
        <f t="shared" si="2"/>
        <v>6.8995482155595422E-2</v>
      </c>
      <c r="F15" s="104">
        <v>18684</v>
      </c>
      <c r="G15" s="107">
        <f t="shared" si="3"/>
        <v>7.2198650622522079E-2</v>
      </c>
      <c r="H15" s="104">
        <v>21279</v>
      </c>
      <c r="I15" s="107">
        <f t="shared" si="4"/>
        <v>7.5963059084759199E-2</v>
      </c>
      <c r="J15" s="104">
        <v>23281</v>
      </c>
      <c r="K15" s="107">
        <f t="shared" si="5"/>
        <v>7.659584268258178E-2</v>
      </c>
      <c r="L15" s="104">
        <v>25983</v>
      </c>
      <c r="M15" s="107">
        <f t="shared" si="6"/>
        <v>7.8640565129751025E-2</v>
      </c>
      <c r="N15" s="145">
        <v>29523</v>
      </c>
      <c r="O15" s="149">
        <f t="shared" si="7"/>
        <v>8.199626166147761E-2</v>
      </c>
    </row>
    <row r="16" spans="1:17" s="105" customFormat="1" ht="13.2" x14ac:dyDescent="0.25">
      <c r="A16" s="104" t="s">
        <v>49</v>
      </c>
      <c r="B16" s="104">
        <v>2150</v>
      </c>
      <c r="C16" s="107">
        <f t="shared" si="1"/>
        <v>1.0122601178929923E-2</v>
      </c>
      <c r="D16" s="104">
        <v>2342</v>
      </c>
      <c r="E16" s="107">
        <f t="shared" si="2"/>
        <v>1.0125159421542984E-2</v>
      </c>
      <c r="F16" s="104">
        <v>2754</v>
      </c>
      <c r="G16" s="107">
        <f t="shared" si="3"/>
        <v>1.0641997635111637E-2</v>
      </c>
      <c r="H16" s="104">
        <v>3292</v>
      </c>
      <c r="I16" s="107">
        <f t="shared" si="4"/>
        <v>1.1751980380047336E-2</v>
      </c>
      <c r="J16" s="104">
        <v>3866</v>
      </c>
      <c r="K16" s="107">
        <f t="shared" si="5"/>
        <v>1.2719364623979259E-2</v>
      </c>
      <c r="L16" s="104">
        <v>4553</v>
      </c>
      <c r="M16" s="107">
        <f t="shared" si="6"/>
        <v>1.3780182928674766E-2</v>
      </c>
      <c r="N16" s="145">
        <v>5330</v>
      </c>
      <c r="O16" s="149">
        <f t="shared" si="7"/>
        <v>1.4803376169619473E-2</v>
      </c>
    </row>
    <row r="17" spans="1:16" ht="13.2" x14ac:dyDescent="0.25">
      <c r="A17" s="95" t="s">
        <v>50</v>
      </c>
      <c r="B17" s="95">
        <v>37467</v>
      </c>
      <c r="C17" s="107">
        <f t="shared" si="1"/>
        <v>0.17640162714928717</v>
      </c>
      <c r="D17" s="95">
        <v>43986</v>
      </c>
      <c r="E17" s="107">
        <f t="shared" si="2"/>
        <v>0.19016450141587946</v>
      </c>
      <c r="F17" s="95">
        <v>46672</v>
      </c>
      <c r="G17" s="107">
        <f t="shared" si="3"/>
        <v>0.18034978708276336</v>
      </c>
      <c r="H17" s="95">
        <v>51488</v>
      </c>
      <c r="I17" s="107">
        <f t="shared" si="4"/>
        <v>0.18380497138756904</v>
      </c>
      <c r="J17" s="95">
        <v>56144</v>
      </c>
      <c r="K17" s="107">
        <f t="shared" si="5"/>
        <v>0.18471702210261035</v>
      </c>
      <c r="L17" s="95">
        <v>63035</v>
      </c>
      <c r="M17" s="107">
        <f t="shared" si="6"/>
        <v>0.19078274344586291</v>
      </c>
      <c r="N17" s="145">
        <v>64012</v>
      </c>
      <c r="O17" s="149">
        <f t="shared" si="7"/>
        <v>0.17778493721757629</v>
      </c>
    </row>
    <row r="18" spans="1:16" ht="13.2" x14ac:dyDescent="0.25">
      <c r="A18" s="95" t="s">
        <v>51</v>
      </c>
      <c r="B18" s="95">
        <f>5513</f>
        <v>5513</v>
      </c>
      <c r="C18" s="107">
        <f t="shared" si="1"/>
        <v>2.5956232697414264E-2</v>
      </c>
      <c r="D18" s="95">
        <f>7571</f>
        <v>7571</v>
      </c>
      <c r="E18" s="107">
        <f t="shared" si="2"/>
        <v>3.2731674628736947E-2</v>
      </c>
      <c r="F18" s="95">
        <f>11098</f>
        <v>11098</v>
      </c>
      <c r="G18" s="107">
        <f t="shared" si="3"/>
        <v>4.2884854667563158E-2</v>
      </c>
      <c r="H18" s="95">
        <f>11734</f>
        <v>11734</v>
      </c>
      <c r="I18" s="107">
        <f t="shared" si="4"/>
        <v>4.1888741731310887E-2</v>
      </c>
      <c r="J18" s="95">
        <v>11638</v>
      </c>
      <c r="K18" s="107">
        <f t="shared" si="5"/>
        <v>3.8289696196034825E-2</v>
      </c>
      <c r="L18" s="95">
        <v>9195</v>
      </c>
      <c r="M18" s="107">
        <f t="shared" si="6"/>
        <v>2.7829734686836038E-2</v>
      </c>
      <c r="N18" s="145">
        <v>8368</v>
      </c>
      <c r="O18" s="149">
        <f t="shared" si="7"/>
        <v>2.3241022849413838E-2</v>
      </c>
    </row>
    <row r="19" spans="1:16" ht="13.2" x14ac:dyDescent="0.25">
      <c r="A19" s="95" t="s">
        <v>52</v>
      </c>
      <c r="B19" s="95">
        <v>3810</v>
      </c>
      <c r="C19" s="107">
        <f t="shared" si="1"/>
        <v>1.7938190926382793E-2</v>
      </c>
      <c r="D19" s="95">
        <v>1334</v>
      </c>
      <c r="E19" s="107">
        <f t="shared" si="2"/>
        <v>5.7672769719634247E-3</v>
      </c>
      <c r="F19" s="95">
        <v>128</v>
      </c>
      <c r="G19" s="107">
        <f t="shared" si="3"/>
        <v>4.9461717403568976E-4</v>
      </c>
      <c r="H19" s="95">
        <v>62</v>
      </c>
      <c r="I19" s="107">
        <f t="shared" si="4"/>
        <v>2.2133134373114667E-4</v>
      </c>
      <c r="J19" s="95">
        <v>9</v>
      </c>
      <c r="K19" s="107">
        <f t="shared" si="5"/>
        <v>2.96105229218348E-5</v>
      </c>
      <c r="L19" s="95">
        <v>90</v>
      </c>
      <c r="M19" s="107">
        <f t="shared" si="6"/>
        <v>2.7239544554815044E-4</v>
      </c>
      <c r="N19" s="145">
        <v>72</v>
      </c>
      <c r="O19" s="149">
        <f t="shared" si="7"/>
        <v>1.99970559889794E-4</v>
      </c>
    </row>
    <row r="20" spans="1:16" ht="13.2" x14ac:dyDescent="0.25">
      <c r="A20" s="95"/>
      <c r="B20" s="95"/>
      <c r="C20" s="95"/>
      <c r="D20" s="95"/>
      <c r="E20" s="95"/>
      <c r="F20" s="95"/>
      <c r="G20" s="107" t="s">
        <v>0</v>
      </c>
      <c r="H20" s="95"/>
      <c r="I20" s="107" t="s">
        <v>0</v>
      </c>
      <c r="J20" s="95"/>
      <c r="K20" s="107" t="s">
        <v>0</v>
      </c>
      <c r="L20" s="95"/>
      <c r="M20" s="107"/>
      <c r="N20" s="145"/>
      <c r="O20" s="149"/>
    </row>
    <row r="21" spans="1:16" ht="13.2" x14ac:dyDescent="0.25">
      <c r="A21" s="106" t="s">
        <v>82</v>
      </c>
      <c r="B21" s="108"/>
      <c r="C21" s="108"/>
      <c r="D21" s="108"/>
      <c r="E21" s="108"/>
      <c r="F21" s="108"/>
      <c r="G21" s="107" t="s">
        <v>0</v>
      </c>
      <c r="H21" s="108"/>
      <c r="I21" s="107" t="s">
        <v>0</v>
      </c>
      <c r="J21" s="95">
        <v>1915</v>
      </c>
      <c r="K21" s="107">
        <f t="shared" si="5"/>
        <v>6.3004612661459606E-3</v>
      </c>
      <c r="L21" s="95">
        <v>5765</v>
      </c>
      <c r="M21" s="107">
        <f t="shared" si="6"/>
        <v>1.7448441595389858E-2</v>
      </c>
      <c r="N21" s="145">
        <v>15744</v>
      </c>
      <c r="O21" s="149">
        <f t="shared" si="7"/>
        <v>4.3726895762568288E-2</v>
      </c>
    </row>
    <row r="22" spans="1:16" ht="13.2" x14ac:dyDescent="0.25">
      <c r="A22" s="95"/>
      <c r="B22" s="95"/>
      <c r="C22" s="95"/>
      <c r="D22" s="95"/>
      <c r="E22" s="95"/>
      <c r="F22" s="95"/>
      <c r="G22" s="107" t="s">
        <v>0</v>
      </c>
      <c r="H22" s="95"/>
      <c r="I22" s="107" t="s">
        <v>0</v>
      </c>
      <c r="J22" s="95"/>
      <c r="K22" s="107" t="s">
        <v>0</v>
      </c>
      <c r="L22" s="95"/>
      <c r="M22" s="107"/>
      <c r="N22" s="145"/>
      <c r="O22" s="149"/>
    </row>
    <row r="23" spans="1:16" ht="13.2" x14ac:dyDescent="0.25">
      <c r="A23" s="108" t="s">
        <v>53</v>
      </c>
      <c r="B23" s="104">
        <f>B24</f>
        <v>7719</v>
      </c>
      <c r="C23" s="107">
        <f>B23/$B$32</f>
        <v>3.6342492325655854E-2</v>
      </c>
      <c r="D23" s="104">
        <f>D24</f>
        <v>9241</v>
      </c>
      <c r="E23" s="107">
        <f>D23/$D$32</f>
        <v>3.995157908389356E-2</v>
      </c>
      <c r="F23" s="104">
        <f>F24</f>
        <v>11756</v>
      </c>
      <c r="G23" s="107">
        <f t="shared" si="3"/>
        <v>4.5427496077840378E-2</v>
      </c>
      <c r="H23" s="104">
        <f>H24</f>
        <v>12117</v>
      </c>
      <c r="I23" s="107">
        <f t="shared" si="4"/>
        <v>4.3255998257908136E-2</v>
      </c>
      <c r="J23" s="104">
        <f>J24+J26</f>
        <v>13374</v>
      </c>
      <c r="K23" s="107">
        <f t="shared" si="5"/>
        <v>4.4001237061846513E-2</v>
      </c>
      <c r="L23" s="104">
        <f>L24+L26</f>
        <v>11620</v>
      </c>
      <c r="M23" s="107">
        <f t="shared" si="6"/>
        <v>3.5169278636327871E-2</v>
      </c>
      <c r="N23" s="145">
        <f>N24+N26</f>
        <v>11093</v>
      </c>
      <c r="O23" s="149">
        <f t="shared" si="7"/>
        <v>3.0809353067465066E-2</v>
      </c>
    </row>
    <row r="24" spans="1:16" ht="13.2" x14ac:dyDescent="0.25">
      <c r="A24" s="95" t="s">
        <v>54</v>
      </c>
      <c r="B24" s="104">
        <v>7719</v>
      </c>
      <c r="C24" s="107">
        <f>B24/$B$32</f>
        <v>3.6342492325655854E-2</v>
      </c>
      <c r="D24" s="104">
        <v>9241</v>
      </c>
      <c r="E24" s="107">
        <f>D24/$D$32</f>
        <v>3.995157908389356E-2</v>
      </c>
      <c r="F24" s="104">
        <v>11756</v>
      </c>
      <c r="G24" s="107">
        <f t="shared" si="3"/>
        <v>4.5427496077840378E-2</v>
      </c>
      <c r="H24" s="104">
        <v>12117</v>
      </c>
      <c r="I24" s="107">
        <f t="shared" si="4"/>
        <v>4.3255998257908136E-2</v>
      </c>
      <c r="J24" s="104">
        <v>12764</v>
      </c>
      <c r="K24" s="107">
        <f t="shared" si="5"/>
        <v>4.1994301619366597E-2</v>
      </c>
      <c r="L24" s="95">
        <v>10908</v>
      </c>
      <c r="M24" s="107">
        <f t="shared" si="6"/>
        <v>3.3014328000435834E-2</v>
      </c>
      <c r="N24" s="145">
        <v>10329</v>
      </c>
      <c r="O24" s="149">
        <f t="shared" si="7"/>
        <v>2.8687443237523366E-2</v>
      </c>
    </row>
    <row r="25" spans="1:16" ht="13.2" x14ac:dyDescent="0.25">
      <c r="A25" s="95" t="s">
        <v>55</v>
      </c>
      <c r="B25" s="95">
        <f>1011+5171</f>
        <v>6182</v>
      </c>
      <c r="C25" s="107">
        <f>B25/$B$32</f>
        <v>2.9106009529369668E-2</v>
      </c>
      <c r="D25" s="95">
        <f>1133+6760</f>
        <v>7893</v>
      </c>
      <c r="E25" s="107">
        <f>D25/$D$32</f>
        <v>3.4123775966797089E-2</v>
      </c>
      <c r="F25" s="95">
        <v>10623</v>
      </c>
      <c r="G25" s="107">
        <f t="shared" si="3"/>
        <v>4.1049361248290096E-2</v>
      </c>
      <c r="H25" s="95">
        <v>11196</v>
      </c>
      <c r="I25" s="107">
        <f t="shared" si="4"/>
        <v>3.996815684538578E-2</v>
      </c>
      <c r="J25" s="95">
        <v>10759</v>
      </c>
      <c r="K25" s="107">
        <f t="shared" si="5"/>
        <v>3.5397735124002287E-2</v>
      </c>
      <c r="L25" s="95">
        <v>9357</v>
      </c>
      <c r="M25" s="107">
        <f t="shared" si="6"/>
        <v>2.8320046488822706E-2</v>
      </c>
      <c r="N25" s="145">
        <v>9299</v>
      </c>
      <c r="O25" s="149">
        <f t="shared" si="7"/>
        <v>2.5826753283544366E-2</v>
      </c>
    </row>
    <row r="26" spans="1:16" ht="13.2" x14ac:dyDescent="0.25">
      <c r="A26" s="95" t="s">
        <v>56</v>
      </c>
      <c r="B26" s="95" t="s">
        <v>0</v>
      </c>
      <c r="C26" s="95"/>
      <c r="D26" s="95" t="s">
        <v>0</v>
      </c>
      <c r="E26" s="95"/>
      <c r="F26" s="109" t="s">
        <v>0</v>
      </c>
      <c r="G26" s="107" t="s">
        <v>0</v>
      </c>
      <c r="H26" s="95" t="s">
        <v>0</v>
      </c>
      <c r="I26" s="107" t="s">
        <v>0</v>
      </c>
      <c r="J26" s="95">
        <v>610</v>
      </c>
      <c r="K26" s="107">
        <f t="shared" si="5"/>
        <v>2.0069354424799143E-3</v>
      </c>
      <c r="L26" s="95">
        <v>712</v>
      </c>
      <c r="M26" s="107">
        <f t="shared" si="6"/>
        <v>2.1549506358920344E-3</v>
      </c>
      <c r="N26" s="145">
        <v>764</v>
      </c>
      <c r="O26" s="149">
        <f t="shared" si="7"/>
        <v>2.121909829941703E-3</v>
      </c>
    </row>
    <row r="27" spans="1:16" ht="13.2" x14ac:dyDescent="0.25">
      <c r="A27" s="95"/>
      <c r="B27" s="95"/>
      <c r="C27" s="95"/>
      <c r="D27" s="95"/>
      <c r="E27" s="95"/>
      <c r="F27" s="95"/>
      <c r="G27" s="107" t="s">
        <v>0</v>
      </c>
      <c r="H27" s="95"/>
      <c r="I27" s="107" t="s">
        <v>0</v>
      </c>
      <c r="J27" s="95"/>
      <c r="K27" s="107" t="s">
        <v>0</v>
      </c>
      <c r="L27" s="95"/>
      <c r="M27" s="107"/>
      <c r="N27" s="145"/>
      <c r="O27" s="149"/>
    </row>
    <row r="28" spans="1:16" ht="13.2" x14ac:dyDescent="0.25">
      <c r="A28" s="108" t="s">
        <v>57</v>
      </c>
      <c r="B28" s="95">
        <f>B29+B30</f>
        <v>41309</v>
      </c>
      <c r="C28" s="107">
        <f>B28/$B$32</f>
        <v>0.19449048004670522</v>
      </c>
      <c r="D28" s="95">
        <f>D29+D30</f>
        <v>46877</v>
      </c>
      <c r="E28" s="107">
        <f>D28/$D$32</f>
        <v>0.20266315038585417</v>
      </c>
      <c r="F28" s="95">
        <f t="shared" ref="F28:N28" si="9">F29+F30</f>
        <v>53307</v>
      </c>
      <c r="G28" s="107">
        <f>F28/$F$32</f>
        <v>0.205988732002504</v>
      </c>
      <c r="H28" s="95">
        <f t="shared" si="9"/>
        <v>56962</v>
      </c>
      <c r="I28" s="107">
        <f>H28/$H$32</f>
        <v>0.20334638712279962</v>
      </c>
      <c r="J28" s="95">
        <f t="shared" si="9"/>
        <v>64248</v>
      </c>
      <c r="K28" s="107">
        <f>J28/$J$32</f>
        <v>0.21137965296467134</v>
      </c>
      <c r="L28" s="95">
        <f t="shared" si="9"/>
        <v>71123</v>
      </c>
      <c r="M28" s="107">
        <f t="shared" si="6"/>
        <v>0.21526201415245672</v>
      </c>
      <c r="N28" s="145">
        <f t="shared" si="9"/>
        <v>77452</v>
      </c>
      <c r="O28" s="149">
        <f t="shared" si="7"/>
        <v>0.21511277506367119</v>
      </c>
      <c r="P28" s="118"/>
    </row>
    <row r="29" spans="1:16" ht="13.2" x14ac:dyDescent="0.25">
      <c r="A29" s="95" t="s">
        <v>31</v>
      </c>
      <c r="B29" s="95">
        <v>20660</v>
      </c>
      <c r="C29" s="107">
        <f>B29/$B$32</f>
        <v>9.7271135049624285E-2</v>
      </c>
      <c r="D29" s="95">
        <v>23521</v>
      </c>
      <c r="E29" s="107">
        <f>D29/$D$32</f>
        <v>0.10168824711960399</v>
      </c>
      <c r="F29" s="95">
        <v>25952</v>
      </c>
      <c r="G29" s="107">
        <f>F29/$F$32</f>
        <v>0.10028363203573609</v>
      </c>
      <c r="H29" s="95">
        <v>29479</v>
      </c>
      <c r="I29" s="107">
        <f>H29/$H$32</f>
        <v>0.10523591422339472</v>
      </c>
      <c r="J29" s="95">
        <v>33525</v>
      </c>
      <c r="K29" s="107">
        <f>J29/$J$32</f>
        <v>0.11029919788383463</v>
      </c>
      <c r="L29" s="95">
        <v>36249</v>
      </c>
      <c r="M29" s="107">
        <f t="shared" si="6"/>
        <v>0.10971180561861006</v>
      </c>
      <c r="N29" s="145">
        <v>38393</v>
      </c>
      <c r="O29" s="149">
        <f t="shared" si="7"/>
        <v>0.1066315236923453</v>
      </c>
    </row>
    <row r="30" spans="1:16" ht="13.2" x14ac:dyDescent="0.25">
      <c r="A30" s="95" t="s">
        <v>58</v>
      </c>
      <c r="B30" s="95">
        <v>20649</v>
      </c>
      <c r="C30" s="107">
        <f>B30/$B$32</f>
        <v>9.7219344997080931E-2</v>
      </c>
      <c r="D30" s="95">
        <v>23356</v>
      </c>
      <c r="E30" s="107">
        <f>D30/$D$32</f>
        <v>0.10097490326625019</v>
      </c>
      <c r="F30" s="95">
        <v>27355</v>
      </c>
      <c r="G30" s="107">
        <f>F30/$F$32</f>
        <v>0.10570509996676791</v>
      </c>
      <c r="H30" s="95">
        <v>27483</v>
      </c>
      <c r="I30" s="107">
        <f>H30/$H$32</f>
        <v>9.8110472899404902E-2</v>
      </c>
      <c r="J30" s="95">
        <v>30723</v>
      </c>
      <c r="K30" s="107">
        <f>J30/$J$32</f>
        <v>0.10108045508083673</v>
      </c>
      <c r="L30" s="95">
        <v>34874</v>
      </c>
      <c r="M30" s="107">
        <f t="shared" si="6"/>
        <v>0.10555020853384665</v>
      </c>
      <c r="N30" s="145">
        <v>39059</v>
      </c>
      <c r="O30" s="149">
        <f t="shared" si="7"/>
        <v>0.10848125137132589</v>
      </c>
    </row>
    <row r="31" spans="1:16" ht="13.2" x14ac:dyDescent="0.25">
      <c r="A31" s="95"/>
      <c r="B31" s="95"/>
      <c r="C31" s="95"/>
      <c r="D31" s="95"/>
      <c r="E31" s="95"/>
      <c r="F31" s="95"/>
      <c r="G31" s="107" t="s">
        <v>0</v>
      </c>
      <c r="H31" s="95"/>
      <c r="I31" s="107" t="s">
        <v>0</v>
      </c>
      <c r="J31" s="95"/>
      <c r="K31" s="107" t="s">
        <v>0</v>
      </c>
      <c r="L31" s="95"/>
      <c r="M31" s="107"/>
      <c r="N31" s="145"/>
      <c r="O31" s="149"/>
    </row>
    <row r="32" spans="1:16" ht="13.2" x14ac:dyDescent="0.25">
      <c r="A32" s="108" t="s">
        <v>25</v>
      </c>
      <c r="B32" s="108">
        <f>B28+B23+B14+B10</f>
        <v>212396</v>
      </c>
      <c r="C32" s="110">
        <f>B32/$B$32</f>
        <v>1</v>
      </c>
      <c r="D32" s="108">
        <f>D28+D23+D14+D10</f>
        <v>231305</v>
      </c>
      <c r="E32" s="110">
        <f>D32/$D$32</f>
        <v>1</v>
      </c>
      <c r="F32" s="108">
        <f>F28+F23+F14+F10</f>
        <v>258786</v>
      </c>
      <c r="G32" s="110">
        <f>F32/$F$32</f>
        <v>1</v>
      </c>
      <c r="H32" s="108">
        <f>H28+H23+H14+H10</f>
        <v>280123</v>
      </c>
      <c r="I32" s="110">
        <f>H32/$H$32</f>
        <v>1</v>
      </c>
      <c r="J32" s="108">
        <f>J28+J23+J14+J10+J21</f>
        <v>303946</v>
      </c>
      <c r="K32" s="110">
        <f>J32/$J$32</f>
        <v>1</v>
      </c>
      <c r="L32" s="108">
        <f>L28+L23+L14+L10+L21</f>
        <v>330402</v>
      </c>
      <c r="M32" s="107">
        <f t="shared" si="6"/>
        <v>1</v>
      </c>
      <c r="N32" s="147">
        <f>N28+N23+N14+N10+N21</f>
        <v>360053</v>
      </c>
      <c r="O32" s="149">
        <f t="shared" si="7"/>
        <v>1</v>
      </c>
    </row>
    <row r="33" spans="1:15" ht="13.2" x14ac:dyDescent="0.25">
      <c r="A33" s="108"/>
      <c r="B33" s="108"/>
      <c r="C33" s="110"/>
      <c r="D33" s="108"/>
      <c r="E33" s="110"/>
      <c r="F33" s="108"/>
      <c r="G33" s="110"/>
      <c r="H33" s="108"/>
      <c r="I33" s="110"/>
      <c r="J33" s="108"/>
      <c r="K33" s="110"/>
      <c r="L33" s="108"/>
      <c r="M33" s="107"/>
      <c r="N33" s="146"/>
    </row>
    <row r="34" spans="1:15" s="115" customFormat="1" ht="13.2" x14ac:dyDescent="0.25">
      <c r="A34" s="111" t="s">
        <v>59</v>
      </c>
      <c r="B34" s="112">
        <v>87.4</v>
      </c>
      <c r="C34" s="111"/>
      <c r="D34" s="113">
        <v>92.8</v>
      </c>
      <c r="E34" s="113"/>
      <c r="F34" s="113">
        <v>92.6</v>
      </c>
      <c r="G34" s="111"/>
      <c r="H34" s="113">
        <v>99.6</v>
      </c>
      <c r="I34" s="111"/>
      <c r="J34" s="113">
        <v>95.1</v>
      </c>
      <c r="K34" s="111"/>
      <c r="L34" s="114">
        <f>100*L32/318346</f>
        <v>103.78707444101701</v>
      </c>
      <c r="M34" s="111"/>
      <c r="N34" s="148">
        <f>100*N32/341386</f>
        <v>105.46800396032643</v>
      </c>
    </row>
    <row r="35" spans="1:15" ht="13.2" x14ac:dyDescent="0.2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</row>
    <row r="36" spans="1:15" ht="64.2" x14ac:dyDescent="0.25">
      <c r="A36" s="116" t="s">
        <v>73</v>
      </c>
      <c r="B36" s="117"/>
      <c r="C36" s="117"/>
      <c r="D36" s="117"/>
      <c r="E36" s="117"/>
      <c r="F36" s="117"/>
      <c r="G36" s="117"/>
      <c r="H36" s="117"/>
      <c r="I36" s="117"/>
      <c r="J36" s="117"/>
      <c r="O36" s="140" t="s">
        <v>103</v>
      </c>
    </row>
    <row r="37" spans="1:15" x14ac:dyDescent="0.25">
      <c r="A37" s="96" t="s">
        <v>60</v>
      </c>
      <c r="B37" s="117"/>
      <c r="C37" s="117"/>
      <c r="D37" s="117"/>
      <c r="E37" s="117"/>
      <c r="F37" s="117"/>
      <c r="G37" s="117"/>
      <c r="H37" s="117"/>
      <c r="I37" s="117"/>
      <c r="J37" s="117"/>
    </row>
    <row r="38" spans="1:15" x14ac:dyDescent="0.25">
      <c r="A38" s="96" t="s">
        <v>61</v>
      </c>
      <c r="J38" s="118"/>
    </row>
  </sheetData>
  <mergeCells count="8">
    <mergeCell ref="N5:O5"/>
    <mergeCell ref="P5:Q5"/>
    <mergeCell ref="J5:K5"/>
    <mergeCell ref="L5:M5"/>
    <mergeCell ref="B5:C5"/>
    <mergeCell ref="D5:E5"/>
    <mergeCell ref="F5:G5"/>
    <mergeCell ref="H5:I5"/>
  </mergeCells>
  <printOptions horizontalCentered="1" verticalCentered="1"/>
  <pageMargins left="1.1811023622047245" right="0.39370078740157483" top="0.78740157480314965" bottom="0.59055118110236227" header="0.51181102362204722" footer="0.51181102362204722"/>
  <pageSetup scale="90" orientation="landscape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selection activeCell="A17" sqref="A17"/>
    </sheetView>
  </sheetViews>
  <sheetFormatPr defaultColWidth="31" defaultRowHeight="12" x14ac:dyDescent="0.25"/>
  <cols>
    <col min="1" max="1" width="45.44140625" style="12" customWidth="1"/>
    <col min="2" max="2" width="7.109375" style="12" customWidth="1"/>
    <col min="3" max="3" width="6.44140625" style="12" customWidth="1"/>
    <col min="4" max="4" width="7.109375" style="42" customWidth="1"/>
    <col min="5" max="5" width="6.44140625" style="12" customWidth="1"/>
    <col min="6" max="6" width="7.109375" style="12" customWidth="1"/>
    <col min="7" max="7" width="6.44140625" style="12" customWidth="1"/>
    <col min="8" max="8" width="7.109375" style="42" customWidth="1"/>
    <col min="9" max="9" width="6.44140625" style="12" customWidth="1"/>
    <col min="10" max="10" width="7.109375" style="12" customWidth="1"/>
    <col min="11" max="11" width="6.44140625" style="12" customWidth="1"/>
    <col min="12" max="12" width="7.109375" style="42" customWidth="1"/>
    <col min="13" max="13" width="6.44140625" style="12" customWidth="1"/>
    <col min="14" max="14" width="5.33203125" style="12" customWidth="1"/>
    <col min="15" max="15" width="5.6640625" style="12" customWidth="1"/>
    <col min="16" max="16" width="5.44140625" style="12" customWidth="1"/>
    <col min="17" max="17" width="3.109375" style="12" customWidth="1"/>
    <col min="18" max="16384" width="31" style="12"/>
  </cols>
  <sheetData>
    <row r="1" spans="1:14" s="6" customFormat="1" ht="15.6" x14ac:dyDescent="0.25">
      <c r="A1" s="1" t="s">
        <v>77</v>
      </c>
      <c r="B1" s="2"/>
      <c r="C1" s="2"/>
      <c r="D1" s="3"/>
      <c r="E1" s="2"/>
      <c r="F1" s="2"/>
      <c r="G1" s="2"/>
      <c r="H1" s="3"/>
      <c r="I1" s="2"/>
      <c r="J1" s="4" t="s">
        <v>0</v>
      </c>
      <c r="K1" s="5"/>
      <c r="L1" s="5"/>
      <c r="M1" s="5"/>
      <c r="N1" s="5"/>
    </row>
    <row r="2" spans="1:14" x14ac:dyDescent="0.25">
      <c r="A2" s="7" t="s">
        <v>62</v>
      </c>
      <c r="B2" s="8"/>
      <c r="C2" s="8"/>
      <c r="D2" s="9"/>
      <c r="E2" s="8"/>
      <c r="F2" s="8"/>
      <c r="G2" s="8"/>
      <c r="H2" s="9"/>
      <c r="I2" s="8"/>
      <c r="J2" s="10"/>
      <c r="K2" s="10"/>
      <c r="L2" s="11"/>
      <c r="M2" s="10"/>
      <c r="N2" s="10"/>
    </row>
    <row r="3" spans="1:14" ht="13.2" x14ac:dyDescent="0.25">
      <c r="A3" s="10" t="s">
        <v>0</v>
      </c>
      <c r="B3" s="10"/>
      <c r="C3" s="10"/>
      <c r="D3" s="11"/>
      <c r="E3" s="10"/>
      <c r="F3" s="10"/>
      <c r="G3" s="10"/>
      <c r="H3" s="11"/>
      <c r="I3" s="10"/>
      <c r="J3" s="10" t="s">
        <v>0</v>
      </c>
      <c r="K3" s="10"/>
      <c r="L3" s="11"/>
      <c r="M3" s="10"/>
      <c r="N3" s="13"/>
    </row>
    <row r="4" spans="1:14" ht="17.399999999999999" x14ac:dyDescent="0.25">
      <c r="A4" s="119" t="s">
        <v>0</v>
      </c>
      <c r="B4" s="120"/>
      <c r="C4" s="16"/>
      <c r="D4" s="17"/>
      <c r="E4" s="16"/>
      <c r="F4" s="120" t="s">
        <v>63</v>
      </c>
      <c r="G4" s="19"/>
      <c r="H4" s="20"/>
      <c r="I4" s="18"/>
      <c r="J4" s="18"/>
      <c r="K4" s="18"/>
      <c r="L4" s="20"/>
      <c r="M4" s="18"/>
      <c r="N4" s="13"/>
    </row>
    <row r="5" spans="1:14" ht="13.2" x14ac:dyDescent="0.25">
      <c r="A5" s="21"/>
      <c r="B5" s="22"/>
      <c r="C5" s="23"/>
      <c r="D5" s="24"/>
      <c r="E5" s="23"/>
      <c r="F5" s="22"/>
      <c r="G5" s="22"/>
      <c r="H5" s="25"/>
      <c r="I5" s="22"/>
      <c r="J5" s="22"/>
      <c r="K5" s="22"/>
      <c r="L5" s="25"/>
      <c r="M5" s="22"/>
      <c r="N5" s="13"/>
    </row>
    <row r="6" spans="1:14" ht="13.2" x14ac:dyDescent="0.25">
      <c r="A6" s="26"/>
      <c r="B6" s="27"/>
      <c r="C6" s="28"/>
      <c r="D6" s="29"/>
      <c r="E6" s="28"/>
      <c r="F6" s="27"/>
      <c r="G6" s="27"/>
      <c r="H6" s="30"/>
      <c r="I6" s="27"/>
      <c r="J6" s="27"/>
      <c r="K6" s="27"/>
      <c r="L6" s="30"/>
      <c r="M6" s="27"/>
      <c r="N6" s="13"/>
    </row>
    <row r="7" spans="1:14" s="31" customFormat="1" ht="13.2" x14ac:dyDescent="0.25">
      <c r="A7" s="31" t="s">
        <v>0</v>
      </c>
      <c r="B7" s="179">
        <v>1992</v>
      </c>
      <c r="C7" s="180"/>
      <c r="D7" s="181">
        <v>1993</v>
      </c>
      <c r="E7" s="180"/>
      <c r="F7" s="179">
        <v>1994</v>
      </c>
      <c r="G7" s="180"/>
      <c r="H7" s="181">
        <v>1995</v>
      </c>
      <c r="I7" s="180"/>
      <c r="J7" s="179">
        <v>1996</v>
      </c>
      <c r="K7" s="180"/>
      <c r="L7" s="181">
        <v>1997</v>
      </c>
      <c r="M7" s="180"/>
      <c r="N7" s="13"/>
    </row>
    <row r="8" spans="1:14" s="31" customFormat="1" ht="13.2" x14ac:dyDescent="0.25">
      <c r="A8" s="34"/>
      <c r="B8" s="35"/>
      <c r="C8" s="35"/>
      <c r="D8" s="36"/>
      <c r="E8" s="35"/>
      <c r="F8" s="35"/>
      <c r="G8" s="35"/>
      <c r="H8" s="36"/>
      <c r="I8" s="35"/>
      <c r="J8" s="35"/>
      <c r="K8" s="35"/>
      <c r="L8" s="36"/>
      <c r="M8" s="35"/>
      <c r="N8" s="13"/>
    </row>
    <row r="9" spans="1:14" s="31" customFormat="1" ht="9" customHeight="1" x14ac:dyDescent="0.25">
      <c r="B9" s="32"/>
      <c r="C9" s="32"/>
      <c r="D9" s="33"/>
      <c r="E9" s="32"/>
      <c r="F9" s="32"/>
      <c r="G9" s="32"/>
      <c r="H9" s="33"/>
      <c r="I9" s="32"/>
      <c r="J9" s="32"/>
      <c r="K9" s="32"/>
      <c r="L9" s="33"/>
      <c r="M9" s="32"/>
      <c r="N9" s="13"/>
    </row>
    <row r="10" spans="1:14" s="38" customFormat="1" ht="13.5" customHeight="1" x14ac:dyDescent="0.25">
      <c r="A10" s="31"/>
      <c r="B10" s="37" t="s">
        <v>64</v>
      </c>
      <c r="C10" s="37" t="s">
        <v>1</v>
      </c>
      <c r="D10" s="37" t="s">
        <v>64</v>
      </c>
      <c r="E10" s="37" t="s">
        <v>1</v>
      </c>
      <c r="F10" s="37" t="s">
        <v>64</v>
      </c>
      <c r="G10" s="37" t="s">
        <v>1</v>
      </c>
      <c r="H10" s="37" t="s">
        <v>64</v>
      </c>
      <c r="I10" s="37" t="s">
        <v>1</v>
      </c>
      <c r="J10" s="37" t="s">
        <v>64</v>
      </c>
      <c r="K10" s="37" t="s">
        <v>1</v>
      </c>
      <c r="L10" s="37" t="s">
        <v>64</v>
      </c>
      <c r="M10" s="37" t="s">
        <v>1</v>
      </c>
      <c r="N10" s="13"/>
    </row>
    <row r="11" spans="1:14" ht="7.5" customHeight="1" x14ac:dyDescent="0.25">
      <c r="A11" s="39" t="s">
        <v>0</v>
      </c>
      <c r="B11" s="40"/>
      <c r="C11" s="39"/>
      <c r="D11" s="41"/>
      <c r="E11" s="39"/>
      <c r="F11" s="39"/>
      <c r="G11" s="39"/>
      <c r="H11" s="41"/>
      <c r="I11" s="39"/>
      <c r="N11" s="13"/>
    </row>
    <row r="12" spans="1:14" s="39" customFormat="1" ht="13.2" x14ac:dyDescent="0.25">
      <c r="A12" s="39" t="s">
        <v>74</v>
      </c>
      <c r="B12" s="40">
        <f>SUM(B13:B24)</f>
        <v>136052</v>
      </c>
      <c r="C12" s="43">
        <f t="shared" ref="C12:C24" si="0">(B12/$B$38)</f>
        <v>0.73303089406364152</v>
      </c>
      <c r="D12" s="40">
        <f t="shared" ref="D12:J12" si="1">SUM(D13:D24)</f>
        <v>147401</v>
      </c>
      <c r="E12" s="43">
        <f t="shared" ref="E12:E24" si="2">(D12/$D$38)</f>
        <v>0.73530277407800937</v>
      </c>
      <c r="F12" s="40">
        <f t="shared" si="1"/>
        <v>168054</v>
      </c>
      <c r="G12" s="44">
        <f t="shared" ref="G12:G24" si="3">(F12/$F$38)</f>
        <v>0.74468584798223958</v>
      </c>
      <c r="H12" s="40">
        <f t="shared" si="1"/>
        <v>178859</v>
      </c>
      <c r="I12" s="44">
        <f t="shared" ref="I12:I24" si="4">(H12/$H$38)</f>
        <v>44714.75</v>
      </c>
      <c r="J12" s="40">
        <f t="shared" si="1"/>
        <v>190647</v>
      </c>
      <c r="K12" s="44">
        <f t="shared" ref="K12:K24" si="5">(J12/$J$38)</f>
        <v>0.74914533608921507</v>
      </c>
      <c r="L12" s="45">
        <f>SUM(L13:L24)</f>
        <v>210105</v>
      </c>
      <c r="M12" s="44">
        <f t="shared" ref="M12:M24" si="6">(L12/$L$38)</f>
        <v>0.7665519845598725</v>
      </c>
      <c r="N12" s="13"/>
    </row>
    <row r="13" spans="1:14" ht="13.2" x14ac:dyDescent="0.25">
      <c r="A13" s="12" t="s">
        <v>2</v>
      </c>
      <c r="B13" s="46">
        <v>458</v>
      </c>
      <c r="C13" s="47">
        <f t="shared" si="0"/>
        <v>2.4676458227820821E-3</v>
      </c>
      <c r="D13" s="48">
        <v>0</v>
      </c>
      <c r="E13" s="47">
        <f t="shared" si="2"/>
        <v>0</v>
      </c>
      <c r="F13" s="46">
        <v>592</v>
      </c>
      <c r="G13" s="47">
        <f t="shared" si="3"/>
        <v>2.6232878836890874E-3</v>
      </c>
      <c r="H13" s="48">
        <v>615</v>
      </c>
      <c r="I13" s="47">
        <f t="shared" si="4"/>
        <v>153.75</v>
      </c>
      <c r="J13" s="46">
        <v>657</v>
      </c>
      <c r="K13" s="47">
        <f t="shared" si="5"/>
        <v>2.5816744339570742E-3</v>
      </c>
      <c r="L13" s="48">
        <v>664</v>
      </c>
      <c r="M13" s="47">
        <f t="shared" si="6"/>
        <v>2.4225530936805659E-3</v>
      </c>
      <c r="N13" s="13"/>
    </row>
    <row r="14" spans="1:14" ht="13.2" x14ac:dyDescent="0.25">
      <c r="A14" s="12" t="s">
        <v>3</v>
      </c>
      <c r="B14" s="46">
        <v>21717</v>
      </c>
      <c r="C14" s="47">
        <f t="shared" si="0"/>
        <v>0.11700843740907964</v>
      </c>
      <c r="D14" s="48">
        <v>23555</v>
      </c>
      <c r="E14" s="47">
        <f t="shared" si="2"/>
        <v>0.11750298059991121</v>
      </c>
      <c r="F14" s="46">
        <v>27664</v>
      </c>
      <c r="G14" s="47">
        <f t="shared" si="3"/>
        <v>0.12258553380806572</v>
      </c>
      <c r="H14" s="48">
        <v>29771</v>
      </c>
      <c r="I14" s="47">
        <f t="shared" si="4"/>
        <v>7442.75</v>
      </c>
      <c r="J14" s="46">
        <v>32387</v>
      </c>
      <c r="K14" s="47">
        <f t="shared" si="5"/>
        <v>0.12726436817742429</v>
      </c>
      <c r="L14" s="48">
        <v>36059</v>
      </c>
      <c r="M14" s="47">
        <f t="shared" si="6"/>
        <v>0.13155849699552338</v>
      </c>
      <c r="N14" s="13"/>
    </row>
    <row r="15" spans="1:14" ht="13.2" x14ac:dyDescent="0.25">
      <c r="A15" s="12" t="s">
        <v>4</v>
      </c>
      <c r="B15" s="46">
        <v>1922</v>
      </c>
      <c r="C15" s="47">
        <f t="shared" si="0"/>
        <v>1.0355491858923933E-2</v>
      </c>
      <c r="D15" s="48">
        <v>2251</v>
      </c>
      <c r="E15" s="47">
        <f t="shared" si="2"/>
        <v>1.1229004853763538E-2</v>
      </c>
      <c r="F15" s="46">
        <v>2526</v>
      </c>
      <c r="G15" s="47">
        <f t="shared" si="3"/>
        <v>1.1193285801011206E-2</v>
      </c>
      <c r="H15" s="48">
        <v>2623</v>
      </c>
      <c r="I15" s="47">
        <f t="shared" si="4"/>
        <v>655.75</v>
      </c>
      <c r="J15" s="46">
        <v>2579</v>
      </c>
      <c r="K15" s="47">
        <f t="shared" si="5"/>
        <v>1.0134152762823888E-2</v>
      </c>
      <c r="L15" s="48">
        <v>2884</v>
      </c>
      <c r="M15" s="47">
        <f t="shared" si="6"/>
        <v>1.0522052894841495E-2</v>
      </c>
      <c r="N15" s="13"/>
    </row>
    <row r="16" spans="1:14" ht="13.2" x14ac:dyDescent="0.25">
      <c r="A16" s="12" t="s">
        <v>5</v>
      </c>
      <c r="B16" s="46">
        <v>23170</v>
      </c>
      <c r="C16" s="47">
        <f t="shared" si="0"/>
        <v>0.12483701684249092</v>
      </c>
      <c r="D16" s="48">
        <v>25175</v>
      </c>
      <c r="E16" s="47">
        <f t="shared" si="2"/>
        <v>0.12558427240937231</v>
      </c>
      <c r="F16" s="46">
        <v>30303</v>
      </c>
      <c r="G16" s="47">
        <f t="shared" si="3"/>
        <v>0.13427954854633514</v>
      </c>
      <c r="H16" s="48">
        <v>30495</v>
      </c>
      <c r="I16" s="47">
        <f t="shared" si="4"/>
        <v>7623.75</v>
      </c>
      <c r="J16" s="46">
        <v>31704</v>
      </c>
      <c r="K16" s="47">
        <f t="shared" si="5"/>
        <v>0.12458052702309753</v>
      </c>
      <c r="L16" s="48">
        <v>34700</v>
      </c>
      <c r="M16" s="47">
        <f t="shared" si="6"/>
        <v>0.12660028968481271</v>
      </c>
      <c r="N16" s="13"/>
    </row>
    <row r="17" spans="1:14" ht="13.2" x14ac:dyDescent="0.25">
      <c r="A17" s="12" t="s">
        <v>6</v>
      </c>
      <c r="B17" s="46">
        <v>8867</v>
      </c>
      <c r="C17" s="47">
        <f t="shared" si="0"/>
        <v>4.7774269673818169E-2</v>
      </c>
      <c r="D17" s="48">
        <v>9441</v>
      </c>
      <c r="E17" s="47">
        <f t="shared" si="2"/>
        <v>4.7095972822914951E-2</v>
      </c>
      <c r="F17" s="46">
        <v>10047</v>
      </c>
      <c r="G17" s="47">
        <f t="shared" si="3"/>
        <v>4.4520563120649087E-2</v>
      </c>
      <c r="H17" s="48">
        <v>11211</v>
      </c>
      <c r="I17" s="47">
        <f t="shared" si="4"/>
        <v>2802.75</v>
      </c>
      <c r="J17" s="46">
        <v>12335</v>
      </c>
      <c r="K17" s="47">
        <f t="shared" si="5"/>
        <v>4.8470249836926195E-2</v>
      </c>
      <c r="L17" s="48">
        <v>13846</v>
      </c>
      <c r="M17" s="47">
        <f t="shared" si="6"/>
        <v>5.0516069480573973E-2</v>
      </c>
      <c r="N17" s="13"/>
    </row>
    <row r="18" spans="1:14" ht="13.2" x14ac:dyDescent="0.25">
      <c r="A18" s="12" t="s">
        <v>7</v>
      </c>
      <c r="B18" s="46">
        <v>9417</v>
      </c>
      <c r="C18" s="47">
        <f t="shared" si="0"/>
        <v>5.0737599810346874E-2</v>
      </c>
      <c r="D18" s="48">
        <v>10271</v>
      </c>
      <c r="E18" s="47">
        <f t="shared" si="2"/>
        <v>5.1236387762330207E-2</v>
      </c>
      <c r="F18" s="46">
        <v>11107</v>
      </c>
      <c r="G18" s="47">
        <f t="shared" si="3"/>
        <v>4.9217666425903195E-2</v>
      </c>
      <c r="H18" s="48">
        <v>12214</v>
      </c>
      <c r="I18" s="47">
        <f t="shared" si="4"/>
        <v>3053.5</v>
      </c>
      <c r="J18" s="46">
        <v>12422</v>
      </c>
      <c r="K18" s="47">
        <f t="shared" si="5"/>
        <v>4.8812115401240148E-2</v>
      </c>
      <c r="L18" s="48">
        <v>14130</v>
      </c>
      <c r="M18" s="47">
        <f t="shared" si="6"/>
        <v>5.1552221707389149E-2</v>
      </c>
      <c r="N18" s="13"/>
    </row>
    <row r="19" spans="1:14" ht="13.2" x14ac:dyDescent="0.25">
      <c r="A19" s="12" t="s">
        <v>8</v>
      </c>
      <c r="B19" s="46">
        <v>42069</v>
      </c>
      <c r="C19" s="47">
        <f t="shared" si="0"/>
        <v>0.2266624282065926</v>
      </c>
      <c r="D19" s="48">
        <v>45336</v>
      </c>
      <c r="E19" s="47">
        <f t="shared" si="2"/>
        <v>0.22615644782328909</v>
      </c>
      <c r="F19" s="46">
        <v>50851</v>
      </c>
      <c r="G19" s="47">
        <f t="shared" si="3"/>
        <v>0.22533245299573273</v>
      </c>
      <c r="H19" s="48">
        <v>54920</v>
      </c>
      <c r="I19" s="47">
        <f t="shared" si="4"/>
        <v>13730</v>
      </c>
      <c r="J19" s="46">
        <v>57301</v>
      </c>
      <c r="K19" s="47">
        <f t="shared" si="5"/>
        <v>0.22516366322705375</v>
      </c>
      <c r="L19" s="48">
        <v>60146</v>
      </c>
      <c r="M19" s="47">
        <f t="shared" si="6"/>
        <v>0.21943806983811945</v>
      </c>
      <c r="N19" s="13"/>
    </row>
    <row r="20" spans="1:14" ht="13.2" x14ac:dyDescent="0.25">
      <c r="A20" s="12" t="s">
        <v>9</v>
      </c>
      <c r="B20" s="46">
        <v>0</v>
      </c>
      <c r="C20" s="47">
        <f t="shared" si="0"/>
        <v>0</v>
      </c>
      <c r="D20" s="48">
        <v>0</v>
      </c>
      <c r="E20" s="47">
        <f t="shared" si="2"/>
        <v>0</v>
      </c>
      <c r="F20" s="46">
        <v>0</v>
      </c>
      <c r="G20" s="47">
        <f t="shared" si="3"/>
        <v>0</v>
      </c>
      <c r="H20" s="48">
        <v>0</v>
      </c>
      <c r="I20" s="47">
        <f t="shared" si="4"/>
        <v>0</v>
      </c>
      <c r="J20" s="46">
        <v>153</v>
      </c>
      <c r="K20" s="47">
        <f t="shared" si="5"/>
        <v>6.0121185448315431E-4</v>
      </c>
      <c r="L20" s="48">
        <v>270</v>
      </c>
      <c r="M20" s="47">
        <f t="shared" si="6"/>
        <v>9.8507430014119408E-4</v>
      </c>
      <c r="N20" s="13"/>
    </row>
    <row r="21" spans="1:14" ht="13.2" x14ac:dyDescent="0.25">
      <c r="A21" s="12" t="s">
        <v>10</v>
      </c>
      <c r="B21" s="46">
        <v>10326</v>
      </c>
      <c r="C21" s="47">
        <f t="shared" si="0"/>
        <v>5.5635176345082485E-2</v>
      </c>
      <c r="D21" s="48">
        <v>11290</v>
      </c>
      <c r="E21" s="47">
        <f t="shared" si="2"/>
        <v>5.6319620079515922E-2</v>
      </c>
      <c r="F21" s="46">
        <v>12763</v>
      </c>
      <c r="G21" s="47">
        <f t="shared" si="3"/>
        <v>5.6555782532979423E-2</v>
      </c>
      <c r="H21" s="48">
        <v>14059</v>
      </c>
      <c r="I21" s="47">
        <f t="shared" si="4"/>
        <v>3514.75</v>
      </c>
      <c r="J21" s="46">
        <v>15084</v>
      </c>
      <c r="K21" s="47">
        <f t="shared" si="5"/>
        <v>5.9272415771398031E-2</v>
      </c>
      <c r="L21" s="48">
        <v>16706</v>
      </c>
      <c r="M21" s="47">
        <f t="shared" si="6"/>
        <v>6.0950560215402912E-2</v>
      </c>
      <c r="N21" s="13"/>
    </row>
    <row r="22" spans="1:14" ht="13.2" x14ac:dyDescent="0.25">
      <c r="A22" s="12" t="s">
        <v>11</v>
      </c>
      <c r="B22" s="46">
        <v>3791</v>
      </c>
      <c r="C22" s="47">
        <f t="shared" si="0"/>
        <v>2.0425426450146011E-2</v>
      </c>
      <c r="D22" s="48">
        <v>4251</v>
      </c>
      <c r="E22" s="47">
        <f t="shared" si="2"/>
        <v>2.1205908322234027E-2</v>
      </c>
      <c r="F22" s="46">
        <v>4597</v>
      </c>
      <c r="G22" s="47">
        <f t="shared" si="3"/>
        <v>2.0370362164389755E-2</v>
      </c>
      <c r="H22" s="48">
        <v>4539</v>
      </c>
      <c r="I22" s="47">
        <f t="shared" si="4"/>
        <v>1134.75</v>
      </c>
      <c r="J22" s="46">
        <v>4591</v>
      </c>
      <c r="K22" s="47">
        <f t="shared" si="5"/>
        <v>1.8040285123739615E-2</v>
      </c>
      <c r="L22" s="48">
        <v>4852</v>
      </c>
      <c r="M22" s="47">
        <f t="shared" si="6"/>
        <v>1.7702150015870641E-2</v>
      </c>
      <c r="N22" s="13"/>
    </row>
    <row r="23" spans="1:14" ht="13.2" x14ac:dyDescent="0.25">
      <c r="A23" s="12" t="s">
        <v>12</v>
      </c>
      <c r="B23" s="46">
        <v>635</v>
      </c>
      <c r="C23" s="47">
        <f t="shared" si="0"/>
        <v>3.4212993394467732E-3</v>
      </c>
      <c r="D23" s="48">
        <v>669</v>
      </c>
      <c r="E23" s="47">
        <f t="shared" si="2"/>
        <v>3.3372742102033793E-3</v>
      </c>
      <c r="F23" s="46">
        <v>659</v>
      </c>
      <c r="G23" s="47">
        <f t="shared" si="3"/>
        <v>2.920180262417413E-3</v>
      </c>
      <c r="H23" s="48">
        <v>710</v>
      </c>
      <c r="I23" s="47">
        <f t="shared" si="4"/>
        <v>177.5</v>
      </c>
      <c r="J23" s="46">
        <v>627</v>
      </c>
      <c r="K23" s="47">
        <f t="shared" si="5"/>
        <v>2.4637897566074361E-3</v>
      </c>
      <c r="L23" s="48">
        <v>707</v>
      </c>
      <c r="M23" s="47">
        <f t="shared" si="6"/>
        <v>2.5794352970363857E-3</v>
      </c>
      <c r="N23" s="13"/>
    </row>
    <row r="24" spans="1:14" ht="13.2" x14ac:dyDescent="0.25">
      <c r="A24" s="12" t="s">
        <v>13</v>
      </c>
      <c r="B24" s="46">
        <v>13680</v>
      </c>
      <c r="C24" s="47">
        <f t="shared" si="0"/>
        <v>7.3706102304932061E-2</v>
      </c>
      <c r="D24" s="48">
        <v>15162</v>
      </c>
      <c r="E24" s="47">
        <f t="shared" si="2"/>
        <v>7.5634905194474786E-2</v>
      </c>
      <c r="F24" s="46">
        <v>16945</v>
      </c>
      <c r="G24" s="47">
        <f t="shared" si="3"/>
        <v>7.5087184441066865E-2</v>
      </c>
      <c r="H24" s="48">
        <v>17702</v>
      </c>
      <c r="I24" s="47">
        <f t="shared" si="4"/>
        <v>4425.5</v>
      </c>
      <c r="J24" s="46">
        <v>20807</v>
      </c>
      <c r="K24" s="47">
        <f t="shared" si="5"/>
        <v>8.1760882720464001E-2</v>
      </c>
      <c r="L24" s="48">
        <v>25141</v>
      </c>
      <c r="M24" s="47">
        <f t="shared" si="6"/>
        <v>9.1725011036480592E-2</v>
      </c>
      <c r="N24" s="13"/>
    </row>
    <row r="25" spans="1:14" s="49" customFormat="1" ht="13.2" x14ac:dyDescent="0.25">
      <c r="B25" s="50"/>
      <c r="C25" s="43"/>
      <c r="D25" s="51"/>
      <c r="E25" s="43"/>
      <c r="F25" s="50"/>
      <c r="G25" s="47"/>
      <c r="H25" s="52"/>
      <c r="I25" s="47"/>
      <c r="J25" s="50"/>
      <c r="K25" s="47"/>
      <c r="L25" s="48"/>
      <c r="M25" s="44"/>
      <c r="N25" s="13"/>
    </row>
    <row r="26" spans="1:14" ht="13.2" x14ac:dyDescent="0.25">
      <c r="A26" s="39" t="s">
        <v>75</v>
      </c>
      <c r="B26" s="40">
        <f>SUM(B27:B31)</f>
        <v>6875</v>
      </c>
      <c r="C26" s="43">
        <f t="shared" ref="C26:C31" si="7">(B26/$B$38)</f>
        <v>3.7041626706608766E-2</v>
      </c>
      <c r="D26" s="40">
        <f t="shared" ref="D26:J26" si="8">SUM(D27:D31)</f>
        <v>7792</v>
      </c>
      <c r="E26" s="43">
        <f t="shared" ref="E26:E31" si="9">(D26/$D$38)</f>
        <v>3.8870015913161034E-2</v>
      </c>
      <c r="F26" s="40">
        <f t="shared" si="8"/>
        <v>8168</v>
      </c>
      <c r="G26" s="44">
        <f t="shared" ref="G26:G31" si="10">(F26/$F$38)</f>
        <v>3.6194282827656188E-2</v>
      </c>
      <c r="H26" s="40">
        <f t="shared" si="8"/>
        <v>8988</v>
      </c>
      <c r="I26" s="44">
        <f t="shared" ref="I26:I31" si="11">(H26/$H$38)</f>
        <v>2247</v>
      </c>
      <c r="J26" s="40">
        <f t="shared" si="8"/>
        <v>9443</v>
      </c>
      <c r="K26" s="47">
        <f t="shared" ref="K26:K31" si="12">(J26/$J$38)</f>
        <v>3.7106166940421084E-2</v>
      </c>
      <c r="L26" s="45">
        <f>SUM(L27:L30)</f>
        <v>7215</v>
      </c>
      <c r="M26" s="44">
        <f>(L26/$L$38)</f>
        <v>2.6323374353773018E-2</v>
      </c>
      <c r="N26" s="13"/>
    </row>
    <row r="27" spans="1:14" ht="13.2" x14ac:dyDescent="0.25">
      <c r="A27" s="12" t="s">
        <v>14</v>
      </c>
      <c r="B27" s="46">
        <v>2319</v>
      </c>
      <c r="C27" s="47">
        <f t="shared" si="7"/>
        <v>1.2494477430200105E-2</v>
      </c>
      <c r="D27" s="48">
        <v>2773</v>
      </c>
      <c r="E27" s="47">
        <f t="shared" si="9"/>
        <v>1.3832976659034336E-2</v>
      </c>
      <c r="F27" s="46">
        <v>2837</v>
      </c>
      <c r="G27" s="47">
        <f t="shared" si="10"/>
        <v>1.257139818585463E-2</v>
      </c>
      <c r="H27" s="48">
        <v>3130</v>
      </c>
      <c r="I27" s="47">
        <f t="shared" si="11"/>
        <v>782.5</v>
      </c>
      <c r="J27" s="46">
        <v>3205</v>
      </c>
      <c r="K27" s="47">
        <f t="shared" si="12"/>
        <v>1.2594013030186337E-2</v>
      </c>
      <c r="L27" s="48">
        <v>3668</v>
      </c>
      <c r="M27" s="47">
        <f>(L27/$L$38)</f>
        <v>1.3382416788584813E-2</v>
      </c>
      <c r="N27" s="13"/>
    </row>
    <row r="28" spans="1:14" ht="13.2" x14ac:dyDescent="0.25">
      <c r="A28" s="12" t="s">
        <v>15</v>
      </c>
      <c r="B28" s="46">
        <v>1234</v>
      </c>
      <c r="C28" s="47">
        <f t="shared" si="7"/>
        <v>6.6486352517753046E-3</v>
      </c>
      <c r="D28" s="48">
        <v>1240</v>
      </c>
      <c r="E28" s="47">
        <f t="shared" si="9"/>
        <v>6.1856801504517039E-3</v>
      </c>
      <c r="F28" s="46">
        <v>1387</v>
      </c>
      <c r="G28" s="47">
        <f t="shared" si="10"/>
        <v>6.1461153626296691E-3</v>
      </c>
      <c r="H28" s="48">
        <v>1633</v>
      </c>
      <c r="I28" s="47">
        <f t="shared" si="11"/>
        <v>408.25</v>
      </c>
      <c r="J28" s="46">
        <v>2073</v>
      </c>
      <c r="K28" s="47">
        <f t="shared" si="12"/>
        <v>8.1458312048599928E-3</v>
      </c>
      <c r="L28" s="48">
        <v>2115</v>
      </c>
      <c r="M28" s="47">
        <f>(L28/$L$38)</f>
        <v>7.7164153511060192E-3</v>
      </c>
      <c r="N28" s="13"/>
    </row>
    <row r="29" spans="1:14" ht="13.2" x14ac:dyDescent="0.25">
      <c r="A29" s="12" t="s">
        <v>16</v>
      </c>
      <c r="B29" s="46">
        <v>0</v>
      </c>
      <c r="C29" s="47">
        <f t="shared" si="7"/>
        <v>0</v>
      </c>
      <c r="D29" s="48">
        <v>0</v>
      </c>
      <c r="E29" s="47">
        <f t="shared" si="9"/>
        <v>0</v>
      </c>
      <c r="F29" s="46">
        <v>129</v>
      </c>
      <c r="G29" s="47">
        <f t="shared" si="10"/>
        <v>5.7162860979035853E-4</v>
      </c>
      <c r="H29" s="48">
        <v>229</v>
      </c>
      <c r="I29" s="47">
        <f t="shared" si="11"/>
        <v>57.25</v>
      </c>
      <c r="J29" s="46">
        <v>198</v>
      </c>
      <c r="K29" s="47">
        <f t="shared" si="12"/>
        <v>7.7803887050761141E-4</v>
      </c>
      <c r="L29" s="48">
        <v>286</v>
      </c>
      <c r="M29" s="47">
        <f>(L29/$L$38)</f>
        <v>1.0434490734828944E-3</v>
      </c>
      <c r="N29" s="13"/>
    </row>
    <row r="30" spans="1:14" ht="13.2" x14ac:dyDescent="0.25">
      <c r="A30" s="12" t="s">
        <v>17</v>
      </c>
      <c r="B30" s="46">
        <v>578</v>
      </c>
      <c r="C30" s="47">
        <f t="shared" si="7"/>
        <v>3.1141905798428896E-3</v>
      </c>
      <c r="D30" s="48">
        <v>724</v>
      </c>
      <c r="E30" s="47">
        <f t="shared" si="9"/>
        <v>3.6116390555863175E-3</v>
      </c>
      <c r="F30" s="46">
        <v>639</v>
      </c>
      <c r="G30" s="47">
        <f t="shared" si="10"/>
        <v>2.831555671752241E-3</v>
      </c>
      <c r="H30" s="48">
        <v>708</v>
      </c>
      <c r="I30" s="47">
        <f t="shared" si="11"/>
        <v>177</v>
      </c>
      <c r="J30" s="46">
        <v>770</v>
      </c>
      <c r="K30" s="47">
        <f t="shared" si="12"/>
        <v>3.0257067186407111E-3</v>
      </c>
      <c r="L30" s="48">
        <v>1146</v>
      </c>
      <c r="M30" s="47">
        <f>(L30/$L$38)</f>
        <v>4.1810931405992903E-3</v>
      </c>
      <c r="N30" s="13"/>
    </row>
    <row r="31" spans="1:14" ht="13.2" x14ac:dyDescent="0.25">
      <c r="A31" s="12" t="s">
        <v>18</v>
      </c>
      <c r="B31" s="46">
        <v>2744</v>
      </c>
      <c r="C31" s="47">
        <f t="shared" si="7"/>
        <v>1.4784323444790465E-2</v>
      </c>
      <c r="D31" s="48">
        <v>3055</v>
      </c>
      <c r="E31" s="47">
        <f t="shared" si="9"/>
        <v>1.5239720048088675E-2</v>
      </c>
      <c r="F31" s="46">
        <v>3176</v>
      </c>
      <c r="G31" s="47">
        <f t="shared" si="10"/>
        <v>1.4073584997629292E-2</v>
      </c>
      <c r="H31" s="48">
        <v>3288</v>
      </c>
      <c r="I31" s="47">
        <f t="shared" si="11"/>
        <v>822</v>
      </c>
      <c r="J31" s="46">
        <v>3197</v>
      </c>
      <c r="K31" s="47">
        <f t="shared" si="12"/>
        <v>1.2562577116226433E-2</v>
      </c>
      <c r="L31" s="48"/>
      <c r="M31" s="44"/>
      <c r="N31" s="13"/>
    </row>
    <row r="32" spans="1:14" ht="13.2" x14ac:dyDescent="0.25">
      <c r="B32" s="46"/>
      <c r="C32" s="43"/>
      <c r="D32" s="51"/>
      <c r="E32" s="43"/>
      <c r="F32" s="46"/>
      <c r="G32" s="47"/>
      <c r="H32" s="52"/>
      <c r="I32" s="47"/>
      <c r="J32" s="46"/>
      <c r="K32" s="47"/>
      <c r="L32" s="48"/>
      <c r="M32" s="44"/>
      <c r="N32" s="13"/>
    </row>
    <row r="33" spans="1:17" ht="13.2" x14ac:dyDescent="0.25">
      <c r="A33" s="39" t="s">
        <v>65</v>
      </c>
      <c r="B33" s="40">
        <f t="shared" ref="B33:J33" si="13">SUM(B34:B36)</f>
        <v>42675</v>
      </c>
      <c r="C33" s="43">
        <f>(B33/$B$38)</f>
        <v>0.22992747922974968</v>
      </c>
      <c r="D33" s="40">
        <f t="shared" si="13"/>
        <v>45270</v>
      </c>
      <c r="E33" s="43">
        <f>(D33/$D$38)</f>
        <v>0.22582721000882955</v>
      </c>
      <c r="F33" s="40">
        <f t="shared" si="13"/>
        <v>49449</v>
      </c>
      <c r="G33" s="44">
        <f>(F33/$F$38)</f>
        <v>0.21911986919010418</v>
      </c>
      <c r="H33" s="40">
        <f t="shared" si="13"/>
        <v>51306</v>
      </c>
      <c r="I33" s="44">
        <f>(H33/$H$38)</f>
        <v>12826.5</v>
      </c>
      <c r="J33" s="40">
        <f t="shared" si="13"/>
        <v>54396</v>
      </c>
      <c r="K33" s="47">
        <f>(J33/$J$38)</f>
        <v>0.2137484969703638</v>
      </c>
      <c r="L33" s="45">
        <f>SUM(L34:L36)</f>
        <v>56771</v>
      </c>
      <c r="M33" s="44">
        <f>(L33/$L$38)</f>
        <v>0.20712464108635453</v>
      </c>
      <c r="N33" s="13"/>
    </row>
    <row r="34" spans="1:17" ht="13.2" x14ac:dyDescent="0.25">
      <c r="A34" s="53" t="s">
        <v>19</v>
      </c>
      <c r="B34" s="46">
        <v>8493</v>
      </c>
      <c r="C34" s="47">
        <f>(B34/$B$38)</f>
        <v>4.5759205180978653E-2</v>
      </c>
      <c r="D34" s="48">
        <v>9069</v>
      </c>
      <c r="E34" s="47">
        <f>(D34/$D$38)</f>
        <v>4.5240268777779438E-2</v>
      </c>
      <c r="F34" s="46">
        <v>8901</v>
      </c>
      <c r="G34" s="47">
        <f>(F34/$F$38)</f>
        <v>3.944237407553474E-2</v>
      </c>
      <c r="H34" s="48">
        <v>9117</v>
      </c>
      <c r="I34" s="47">
        <f>(H34/$H$38)</f>
        <v>2279.25</v>
      </c>
      <c r="J34" s="46">
        <v>9333</v>
      </c>
      <c r="K34" s="47">
        <f>(J34/$J$38)</f>
        <v>3.667392312347241E-2</v>
      </c>
      <c r="L34" s="48">
        <v>9653</v>
      </c>
      <c r="M34" s="47">
        <f>(L34/$L$38)</f>
        <v>3.5218230441714612E-2</v>
      </c>
      <c r="N34" s="13"/>
    </row>
    <row r="35" spans="1:17" ht="13.2" x14ac:dyDescent="0.25">
      <c r="A35" s="12" t="s">
        <v>20</v>
      </c>
      <c r="B35" s="46">
        <v>17962</v>
      </c>
      <c r="C35" s="47">
        <f>(B35/$B$38)</f>
        <v>9.6776974386051873E-2</v>
      </c>
      <c r="D35" s="48">
        <v>19037</v>
      </c>
      <c r="E35" s="47">
        <f>(D35/$D$38)</f>
        <v>9.4965155664636369E-2</v>
      </c>
      <c r="F35" s="46">
        <v>20988</v>
      </c>
      <c r="G35" s="47">
        <f>(F35/$F$38)</f>
        <v>9.3002645444031362E-2</v>
      </c>
      <c r="H35" s="48">
        <v>22074</v>
      </c>
      <c r="I35" s="47">
        <f>(H35/$H$38)</f>
        <v>5518.5</v>
      </c>
      <c r="J35" s="46">
        <v>23980</v>
      </c>
      <c r="K35" s="47">
        <f>(J35/$J$38)</f>
        <v>9.4229152094810711E-2</v>
      </c>
      <c r="L35" s="48">
        <v>26450</v>
      </c>
      <c r="M35" s="47">
        <f>(L35/$L$38)</f>
        <v>9.6500797180498449E-2</v>
      </c>
      <c r="N35" s="13"/>
    </row>
    <row r="36" spans="1:17" ht="13.2" x14ac:dyDescent="0.25">
      <c r="A36" s="12" t="s">
        <v>21</v>
      </c>
      <c r="B36" s="46">
        <v>16220</v>
      </c>
      <c r="C36" s="47">
        <f>(B36/$B$38)</f>
        <v>8.7391299662719149E-2</v>
      </c>
      <c r="D36" s="48">
        <v>17164</v>
      </c>
      <c r="E36" s="47">
        <f>(D36/$D$38)</f>
        <v>8.5621785566413755E-2</v>
      </c>
      <c r="F36" s="46">
        <v>19560</v>
      </c>
      <c r="G36" s="47">
        <f>(F36/$F$38)</f>
        <v>8.6674849670538082E-2</v>
      </c>
      <c r="H36" s="48">
        <v>20115</v>
      </c>
      <c r="I36" s="47">
        <f>(H36/$H$38)</f>
        <v>5028.75</v>
      </c>
      <c r="J36" s="46">
        <v>21083</v>
      </c>
      <c r="K36" s="47">
        <f>(J36/$J$38)</f>
        <v>8.2845421752080664E-2</v>
      </c>
      <c r="L36" s="48">
        <v>20668</v>
      </c>
      <c r="M36" s="47">
        <f>(L36/$L$38)</f>
        <v>7.5405613464141472E-2</v>
      </c>
      <c r="N36" s="13"/>
    </row>
    <row r="37" spans="1:17" ht="13.2" x14ac:dyDescent="0.25">
      <c r="B37" s="46" t="s">
        <v>0</v>
      </c>
      <c r="C37" s="43"/>
      <c r="D37" s="51"/>
      <c r="E37" s="43"/>
      <c r="F37" s="46" t="s">
        <v>0</v>
      </c>
      <c r="G37" s="47"/>
      <c r="H37" s="52"/>
      <c r="I37" s="47"/>
      <c r="J37" s="46" t="s">
        <v>0</v>
      </c>
      <c r="K37" s="47"/>
      <c r="L37" s="52"/>
      <c r="M37" s="44"/>
      <c r="N37" s="13"/>
    </row>
    <row r="38" spans="1:17" s="38" customFormat="1" ht="13.2" x14ac:dyDescent="0.25">
      <c r="A38" s="38" t="s">
        <v>22</v>
      </c>
      <c r="B38" s="54">
        <f>(B33+B26+B12)</f>
        <v>185602</v>
      </c>
      <c r="C38" s="43">
        <f>(B38/$B$38)</f>
        <v>1</v>
      </c>
      <c r="D38" s="54">
        <f>(D33+D26+D12)</f>
        <v>200463</v>
      </c>
      <c r="E38" s="43">
        <f>(D38/$D$38)</f>
        <v>1</v>
      </c>
      <c r="F38" s="54">
        <f>(F33+F26+F12)</f>
        <v>225671</v>
      </c>
      <c r="G38" s="44">
        <f>(F38/$F$38)</f>
        <v>1</v>
      </c>
      <c r="H38" s="54">
        <f>4</f>
        <v>4</v>
      </c>
      <c r="I38" s="44">
        <f>(H38/$H$38)</f>
        <v>1</v>
      </c>
      <c r="J38" s="54">
        <f>(J33+J26+J12)</f>
        <v>254486</v>
      </c>
      <c r="K38" s="44">
        <f>(J38/$J$38)</f>
        <v>1</v>
      </c>
      <c r="L38" s="54">
        <f>(L33+L26+L12)</f>
        <v>274091</v>
      </c>
      <c r="M38" s="44">
        <f>(L38/$L$38)</f>
        <v>1</v>
      </c>
      <c r="N38" s="13"/>
    </row>
    <row r="39" spans="1:17" s="49" customFormat="1" x14ac:dyDescent="0.25">
      <c r="A39" s="55"/>
      <c r="B39" s="55"/>
      <c r="C39" s="55"/>
      <c r="D39" s="56"/>
      <c r="E39" s="55"/>
      <c r="F39" s="55"/>
      <c r="G39" s="55"/>
      <c r="H39" s="56"/>
      <c r="I39" s="55"/>
      <c r="J39" s="55"/>
      <c r="K39" s="55"/>
      <c r="L39" s="56"/>
      <c r="M39" s="55"/>
    </row>
    <row r="40" spans="1:17" s="49" customFormat="1" ht="64.2" x14ac:dyDescent="0.25">
      <c r="A40" s="128" t="s">
        <v>23</v>
      </c>
      <c r="D40" s="57"/>
      <c r="H40" s="57"/>
      <c r="L40" s="57"/>
      <c r="M40" s="142"/>
      <c r="N40" s="141"/>
      <c r="P40" s="143" t="s">
        <v>105</v>
      </c>
      <c r="Q40" s="141" t="s">
        <v>104</v>
      </c>
    </row>
    <row r="43" spans="1:17" ht="17.399999999999999" x14ac:dyDescent="0.25">
      <c r="A43" s="14" t="s">
        <v>0</v>
      </c>
      <c r="B43" s="120"/>
      <c r="C43" s="16"/>
      <c r="D43" s="17"/>
      <c r="E43" s="16"/>
      <c r="F43" s="120" t="s">
        <v>66</v>
      </c>
      <c r="G43" s="121"/>
      <c r="H43" s="20"/>
      <c r="I43" s="18"/>
      <c r="J43" s="18"/>
      <c r="K43" s="18"/>
      <c r="L43" s="20"/>
      <c r="M43" s="18"/>
    </row>
    <row r="44" spans="1:17" x14ac:dyDescent="0.25">
      <c r="A44" s="21"/>
      <c r="B44" s="22"/>
      <c r="C44" s="23"/>
      <c r="D44" s="24"/>
      <c r="E44" s="23"/>
      <c r="F44" s="22"/>
      <c r="G44" s="22"/>
      <c r="H44" s="25"/>
      <c r="I44" s="22"/>
      <c r="J44" s="22"/>
      <c r="K44" s="22"/>
      <c r="L44" s="25"/>
      <c r="M44" s="22"/>
    </row>
    <row r="45" spans="1:17" x14ac:dyDescent="0.25">
      <c r="A45" s="26"/>
      <c r="B45" s="27"/>
      <c r="C45" s="28"/>
      <c r="D45" s="29"/>
      <c r="E45" s="28"/>
      <c r="F45" s="27"/>
      <c r="G45" s="27"/>
      <c r="H45" s="30"/>
      <c r="I45" s="27"/>
      <c r="J45" s="27"/>
      <c r="K45" s="27"/>
      <c r="L45" s="30"/>
      <c r="M45" s="27"/>
    </row>
    <row r="46" spans="1:17" ht="13.2" x14ac:dyDescent="0.25">
      <c r="A46" s="31" t="s">
        <v>0</v>
      </c>
      <c r="B46" s="179">
        <v>1992</v>
      </c>
      <c r="C46" s="180"/>
      <c r="D46" s="181">
        <v>1993</v>
      </c>
      <c r="E46" s="180"/>
      <c r="F46" s="179">
        <v>1994</v>
      </c>
      <c r="G46" s="180"/>
      <c r="H46" s="181">
        <v>1995</v>
      </c>
      <c r="I46" s="180"/>
      <c r="J46" s="179">
        <v>1996</v>
      </c>
      <c r="K46" s="180"/>
      <c r="L46" s="181">
        <v>1997</v>
      </c>
      <c r="M46" s="180"/>
    </row>
    <row r="47" spans="1:17" x14ac:dyDescent="0.25">
      <c r="A47" s="34"/>
      <c r="B47" s="35"/>
      <c r="C47" s="35"/>
      <c r="D47" s="36"/>
      <c r="E47" s="35"/>
      <c r="F47" s="35"/>
      <c r="G47" s="35"/>
      <c r="H47" s="36"/>
      <c r="I47" s="35"/>
      <c r="J47" s="35"/>
      <c r="K47" s="35"/>
      <c r="L47" s="36"/>
      <c r="M47" s="35"/>
    </row>
    <row r="48" spans="1:17" ht="6" customHeight="1" x14ac:dyDescent="0.25">
      <c r="A48" s="31"/>
      <c r="B48" s="32"/>
      <c r="C48" s="32"/>
      <c r="D48" s="33"/>
      <c r="E48" s="32"/>
      <c r="F48" s="32"/>
      <c r="G48" s="32"/>
      <c r="H48" s="33"/>
      <c r="I48" s="32"/>
      <c r="J48" s="32"/>
      <c r="K48" s="32"/>
      <c r="L48" s="33"/>
      <c r="M48" s="32"/>
    </row>
    <row r="49" spans="1:13" x14ac:dyDescent="0.25">
      <c r="A49" s="31"/>
      <c r="B49" s="37" t="s">
        <v>64</v>
      </c>
      <c r="C49" s="37" t="s">
        <v>1</v>
      </c>
      <c r="D49" s="37" t="s">
        <v>64</v>
      </c>
      <c r="E49" s="37" t="s">
        <v>1</v>
      </c>
      <c r="F49" s="37" t="s">
        <v>64</v>
      </c>
      <c r="G49" s="37" t="s">
        <v>1</v>
      </c>
      <c r="H49" s="37" t="s">
        <v>64</v>
      </c>
      <c r="I49" s="37" t="s">
        <v>1</v>
      </c>
      <c r="J49" s="37" t="s">
        <v>64</v>
      </c>
      <c r="K49" s="37" t="s">
        <v>1</v>
      </c>
      <c r="L49" s="37" t="s">
        <v>64</v>
      </c>
      <c r="M49" s="37" t="s">
        <v>1</v>
      </c>
    </row>
    <row r="50" spans="1:13" ht="6.75" customHeight="1" x14ac:dyDescent="0.25">
      <c r="A50" s="39" t="s">
        <v>0</v>
      </c>
    </row>
    <row r="51" spans="1:13" x14ac:dyDescent="0.25">
      <c r="A51" s="39" t="s">
        <v>74</v>
      </c>
      <c r="B51" s="40">
        <f>SUM(B52:B63)</f>
        <v>100655</v>
      </c>
      <c r="C51" s="44">
        <f>(B51/$B$77)</f>
        <v>0.90340791800174125</v>
      </c>
      <c r="D51" s="40">
        <f>SUM(D52:D63)</f>
        <v>109391</v>
      </c>
      <c r="E51" s="44">
        <f>(D51/$D$77)</f>
        <v>0.8994343128710266</v>
      </c>
      <c r="F51" s="40">
        <f>SUM(F52:F63)</f>
        <v>121663</v>
      </c>
      <c r="G51" s="44">
        <f t="shared" ref="G51:G63" si="14">(F51/$F$77)</f>
        <v>0.90077370155110503</v>
      </c>
      <c r="H51" s="40">
        <f>SUM(H52:H63)</f>
        <v>131905</v>
      </c>
      <c r="I51" s="44">
        <f t="shared" ref="I51:I63" si="15">(H51/$H$77)</f>
        <v>0.89816220780193512</v>
      </c>
      <c r="J51" s="40">
        <f>SUM(J52:J63)</f>
        <v>139724</v>
      </c>
      <c r="K51" s="44">
        <f>(J51/$J$77)</f>
        <v>0.89494382742144163</v>
      </c>
      <c r="L51" s="40">
        <f>SUM(L52:L63)</f>
        <v>152899</v>
      </c>
      <c r="M51" s="44">
        <f t="shared" ref="M51:M63" si="16">(L51/$L$77)</f>
        <v>0.89701559960810306</v>
      </c>
    </row>
    <row r="52" spans="1:13" x14ac:dyDescent="0.25">
      <c r="A52" s="12" t="s">
        <v>2</v>
      </c>
      <c r="B52" s="46">
        <v>0</v>
      </c>
      <c r="C52" s="47"/>
      <c r="D52" s="48">
        <v>0</v>
      </c>
      <c r="E52" s="47">
        <f>(D52/$D$77)</f>
        <v>0</v>
      </c>
      <c r="F52" s="46">
        <v>0</v>
      </c>
      <c r="G52" s="47">
        <f t="shared" si="14"/>
        <v>0</v>
      </c>
      <c r="H52" s="48">
        <v>0</v>
      </c>
      <c r="I52" s="47">
        <f t="shared" si="15"/>
        <v>0</v>
      </c>
      <c r="J52" s="52">
        <v>0</v>
      </c>
      <c r="K52" s="47">
        <f>(J52/$H$77)</f>
        <v>0</v>
      </c>
      <c r="L52" s="52">
        <v>0</v>
      </c>
      <c r="M52" s="47">
        <f t="shared" si="16"/>
        <v>0</v>
      </c>
    </row>
    <row r="53" spans="1:13" ht="13.2" x14ac:dyDescent="0.25">
      <c r="A53" s="12" t="s">
        <v>3</v>
      </c>
      <c r="B53" s="46">
        <v>15519</v>
      </c>
      <c r="C53" s="47">
        <f t="shared" ref="C53:C63" si="17">(B53/$B$77)</f>
        <v>0.13928754139852983</v>
      </c>
      <c r="D53" s="48">
        <v>16788</v>
      </c>
      <c r="E53" s="47">
        <f t="shared" ref="E53:E63" si="18">(D53/$D$77)</f>
        <v>0.13803423722681751</v>
      </c>
      <c r="F53" s="46">
        <v>19649</v>
      </c>
      <c r="G53" s="47">
        <f t="shared" si="14"/>
        <v>0.14547810313552734</v>
      </c>
      <c r="H53" s="48">
        <v>21567</v>
      </c>
      <c r="I53" s="47">
        <f t="shared" si="15"/>
        <v>0.14685314685314685</v>
      </c>
      <c r="J53" s="46">
        <v>23478</v>
      </c>
      <c r="K53" s="47">
        <f t="shared" ref="K53:K63" si="19">(J53/$J$77)</f>
        <v>0.15037854040966911</v>
      </c>
      <c r="L53" s="58">
        <v>26486</v>
      </c>
      <c r="M53" s="47">
        <f t="shared" si="16"/>
        <v>0.15538594216587565</v>
      </c>
    </row>
    <row r="54" spans="1:13" ht="13.2" x14ac:dyDescent="0.25">
      <c r="A54" s="12" t="s">
        <v>4</v>
      </c>
      <c r="B54" s="46">
        <v>1382</v>
      </c>
      <c r="C54" s="47">
        <f t="shared" si="17"/>
        <v>1.240385219490742E-2</v>
      </c>
      <c r="D54" s="48">
        <v>1589</v>
      </c>
      <c r="E54" s="47">
        <f t="shared" si="18"/>
        <v>1.3065070464225222E-2</v>
      </c>
      <c r="F54" s="46">
        <v>1870</v>
      </c>
      <c r="G54" s="47">
        <f t="shared" si="14"/>
        <v>1.3845185651353053E-2</v>
      </c>
      <c r="H54" s="48">
        <v>1925</v>
      </c>
      <c r="I54" s="47">
        <f t="shared" si="15"/>
        <v>1.310763238708711E-2</v>
      </c>
      <c r="J54" s="46">
        <v>1933</v>
      </c>
      <c r="K54" s="47">
        <f t="shared" si="19"/>
        <v>1.2381025581901798E-2</v>
      </c>
      <c r="L54" s="58">
        <v>2247</v>
      </c>
      <c r="M54" s="47">
        <f t="shared" si="16"/>
        <v>1.3182519521510328E-2</v>
      </c>
    </row>
    <row r="55" spans="1:13" ht="13.2" x14ac:dyDescent="0.25">
      <c r="A55" s="12" t="s">
        <v>5</v>
      </c>
      <c r="B55" s="46">
        <v>17187</v>
      </c>
      <c r="C55" s="47">
        <f t="shared" si="17"/>
        <v>0.15425832682624735</v>
      </c>
      <c r="D55" s="48">
        <v>18567</v>
      </c>
      <c r="E55" s="47">
        <f t="shared" si="18"/>
        <v>0.15266152505303318</v>
      </c>
      <c r="F55" s="46">
        <v>20414</v>
      </c>
      <c r="G55" s="47">
        <f t="shared" si="14"/>
        <v>0.15114204272017176</v>
      </c>
      <c r="H55" s="48">
        <v>22031</v>
      </c>
      <c r="I55" s="47">
        <f t="shared" si="15"/>
        <v>0.15001259694541097</v>
      </c>
      <c r="J55" s="46">
        <v>23355</v>
      </c>
      <c r="K55" s="47">
        <f t="shared" si="19"/>
        <v>0.14959071519157605</v>
      </c>
      <c r="L55" s="58">
        <v>22901</v>
      </c>
      <c r="M55" s="47">
        <f t="shared" si="16"/>
        <v>0.13435375147401338</v>
      </c>
    </row>
    <row r="56" spans="1:13" ht="13.2" x14ac:dyDescent="0.25">
      <c r="A56" s="12" t="s">
        <v>6</v>
      </c>
      <c r="B56" s="46">
        <v>6729</v>
      </c>
      <c r="C56" s="47">
        <f t="shared" si="17"/>
        <v>6.0394733299227225E-2</v>
      </c>
      <c r="D56" s="48">
        <v>7330</v>
      </c>
      <c r="E56" s="47">
        <f t="shared" si="18"/>
        <v>6.0268701386262356E-2</v>
      </c>
      <c r="F56" s="46">
        <v>7325</v>
      </c>
      <c r="G56" s="47">
        <f t="shared" si="14"/>
        <v>5.4233147003294707E-2</v>
      </c>
      <c r="H56" s="48">
        <v>8371</v>
      </c>
      <c r="I56" s="47">
        <f t="shared" si="15"/>
        <v>5.6999475694704517E-2</v>
      </c>
      <c r="J56" s="46">
        <v>9093</v>
      </c>
      <c r="K56" s="47">
        <f t="shared" si="19"/>
        <v>5.8241420391222473E-2</v>
      </c>
      <c r="L56" s="58">
        <v>10168</v>
      </c>
      <c r="M56" s="47">
        <f t="shared" si="16"/>
        <v>5.9652807518788167E-2</v>
      </c>
    </row>
    <row r="57" spans="1:13" ht="13.2" x14ac:dyDescent="0.25">
      <c r="A57" s="12" t="s">
        <v>7</v>
      </c>
      <c r="B57" s="46">
        <v>6462</v>
      </c>
      <c r="C57" s="47">
        <f t="shared" si="17"/>
        <v>5.799833059586957E-2</v>
      </c>
      <c r="D57" s="48">
        <v>7567</v>
      </c>
      <c r="E57" s="47">
        <f t="shared" si="18"/>
        <v>6.2217361990429362E-2</v>
      </c>
      <c r="F57" s="46">
        <v>8097</v>
      </c>
      <c r="G57" s="47">
        <f t="shared" si="14"/>
        <v>5.9948913486099285E-2</v>
      </c>
      <c r="H57" s="48">
        <v>8993</v>
      </c>
      <c r="I57" s="47">
        <f t="shared" si="15"/>
        <v>6.1234773016662011E-2</v>
      </c>
      <c r="J57" s="46">
        <v>9114</v>
      </c>
      <c r="K57" s="47">
        <f t="shared" si="19"/>
        <v>5.8375927135774948E-2</v>
      </c>
      <c r="L57" s="58">
        <v>9957</v>
      </c>
      <c r="M57" s="47">
        <f t="shared" si="16"/>
        <v>5.8414929628695302E-2</v>
      </c>
    </row>
    <row r="58" spans="1:13" ht="13.2" x14ac:dyDescent="0.25">
      <c r="A58" s="12" t="s">
        <v>8</v>
      </c>
      <c r="B58" s="46">
        <v>34990</v>
      </c>
      <c r="C58" s="47">
        <f t="shared" si="17"/>
        <v>0.31404543292316256</v>
      </c>
      <c r="D58" s="48">
        <v>37334</v>
      </c>
      <c r="E58" s="47">
        <f t="shared" si="18"/>
        <v>0.30696748943447733</v>
      </c>
      <c r="F58" s="46">
        <v>41470</v>
      </c>
      <c r="G58" s="47">
        <f t="shared" si="14"/>
        <v>0.30703735238588825</v>
      </c>
      <c r="H58" s="48">
        <v>44278</v>
      </c>
      <c r="I58" s="47">
        <f t="shared" si="15"/>
        <v>0.30149597238204834</v>
      </c>
      <c r="J58" s="46">
        <v>45753</v>
      </c>
      <c r="K58" s="47">
        <f t="shared" si="19"/>
        <v>0.29305176588140347</v>
      </c>
      <c r="L58" s="58">
        <v>49058</v>
      </c>
      <c r="M58" s="47">
        <f t="shared" si="16"/>
        <v>0.28780954280652143</v>
      </c>
    </row>
    <row r="59" spans="1:13" x14ac:dyDescent="0.25">
      <c r="A59" s="12" t="s">
        <v>9</v>
      </c>
      <c r="B59" s="46">
        <v>0</v>
      </c>
      <c r="C59" s="47">
        <f t="shared" si="17"/>
        <v>0</v>
      </c>
      <c r="D59" s="48">
        <v>0</v>
      </c>
      <c r="E59" s="47">
        <f t="shared" si="18"/>
        <v>0</v>
      </c>
      <c r="F59" s="46">
        <v>0</v>
      </c>
      <c r="G59" s="47">
        <f t="shared" si="14"/>
        <v>0</v>
      </c>
      <c r="H59" s="48">
        <v>0</v>
      </c>
      <c r="I59" s="47">
        <f t="shared" si="15"/>
        <v>0</v>
      </c>
      <c r="J59" s="46">
        <v>0</v>
      </c>
      <c r="K59" s="47">
        <f t="shared" si="19"/>
        <v>0</v>
      </c>
      <c r="L59" s="46">
        <v>0</v>
      </c>
      <c r="M59" s="47">
        <f t="shared" si="16"/>
        <v>0</v>
      </c>
    </row>
    <row r="60" spans="1:13" ht="13.2" x14ac:dyDescent="0.25">
      <c r="A60" s="12" t="s">
        <v>10</v>
      </c>
      <c r="B60" s="46">
        <v>6295</v>
      </c>
      <c r="C60" s="47">
        <f t="shared" si="17"/>
        <v>5.649945699489306E-2</v>
      </c>
      <c r="D60" s="48">
        <v>7314</v>
      </c>
      <c r="E60" s="47">
        <f t="shared" si="18"/>
        <v>6.0137146239989475E-2</v>
      </c>
      <c r="F60" s="46">
        <v>8397</v>
      </c>
      <c r="G60" s="47">
        <f t="shared" si="14"/>
        <v>6.217006626439122E-2</v>
      </c>
      <c r="H60" s="48">
        <v>9248</v>
      </c>
      <c r="I60" s="47">
        <f t="shared" si="15"/>
        <v>6.297110873547096E-2</v>
      </c>
      <c r="J60" s="46">
        <v>9728</v>
      </c>
      <c r="K60" s="47">
        <f t="shared" si="19"/>
        <v>6.2308648143166417E-2</v>
      </c>
      <c r="L60" s="58">
        <v>10999</v>
      </c>
      <c r="M60" s="47">
        <f t="shared" si="16"/>
        <v>6.4528051721002275E-2</v>
      </c>
    </row>
    <row r="61" spans="1:13" ht="13.2" x14ac:dyDescent="0.25">
      <c r="A61" s="12" t="s">
        <v>11</v>
      </c>
      <c r="B61" s="46">
        <v>2393</v>
      </c>
      <c r="C61" s="47">
        <f t="shared" si="17"/>
        <v>2.1477871419980792E-2</v>
      </c>
      <c r="D61" s="48">
        <v>2381</v>
      </c>
      <c r="E61" s="47">
        <f t="shared" si="18"/>
        <v>1.9577050204732695E-2</v>
      </c>
      <c r="F61" s="46">
        <v>2678</v>
      </c>
      <c r="G61" s="47">
        <f t="shared" si="14"/>
        <v>1.9827490467552659E-2</v>
      </c>
      <c r="H61" s="48">
        <v>2725</v>
      </c>
      <c r="I61" s="47">
        <f t="shared" si="15"/>
        <v>1.8554960132370065E-2</v>
      </c>
      <c r="J61" s="46">
        <v>2750</v>
      </c>
      <c r="K61" s="47">
        <f t="shared" si="19"/>
        <v>1.7613978453300538E-2</v>
      </c>
      <c r="L61" s="58">
        <v>3038</v>
      </c>
      <c r="M61" s="47">
        <f t="shared" si="16"/>
        <v>1.7823094929394028E-2</v>
      </c>
    </row>
    <row r="62" spans="1:13" ht="13.2" x14ac:dyDescent="0.25">
      <c r="A62" s="12" t="s">
        <v>12</v>
      </c>
      <c r="B62" s="46">
        <v>504</v>
      </c>
      <c r="C62" s="47">
        <f t="shared" si="17"/>
        <v>4.5235466760009694E-3</v>
      </c>
      <c r="D62" s="48">
        <v>547</v>
      </c>
      <c r="E62" s="47">
        <f t="shared" si="18"/>
        <v>4.4975415632040258E-3</v>
      </c>
      <c r="F62" s="46">
        <v>531</v>
      </c>
      <c r="G62" s="47">
        <f t="shared" si="14"/>
        <v>3.9314404175767219E-3</v>
      </c>
      <c r="H62" s="48">
        <v>557</v>
      </c>
      <c r="I62" s="47">
        <f t="shared" si="15"/>
        <v>3.792701942653257E-3</v>
      </c>
      <c r="J62" s="46">
        <v>499</v>
      </c>
      <c r="K62" s="47">
        <f t="shared" si="19"/>
        <v>3.1961364538898068E-3</v>
      </c>
      <c r="L62" s="58">
        <v>559</v>
      </c>
      <c r="M62" s="47">
        <f t="shared" si="16"/>
        <v>3.279496400767367E-3</v>
      </c>
    </row>
    <row r="63" spans="1:13" ht="13.2" x14ac:dyDescent="0.25">
      <c r="A63" s="12" t="s">
        <v>13</v>
      </c>
      <c r="B63" s="46">
        <v>9194</v>
      </c>
      <c r="C63" s="47">
        <f t="shared" si="17"/>
        <v>8.2518825672922444E-2</v>
      </c>
      <c r="D63" s="48">
        <v>9974</v>
      </c>
      <c r="E63" s="47">
        <f t="shared" si="18"/>
        <v>8.2008189307855486E-2</v>
      </c>
      <c r="F63" s="46">
        <v>11232</v>
      </c>
      <c r="G63" s="47">
        <f t="shared" si="14"/>
        <v>8.3159960019249995E-2</v>
      </c>
      <c r="H63" s="48">
        <v>12210</v>
      </c>
      <c r="I63" s="47">
        <f t="shared" si="15"/>
        <v>8.3139839712381092E-2</v>
      </c>
      <c r="J63" s="46">
        <v>14021</v>
      </c>
      <c r="K63" s="47">
        <f t="shared" si="19"/>
        <v>8.9805669779537037E-2</v>
      </c>
      <c r="L63" s="58">
        <v>17486</v>
      </c>
      <c r="M63" s="47">
        <f t="shared" si="16"/>
        <v>0.1025854634415352</v>
      </c>
    </row>
    <row r="64" spans="1:13" ht="13.2" x14ac:dyDescent="0.25">
      <c r="A64" s="49"/>
      <c r="B64" s="59"/>
      <c r="C64" s="47"/>
      <c r="D64" s="52"/>
      <c r="E64" s="47"/>
      <c r="F64" s="59"/>
      <c r="G64" s="47"/>
      <c r="H64" s="52"/>
      <c r="I64" s="47"/>
      <c r="J64" s="59"/>
      <c r="K64" s="47"/>
      <c r="L64" s="58"/>
    </row>
    <row r="65" spans="1:17" x14ac:dyDescent="0.25">
      <c r="A65" s="39" t="s">
        <v>75</v>
      </c>
      <c r="B65" s="40">
        <f>SUM(B66:B70)</f>
        <v>5247</v>
      </c>
      <c r="C65" s="44">
        <f t="shared" ref="C65:C70" si="20">(B65/$B$77)</f>
        <v>4.7093352001938663E-2</v>
      </c>
      <c r="D65" s="40">
        <f>SUM(D66:D70)</f>
        <v>6060</v>
      </c>
      <c r="E65" s="44">
        <f t="shared" ref="E65:E70" si="21">(D65/$D$77)</f>
        <v>4.982651165085264E-2</v>
      </c>
      <c r="F65" s="40">
        <f>SUM(F66:F70)</f>
        <v>6178</v>
      </c>
      <c r="G65" s="44">
        <f t="shared" ref="G65:G70" si="22">(F65/$F$77)</f>
        <v>4.5740939547625217E-2</v>
      </c>
      <c r="H65" s="40">
        <f>SUM(H66:H70)</f>
        <v>6617</v>
      </c>
      <c r="I65" s="44">
        <f t="shared" ref="I65:I70" si="23">(H65/$H$77)</f>
        <v>4.5056209613171638E-2</v>
      </c>
      <c r="J65" s="40">
        <f>SUM(J66:J70)</f>
        <v>6288</v>
      </c>
      <c r="K65" s="47">
        <f t="shared" ref="K65:K70" si="24">(J65/$J$77)</f>
        <v>4.0275162368855921E-2</v>
      </c>
      <c r="L65" s="40">
        <f>SUM(L66:L70)</f>
        <v>4423</v>
      </c>
      <c r="M65" s="44">
        <f t="shared" ref="M65:M70" si="25">(L65/$L$77)</f>
        <v>2.5948501933084192E-2</v>
      </c>
    </row>
    <row r="66" spans="1:17" ht="13.2" x14ac:dyDescent="0.25">
      <c r="A66" s="12" t="s">
        <v>14</v>
      </c>
      <c r="B66" s="46">
        <v>1721</v>
      </c>
      <c r="C66" s="47">
        <f t="shared" si="20"/>
        <v>1.54464758519795E-2</v>
      </c>
      <c r="D66" s="48">
        <v>2173</v>
      </c>
      <c r="E66" s="47">
        <f t="shared" si="21"/>
        <v>1.7866833303185278E-2</v>
      </c>
      <c r="F66" s="46">
        <v>2220</v>
      </c>
      <c r="G66" s="47">
        <f t="shared" si="22"/>
        <v>1.6436530559360309E-2</v>
      </c>
      <c r="H66" s="48">
        <v>2341</v>
      </c>
      <c r="I66" s="47">
        <f t="shared" si="23"/>
        <v>1.5940242814634246E-2</v>
      </c>
      <c r="J66" s="46">
        <v>1726</v>
      </c>
      <c r="K66" s="47">
        <f t="shared" si="24"/>
        <v>1.1055173385598811E-2</v>
      </c>
      <c r="L66" s="58">
        <v>2008</v>
      </c>
      <c r="M66" s="47">
        <f t="shared" si="25"/>
        <v>1.1780373475386177E-2</v>
      </c>
    </row>
    <row r="67" spans="1:17" ht="13.2" x14ac:dyDescent="0.25">
      <c r="A67" s="12" t="s">
        <v>15</v>
      </c>
      <c r="B67" s="46">
        <v>972</v>
      </c>
      <c r="C67" s="47">
        <f t="shared" si="20"/>
        <v>8.7239828751447257E-3</v>
      </c>
      <c r="D67" s="48">
        <v>975</v>
      </c>
      <c r="E67" s="47">
        <f t="shared" si="21"/>
        <v>8.0166417260035192E-3</v>
      </c>
      <c r="F67" s="46">
        <v>1102</v>
      </c>
      <c r="G67" s="47">
        <f t="shared" si="22"/>
        <v>8.1590345389257017E-3</v>
      </c>
      <c r="H67" s="48">
        <v>1278</v>
      </c>
      <c r="I67" s="47">
        <f t="shared" si="23"/>
        <v>8.7021060730895199E-3</v>
      </c>
      <c r="J67" s="46">
        <v>1698</v>
      </c>
      <c r="K67" s="47">
        <f t="shared" si="24"/>
        <v>1.0875831059528843E-2</v>
      </c>
      <c r="L67" s="58">
        <v>1787</v>
      </c>
      <c r="M67" s="47">
        <f t="shared" si="25"/>
        <v>1.0483828386710706E-2</v>
      </c>
    </row>
    <row r="68" spans="1:17" ht="13.2" x14ac:dyDescent="0.25">
      <c r="A68" s="12" t="s">
        <v>16</v>
      </c>
      <c r="B68" s="46">
        <v>0</v>
      </c>
      <c r="C68" s="47">
        <f t="shared" si="20"/>
        <v>0</v>
      </c>
      <c r="D68" s="48">
        <v>0</v>
      </c>
      <c r="E68" s="47">
        <f t="shared" si="21"/>
        <v>0</v>
      </c>
      <c r="F68" s="46">
        <v>14</v>
      </c>
      <c r="G68" s="47">
        <f t="shared" si="22"/>
        <v>1.0365379632029023E-4</v>
      </c>
      <c r="H68" s="48">
        <v>61</v>
      </c>
      <c r="I68" s="47">
        <f t="shared" si="23"/>
        <v>4.153587405778253E-4</v>
      </c>
      <c r="J68" s="46">
        <v>24</v>
      </c>
      <c r="K68" s="47">
        <f t="shared" si="24"/>
        <v>1.5372199377425925E-4</v>
      </c>
      <c r="L68" s="58">
        <v>102</v>
      </c>
      <c r="M68" s="47">
        <f t="shared" si="25"/>
        <v>5.9840542554252492E-4</v>
      </c>
    </row>
    <row r="69" spans="1:17" ht="13.2" x14ac:dyDescent="0.25">
      <c r="A69" s="12" t="s">
        <v>17</v>
      </c>
      <c r="B69" s="46">
        <v>483</v>
      </c>
      <c r="C69" s="47">
        <f t="shared" si="20"/>
        <v>4.3350655645009286E-3</v>
      </c>
      <c r="D69" s="48">
        <v>558</v>
      </c>
      <c r="E69" s="47">
        <f t="shared" si="21"/>
        <v>4.5879857262666295E-3</v>
      </c>
      <c r="F69" s="46">
        <v>407</v>
      </c>
      <c r="G69" s="47">
        <f t="shared" si="22"/>
        <v>3.0133639358827231E-3</v>
      </c>
      <c r="H69" s="48">
        <v>410</v>
      </c>
      <c r="I69" s="47">
        <f t="shared" si="23"/>
        <v>2.7917554694575145E-3</v>
      </c>
      <c r="J69" s="46">
        <v>502</v>
      </c>
      <c r="K69" s="47">
        <f t="shared" si="24"/>
        <v>3.2153517031115893E-3</v>
      </c>
      <c r="L69" s="58">
        <v>526</v>
      </c>
      <c r="M69" s="47">
        <f t="shared" si="25"/>
        <v>3.0858946454447853E-3</v>
      </c>
    </row>
    <row r="70" spans="1:17" ht="13.2" x14ac:dyDescent="0.25">
      <c r="A70" s="12" t="s">
        <v>18</v>
      </c>
      <c r="B70" s="46">
        <v>2071</v>
      </c>
      <c r="C70" s="47">
        <f t="shared" si="20"/>
        <v>1.8587827710313507E-2</v>
      </c>
      <c r="D70" s="48">
        <v>2354</v>
      </c>
      <c r="E70" s="47">
        <f t="shared" si="21"/>
        <v>1.9355050895397213E-2</v>
      </c>
      <c r="F70" s="46">
        <v>2435</v>
      </c>
      <c r="G70" s="47">
        <f t="shared" si="22"/>
        <v>1.8028356717136193E-2</v>
      </c>
      <c r="H70" s="48">
        <v>2527</v>
      </c>
      <c r="I70" s="47">
        <f t="shared" si="23"/>
        <v>1.7206746515412534E-2</v>
      </c>
      <c r="J70" s="46">
        <v>2338</v>
      </c>
      <c r="K70" s="47">
        <f t="shared" si="24"/>
        <v>1.4975084226842423E-2</v>
      </c>
      <c r="L70" s="58"/>
      <c r="M70" s="47">
        <f t="shared" si="25"/>
        <v>0</v>
      </c>
    </row>
    <row r="71" spans="1:17" ht="13.2" x14ac:dyDescent="0.25">
      <c r="B71" s="46"/>
      <c r="C71" s="47"/>
      <c r="D71" s="52"/>
      <c r="E71" s="47"/>
      <c r="F71" s="46"/>
      <c r="G71" s="47"/>
      <c r="H71" s="52"/>
      <c r="I71" s="47"/>
      <c r="J71" s="46"/>
      <c r="K71" s="47"/>
      <c r="L71" s="58"/>
    </row>
    <row r="72" spans="1:17" x14ac:dyDescent="0.25">
      <c r="A72" s="39" t="s">
        <v>65</v>
      </c>
      <c r="B72" s="40">
        <f>SUM(B73:B75)</f>
        <v>5515</v>
      </c>
      <c r="C72" s="44">
        <f>(B72/$B$77)</f>
        <v>4.9498729996320129E-2</v>
      </c>
      <c r="D72" s="40">
        <f>SUM(D73:D75)</f>
        <v>6171</v>
      </c>
      <c r="E72" s="44">
        <f>(D72/$D$77)</f>
        <v>5.0739175478120735E-2</v>
      </c>
      <c r="F72" s="40">
        <f>SUM(F73:F75)</f>
        <v>7224</v>
      </c>
      <c r="G72" s="44">
        <f>(F72/$F$77)</f>
        <v>5.3485358901269757E-2</v>
      </c>
      <c r="H72" s="40">
        <f>SUM(H73:H75)</f>
        <v>8339</v>
      </c>
      <c r="I72" s="47">
        <f>(H72/$H$77)</f>
        <v>5.67815825848932E-2</v>
      </c>
      <c r="J72" s="40">
        <f>SUM(J73:J75)</f>
        <v>10114</v>
      </c>
      <c r="K72" s="44">
        <f>(J72/$J$77)</f>
        <v>6.4781010209702422E-2</v>
      </c>
      <c r="L72" s="40">
        <f>SUM(L73:L75)</f>
        <v>13131</v>
      </c>
      <c r="M72" s="44">
        <f>(L72/$L$77)</f>
        <v>7.7035898458812688E-2</v>
      </c>
    </row>
    <row r="73" spans="1:17" ht="13.2" x14ac:dyDescent="0.25">
      <c r="A73" s="53" t="s">
        <v>19</v>
      </c>
      <c r="B73" s="46">
        <v>466</v>
      </c>
      <c r="C73" s="47">
        <f>(B73/$B$77)</f>
        <v>4.1824856170961343E-3</v>
      </c>
      <c r="D73" s="48">
        <v>385</v>
      </c>
      <c r="E73" s="47">
        <f>(D73/$D$77)</f>
        <v>3.165545707191133E-3</v>
      </c>
      <c r="F73" s="46">
        <v>180</v>
      </c>
      <c r="G73" s="47">
        <f>(F73/$F$77)</f>
        <v>1.3326916669751602E-3</v>
      </c>
      <c r="H73" s="48">
        <v>413</v>
      </c>
      <c r="I73" s="47">
        <f>(H73/$H$77)</f>
        <v>2.8121829485023252E-3</v>
      </c>
      <c r="J73" s="46">
        <v>571</v>
      </c>
      <c r="K73" s="47">
        <f>(J73/$J$77)</f>
        <v>3.6573024352125846E-3</v>
      </c>
      <c r="L73" s="58">
        <v>1544</v>
      </c>
      <c r="M73" s="47">
        <f>(L73/$L$77)</f>
        <v>9.0582154611535144E-3</v>
      </c>
    </row>
    <row r="74" spans="1:17" ht="13.2" x14ac:dyDescent="0.25">
      <c r="A74" s="12" t="s">
        <v>20</v>
      </c>
      <c r="B74" s="46">
        <v>2196</v>
      </c>
      <c r="C74" s="47">
        <f>(B74/$B$77)</f>
        <v>1.9709739088289938E-2</v>
      </c>
      <c r="D74" s="48">
        <v>2750</v>
      </c>
      <c r="E74" s="47">
        <f>(D74/$D$77)</f>
        <v>2.2611040765650951E-2</v>
      </c>
      <c r="F74" s="46">
        <v>3387</v>
      </c>
      <c r="G74" s="47">
        <f>(F74/$F$77)</f>
        <v>2.5076814866915931E-2</v>
      </c>
      <c r="H74" s="48">
        <v>3992</v>
      </c>
      <c r="I74" s="47">
        <f>(H74/$H$77)</f>
        <v>2.7182165448961945E-2</v>
      </c>
      <c r="J74" s="46">
        <v>5267</v>
      </c>
      <c r="K74" s="47">
        <f>(J74/$J$77)</f>
        <v>3.3735572550375979E-2</v>
      </c>
      <c r="L74" s="58">
        <v>5001</v>
      </c>
      <c r="M74" s="47">
        <f>(L74/$L$77)</f>
        <v>2.9339466011158503E-2</v>
      </c>
    </row>
    <row r="75" spans="1:17" ht="13.2" x14ac:dyDescent="0.25">
      <c r="A75" s="12" t="s">
        <v>21</v>
      </c>
      <c r="B75" s="46">
        <v>2853</v>
      </c>
      <c r="C75" s="47">
        <f>(B75/$B$77)</f>
        <v>2.560650529093406E-2</v>
      </c>
      <c r="D75" s="48">
        <v>3036</v>
      </c>
      <c r="E75" s="47">
        <f>(D75/$D$77)</f>
        <v>2.4962589005278649E-2</v>
      </c>
      <c r="F75" s="46">
        <v>3657</v>
      </c>
      <c r="G75" s="47">
        <f>(F75/$F$77)</f>
        <v>2.707585236737867E-2</v>
      </c>
      <c r="H75" s="48">
        <v>3934</v>
      </c>
      <c r="I75" s="47">
        <f>(H75/$H$77)</f>
        <v>2.678723418742893E-2</v>
      </c>
      <c r="J75" s="46">
        <v>4276</v>
      </c>
      <c r="K75" s="47">
        <f>(J75/$J$77)</f>
        <v>2.7388135224113857E-2</v>
      </c>
      <c r="L75" s="58">
        <v>6586</v>
      </c>
      <c r="M75" s="47">
        <f>(L75/$L$77)</f>
        <v>3.8638216986500676E-2</v>
      </c>
    </row>
    <row r="76" spans="1:17" ht="13.2" x14ac:dyDescent="0.25">
      <c r="B76" s="46"/>
      <c r="C76" s="47"/>
      <c r="D76" s="52"/>
      <c r="E76" s="47"/>
      <c r="F76" s="46"/>
      <c r="G76" s="47"/>
      <c r="H76" s="52"/>
      <c r="I76" s="47"/>
      <c r="J76" s="46"/>
      <c r="K76" s="47"/>
      <c r="L76" s="60"/>
    </row>
    <row r="77" spans="1:17" x14ac:dyDescent="0.25">
      <c r="A77" s="38" t="s">
        <v>22</v>
      </c>
      <c r="B77" s="54">
        <f>(B72+B65+B51)</f>
        <v>111417</v>
      </c>
      <c r="C77" s="44">
        <f>(B77/$B$77)</f>
        <v>1</v>
      </c>
      <c r="D77" s="54">
        <f>(D72+D65+D51)</f>
        <v>121622</v>
      </c>
      <c r="E77" s="44">
        <f>(D77/$D$77)</f>
        <v>1</v>
      </c>
      <c r="F77" s="54">
        <f>(F72+F65+F51)</f>
        <v>135065</v>
      </c>
      <c r="G77" s="44">
        <f>(F77/$F$77)</f>
        <v>1</v>
      </c>
      <c r="H77" s="54">
        <f>(H72+H65+H51)</f>
        <v>146861</v>
      </c>
      <c r="I77" s="44">
        <f>(H77/$H$77)</f>
        <v>1</v>
      </c>
      <c r="J77" s="54">
        <f>(J72+J65+J51)</f>
        <v>156126</v>
      </c>
      <c r="K77" s="44">
        <f>(J77/$J$77)</f>
        <v>1</v>
      </c>
      <c r="L77" s="54">
        <f>(L72+L65+L51)</f>
        <v>170453</v>
      </c>
      <c r="M77" s="44">
        <f>(L77/$L$77)</f>
        <v>1</v>
      </c>
    </row>
    <row r="78" spans="1:17" x14ac:dyDescent="0.25">
      <c r="A78" s="61"/>
      <c r="B78" s="61"/>
      <c r="C78" s="61"/>
      <c r="D78" s="62"/>
      <c r="E78" s="61"/>
      <c r="F78" s="61"/>
      <c r="G78" s="61"/>
      <c r="H78" s="62"/>
      <c r="I78" s="61"/>
      <c r="J78" s="61"/>
      <c r="K78" s="61"/>
      <c r="L78" s="62"/>
      <c r="M78" s="61"/>
    </row>
    <row r="79" spans="1:17" ht="64.2" x14ac:dyDescent="0.25">
      <c r="A79" s="128" t="s">
        <v>23</v>
      </c>
      <c r="N79" s="142"/>
      <c r="O79" s="141"/>
      <c r="P79" s="144" t="s">
        <v>106</v>
      </c>
      <c r="Q79" s="141" t="s">
        <v>104</v>
      </c>
    </row>
    <row r="80" spans="1:17" x14ac:dyDescent="0.25">
      <c r="B80" s="10"/>
      <c r="C80" s="10"/>
      <c r="D80" s="11"/>
      <c r="E80" s="10"/>
      <c r="F80" s="10"/>
      <c r="G80" s="10"/>
      <c r="H80" s="11"/>
      <c r="I80" s="10"/>
      <c r="J80" s="10"/>
      <c r="K80" s="10"/>
    </row>
    <row r="81" spans="1:13" x14ac:dyDescent="0.25">
      <c r="B81" s="10"/>
      <c r="C81" s="10"/>
      <c r="D81" s="11"/>
      <c r="E81" s="10"/>
      <c r="F81" s="10"/>
      <c r="G81" s="10"/>
      <c r="H81" s="11"/>
      <c r="I81" s="10"/>
      <c r="J81" s="10"/>
      <c r="K81" s="10"/>
    </row>
    <row r="82" spans="1:13" ht="17.399999999999999" x14ac:dyDescent="0.25">
      <c r="A82" s="14" t="s">
        <v>0</v>
      </c>
      <c r="B82" s="15"/>
      <c r="C82" s="16"/>
      <c r="D82" s="17"/>
      <c r="E82" s="16"/>
      <c r="F82" s="120" t="s">
        <v>76</v>
      </c>
      <c r="G82" s="19"/>
      <c r="H82" s="20"/>
      <c r="I82" s="18"/>
      <c r="J82" s="18"/>
      <c r="K82" s="18"/>
      <c r="L82" s="20"/>
      <c r="M82" s="18"/>
    </row>
    <row r="83" spans="1:13" x14ac:dyDescent="0.25">
      <c r="A83" s="21"/>
      <c r="B83" s="22"/>
      <c r="C83" s="23"/>
      <c r="D83" s="24"/>
      <c r="E83" s="23"/>
      <c r="F83" s="22"/>
      <c r="G83" s="22"/>
      <c r="H83" s="25"/>
      <c r="I83" s="22"/>
      <c r="J83" s="22"/>
      <c r="K83" s="22"/>
      <c r="L83" s="25"/>
      <c r="M83" s="22"/>
    </row>
    <row r="84" spans="1:13" x14ac:dyDescent="0.25">
      <c r="A84" s="26"/>
      <c r="B84" s="27"/>
      <c r="C84" s="28"/>
      <c r="D84" s="29"/>
      <c r="E84" s="28"/>
      <c r="F84" s="27"/>
      <c r="G84" s="27"/>
      <c r="H84" s="30"/>
      <c r="I84" s="27"/>
      <c r="J84" s="27"/>
      <c r="K84" s="27"/>
      <c r="L84" s="30"/>
      <c r="M84" s="27"/>
    </row>
    <row r="85" spans="1:13" ht="13.2" x14ac:dyDescent="0.25">
      <c r="A85" s="31" t="s">
        <v>0</v>
      </c>
      <c r="B85" s="179">
        <v>1992</v>
      </c>
      <c r="C85" s="180"/>
      <c r="D85" s="181">
        <v>1993</v>
      </c>
      <c r="E85" s="180"/>
      <c r="F85" s="179">
        <v>1994</v>
      </c>
      <c r="G85" s="180"/>
      <c r="H85" s="181">
        <v>1995</v>
      </c>
      <c r="I85" s="180"/>
      <c r="J85" s="179">
        <v>1996</v>
      </c>
      <c r="K85" s="180"/>
      <c r="L85" s="181">
        <v>1997</v>
      </c>
      <c r="M85" s="180"/>
    </row>
    <row r="86" spans="1:13" x14ac:dyDescent="0.25">
      <c r="A86" s="34"/>
      <c r="B86" s="35"/>
      <c r="C86" s="35"/>
      <c r="D86" s="36"/>
      <c r="E86" s="35"/>
      <c r="F86" s="35"/>
      <c r="G86" s="35"/>
      <c r="H86" s="36"/>
      <c r="I86" s="35"/>
      <c r="J86" s="35"/>
      <c r="K86" s="35"/>
      <c r="L86" s="36"/>
      <c r="M86" s="35"/>
    </row>
    <row r="87" spans="1:13" x14ac:dyDescent="0.25">
      <c r="A87" s="31"/>
      <c r="B87" s="32"/>
      <c r="C87" s="32"/>
      <c r="D87" s="33"/>
      <c r="E87" s="32"/>
      <c r="F87" s="32"/>
      <c r="G87" s="32"/>
      <c r="H87" s="33"/>
      <c r="I87" s="32"/>
      <c r="J87" s="32"/>
      <c r="K87" s="32"/>
      <c r="L87" s="33"/>
      <c r="M87" s="32"/>
    </row>
    <row r="88" spans="1:13" x14ac:dyDescent="0.25">
      <c r="A88" s="31"/>
      <c r="B88" s="37" t="s">
        <v>64</v>
      </c>
      <c r="C88" s="37" t="s">
        <v>1</v>
      </c>
      <c r="D88" s="37" t="s">
        <v>64</v>
      </c>
      <c r="E88" s="37" t="s">
        <v>1</v>
      </c>
      <c r="F88" s="37" t="s">
        <v>64</v>
      </c>
      <c r="G88" s="37" t="s">
        <v>1</v>
      </c>
      <c r="H88" s="37" t="s">
        <v>64</v>
      </c>
      <c r="I88" s="37" t="s">
        <v>1</v>
      </c>
      <c r="J88" s="37" t="s">
        <v>64</v>
      </c>
      <c r="K88" s="37" t="s">
        <v>1</v>
      </c>
      <c r="L88" s="37" t="s">
        <v>64</v>
      </c>
      <c r="M88" s="37" t="s">
        <v>1</v>
      </c>
    </row>
    <row r="89" spans="1:13" x14ac:dyDescent="0.25">
      <c r="A89" s="39" t="s">
        <v>0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</row>
    <row r="90" spans="1:13" x14ac:dyDescent="0.25">
      <c r="A90" s="39" t="s">
        <v>74</v>
      </c>
      <c r="B90" s="40">
        <f>SUM(B91:B102)</f>
        <v>58299</v>
      </c>
      <c r="C90" s="44">
        <f t="shared" ref="C90:C102" si="26">(B90/$B$116)</f>
        <v>0.60791449426485922</v>
      </c>
      <c r="D90" s="40">
        <f>SUM(D91:D102)</f>
        <v>62185</v>
      </c>
      <c r="E90" s="44">
        <f>(D90/$D$116)</f>
        <v>0.61189447686146403</v>
      </c>
      <c r="F90" s="40">
        <f>SUM(F91:F102)</f>
        <v>69925</v>
      </c>
      <c r="G90" s="44">
        <f t="shared" ref="G90:G102" si="27">(F90/$F$116)</f>
        <v>0.62652880195686655</v>
      </c>
      <c r="H90" s="40">
        <f>SUM(H91:H102)</f>
        <v>80911</v>
      </c>
      <c r="I90" s="44">
        <f t="shared" ref="I90:I102" si="28">(H90/$H$116)</f>
        <v>0.64720515773980936</v>
      </c>
      <c r="J90" s="40">
        <f>SUM(J91:J102)</f>
        <v>89830</v>
      </c>
      <c r="K90" s="44">
        <f t="shared" ref="K90:K102" si="29">(J90/$J$116)</f>
        <v>0.65313333866523193</v>
      </c>
      <c r="L90" s="40">
        <f>SUM(L91:L102)</f>
        <v>96975</v>
      </c>
      <c r="M90" s="44">
        <f>(L90/$L$116)</f>
        <v>0.6657353122897588</v>
      </c>
    </row>
    <row r="91" spans="1:13" ht="13.2" x14ac:dyDescent="0.25">
      <c r="A91" s="12" t="s">
        <v>2</v>
      </c>
      <c r="B91" s="46">
        <v>15</v>
      </c>
      <c r="C91" s="47">
        <f t="shared" si="26"/>
        <v>1.5641293013555788E-4</v>
      </c>
      <c r="D91" s="48">
        <v>104</v>
      </c>
      <c r="E91" s="47">
        <f>(D91/$D$116)</f>
        <v>1.0233500939710904E-3</v>
      </c>
      <c r="F91" s="46">
        <v>238</v>
      </c>
      <c r="G91" s="47">
        <f t="shared" si="27"/>
        <v>2.132482729577894E-3</v>
      </c>
      <c r="H91" s="48">
        <v>348</v>
      </c>
      <c r="I91" s="47">
        <f t="shared" si="28"/>
        <v>2.7836436936072182E-3</v>
      </c>
      <c r="J91" s="46">
        <v>414</v>
      </c>
      <c r="K91" s="47">
        <f t="shared" si="29"/>
        <v>3.0100991006056553E-3</v>
      </c>
      <c r="L91" s="58">
        <v>497</v>
      </c>
      <c r="M91" s="47">
        <f>(L91/$L$116)</f>
        <v>3.4119149286724426E-3</v>
      </c>
    </row>
    <row r="92" spans="1:13" ht="13.2" x14ac:dyDescent="0.25">
      <c r="A92" s="12" t="s">
        <v>3</v>
      </c>
      <c r="B92" s="46">
        <v>11859</v>
      </c>
      <c r="C92" s="47">
        <f t="shared" si="26"/>
        <v>0.12366006256517205</v>
      </c>
      <c r="D92" s="48">
        <v>12383</v>
      </c>
      <c r="E92" s="47">
        <f t="shared" ref="E92:E102" si="30">(D92/$D$116)</f>
        <v>0.1218475405158078</v>
      </c>
      <c r="F92" s="46">
        <v>13958</v>
      </c>
      <c r="G92" s="47">
        <f t="shared" si="27"/>
        <v>0.12506384008171531</v>
      </c>
      <c r="H92" s="48">
        <v>15691</v>
      </c>
      <c r="I92" s="47">
        <f t="shared" si="28"/>
        <v>0.12551193447238754</v>
      </c>
      <c r="J92" s="46">
        <v>17522</v>
      </c>
      <c r="K92" s="47">
        <f t="shared" si="29"/>
        <v>0.12739844550920842</v>
      </c>
      <c r="L92" s="58">
        <v>19041</v>
      </c>
      <c r="M92" s="47">
        <f t="shared" ref="M92:M102" si="31">(L92/$L$116)</f>
        <v>0.13071684538602008</v>
      </c>
    </row>
    <row r="93" spans="1:13" ht="13.2" x14ac:dyDescent="0.25">
      <c r="A93" s="12" t="s">
        <v>4</v>
      </c>
      <c r="B93" s="46">
        <v>1114</v>
      </c>
      <c r="C93" s="47">
        <f t="shared" si="26"/>
        <v>1.1616266944734098E-2</v>
      </c>
      <c r="D93" s="48">
        <v>1342</v>
      </c>
      <c r="E93" s="47">
        <f t="shared" si="30"/>
        <v>1.3205152174126954E-2</v>
      </c>
      <c r="F93" s="46">
        <v>1629</v>
      </c>
      <c r="G93" s="47">
        <f t="shared" si="27"/>
        <v>1.4595858682699114E-2</v>
      </c>
      <c r="H93" s="48">
        <v>1707</v>
      </c>
      <c r="I93" s="47">
        <f t="shared" si="28"/>
        <v>1.3654252255711269E-2</v>
      </c>
      <c r="J93" s="46">
        <v>1709</v>
      </c>
      <c r="K93" s="47">
        <f t="shared" si="29"/>
        <v>1.2425747253466341E-2</v>
      </c>
      <c r="L93" s="58">
        <v>1800</v>
      </c>
      <c r="M93" s="47">
        <f t="shared" si="31"/>
        <v>1.235703595897464E-2</v>
      </c>
    </row>
    <row r="94" spans="1:13" ht="13.2" x14ac:dyDescent="0.25">
      <c r="A94" s="12" t="s">
        <v>5</v>
      </c>
      <c r="B94" s="46">
        <v>9637</v>
      </c>
      <c r="C94" s="47">
        <f t="shared" si="26"/>
        <v>0.10049009384775807</v>
      </c>
      <c r="D94" s="48">
        <v>10237</v>
      </c>
      <c r="E94" s="47">
        <f t="shared" si="30"/>
        <v>0.10073110492290435</v>
      </c>
      <c r="F94" s="46">
        <v>12775</v>
      </c>
      <c r="G94" s="47">
        <f t="shared" si="27"/>
        <v>0.11446414651410754</v>
      </c>
      <c r="H94" s="48">
        <v>15578</v>
      </c>
      <c r="I94" s="47">
        <f t="shared" si="28"/>
        <v>0.12460805016957829</v>
      </c>
      <c r="J94" s="46">
        <v>16128</v>
      </c>
      <c r="K94" s="47">
        <f t="shared" si="29"/>
        <v>0.11726299104968117</v>
      </c>
      <c r="L94" s="58">
        <v>17454</v>
      </c>
      <c r="M94" s="47">
        <f t="shared" si="31"/>
        <v>0.11982205868219077</v>
      </c>
    </row>
    <row r="95" spans="1:13" ht="13.2" x14ac:dyDescent="0.25">
      <c r="A95" s="12" t="s">
        <v>6</v>
      </c>
      <c r="B95" s="46">
        <v>4581</v>
      </c>
      <c r="C95" s="47">
        <f t="shared" si="26"/>
        <v>4.7768508863399374E-2</v>
      </c>
      <c r="D95" s="48">
        <v>4714</v>
      </c>
      <c r="E95" s="47">
        <f t="shared" si="30"/>
        <v>4.6385310990189617E-2</v>
      </c>
      <c r="F95" s="46">
        <v>5291</v>
      </c>
      <c r="G95" s="47">
        <f t="shared" si="27"/>
        <v>4.7407420681498474E-2</v>
      </c>
      <c r="H95" s="48">
        <v>6412</v>
      </c>
      <c r="I95" s="47">
        <f t="shared" si="28"/>
        <v>5.1289434952326102E-2</v>
      </c>
      <c r="J95" s="46">
        <v>7756</v>
      </c>
      <c r="K95" s="47">
        <f t="shared" si="29"/>
        <v>5.6392098126322371E-2</v>
      </c>
      <c r="L95" s="58">
        <v>8920</v>
      </c>
      <c r="M95" s="47">
        <f t="shared" si="31"/>
        <v>6.1235978196696551E-2</v>
      </c>
    </row>
    <row r="96" spans="1:13" ht="13.2" x14ac:dyDescent="0.25">
      <c r="A96" s="12" t="s">
        <v>7</v>
      </c>
      <c r="B96" s="46">
        <v>5081</v>
      </c>
      <c r="C96" s="47">
        <f t="shared" si="26"/>
        <v>5.2982273201251304E-2</v>
      </c>
      <c r="D96" s="48">
        <v>5385</v>
      </c>
      <c r="E96" s="47">
        <f t="shared" si="30"/>
        <v>5.298788707725309E-2</v>
      </c>
      <c r="F96" s="46">
        <v>5489</v>
      </c>
      <c r="G96" s="47">
        <f t="shared" si="27"/>
        <v>4.9181502952323777E-2</v>
      </c>
      <c r="H96" s="48">
        <v>6480</v>
      </c>
      <c r="I96" s="47">
        <f t="shared" si="28"/>
        <v>5.1833365329237858E-2</v>
      </c>
      <c r="J96" s="46">
        <v>6959</v>
      </c>
      <c r="K96" s="47">
        <f t="shared" si="29"/>
        <v>5.0597293819117761E-2</v>
      </c>
      <c r="L96" s="58">
        <v>6840</v>
      </c>
      <c r="M96" s="47">
        <f t="shared" si="31"/>
        <v>4.6956736644103637E-2</v>
      </c>
    </row>
    <row r="97" spans="1:13" ht="13.2" x14ac:dyDescent="0.25">
      <c r="A97" s="12" t="s">
        <v>8</v>
      </c>
      <c r="B97" s="46">
        <v>11213</v>
      </c>
      <c r="C97" s="47">
        <f t="shared" si="26"/>
        <v>0.11692387904066737</v>
      </c>
      <c r="D97" s="48">
        <v>12267</v>
      </c>
      <c r="E97" s="47">
        <f t="shared" si="30"/>
        <v>0.12070611156484005</v>
      </c>
      <c r="F97" s="46">
        <v>12928</v>
      </c>
      <c r="G97" s="47">
        <f t="shared" si="27"/>
        <v>0.11583502826883618</v>
      </c>
      <c r="H97" s="48">
        <v>15094</v>
      </c>
      <c r="I97" s="47">
        <f t="shared" si="28"/>
        <v>0.12073654572214756</v>
      </c>
      <c r="J97" s="46">
        <v>17171</v>
      </c>
      <c r="K97" s="47">
        <f t="shared" si="29"/>
        <v>0.12484640496739059</v>
      </c>
      <c r="L97" s="58">
        <v>17645</v>
      </c>
      <c r="M97" s="47">
        <f t="shared" si="31"/>
        <v>0.12113327749783752</v>
      </c>
    </row>
    <row r="98" spans="1:13" ht="13.2" x14ac:dyDescent="0.25">
      <c r="A98" s="12" t="s">
        <v>9</v>
      </c>
      <c r="B98" s="46">
        <v>0</v>
      </c>
      <c r="C98" s="47">
        <f t="shared" si="26"/>
        <v>0</v>
      </c>
      <c r="D98" s="48">
        <v>0</v>
      </c>
      <c r="E98" s="47">
        <f t="shared" si="30"/>
        <v>0</v>
      </c>
      <c r="F98" s="46">
        <v>0</v>
      </c>
      <c r="G98" s="47">
        <f t="shared" si="27"/>
        <v>0</v>
      </c>
      <c r="H98" s="48">
        <v>0</v>
      </c>
      <c r="I98" s="47">
        <f t="shared" si="28"/>
        <v>0</v>
      </c>
      <c r="J98" s="46">
        <v>0</v>
      </c>
      <c r="K98" s="47">
        <f t="shared" si="29"/>
        <v>0</v>
      </c>
      <c r="L98" s="58"/>
      <c r="M98" s="47">
        <f t="shared" si="31"/>
        <v>0</v>
      </c>
    </row>
    <row r="99" spans="1:13" ht="13.2" x14ac:dyDescent="0.25">
      <c r="A99" s="12" t="s">
        <v>10</v>
      </c>
      <c r="B99" s="46">
        <v>5649</v>
      </c>
      <c r="C99" s="47">
        <f t="shared" si="26"/>
        <v>5.8905109489051095E-2</v>
      </c>
      <c r="D99" s="48">
        <v>6040</v>
      </c>
      <c r="E99" s="47">
        <f t="shared" si="30"/>
        <v>5.9433024688321019E-2</v>
      </c>
      <c r="F99" s="46">
        <v>6418</v>
      </c>
      <c r="G99" s="47">
        <f t="shared" si="27"/>
        <v>5.7505353606852619E-2</v>
      </c>
      <c r="H99" s="48">
        <v>7361</v>
      </c>
      <c r="I99" s="47">
        <f t="shared" si="28"/>
        <v>5.8880463300697509E-2</v>
      </c>
      <c r="J99" s="46">
        <v>8322</v>
      </c>
      <c r="K99" s="47">
        <f t="shared" si="29"/>
        <v>6.0507354384638314E-2</v>
      </c>
      <c r="L99" s="58">
        <v>9460</v>
      </c>
      <c r="M99" s="47">
        <f t="shared" si="31"/>
        <v>6.4943088984388941E-2</v>
      </c>
    </row>
    <row r="100" spans="1:13" ht="13.2" x14ac:dyDescent="0.25">
      <c r="A100" s="12" t="s">
        <v>11</v>
      </c>
      <c r="B100" s="46">
        <v>1906</v>
      </c>
      <c r="C100" s="47">
        <f t="shared" si="26"/>
        <v>1.9874869655891553E-2</v>
      </c>
      <c r="D100" s="48">
        <v>2234</v>
      </c>
      <c r="E100" s="47">
        <f t="shared" si="30"/>
        <v>2.1982347210878998E-2</v>
      </c>
      <c r="F100" s="46">
        <v>2403</v>
      </c>
      <c r="G100" s="47">
        <f t="shared" si="27"/>
        <v>2.1530907559561677E-2</v>
      </c>
      <c r="H100" s="48">
        <v>2422</v>
      </c>
      <c r="I100" s="47">
        <f t="shared" si="28"/>
        <v>1.9373520189415756E-2</v>
      </c>
      <c r="J100" s="46">
        <v>2561</v>
      </c>
      <c r="K100" s="47">
        <f t="shared" si="29"/>
        <v>1.8620443953263486E-2</v>
      </c>
      <c r="L100" s="58">
        <v>2814</v>
      </c>
      <c r="M100" s="47">
        <f t="shared" si="31"/>
        <v>1.9318166215863689E-2</v>
      </c>
    </row>
    <row r="101" spans="1:13" ht="13.2" x14ac:dyDescent="0.25">
      <c r="A101" s="12" t="s">
        <v>12</v>
      </c>
      <c r="B101" s="46">
        <v>298</v>
      </c>
      <c r="C101" s="47">
        <f t="shared" si="26"/>
        <v>3.1074035453597499E-3</v>
      </c>
      <c r="D101" s="48">
        <v>281</v>
      </c>
      <c r="E101" s="47">
        <f t="shared" si="30"/>
        <v>2.7650132346718885E-3</v>
      </c>
      <c r="F101" s="46">
        <v>308</v>
      </c>
      <c r="G101" s="47">
        <f t="shared" si="27"/>
        <v>2.7596835323949213E-3</v>
      </c>
      <c r="H101" s="48">
        <v>342</v>
      </c>
      <c r="I101" s="47">
        <f t="shared" si="28"/>
        <v>2.735649836820887E-3</v>
      </c>
      <c r="J101" s="46">
        <v>323</v>
      </c>
      <c r="K101" s="47">
        <f t="shared" si="29"/>
        <v>2.3484589601343638E-3</v>
      </c>
      <c r="L101" s="58">
        <v>385</v>
      </c>
      <c r="M101" s="47">
        <f t="shared" si="31"/>
        <v>2.6430326912251314E-3</v>
      </c>
    </row>
    <row r="102" spans="1:13" ht="13.2" x14ac:dyDescent="0.25">
      <c r="A102" s="12" t="s">
        <v>13</v>
      </c>
      <c r="B102" s="46">
        <v>6946</v>
      </c>
      <c r="C102" s="47">
        <f t="shared" si="26"/>
        <v>7.2429614181438992E-2</v>
      </c>
      <c r="D102" s="48">
        <v>7198</v>
      </c>
      <c r="E102" s="47">
        <f t="shared" si="30"/>
        <v>7.0827634388499122E-2</v>
      </c>
      <c r="F102" s="46">
        <v>8488</v>
      </c>
      <c r="G102" s="47">
        <f t="shared" si="27"/>
        <v>7.6052577347299005E-2</v>
      </c>
      <c r="H102" s="48">
        <v>9476</v>
      </c>
      <c r="I102" s="47">
        <f t="shared" si="28"/>
        <v>7.5798297817879307E-2</v>
      </c>
      <c r="J102" s="46">
        <v>10965</v>
      </c>
      <c r="K102" s="47">
        <f t="shared" si="29"/>
        <v>7.9724001541403411E-2</v>
      </c>
      <c r="L102" s="58">
        <v>12119</v>
      </c>
      <c r="M102" s="47">
        <f t="shared" si="31"/>
        <v>8.3197177103785366E-2</v>
      </c>
    </row>
    <row r="103" spans="1:13" ht="13.2" x14ac:dyDescent="0.25">
      <c r="A103" s="49"/>
      <c r="B103" s="59"/>
      <c r="C103" s="47"/>
      <c r="D103" s="52"/>
      <c r="E103" s="47"/>
      <c r="F103" s="59"/>
      <c r="G103" s="47"/>
      <c r="H103" s="52"/>
      <c r="I103" s="47"/>
      <c r="J103" s="59"/>
      <c r="K103" s="47"/>
      <c r="L103" s="58"/>
    </row>
    <row r="104" spans="1:13" x14ac:dyDescent="0.25">
      <c r="A104" s="39" t="s">
        <v>75</v>
      </c>
      <c r="B104" s="40">
        <f>SUM(B105:B109)</f>
        <v>3550</v>
      </c>
      <c r="C104" s="44">
        <f t="shared" ref="C104:C109" si="32">(B104/$B$116)</f>
        <v>3.70177267987487E-2</v>
      </c>
      <c r="D104" s="40">
        <f>SUM(D105:D109)</f>
        <v>3758</v>
      </c>
      <c r="E104" s="44">
        <f t="shared" ref="E104:E109" si="33">(D104/$D$116)</f>
        <v>3.6978362049455364E-2</v>
      </c>
      <c r="F104" s="40">
        <f>SUM(F105:F109)</f>
        <v>4036</v>
      </c>
      <c r="G104" s="44">
        <f t="shared" ref="G104:G109" si="34">(F104/$F$116)</f>
        <v>3.616260628813605E-2</v>
      </c>
      <c r="H104" s="40">
        <f>SUM(H105:H109)</f>
        <v>4654</v>
      </c>
      <c r="I104" s="44">
        <f t="shared" ref="I104:I109" si="35">(H104/$H$116)</f>
        <v>3.7227234913931019E-2</v>
      </c>
      <c r="J104" s="40">
        <f>SUM(J105:J109)</f>
        <v>4821</v>
      </c>
      <c r="K104" s="44">
        <f t="shared" ref="K104:K109" si="36">(J104/$J$116)</f>
        <v>3.5052385903429621E-2</v>
      </c>
      <c r="L104" s="40">
        <f>SUM(L105:L109)</f>
        <v>3423</v>
      </c>
      <c r="M104" s="44">
        <f t="shared" ref="M104:M109" si="37">(L104/$L$116)</f>
        <v>2.3498963381983443E-2</v>
      </c>
    </row>
    <row r="105" spans="1:13" ht="13.2" x14ac:dyDescent="0.25">
      <c r="A105" s="12" t="s">
        <v>14</v>
      </c>
      <c r="B105" s="46">
        <v>1225</v>
      </c>
      <c r="C105" s="47">
        <f t="shared" si="32"/>
        <v>1.2773722627737226E-2</v>
      </c>
      <c r="D105" s="48">
        <v>1262</v>
      </c>
      <c r="E105" s="47">
        <f t="shared" si="33"/>
        <v>1.2417959794149192E-2</v>
      </c>
      <c r="F105" s="46">
        <v>1472</v>
      </c>
      <c r="G105" s="47">
        <f t="shared" si="34"/>
        <v>1.3189136882095208E-2</v>
      </c>
      <c r="H105" s="48">
        <v>1746</v>
      </c>
      <c r="I105" s="47">
        <f t="shared" si="35"/>
        <v>1.3966212324822423E-2</v>
      </c>
      <c r="J105" s="46">
        <v>1634</v>
      </c>
      <c r="K105" s="47">
        <f t="shared" si="36"/>
        <v>1.1880439445385605E-2</v>
      </c>
      <c r="L105" s="58">
        <v>1780</v>
      </c>
      <c r="M105" s="47">
        <f t="shared" si="37"/>
        <v>1.2219735559430478E-2</v>
      </c>
    </row>
    <row r="106" spans="1:13" ht="13.2" x14ac:dyDescent="0.25">
      <c r="A106" s="12" t="s">
        <v>15</v>
      </c>
      <c r="B106" s="46">
        <v>604</v>
      </c>
      <c r="C106" s="47">
        <f t="shared" si="32"/>
        <v>6.2982273201251304E-3</v>
      </c>
      <c r="D106" s="48">
        <v>632</v>
      </c>
      <c r="E106" s="47">
        <f t="shared" si="33"/>
        <v>6.2188198018243183E-3</v>
      </c>
      <c r="F106" s="46">
        <v>721</v>
      </c>
      <c r="G106" s="47">
        <f t="shared" si="34"/>
        <v>6.4601682690153843E-3</v>
      </c>
      <c r="H106" s="48">
        <v>826</v>
      </c>
      <c r="I106" s="47">
        <f t="shared" si="35"/>
        <v>6.6071542842516158E-3</v>
      </c>
      <c r="J106" s="46">
        <v>1082</v>
      </c>
      <c r="K106" s="47">
        <f t="shared" si="36"/>
        <v>7.8669739779113988E-3</v>
      </c>
      <c r="L106" s="58">
        <v>1005</v>
      </c>
      <c r="M106" s="47">
        <f t="shared" si="37"/>
        <v>6.8993450770941742E-3</v>
      </c>
    </row>
    <row r="107" spans="1:13" ht="13.2" x14ac:dyDescent="0.25">
      <c r="A107" s="12" t="s">
        <v>16</v>
      </c>
      <c r="B107" s="46">
        <v>0</v>
      </c>
      <c r="C107" s="47">
        <f t="shared" si="32"/>
        <v>0</v>
      </c>
      <c r="D107" s="48">
        <v>0</v>
      </c>
      <c r="E107" s="47">
        <f t="shared" si="33"/>
        <v>0</v>
      </c>
      <c r="F107" s="46">
        <v>38</v>
      </c>
      <c r="G107" s="47">
        <f t="shared" si="34"/>
        <v>3.4048043581495785E-4</v>
      </c>
      <c r="H107" s="48">
        <v>79</v>
      </c>
      <c r="I107" s="47">
        <f t="shared" si="35"/>
        <v>6.3191911435336282E-4</v>
      </c>
      <c r="J107" s="46">
        <v>137</v>
      </c>
      <c r="K107" s="47">
        <f t="shared" si="36"/>
        <v>9.9609559609414194E-4</v>
      </c>
      <c r="L107" s="58">
        <v>141</v>
      </c>
      <c r="M107" s="47">
        <f t="shared" si="37"/>
        <v>9.6796781678634681E-4</v>
      </c>
    </row>
    <row r="108" spans="1:13" ht="13.2" x14ac:dyDescent="0.25">
      <c r="A108" s="12" t="s">
        <v>17</v>
      </c>
      <c r="B108" s="46">
        <v>201</v>
      </c>
      <c r="C108" s="47">
        <f t="shared" si="32"/>
        <v>2.0959332638164755E-3</v>
      </c>
      <c r="D108" s="48">
        <v>262</v>
      </c>
      <c r="E108" s="47">
        <f t="shared" si="33"/>
        <v>2.5780550444271699E-3</v>
      </c>
      <c r="F108" s="46">
        <v>258</v>
      </c>
      <c r="G108" s="47">
        <f t="shared" si="34"/>
        <v>2.3116829589541876E-3</v>
      </c>
      <c r="H108" s="48">
        <v>293</v>
      </c>
      <c r="I108" s="47">
        <f t="shared" si="35"/>
        <v>2.3437000063991809E-3</v>
      </c>
      <c r="J108" s="46">
        <v>343</v>
      </c>
      <c r="K108" s="47">
        <f t="shared" si="36"/>
        <v>2.4938743756225596E-3</v>
      </c>
      <c r="L108" s="58">
        <v>497</v>
      </c>
      <c r="M108" s="47">
        <f t="shared" si="37"/>
        <v>3.4119149286724426E-3</v>
      </c>
    </row>
    <row r="109" spans="1:13" ht="13.2" x14ac:dyDescent="0.25">
      <c r="A109" s="12" t="s">
        <v>18</v>
      </c>
      <c r="B109" s="46">
        <v>1520</v>
      </c>
      <c r="C109" s="47">
        <f t="shared" si="32"/>
        <v>1.5849843587069864E-2</v>
      </c>
      <c r="D109" s="48">
        <v>1602</v>
      </c>
      <c r="E109" s="47">
        <f t="shared" si="33"/>
        <v>1.5763527409054682E-2</v>
      </c>
      <c r="F109" s="46">
        <v>1547</v>
      </c>
      <c r="G109" s="47">
        <f t="shared" si="34"/>
        <v>1.3861137742256309E-2</v>
      </c>
      <c r="H109" s="48">
        <v>1710</v>
      </c>
      <c r="I109" s="47">
        <f t="shared" si="35"/>
        <v>1.3678249184104435E-2</v>
      </c>
      <c r="J109" s="46">
        <v>1625</v>
      </c>
      <c r="K109" s="47">
        <f t="shared" si="36"/>
        <v>1.1815002508415917E-2</v>
      </c>
      <c r="L109" s="58"/>
      <c r="M109" s="47">
        <f t="shared" si="37"/>
        <v>0</v>
      </c>
    </row>
    <row r="110" spans="1:13" ht="13.2" x14ac:dyDescent="0.25">
      <c r="B110" s="46"/>
      <c r="C110" s="47"/>
      <c r="D110" s="52"/>
      <c r="E110" s="47"/>
      <c r="F110" s="46"/>
      <c r="G110" s="47"/>
      <c r="H110" s="52"/>
      <c r="I110" s="47"/>
      <c r="J110" s="46"/>
      <c r="K110" s="47"/>
      <c r="L110" s="58"/>
    </row>
    <row r="111" spans="1:13" x14ac:dyDescent="0.25">
      <c r="A111" s="39" t="s">
        <v>65</v>
      </c>
      <c r="B111" s="40">
        <f>SUM(B112:B114)</f>
        <v>34051</v>
      </c>
      <c r="C111" s="44">
        <f>(B111/$B$116)</f>
        <v>0.35506777893639208</v>
      </c>
      <c r="D111" s="40">
        <f>SUM(D112:D114)</f>
        <v>35684</v>
      </c>
      <c r="E111" s="44">
        <f>(D111/$D$116)</f>
        <v>0.35112716108908065</v>
      </c>
      <c r="F111" s="40">
        <f>SUM(F112:F114)</f>
        <v>37646</v>
      </c>
      <c r="G111" s="44">
        <f>(F111/$F$116)</f>
        <v>0.33730859175499744</v>
      </c>
      <c r="H111" s="40">
        <f>SUM(H112:H114)</f>
        <v>39451</v>
      </c>
      <c r="I111" s="44">
        <f>(H111/$H$116)</f>
        <v>0.31556760734625966</v>
      </c>
      <c r="J111" s="40">
        <f>SUM(J112:J114)</f>
        <v>42886</v>
      </c>
      <c r="K111" s="44">
        <f>(J111/$J$116)</f>
        <v>0.31181427543133849</v>
      </c>
      <c r="L111" s="40">
        <f>SUM(L112:L114)</f>
        <v>45268</v>
      </c>
      <c r="M111" s="44">
        <f>(L111/$L$116)</f>
        <v>0.31076572432825778</v>
      </c>
    </row>
    <row r="112" spans="1:13" ht="13.2" x14ac:dyDescent="0.25">
      <c r="A112" s="53" t="s">
        <v>19</v>
      </c>
      <c r="B112" s="46">
        <v>6194</v>
      </c>
      <c r="C112" s="47">
        <f>(B112/$B$116)</f>
        <v>6.4588112617309693E-2</v>
      </c>
      <c r="D112" s="48">
        <v>6542</v>
      </c>
      <c r="E112" s="47">
        <f>(D112/$D$116)</f>
        <v>6.4372656872681469E-2</v>
      </c>
      <c r="F112" s="46">
        <v>6290</v>
      </c>
      <c r="G112" s="47">
        <f>(F112/$F$116)</f>
        <v>5.6358472138844339E-2</v>
      </c>
      <c r="H112" s="48">
        <v>6279</v>
      </c>
      <c r="I112" s="47">
        <f>(H112/$H$116)</f>
        <v>5.0225571126895754E-2</v>
      </c>
      <c r="J112" s="46">
        <v>7195</v>
      </c>
      <c r="K112" s="47">
        <f>(J112/$J$116)</f>
        <v>5.2313195721878473E-2</v>
      </c>
      <c r="L112" s="58">
        <v>6869</v>
      </c>
      <c r="M112" s="47">
        <f>(L112/$L$116)</f>
        <v>4.7155822223442667E-2</v>
      </c>
    </row>
    <row r="113" spans="1:17" ht="13.2" x14ac:dyDescent="0.25">
      <c r="A113" s="12" t="s">
        <v>20</v>
      </c>
      <c r="B113" s="46">
        <v>15202</v>
      </c>
      <c r="C113" s="47">
        <f>(B113/$B$116)</f>
        <v>0.15851929092805006</v>
      </c>
      <c r="D113" s="48">
        <v>15986</v>
      </c>
      <c r="E113" s="47">
        <f>(D113/$D$116)</f>
        <v>0.15730071732905626</v>
      </c>
      <c r="F113" s="46">
        <v>17249</v>
      </c>
      <c r="G113" s="47">
        <f>(F113/$F$116)</f>
        <v>0.15455123782558441</v>
      </c>
      <c r="H113" s="48">
        <v>18360</v>
      </c>
      <c r="I113" s="47">
        <f>(H113/$H$116)</f>
        <v>0.14686120176617393</v>
      </c>
      <c r="J113" s="46">
        <v>20100</v>
      </c>
      <c r="K113" s="47">
        <f>(J113/$J$116)</f>
        <v>0.14614249256563688</v>
      </c>
      <c r="L113" s="58">
        <v>22381</v>
      </c>
      <c r="M113" s="47">
        <f>(L113/$L$116)</f>
        <v>0.15364601210989523</v>
      </c>
    </row>
    <row r="114" spans="1:17" ht="13.2" x14ac:dyDescent="0.25">
      <c r="A114" s="12" t="s">
        <v>21</v>
      </c>
      <c r="B114" s="46">
        <v>12655</v>
      </c>
      <c r="C114" s="47">
        <f>(B114/$B$116)</f>
        <v>0.13196037539103234</v>
      </c>
      <c r="D114" s="48">
        <v>13156</v>
      </c>
      <c r="E114" s="47">
        <f>(D114/$D$116)</f>
        <v>0.12945378688734294</v>
      </c>
      <c r="F114" s="46">
        <v>14107</v>
      </c>
      <c r="G114" s="47">
        <f>(F114/$F$116)</f>
        <v>0.12639888179056868</v>
      </c>
      <c r="H114" s="48">
        <v>14812</v>
      </c>
      <c r="I114" s="47">
        <f>(H114/$H$116)</f>
        <v>0.11848083445318999</v>
      </c>
      <c r="J114" s="46">
        <v>15591</v>
      </c>
      <c r="K114" s="47">
        <f>(J114/$J$116)</f>
        <v>0.11335858714382312</v>
      </c>
      <c r="L114" s="58">
        <v>16018</v>
      </c>
      <c r="M114" s="47">
        <f>(L114/$L$116)</f>
        <v>0.10996388999491989</v>
      </c>
    </row>
    <row r="115" spans="1:17" ht="13.2" x14ac:dyDescent="0.25">
      <c r="B115" s="46"/>
      <c r="C115" s="47"/>
      <c r="D115" s="52"/>
      <c r="E115" s="47"/>
      <c r="F115" s="46"/>
      <c r="G115" s="47"/>
      <c r="H115" s="52"/>
      <c r="I115" s="47"/>
      <c r="J115" s="46"/>
      <c r="K115" s="47"/>
      <c r="L115" s="58" t="s">
        <v>0</v>
      </c>
    </row>
    <row r="116" spans="1:17" x14ac:dyDescent="0.25">
      <c r="A116" s="38" t="s">
        <v>22</v>
      </c>
      <c r="B116" s="54">
        <f>(B111+B104+B90)</f>
        <v>95900</v>
      </c>
      <c r="C116" s="44">
        <f>(B116/$B$116)</f>
        <v>1</v>
      </c>
      <c r="D116" s="54">
        <f>(D111+D104+D90)</f>
        <v>101627</v>
      </c>
      <c r="E116" s="44">
        <f>(D116/$D$116)</f>
        <v>1</v>
      </c>
      <c r="F116" s="54">
        <f>(F111+F104+F90)</f>
        <v>111607</v>
      </c>
      <c r="G116" s="44">
        <f>(F116/$F$116)</f>
        <v>1</v>
      </c>
      <c r="H116" s="54">
        <f>(H111+H104+H90)</f>
        <v>125016</v>
      </c>
      <c r="I116" s="43">
        <f>(H116/$H$116)</f>
        <v>1</v>
      </c>
      <c r="J116" s="54">
        <f>(J111+J104+J90)</f>
        <v>137537</v>
      </c>
      <c r="K116" s="44">
        <f>(J116/$J$116)</f>
        <v>1</v>
      </c>
      <c r="L116" s="54">
        <f>(L111+L104+L90)</f>
        <v>145666</v>
      </c>
      <c r="M116" s="44">
        <f>(L116/$L$116)</f>
        <v>1</v>
      </c>
    </row>
    <row r="117" spans="1:17" x14ac:dyDescent="0.25">
      <c r="A117" s="61"/>
      <c r="B117" s="61"/>
      <c r="C117" s="61"/>
      <c r="D117" s="62"/>
      <c r="E117" s="61"/>
      <c r="F117" s="61"/>
      <c r="G117" s="61"/>
      <c r="H117" s="62"/>
      <c r="I117" s="61"/>
      <c r="J117" s="61"/>
      <c r="K117" s="61"/>
      <c r="L117" s="62"/>
      <c r="M117" s="61"/>
    </row>
    <row r="118" spans="1:17" x14ac:dyDescent="0.25">
      <c r="A118" s="128" t="s">
        <v>23</v>
      </c>
    </row>
    <row r="119" spans="1:17" ht="64.2" x14ac:dyDescent="0.25">
      <c r="P119" s="143" t="s">
        <v>107</v>
      </c>
      <c r="Q119" s="141" t="s">
        <v>104</v>
      </c>
    </row>
  </sheetData>
  <mergeCells count="18">
    <mergeCell ref="H7:I7"/>
    <mergeCell ref="F7:G7"/>
    <mergeCell ref="F46:G46"/>
    <mergeCell ref="H46:I46"/>
    <mergeCell ref="J46:K46"/>
    <mergeCell ref="L46:M46"/>
    <mergeCell ref="D7:E7"/>
    <mergeCell ref="B7:C7"/>
    <mergeCell ref="B46:C46"/>
    <mergeCell ref="D46:E46"/>
    <mergeCell ref="L7:M7"/>
    <mergeCell ref="J7:K7"/>
    <mergeCell ref="J85:K85"/>
    <mergeCell ref="L85:M85"/>
    <mergeCell ref="B85:C85"/>
    <mergeCell ref="D85:E85"/>
    <mergeCell ref="F85:G85"/>
    <mergeCell ref="H85:I85"/>
  </mergeCells>
  <printOptions horizontalCentered="1" verticalCentered="1"/>
  <pageMargins left="0.49" right="0.36" top="0.59" bottom="0.37" header="0.47244094488188981" footer="0.48"/>
  <pageSetup scale="90" orientation="landscape" horizontalDpi="4294967292" r:id="rId1"/>
  <headerFooter alignWithMargins="0"/>
  <rowBreaks count="2" manualBreakCount="2">
    <brk id="41" max="65535" man="1"/>
    <brk id="80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Annex1</vt:lpstr>
      <vt:lpstr>Annex2</vt:lpstr>
      <vt:lpstr>Annex3</vt:lpstr>
      <vt:lpstr>Annex3!Print_Titles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L'Economiste, le premier quotidien économique du Maroc</dc:title>
  <dc:creator>World Bank User</dc:creator>
  <cp:lastModifiedBy>Aniket Gupta</cp:lastModifiedBy>
  <cp:lastPrinted>2000-09-22T21:05:33Z</cp:lastPrinted>
  <dcterms:created xsi:type="dcterms:W3CDTF">1998-09-22T18:38:08Z</dcterms:created>
  <dcterms:modified xsi:type="dcterms:W3CDTF">2024-02-03T22:15:40Z</dcterms:modified>
</cp:coreProperties>
</file>