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1C931AF-63AB-4C09-BF72-3284F6766E0C}" xr6:coauthVersionLast="47" xr6:coauthVersionMax="47" xr10:uidLastSave="{00000000-0000-0000-0000-000000000000}"/>
  <bookViews>
    <workbookView xWindow="3348" yWindow="3348" windowWidth="17280" windowHeight="8880"/>
  </bookViews>
  <sheets>
    <sheet name="Presentation" sheetId="1" r:id="rId1"/>
    <sheet name="Data" sheetId="2" r:id="rId2"/>
    <sheet name="Zafarana 1999" sheetId="3" r:id="rId3"/>
    <sheet name="Zafarana 201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F3" i="2"/>
  <c r="H22" i="2"/>
  <c r="I22" i="2"/>
  <c r="I23" i="2" s="1"/>
  <c r="H23" i="2"/>
  <c r="B43" i="2"/>
  <c r="D43" i="2"/>
  <c r="E43" i="2"/>
  <c r="F43" i="2"/>
  <c r="G43" i="2"/>
  <c r="H43" i="2"/>
  <c r="H58" i="2" s="1"/>
  <c r="I43" i="2"/>
  <c r="I58" i="2" s="1"/>
  <c r="J43" i="2"/>
  <c r="K43" i="2"/>
  <c r="L43" i="2"/>
  <c r="M43" i="2"/>
  <c r="B44" i="2"/>
  <c r="A6" i="2" s="1"/>
  <c r="A5" i="2" s="1"/>
  <c r="A4" i="2" s="1"/>
  <c r="B45" i="2"/>
  <c r="A8" i="2" s="1"/>
  <c r="A7" i="2" s="1"/>
  <c r="B46" i="2"/>
  <c r="A10" i="2" s="1"/>
  <c r="A9" i="2" s="1"/>
  <c r="B47" i="2"/>
  <c r="A12" i="2" s="1"/>
  <c r="A11" i="2" s="1"/>
  <c r="B48" i="2"/>
  <c r="A14" i="2" s="1"/>
  <c r="A13" i="2" s="1"/>
  <c r="B49" i="2"/>
  <c r="A16" i="2" s="1"/>
  <c r="A15" i="2" s="1"/>
  <c r="B50" i="2"/>
  <c r="A18" i="2" s="1"/>
  <c r="A17" i="2" s="1"/>
  <c r="B51" i="2"/>
  <c r="A20" i="2" s="1"/>
  <c r="A19" i="2" s="1"/>
  <c r="B52" i="2"/>
  <c r="A22" i="2" s="1"/>
  <c r="A21" i="2" s="1"/>
  <c r="B53" i="2"/>
  <c r="A24" i="2" s="1"/>
  <c r="A23" i="2" s="1"/>
  <c r="B54" i="2"/>
  <c r="A25" i="2" s="1"/>
  <c r="B55" i="2"/>
  <c r="A58" i="2"/>
  <c r="C58" i="2"/>
  <c r="B58" i="2" s="1"/>
  <c r="D58" i="2"/>
  <c r="E58" i="2"/>
  <c r="F58" i="2"/>
  <c r="G58" i="2"/>
  <c r="J58" i="2"/>
  <c r="K58" i="2"/>
  <c r="L58" i="2"/>
  <c r="M58" i="2"/>
  <c r="D72" i="2"/>
  <c r="E72" i="2"/>
  <c r="C76" i="2"/>
  <c r="E77" i="2"/>
  <c r="F77" i="2"/>
  <c r="C77" i="2" s="1"/>
  <c r="C78" i="2"/>
  <c r="E78" i="2"/>
  <c r="F78" i="2"/>
  <c r="E79" i="2"/>
  <c r="F79" i="2" s="1"/>
  <c r="C79" i="2" s="1"/>
  <c r="C81" i="2"/>
  <c r="B81" i="2" s="1"/>
  <c r="B27" i="1" s="1"/>
  <c r="C82" i="2"/>
  <c r="B87" i="2"/>
  <c r="D87" i="2"/>
  <c r="E87" i="2"/>
  <c r="F87" i="2"/>
  <c r="G87" i="2"/>
  <c r="H87" i="2"/>
  <c r="H119" i="2" s="1"/>
  <c r="I87" i="2"/>
  <c r="J87" i="2"/>
  <c r="K87" i="2"/>
  <c r="L87" i="2"/>
  <c r="M87" i="2"/>
  <c r="B100" i="2"/>
  <c r="B101" i="2"/>
  <c r="B112" i="2"/>
  <c r="D112" i="2"/>
  <c r="E112" i="2"/>
  <c r="F112" i="2"/>
  <c r="G112" i="2"/>
  <c r="H112" i="2"/>
  <c r="I112" i="2"/>
  <c r="J112" i="2"/>
  <c r="K112" i="2"/>
  <c r="L112" i="2"/>
  <c r="M112" i="2"/>
  <c r="D113" i="2"/>
  <c r="E113" i="2"/>
  <c r="B113" i="2" s="1"/>
  <c r="D4" i="2" s="1"/>
  <c r="F113" i="2"/>
  <c r="G113" i="2"/>
  <c r="H113" i="2"/>
  <c r="I113" i="2"/>
  <c r="J113" i="2"/>
  <c r="B114" i="2"/>
  <c r="B115" i="2"/>
  <c r="B119" i="2"/>
  <c r="D119" i="2"/>
  <c r="E119" i="2"/>
  <c r="F119" i="2"/>
  <c r="G119" i="2"/>
  <c r="I119" i="2"/>
  <c r="J119" i="2"/>
  <c r="K119" i="2"/>
  <c r="L119" i="2"/>
  <c r="M119" i="2"/>
  <c r="B120" i="2"/>
  <c r="E4" i="2" s="1"/>
  <c r="E5" i="2" s="1"/>
  <c r="D120" i="2"/>
  <c r="E120" i="2"/>
  <c r="F120" i="2"/>
  <c r="G120" i="2"/>
  <c r="H120" i="2"/>
  <c r="B121" i="2"/>
  <c r="E6" i="2" s="1"/>
  <c r="E7" i="2" s="1"/>
  <c r="D121" i="2"/>
  <c r="E121" i="2"/>
  <c r="F121" i="2"/>
  <c r="G121" i="2"/>
  <c r="H121" i="2"/>
  <c r="D122" i="2"/>
  <c r="E122" i="2"/>
  <c r="B122" i="2" s="1"/>
  <c r="E8" i="2" s="1"/>
  <c r="E9" i="2" s="1"/>
  <c r="F122" i="2"/>
  <c r="G122" i="2"/>
  <c r="H122" i="2"/>
  <c r="B123" i="2"/>
  <c r="E10" i="2" s="1"/>
  <c r="E11" i="2" s="1"/>
  <c r="D123" i="2"/>
  <c r="E123" i="2"/>
  <c r="F123" i="2"/>
  <c r="G123" i="2"/>
  <c r="H123" i="2"/>
  <c r="B124" i="2"/>
  <c r="E12" i="2" s="1"/>
  <c r="E13" i="2" s="1"/>
  <c r="D124" i="2"/>
  <c r="E124" i="2"/>
  <c r="F124" i="2"/>
  <c r="G124" i="2"/>
  <c r="H124" i="2"/>
  <c r="D125" i="2"/>
  <c r="E125" i="2"/>
  <c r="B125" i="2" s="1"/>
  <c r="E14" i="2" s="1"/>
  <c r="E15" i="2" s="1"/>
  <c r="F125" i="2"/>
  <c r="G125" i="2"/>
  <c r="H125" i="2"/>
  <c r="D126" i="2"/>
  <c r="E126" i="2"/>
  <c r="B126" i="2" s="1"/>
  <c r="E16" i="2" s="1"/>
  <c r="E17" i="2" s="1"/>
  <c r="F126" i="2"/>
  <c r="G126" i="2"/>
  <c r="H126" i="2"/>
  <c r="D127" i="2"/>
  <c r="E127" i="2"/>
  <c r="B127" i="2" s="1"/>
  <c r="E18" i="2" s="1"/>
  <c r="E19" i="2" s="1"/>
  <c r="F127" i="2"/>
  <c r="G127" i="2"/>
  <c r="H127" i="2"/>
  <c r="B128" i="2"/>
  <c r="E20" i="2" s="1"/>
  <c r="E21" i="2" s="1"/>
  <c r="D128" i="2"/>
  <c r="E128" i="2"/>
  <c r="F128" i="2"/>
  <c r="G128" i="2"/>
  <c r="H128" i="2"/>
  <c r="B129" i="2"/>
  <c r="E22" i="2" s="1"/>
  <c r="E23" i="2" s="1"/>
  <c r="D129" i="2"/>
  <c r="E129" i="2"/>
  <c r="F129" i="2"/>
  <c r="G129" i="2"/>
  <c r="H129" i="2"/>
  <c r="F130" i="2"/>
  <c r="G130" i="2"/>
  <c r="H130" i="2"/>
  <c r="B141" i="2"/>
  <c r="D141" i="2"/>
  <c r="E141" i="2"/>
  <c r="I141" i="2"/>
  <c r="J141" i="2"/>
  <c r="K141" i="2"/>
  <c r="L141" i="2"/>
  <c r="M141" i="2"/>
  <c r="D142" i="2"/>
  <c r="D143" i="2"/>
  <c r="D144" i="2"/>
  <c r="D145" i="2"/>
  <c r="D146" i="2"/>
  <c r="D147" i="2"/>
  <c r="D148" i="2"/>
  <c r="D150" i="2"/>
  <c r="D151" i="2"/>
  <c r="D152" i="2"/>
  <c r="B153" i="2"/>
  <c r="D157" i="2"/>
  <c r="D149" i="2" s="1"/>
  <c r="E157" i="2"/>
  <c r="B157" i="2" s="1"/>
  <c r="A160" i="2"/>
  <c r="G3" i="2" s="1"/>
  <c r="D160" i="2"/>
  <c r="B160" i="2" s="1"/>
  <c r="E160" i="2"/>
  <c r="F160" i="2"/>
  <c r="I160" i="2"/>
  <c r="J160" i="2"/>
  <c r="K160" i="2"/>
  <c r="L160" i="2"/>
  <c r="M160" i="2"/>
  <c r="B161" i="2"/>
  <c r="G4" i="2" s="1"/>
  <c r="G5" i="2" s="1"/>
  <c r="D161" i="2"/>
  <c r="E161" i="2"/>
  <c r="E168" i="2" s="1"/>
  <c r="H161" i="2"/>
  <c r="D162" i="2"/>
  <c r="B162" i="2" s="1"/>
  <c r="G6" i="2" s="1"/>
  <c r="G7" i="2" s="1"/>
  <c r="H162" i="2"/>
  <c r="D163" i="2"/>
  <c r="B163" i="2" s="1"/>
  <c r="G8" i="2" s="1"/>
  <c r="G9" i="2" s="1"/>
  <c r="H163" i="2"/>
  <c r="D164" i="2"/>
  <c r="B164" i="2" s="1"/>
  <c r="G10" i="2" s="1"/>
  <c r="G11" i="2" s="1"/>
  <c r="E164" i="2"/>
  <c r="H164" i="2"/>
  <c r="B165" i="2"/>
  <c r="G12" i="2" s="1"/>
  <c r="G13" i="2" s="1"/>
  <c r="D165" i="2"/>
  <c r="H165" i="2"/>
  <c r="D166" i="2"/>
  <c r="B166" i="2" s="1"/>
  <c r="G14" i="2" s="1"/>
  <c r="G15" i="2" s="1"/>
  <c r="H166" i="2"/>
  <c r="D167" i="2"/>
  <c r="B167" i="2" s="1"/>
  <c r="G16" i="2" s="1"/>
  <c r="G17" i="2" s="1"/>
  <c r="H167" i="2"/>
  <c r="D168" i="2"/>
  <c r="B168" i="2" s="1"/>
  <c r="G18" i="2" s="1"/>
  <c r="G19" i="2" s="1"/>
  <c r="H168" i="2"/>
  <c r="B169" i="2"/>
  <c r="G20" i="2" s="1"/>
  <c r="G21" i="2" s="1"/>
  <c r="D169" i="2"/>
  <c r="E169" i="2"/>
  <c r="H169" i="2"/>
  <c r="D170" i="2"/>
  <c r="B170" i="2" s="1"/>
  <c r="G22" i="2" s="1"/>
  <c r="G23" i="2" s="1"/>
  <c r="H170" i="2"/>
  <c r="D171" i="2"/>
  <c r="B171" i="2" s="1"/>
  <c r="H171" i="2"/>
  <c r="A180" i="2"/>
  <c r="B180" i="2"/>
  <c r="H3" i="2" s="1"/>
  <c r="C180" i="2"/>
  <c r="I3" i="2" s="1"/>
  <c r="C185" i="2"/>
  <c r="I12" i="2" s="1"/>
  <c r="I13" i="2" s="1"/>
  <c r="B2" i="1"/>
  <c r="B5" i="1"/>
  <c r="B9" i="1"/>
  <c r="E9" i="1"/>
  <c r="I9" i="1"/>
  <c r="G11" i="1"/>
  <c r="B12" i="1"/>
  <c r="B13" i="1"/>
  <c r="B15" i="1"/>
  <c r="B16" i="1"/>
  <c r="G16" i="1"/>
  <c r="G17" i="1"/>
  <c r="K18" i="1"/>
  <c r="G19" i="1"/>
  <c r="J20" i="1"/>
  <c r="K20" i="1"/>
  <c r="B21" i="1"/>
  <c r="J22" i="1"/>
  <c r="K22" i="1"/>
  <c r="E23" i="1"/>
  <c r="E25" i="1"/>
  <c r="E29" i="1"/>
  <c r="D34" i="3"/>
  <c r="D35" i="3"/>
  <c r="D36" i="3"/>
  <c r="E88" i="2" s="1"/>
  <c r="I36" i="3"/>
  <c r="D59" i="2" s="1"/>
  <c r="D70" i="2" s="1"/>
  <c r="J36" i="3"/>
  <c r="K36" i="3"/>
  <c r="L36" i="3" s="1"/>
  <c r="O36" i="3"/>
  <c r="P36" i="3"/>
  <c r="D37" i="3"/>
  <c r="E89" i="2" s="1"/>
  <c r="B89" i="2" s="1"/>
  <c r="I37" i="3"/>
  <c r="D60" i="2" s="1"/>
  <c r="B60" i="2" s="1"/>
  <c r="J37" i="3"/>
  <c r="J38" i="3" s="1"/>
  <c r="K37" i="3"/>
  <c r="L37" i="3" s="1"/>
  <c r="O37" i="3"/>
  <c r="P37" i="3"/>
  <c r="P47" i="3" s="1"/>
  <c r="E134" i="2" s="1"/>
  <c r="B134" i="2" s="1"/>
  <c r="D38" i="3"/>
  <c r="E90" i="2" s="1"/>
  <c r="B90" i="2" s="1"/>
  <c r="I38" i="3"/>
  <c r="D61" i="2" s="1"/>
  <c r="O38" i="3"/>
  <c r="P38" i="3"/>
  <c r="D39" i="3"/>
  <c r="E91" i="2" s="1"/>
  <c r="B91" i="2" s="1"/>
  <c r="C184" i="2" s="1"/>
  <c r="I10" i="2" s="1"/>
  <c r="I11" i="2" s="1"/>
  <c r="F39" i="3"/>
  <c r="H39" i="3" s="1"/>
  <c r="I39" i="3"/>
  <c r="D62" i="2" s="1"/>
  <c r="B62" i="2" s="1"/>
  <c r="J39" i="3"/>
  <c r="K39" i="3"/>
  <c r="O39" i="3"/>
  <c r="P39" i="3"/>
  <c r="Q39" i="3"/>
  <c r="D40" i="3"/>
  <c r="E92" i="2" s="1"/>
  <c r="B92" i="2" s="1"/>
  <c r="F40" i="3"/>
  <c r="H40" i="3" s="1"/>
  <c r="I40" i="3"/>
  <c r="D63" i="2" s="1"/>
  <c r="J40" i="3"/>
  <c r="K40" i="3"/>
  <c r="L40" i="3" s="1"/>
  <c r="O40" i="3"/>
  <c r="P40" i="3"/>
  <c r="D41" i="3"/>
  <c r="E93" i="2" s="1"/>
  <c r="B93" i="2" s="1"/>
  <c r="C186" i="2" s="1"/>
  <c r="I14" i="2" s="1"/>
  <c r="I15" i="2" s="1"/>
  <c r="I41" i="3"/>
  <c r="D64" i="2" s="1"/>
  <c r="B64" i="2" s="1"/>
  <c r="J41" i="3"/>
  <c r="F41" i="3" s="1"/>
  <c r="K41" i="3"/>
  <c r="L41" i="3" s="1"/>
  <c r="O41" i="3"/>
  <c r="P41" i="3"/>
  <c r="D42" i="3"/>
  <c r="E94" i="2" s="1"/>
  <c r="B94" i="2" s="1"/>
  <c r="F42" i="3"/>
  <c r="H42" i="3" s="1"/>
  <c r="I42" i="3"/>
  <c r="D65" i="2" s="1"/>
  <c r="J42" i="3"/>
  <c r="K42" i="3"/>
  <c r="L42" i="3" s="1"/>
  <c r="O42" i="3"/>
  <c r="P42" i="3"/>
  <c r="D43" i="3"/>
  <c r="E95" i="2" s="1"/>
  <c r="B95" i="2" s="1"/>
  <c r="I43" i="3"/>
  <c r="D66" i="2" s="1"/>
  <c r="B66" i="2" s="1"/>
  <c r="J43" i="3"/>
  <c r="F43" i="3" s="1"/>
  <c r="K43" i="3"/>
  <c r="L43" i="3" s="1"/>
  <c r="O43" i="3"/>
  <c r="P43" i="3"/>
  <c r="D44" i="3"/>
  <c r="E96" i="2" s="1"/>
  <c r="B96" i="2" s="1"/>
  <c r="F44" i="3"/>
  <c r="H44" i="3" s="1"/>
  <c r="I44" i="3"/>
  <c r="D67" i="2" s="1"/>
  <c r="J44" i="3"/>
  <c r="K44" i="3" s="1"/>
  <c r="O44" i="3"/>
  <c r="P44" i="3"/>
  <c r="Q44" i="3"/>
  <c r="D45" i="3"/>
  <c r="F45" i="3" s="1"/>
  <c r="I45" i="3"/>
  <c r="D68" i="2" s="1"/>
  <c r="B68" i="2" s="1"/>
  <c r="J45" i="3"/>
  <c r="J46" i="3" s="1"/>
  <c r="F46" i="3" s="1"/>
  <c r="Q46" i="3" s="1"/>
  <c r="K45" i="3"/>
  <c r="L45" i="3" s="1"/>
  <c r="O45" i="3"/>
  <c r="P45" i="3"/>
  <c r="D46" i="3"/>
  <c r="E98" i="2" s="1"/>
  <c r="B98" i="2" s="1"/>
  <c r="E46" i="3"/>
  <c r="I46" i="3"/>
  <c r="D69" i="2" s="1"/>
  <c r="O46" i="3"/>
  <c r="P46" i="3"/>
  <c r="B47" i="3"/>
  <c r="L46" i="3" s="1"/>
  <c r="C47" i="3"/>
  <c r="O47" i="3"/>
  <c r="E133" i="2" s="1"/>
  <c r="D56" i="3"/>
  <c r="D58" i="3"/>
  <c r="D88" i="2" s="1"/>
  <c r="F58" i="3"/>
  <c r="Q58" i="3" s="1"/>
  <c r="O58" i="3"/>
  <c r="P58" i="3"/>
  <c r="P69" i="3" s="1"/>
  <c r="D134" i="2" s="1"/>
  <c r="D59" i="3"/>
  <c r="D89" i="2" s="1"/>
  <c r="O59" i="3"/>
  <c r="P59" i="3"/>
  <c r="D60" i="3"/>
  <c r="D90" i="2" s="1"/>
  <c r="F60" i="3"/>
  <c r="Q60" i="3" s="1"/>
  <c r="O60" i="3"/>
  <c r="P60" i="3"/>
  <c r="D61" i="3"/>
  <c r="D91" i="2" s="1"/>
  <c r="O61" i="3"/>
  <c r="P61" i="3"/>
  <c r="D62" i="3"/>
  <c r="D92" i="2" s="1"/>
  <c r="O62" i="3"/>
  <c r="P62" i="3"/>
  <c r="D63" i="3"/>
  <c r="D93" i="2" s="1"/>
  <c r="F63" i="3"/>
  <c r="Q63" i="3" s="1"/>
  <c r="O63" i="3"/>
  <c r="P63" i="3"/>
  <c r="D64" i="3"/>
  <c r="D94" i="2" s="1"/>
  <c r="F64" i="3"/>
  <c r="O64" i="3"/>
  <c r="P64" i="3"/>
  <c r="Q64" i="3"/>
  <c r="D65" i="3"/>
  <c r="D69" i="3" s="1"/>
  <c r="O65" i="3"/>
  <c r="P65" i="3"/>
  <c r="D66" i="3"/>
  <c r="D96" i="2" s="1"/>
  <c r="F66" i="3"/>
  <c r="Q66" i="3" s="1"/>
  <c r="O66" i="3"/>
  <c r="O69" i="3" s="1"/>
  <c r="D133" i="2" s="1"/>
  <c r="P66" i="3"/>
  <c r="D67" i="3"/>
  <c r="D97" i="2" s="1"/>
  <c r="O67" i="3"/>
  <c r="P67" i="3"/>
  <c r="D68" i="3"/>
  <c r="D98" i="2" s="1"/>
  <c r="F68" i="3"/>
  <c r="Q68" i="3" s="1"/>
  <c r="O68" i="3"/>
  <c r="P68" i="3"/>
  <c r="B69" i="3"/>
  <c r="B70" i="3" s="1"/>
  <c r="C69" i="3"/>
  <c r="C70" i="3"/>
  <c r="B76" i="3"/>
  <c r="C76" i="3"/>
  <c r="D76" i="3"/>
  <c r="B77" i="3"/>
  <c r="C77" i="3"/>
  <c r="D77" i="3"/>
  <c r="B78" i="3"/>
  <c r="B79" i="3"/>
  <c r="C79" i="3"/>
  <c r="D79" i="3"/>
  <c r="B80" i="3"/>
  <c r="C80" i="3"/>
  <c r="B81" i="3"/>
  <c r="D81" i="3"/>
  <c r="B82" i="3"/>
  <c r="C82" i="3"/>
  <c r="D82" i="3"/>
  <c r="B83" i="3"/>
  <c r="B84" i="3"/>
  <c r="C84" i="3"/>
  <c r="D84" i="3"/>
  <c r="B85" i="3"/>
  <c r="C85" i="3"/>
  <c r="D85" i="3"/>
  <c r="D34" i="4"/>
  <c r="D35" i="4"/>
  <c r="D36" i="4"/>
  <c r="H88" i="2" s="1"/>
  <c r="F36" i="4"/>
  <c r="P36" i="4" s="1"/>
  <c r="H36" i="4"/>
  <c r="I36" i="4"/>
  <c r="J36" i="4"/>
  <c r="K36" i="4" s="1"/>
  <c r="O36" i="4"/>
  <c r="O47" i="4" s="1"/>
  <c r="H133" i="2" s="1"/>
  <c r="Q36" i="4"/>
  <c r="D37" i="4"/>
  <c r="H89" i="2" s="1"/>
  <c r="I37" i="4"/>
  <c r="E60" i="2" s="1"/>
  <c r="J37" i="4"/>
  <c r="K37" i="4"/>
  <c r="O37" i="4"/>
  <c r="Q37" i="4"/>
  <c r="D38" i="4"/>
  <c r="H90" i="2" s="1"/>
  <c r="F38" i="4"/>
  <c r="P38" i="4" s="1"/>
  <c r="H38" i="4"/>
  <c r="I38" i="4"/>
  <c r="E61" i="2" s="1"/>
  <c r="J38" i="4"/>
  <c r="F82" i="4" s="1"/>
  <c r="O38" i="4"/>
  <c r="Q38" i="4"/>
  <c r="D39" i="4"/>
  <c r="H91" i="2" s="1"/>
  <c r="I39" i="4"/>
  <c r="E62" i="2" s="1"/>
  <c r="J39" i="4"/>
  <c r="K39" i="4"/>
  <c r="L39" i="4" s="1"/>
  <c r="O39" i="4"/>
  <c r="Q39" i="4"/>
  <c r="D40" i="4"/>
  <c r="H92" i="2" s="1"/>
  <c r="F40" i="4"/>
  <c r="Q40" i="4" s="1"/>
  <c r="H40" i="4"/>
  <c r="I40" i="4"/>
  <c r="E63" i="2" s="1"/>
  <c r="J40" i="4"/>
  <c r="O40" i="4"/>
  <c r="P40" i="4"/>
  <c r="D41" i="4"/>
  <c r="H93" i="2" s="1"/>
  <c r="I41" i="4"/>
  <c r="E64" i="2" s="1"/>
  <c r="J41" i="4"/>
  <c r="K41" i="4"/>
  <c r="L41" i="4" s="1"/>
  <c r="O41" i="4"/>
  <c r="P41" i="4"/>
  <c r="D42" i="4"/>
  <c r="H94" i="2" s="1"/>
  <c r="F42" i="4"/>
  <c r="Q42" i="4" s="1"/>
  <c r="H42" i="4"/>
  <c r="I42" i="4"/>
  <c r="E65" i="2" s="1"/>
  <c r="J42" i="4"/>
  <c r="O42" i="4"/>
  <c r="P42" i="4"/>
  <c r="D43" i="4"/>
  <c r="H95" i="2" s="1"/>
  <c r="I43" i="4"/>
  <c r="E66" i="2" s="1"/>
  <c r="J43" i="4"/>
  <c r="F65" i="4" s="1"/>
  <c r="Q65" i="4" s="1"/>
  <c r="K43" i="4"/>
  <c r="L43" i="4" s="1"/>
  <c r="O43" i="4"/>
  <c r="P43" i="4"/>
  <c r="D44" i="4"/>
  <c r="H96" i="2" s="1"/>
  <c r="F44" i="4"/>
  <c r="Q44" i="4" s="1"/>
  <c r="H44" i="4"/>
  <c r="I44" i="4"/>
  <c r="E67" i="2" s="1"/>
  <c r="J44" i="4"/>
  <c r="O44" i="4"/>
  <c r="P44" i="4"/>
  <c r="D45" i="4"/>
  <c r="H97" i="2" s="1"/>
  <c r="I45" i="4"/>
  <c r="E68" i="2" s="1"/>
  <c r="J45" i="4"/>
  <c r="K45" i="4"/>
  <c r="L45" i="4" s="1"/>
  <c r="O45" i="4"/>
  <c r="P45" i="4"/>
  <c r="D46" i="4"/>
  <c r="H98" i="2" s="1"/>
  <c r="F46" i="4"/>
  <c r="Q46" i="4" s="1"/>
  <c r="H46" i="4"/>
  <c r="I46" i="4"/>
  <c r="E69" i="2" s="1"/>
  <c r="K46" i="4"/>
  <c r="O46" i="4"/>
  <c r="P46" i="4"/>
  <c r="B47" i="4"/>
  <c r="C47" i="4"/>
  <c r="C48" i="4" s="1"/>
  <c r="B49" i="4"/>
  <c r="C49" i="4"/>
  <c r="D49" i="4" s="1"/>
  <c r="D56" i="4"/>
  <c r="D58" i="4"/>
  <c r="G88" i="2" s="1"/>
  <c r="J58" i="4"/>
  <c r="K58" i="4"/>
  <c r="O58" i="4"/>
  <c r="Q58" i="4"/>
  <c r="D59" i="4"/>
  <c r="F59" i="4"/>
  <c r="P59" i="4" s="1"/>
  <c r="J59" i="4"/>
  <c r="K59" i="4"/>
  <c r="O59" i="4"/>
  <c r="Q59" i="4"/>
  <c r="D60" i="4"/>
  <c r="G90" i="2" s="1"/>
  <c r="J60" i="4"/>
  <c r="O60" i="4"/>
  <c r="Q60" i="4"/>
  <c r="D61" i="4"/>
  <c r="J61" i="4"/>
  <c r="K61" i="4"/>
  <c r="O61" i="4"/>
  <c r="Q61" i="4"/>
  <c r="D62" i="4"/>
  <c r="G92" i="2" s="1"/>
  <c r="F62" i="4"/>
  <c r="Q62" i="4" s="1"/>
  <c r="J62" i="4"/>
  <c r="K62" i="4"/>
  <c r="O62" i="4"/>
  <c r="P62" i="4"/>
  <c r="D63" i="4"/>
  <c r="G93" i="2" s="1"/>
  <c r="F63" i="4"/>
  <c r="Q63" i="4" s="1"/>
  <c r="J63" i="4"/>
  <c r="K63" i="4"/>
  <c r="O63" i="4"/>
  <c r="P63" i="4"/>
  <c r="D64" i="4"/>
  <c r="G94" i="2" s="1"/>
  <c r="F64" i="4"/>
  <c r="J64" i="4"/>
  <c r="K64" i="4"/>
  <c r="O64" i="4"/>
  <c r="P64" i="4"/>
  <c r="Q64" i="4"/>
  <c r="D65" i="4"/>
  <c r="G95" i="2" s="1"/>
  <c r="J65" i="4"/>
  <c r="K65" i="4"/>
  <c r="O65" i="4"/>
  <c r="P65" i="4"/>
  <c r="D66" i="4"/>
  <c r="D115" i="4" s="1"/>
  <c r="J66" i="4"/>
  <c r="K66" i="4"/>
  <c r="O66" i="4"/>
  <c r="P66" i="4"/>
  <c r="D67" i="4"/>
  <c r="F67" i="4"/>
  <c r="J67" i="4"/>
  <c r="K67" i="4"/>
  <c r="O67" i="4"/>
  <c r="P67" i="4"/>
  <c r="Q67" i="4"/>
  <c r="D68" i="4"/>
  <c r="G98" i="2" s="1"/>
  <c r="J68" i="4"/>
  <c r="O68" i="4"/>
  <c r="P68" i="4"/>
  <c r="B69" i="4"/>
  <c r="B70" i="4" s="1"/>
  <c r="C69" i="4"/>
  <c r="C70" i="4"/>
  <c r="B71" i="4"/>
  <c r="C71" i="4"/>
  <c r="D78" i="4"/>
  <c r="D80" i="4"/>
  <c r="F88" i="2" s="1"/>
  <c r="F80" i="4"/>
  <c r="J80" i="4"/>
  <c r="K80" i="4"/>
  <c r="O80" i="4"/>
  <c r="O91" i="4" s="1"/>
  <c r="F133" i="2" s="1"/>
  <c r="P80" i="4"/>
  <c r="Q80" i="4"/>
  <c r="D81" i="4"/>
  <c r="F89" i="2" s="1"/>
  <c r="F81" i="4"/>
  <c r="J81" i="4"/>
  <c r="K81" i="4"/>
  <c r="O81" i="4"/>
  <c r="P81" i="4"/>
  <c r="Q81" i="4"/>
  <c r="D82" i="4"/>
  <c r="F90" i="2" s="1"/>
  <c r="J82" i="4"/>
  <c r="K82" i="4"/>
  <c r="O82" i="4"/>
  <c r="P82" i="4"/>
  <c r="Q82" i="4"/>
  <c r="D83" i="4"/>
  <c r="J83" i="4"/>
  <c r="K83" i="4"/>
  <c r="O83" i="4"/>
  <c r="Q83" i="4"/>
  <c r="D84" i="4"/>
  <c r="F92" i="2" s="1"/>
  <c r="F84" i="4"/>
  <c r="J84" i="4"/>
  <c r="K84" i="4"/>
  <c r="O84" i="4"/>
  <c r="P84" i="4"/>
  <c r="Q84" i="4"/>
  <c r="D85" i="4"/>
  <c r="F85" i="4" s="1"/>
  <c r="Q85" i="4" s="1"/>
  <c r="J85" i="4"/>
  <c r="O85" i="4"/>
  <c r="P85" i="4"/>
  <c r="D86" i="4"/>
  <c r="F94" i="2" s="1"/>
  <c r="F86" i="4"/>
  <c r="Q86" i="4" s="1"/>
  <c r="J86" i="4"/>
  <c r="K86" i="4"/>
  <c r="O86" i="4"/>
  <c r="P86" i="4"/>
  <c r="D87" i="4"/>
  <c r="F95" i="2" s="1"/>
  <c r="J87" i="4"/>
  <c r="K87" i="4"/>
  <c r="O87" i="4"/>
  <c r="P87" i="4"/>
  <c r="D88" i="4"/>
  <c r="F96" i="2" s="1"/>
  <c r="F88" i="4"/>
  <c r="Q88" i="4" s="1"/>
  <c r="J88" i="4"/>
  <c r="K88" i="4"/>
  <c r="O88" i="4"/>
  <c r="P88" i="4"/>
  <c r="D89" i="4"/>
  <c r="F97" i="2" s="1"/>
  <c r="F89" i="4"/>
  <c r="J89" i="4"/>
  <c r="K89" i="4"/>
  <c r="O89" i="4"/>
  <c r="P89" i="4"/>
  <c r="Q89" i="4"/>
  <c r="D90" i="4"/>
  <c r="F98" i="2" s="1"/>
  <c r="F90" i="4"/>
  <c r="J90" i="4"/>
  <c r="K90" i="4"/>
  <c r="O90" i="4"/>
  <c r="P90" i="4"/>
  <c r="Q90" i="4"/>
  <c r="B91" i="4"/>
  <c r="C91" i="4"/>
  <c r="B92" i="4"/>
  <c r="C92" i="4"/>
  <c r="B93" i="4"/>
  <c r="C93" i="4"/>
  <c r="D93" i="4"/>
  <c r="B107" i="4"/>
  <c r="E107" i="4"/>
  <c r="E108" i="4"/>
  <c r="B109" i="4"/>
  <c r="C109" i="4"/>
  <c r="E109" i="4"/>
  <c r="B111" i="4"/>
  <c r="C111" i="4"/>
  <c r="D111" i="4"/>
  <c r="E111" i="4"/>
  <c r="E112" i="4"/>
  <c r="B113" i="4"/>
  <c r="C113" i="4"/>
  <c r="D113" i="4"/>
  <c r="E113" i="4"/>
  <c r="D114" i="4"/>
  <c r="B115" i="4"/>
  <c r="C115" i="4"/>
  <c r="E115" i="4"/>
  <c r="E116" i="4"/>
  <c r="B117" i="4"/>
  <c r="C117" i="4"/>
  <c r="D117" i="4"/>
  <c r="E117" i="4"/>
  <c r="F91" i="2" l="1"/>
  <c r="F83" i="4"/>
  <c r="P83" i="4" s="1"/>
  <c r="P91" i="4" s="1"/>
  <c r="F134" i="2" s="1"/>
  <c r="E110" i="4"/>
  <c r="E71" i="2"/>
  <c r="B48" i="4"/>
  <c r="F68" i="4"/>
  <c r="Q68" i="4" s="1"/>
  <c r="G97" i="2"/>
  <c r="D116" i="4"/>
  <c r="G89" i="2"/>
  <c r="D108" i="4"/>
  <c r="H45" i="3"/>
  <c r="Q45" i="3"/>
  <c r="H41" i="3"/>
  <c r="Q41" i="3"/>
  <c r="G91" i="2"/>
  <c r="D110" i="4"/>
  <c r="D109" i="4"/>
  <c r="F93" i="2"/>
  <c r="D112" i="4"/>
  <c r="F60" i="4"/>
  <c r="P60" i="4" s="1"/>
  <c r="B108" i="4"/>
  <c r="B110" i="4"/>
  <c r="B112" i="4"/>
  <c r="B114" i="4"/>
  <c r="B116" i="4"/>
  <c r="F38" i="3"/>
  <c r="Q38" i="3" s="1"/>
  <c r="K38" i="3"/>
  <c r="D69" i="4"/>
  <c r="O69" i="4"/>
  <c r="G133" i="2" s="1"/>
  <c r="L46" i="4"/>
  <c r="L37" i="4"/>
  <c r="L36" i="4"/>
  <c r="Q43" i="3"/>
  <c r="H43" i="3"/>
  <c r="H47" i="3" s="1"/>
  <c r="C182" i="2"/>
  <c r="I6" i="2" s="1"/>
  <c r="I7" i="2" s="1"/>
  <c r="E114" i="4"/>
  <c r="F87" i="4"/>
  <c r="Q87" i="4" s="1"/>
  <c r="Q91" i="4" s="1"/>
  <c r="F135" i="2" s="1"/>
  <c r="D71" i="4"/>
  <c r="D107" i="4" s="1"/>
  <c r="F61" i="4"/>
  <c r="P61" i="4" s="1"/>
  <c r="E59" i="2"/>
  <c r="E70" i="2" s="1"/>
  <c r="I47" i="4"/>
  <c r="L44" i="3"/>
  <c r="C188" i="2"/>
  <c r="I18" i="2" s="1"/>
  <c r="I19" i="2" s="1"/>
  <c r="D95" i="2"/>
  <c r="D99" i="2" s="1"/>
  <c r="D102" i="2" s="1"/>
  <c r="F65" i="3"/>
  <c r="Q65" i="3" s="1"/>
  <c r="D83" i="3"/>
  <c r="C83" i="3"/>
  <c r="G96" i="2"/>
  <c r="G99" i="2" s="1"/>
  <c r="G102" i="2" s="1"/>
  <c r="F66" i="4"/>
  <c r="Q66" i="4" s="1"/>
  <c r="Q69" i="4" s="1"/>
  <c r="G135" i="2" s="1"/>
  <c r="H99" i="2"/>
  <c r="H102" i="2" s="1"/>
  <c r="C81" i="3"/>
  <c r="D78" i="3"/>
  <c r="F61" i="3"/>
  <c r="Q61" i="3" s="1"/>
  <c r="I47" i="3"/>
  <c r="C189" i="2"/>
  <c r="I20" i="2" s="1"/>
  <c r="I21" i="2" s="1"/>
  <c r="E28" i="1"/>
  <c r="E171" i="2"/>
  <c r="E166" i="2"/>
  <c r="E97" i="2"/>
  <c r="B97" i="2" s="1"/>
  <c r="C78" i="3"/>
  <c r="F37" i="3"/>
  <c r="Q37" i="3" s="1"/>
  <c r="C187" i="2"/>
  <c r="I16" i="2" s="1"/>
  <c r="I17" i="2" s="1"/>
  <c r="D80" i="3"/>
  <c r="F67" i="3"/>
  <c r="Q67" i="3" s="1"/>
  <c r="F59" i="3"/>
  <c r="B48" i="3"/>
  <c r="E30" i="1"/>
  <c r="E167" i="2"/>
  <c r="F99" i="2"/>
  <c r="F102" i="2" s="1"/>
  <c r="C116" i="4"/>
  <c r="C114" i="4"/>
  <c r="C112" i="4"/>
  <c r="C110" i="4"/>
  <c r="C108" i="4"/>
  <c r="D91" i="4"/>
  <c r="K85" i="4"/>
  <c r="K91" i="4" s="1"/>
  <c r="K68" i="4"/>
  <c r="K60" i="4"/>
  <c r="K69" i="4" s="1"/>
  <c r="F58" i="4"/>
  <c r="D47" i="4"/>
  <c r="F45" i="4"/>
  <c r="K44" i="4"/>
  <c r="F43" i="4"/>
  <c r="K42" i="4"/>
  <c r="F41" i="4"/>
  <c r="K40" i="4"/>
  <c r="F39" i="4"/>
  <c r="K38" i="4"/>
  <c r="F37" i="4"/>
  <c r="F62" i="3"/>
  <c r="Q62" i="3" s="1"/>
  <c r="D47" i="3"/>
  <c r="E27" i="1"/>
  <c r="E21" i="1"/>
  <c r="E16" i="1"/>
  <c r="C183" i="2"/>
  <c r="I8" i="2" s="1"/>
  <c r="I9" i="2" s="1"/>
  <c r="E163" i="2"/>
  <c r="F36" i="3"/>
  <c r="D71" i="2"/>
  <c r="B71" i="2" s="1"/>
  <c r="K13" i="1" s="1"/>
  <c r="Q42" i="3"/>
  <c r="Q40" i="3"/>
  <c r="B88" i="2"/>
  <c r="E99" i="2"/>
  <c r="B133" i="2"/>
  <c r="E31" i="2"/>
  <c r="F141" i="2" s="1"/>
  <c r="E32" i="2"/>
  <c r="G141" i="2" s="1"/>
  <c r="F32" i="2"/>
  <c r="G160" i="2" s="1"/>
  <c r="B84" i="2"/>
  <c r="E33" i="2"/>
  <c r="H141" i="2" s="1"/>
  <c r="B85" i="2"/>
  <c r="F33" i="2"/>
  <c r="H160" i="2" s="1"/>
  <c r="E18" i="1"/>
  <c r="E22" i="1" s="1"/>
  <c r="A140" i="2"/>
  <c r="L39" i="3"/>
  <c r="C191" i="2"/>
  <c r="E162" i="2"/>
  <c r="E170" i="2"/>
  <c r="D11" i="2"/>
  <c r="D19" i="2"/>
  <c r="D12" i="2"/>
  <c r="D20" i="2"/>
  <c r="D5" i="2"/>
  <c r="D13" i="2"/>
  <c r="D21" i="2"/>
  <c r="D6" i="2"/>
  <c r="D14" i="2"/>
  <c r="D22" i="2"/>
  <c r="D7" i="2"/>
  <c r="D15" i="2"/>
  <c r="D23" i="2"/>
  <c r="D8" i="2"/>
  <c r="D16" i="2"/>
  <c r="D9" i="2"/>
  <c r="D17" i="2"/>
  <c r="D10" i="2"/>
  <c r="D18" i="2"/>
  <c r="D130" i="2"/>
  <c r="E130" i="2"/>
  <c r="B130" i="2" s="1"/>
  <c r="E165" i="2"/>
  <c r="B72" i="2"/>
  <c r="K11" i="1" s="1"/>
  <c r="A51" i="2"/>
  <c r="A47" i="2"/>
  <c r="B69" i="2"/>
  <c r="B24" i="2" s="1"/>
  <c r="B25" i="2" s="1"/>
  <c r="B67" i="2"/>
  <c r="B65" i="2"/>
  <c r="B63" i="2"/>
  <c r="B61" i="2"/>
  <c r="B59" i="2"/>
  <c r="B74" i="2"/>
  <c r="K10" i="1" s="1"/>
  <c r="E10" i="1" s="1"/>
  <c r="A54" i="2"/>
  <c r="A50" i="2"/>
  <c r="A46" i="2"/>
  <c r="A53" i="2"/>
  <c r="A49" i="2"/>
  <c r="A45" i="2"/>
  <c r="B70" i="2"/>
  <c r="K12" i="1" s="1"/>
  <c r="A52" i="2"/>
  <c r="A48" i="2"/>
  <c r="A44" i="2"/>
  <c r="F137" i="2" l="1"/>
  <c r="F136" i="2"/>
  <c r="A92" i="2"/>
  <c r="A63" i="2"/>
  <c r="A124" i="2"/>
  <c r="A146" i="2"/>
  <c r="A165" i="2"/>
  <c r="A185" i="2"/>
  <c r="L38" i="4"/>
  <c r="B4" i="2"/>
  <c r="B5" i="2" s="1"/>
  <c r="B8" i="2"/>
  <c r="B9" i="2" s="1"/>
  <c r="L40" i="4"/>
  <c r="G137" i="2"/>
  <c r="G136" i="2"/>
  <c r="A128" i="2"/>
  <c r="A150" i="2"/>
  <c r="A67" i="2"/>
  <c r="A96" i="2"/>
  <c r="A189" i="2"/>
  <c r="A169" i="2"/>
  <c r="K14" i="1"/>
  <c r="C181" i="2"/>
  <c r="Q59" i="3"/>
  <c r="Q69" i="3" s="1"/>
  <c r="D135" i="2" s="1"/>
  <c r="F69" i="3"/>
  <c r="B18" i="2"/>
  <c r="B19" i="2" s="1"/>
  <c r="A64" i="2"/>
  <c r="A93" i="2"/>
  <c r="A125" i="2"/>
  <c r="A147" i="2"/>
  <c r="A186" i="2"/>
  <c r="A166" i="2"/>
  <c r="A68" i="2"/>
  <c r="A129" i="2"/>
  <c r="A151" i="2"/>
  <c r="A97" i="2"/>
  <c r="A190" i="2"/>
  <c r="A170" i="2"/>
  <c r="B12" i="2"/>
  <c r="B13" i="2" s="1"/>
  <c r="Q36" i="3"/>
  <c r="Q47" i="3" s="1"/>
  <c r="E135" i="2" s="1"/>
  <c r="F47" i="3"/>
  <c r="N155" i="2" s="1"/>
  <c r="Q41" i="4"/>
  <c r="H41" i="4"/>
  <c r="B22" i="2"/>
  <c r="B23" i="2" s="1"/>
  <c r="C190" i="2"/>
  <c r="E73" i="2"/>
  <c r="A60" i="2"/>
  <c r="A121" i="2"/>
  <c r="A143" i="2"/>
  <c r="A162" i="2"/>
  <c r="A89" i="2"/>
  <c r="A182" i="2"/>
  <c r="H39" i="4"/>
  <c r="P39" i="4"/>
  <c r="B16" i="2"/>
  <c r="B17" i="2" s="1"/>
  <c r="L42" i="4"/>
  <c r="L38" i="3"/>
  <c r="L47" i="3" s="1"/>
  <c r="M38" i="3"/>
  <c r="D73" i="2"/>
  <c r="B73" i="2" s="1"/>
  <c r="A66" i="2"/>
  <c r="A95" i="2"/>
  <c r="A127" i="2"/>
  <c r="A149" i="2"/>
  <c r="A168" i="2"/>
  <c r="A188" i="2"/>
  <c r="B99" i="2"/>
  <c r="C4" i="2" s="1"/>
  <c r="C5" i="2" s="1"/>
  <c r="E102" i="2"/>
  <c r="B102" i="2" s="1"/>
  <c r="P58" i="4"/>
  <c r="P69" i="4" s="1"/>
  <c r="G134" i="2" s="1"/>
  <c r="F69" i="4"/>
  <c r="A120" i="2"/>
  <c r="A142" i="2"/>
  <c r="A59" i="2"/>
  <c r="A113" i="2"/>
  <c r="A88" i="2"/>
  <c r="A181" i="2"/>
  <c r="A161" i="2"/>
  <c r="A61" i="2"/>
  <c r="A90" i="2"/>
  <c r="A122" i="2"/>
  <c r="A163" i="2"/>
  <c r="A183" i="2"/>
  <c r="A144" i="2"/>
  <c r="B20" i="2"/>
  <c r="B21" i="2" s="1"/>
  <c r="Q43" i="4"/>
  <c r="H43" i="4"/>
  <c r="B14" i="2"/>
  <c r="B15" i="2" s="1"/>
  <c r="F91" i="4"/>
  <c r="C107" i="4"/>
  <c r="A65" i="2"/>
  <c r="A126" i="2"/>
  <c r="A148" i="2"/>
  <c r="A167" i="2"/>
  <c r="A187" i="2"/>
  <c r="A94" i="2"/>
  <c r="L44" i="4"/>
  <c r="L47" i="4"/>
  <c r="M44" i="4" s="1"/>
  <c r="N44" i="4" s="1"/>
  <c r="A69" i="2"/>
  <c r="A98" i="2"/>
  <c r="A152" i="2"/>
  <c r="A171" i="2"/>
  <c r="A130" i="2"/>
  <c r="A191" i="2"/>
  <c r="H37" i="4"/>
  <c r="P37" i="4"/>
  <c r="H45" i="4"/>
  <c r="Q45" i="4"/>
  <c r="B6" i="2"/>
  <c r="B7" i="2" s="1"/>
  <c r="B10" i="2"/>
  <c r="B11" i="2" s="1"/>
  <c r="A62" i="2"/>
  <c r="A91" i="2"/>
  <c r="A145" i="2"/>
  <c r="A184" i="2"/>
  <c r="A123" i="2"/>
  <c r="A164" i="2"/>
  <c r="F47" i="4"/>
  <c r="M36" i="3" l="1"/>
  <c r="M45" i="3"/>
  <c r="M40" i="3"/>
  <c r="M46" i="3"/>
  <c r="M42" i="3"/>
  <c r="M44" i="3"/>
  <c r="M43" i="3"/>
  <c r="M37" i="3"/>
  <c r="M39" i="3"/>
  <c r="M41" i="3"/>
  <c r="M42" i="4"/>
  <c r="N42" i="4" s="1"/>
  <c r="Q47" i="4"/>
  <c r="H135" i="2" s="1"/>
  <c r="M40" i="4"/>
  <c r="N40" i="4" s="1"/>
  <c r="F155" i="2"/>
  <c r="F156" i="2" s="1"/>
  <c r="G155" i="2"/>
  <c r="G156" i="2" s="1"/>
  <c r="N156" i="2"/>
  <c r="D155" i="2"/>
  <c r="D156" i="2" s="1"/>
  <c r="E155" i="2"/>
  <c r="B135" i="2"/>
  <c r="E136" i="2"/>
  <c r="E137" i="2"/>
  <c r="B137" i="2" s="1"/>
  <c r="D136" i="2"/>
  <c r="D137" i="2"/>
  <c r="N144" i="2"/>
  <c r="N38" i="3"/>
  <c r="P47" i="4"/>
  <c r="H134" i="2" s="1"/>
  <c r="N154" i="2"/>
  <c r="M37" i="4"/>
  <c r="N37" i="4" s="1"/>
  <c r="M39" i="4"/>
  <c r="N39" i="4" s="1"/>
  <c r="M41" i="4"/>
  <c r="N41" i="4" s="1"/>
  <c r="M43" i="4"/>
  <c r="N43" i="4" s="1"/>
  <c r="M45" i="4"/>
  <c r="N45" i="4" s="1"/>
  <c r="M36" i="4"/>
  <c r="N36" i="4" s="1"/>
  <c r="M46" i="4"/>
  <c r="N46" i="4" s="1"/>
  <c r="H155" i="2"/>
  <c r="H156" i="2" s="1"/>
  <c r="G10" i="1"/>
  <c r="C12" i="2"/>
  <c r="C13" i="2" s="1"/>
  <c r="C14" i="2"/>
  <c r="C15" i="2" s="1"/>
  <c r="C18" i="2"/>
  <c r="C19" i="2" s="1"/>
  <c r="C8" i="2"/>
  <c r="C9" i="2" s="1"/>
  <c r="C10" i="2"/>
  <c r="C11" i="2" s="1"/>
  <c r="C24" i="2"/>
  <c r="C25" i="2" s="1"/>
  <c r="C6" i="2"/>
  <c r="C7" i="2" s="1"/>
  <c r="C20" i="2"/>
  <c r="C21" i="2" s="1"/>
  <c r="C16" i="2"/>
  <c r="C17" i="2" s="1"/>
  <c r="C22" i="2"/>
  <c r="C23" i="2" s="1"/>
  <c r="H47" i="4"/>
  <c r="E116" i="2"/>
  <c r="B116" i="2" s="1"/>
  <c r="F116" i="2"/>
  <c r="G116" i="2"/>
  <c r="H116" i="2"/>
  <c r="I116" i="2"/>
  <c r="J116" i="2"/>
  <c r="D116" i="2"/>
  <c r="G12" i="1"/>
  <c r="I4" i="2"/>
  <c r="I5" i="2" s="1"/>
  <c r="C192" i="2"/>
  <c r="M38" i="4"/>
  <c r="N38" i="4" s="1"/>
  <c r="N37" i="3" l="1"/>
  <c r="N143" i="2"/>
  <c r="E144" i="2"/>
  <c r="B144" i="2" s="1"/>
  <c r="F144" i="2"/>
  <c r="G144" i="2"/>
  <c r="G163" i="2" s="1"/>
  <c r="F163" i="2"/>
  <c r="N150" i="2"/>
  <c r="N44" i="3"/>
  <c r="N148" i="2"/>
  <c r="N42" i="3"/>
  <c r="J26" i="1"/>
  <c r="B195" i="2"/>
  <c r="N149" i="2"/>
  <c r="N43" i="3"/>
  <c r="N152" i="2"/>
  <c r="N46" i="3"/>
  <c r="K26" i="1"/>
  <c r="C195" i="2"/>
  <c r="D154" i="2"/>
  <c r="E154" i="2"/>
  <c r="B154" i="2" s="1"/>
  <c r="F154" i="2"/>
  <c r="G154" i="2"/>
  <c r="B136" i="2"/>
  <c r="G13" i="1" s="1"/>
  <c r="B138" i="2"/>
  <c r="G14" i="1" s="1"/>
  <c r="N146" i="2"/>
  <c r="N40" i="3"/>
  <c r="H137" i="2"/>
  <c r="H136" i="2"/>
  <c r="B155" i="2"/>
  <c r="E156" i="2"/>
  <c r="B156" i="2" s="1"/>
  <c r="N147" i="2"/>
  <c r="N41" i="3"/>
  <c r="N151" i="2"/>
  <c r="N45" i="3"/>
  <c r="K21" i="1"/>
  <c r="K23" i="1" s="1"/>
  <c r="C196" i="2"/>
  <c r="C197" i="2" s="1"/>
  <c r="K28" i="1" s="1"/>
  <c r="C193" i="2"/>
  <c r="K27" i="1" s="1"/>
  <c r="N47" i="4"/>
  <c r="N145" i="2"/>
  <c r="N39" i="3"/>
  <c r="N36" i="3"/>
  <c r="N142" i="2"/>
  <c r="E145" i="2" l="1"/>
  <c r="B145" i="2" s="1"/>
  <c r="F145" i="2"/>
  <c r="G145" i="2"/>
  <c r="G164" i="2" s="1"/>
  <c r="F164" i="2"/>
  <c r="E150" i="2"/>
  <c r="B150" i="2" s="1"/>
  <c r="F150" i="2"/>
  <c r="F169" i="2"/>
  <c r="G150" i="2"/>
  <c r="G169" i="2" s="1"/>
  <c r="E149" i="2"/>
  <c r="B149" i="2" s="1"/>
  <c r="F149" i="2"/>
  <c r="G149" i="2"/>
  <c r="G168" i="2" s="1"/>
  <c r="F168" i="2"/>
  <c r="F8" i="2"/>
  <c r="F9" i="2" s="1"/>
  <c r="B183" i="2"/>
  <c r="H8" i="2" s="1"/>
  <c r="H9" i="2" s="1"/>
  <c r="E152" i="2"/>
  <c r="B152" i="2" s="1"/>
  <c r="B191" i="2" s="1"/>
  <c r="F152" i="2"/>
  <c r="G152" i="2"/>
  <c r="G171" i="2" s="1"/>
  <c r="F171" i="2"/>
  <c r="E143" i="2"/>
  <c r="B143" i="2" s="1"/>
  <c r="F143" i="2"/>
  <c r="G143" i="2"/>
  <c r="G162" i="2" s="1"/>
  <c r="F162" i="2"/>
  <c r="F147" i="2"/>
  <c r="G147" i="2"/>
  <c r="G166" i="2" s="1"/>
  <c r="F166" i="2"/>
  <c r="E147" i="2"/>
  <c r="B147" i="2" s="1"/>
  <c r="K25" i="1"/>
  <c r="K29" i="1" s="1"/>
  <c r="K30" i="1" s="1"/>
  <c r="K24" i="1"/>
  <c r="E142" i="2"/>
  <c r="B142" i="2" s="1"/>
  <c r="F142" i="2"/>
  <c r="F161" i="2"/>
  <c r="G142" i="2"/>
  <c r="G161" i="2" s="1"/>
  <c r="N47" i="3"/>
  <c r="E151" i="2"/>
  <c r="B151" i="2" s="1"/>
  <c r="F151" i="2"/>
  <c r="G151" i="2"/>
  <c r="G170" i="2" s="1"/>
  <c r="F170" i="2"/>
  <c r="E146" i="2"/>
  <c r="B146" i="2" s="1"/>
  <c r="F146" i="2"/>
  <c r="G146" i="2"/>
  <c r="G165" i="2" s="1"/>
  <c r="F165" i="2"/>
  <c r="G148" i="2"/>
  <c r="G167" i="2" s="1"/>
  <c r="E148" i="2"/>
  <c r="B148" i="2" s="1"/>
  <c r="F148" i="2"/>
  <c r="F167" i="2"/>
  <c r="F12" i="2" l="1"/>
  <c r="F13" i="2" s="1"/>
  <c r="B185" i="2"/>
  <c r="H12" i="2" s="1"/>
  <c r="H13" i="2" s="1"/>
  <c r="F6" i="2"/>
  <c r="F7" i="2" s="1"/>
  <c r="B182" i="2"/>
  <c r="H6" i="2" s="1"/>
  <c r="H7" i="2" s="1"/>
  <c r="F14" i="2"/>
  <c r="F15" i="2" s="1"/>
  <c r="B186" i="2"/>
  <c r="H14" i="2" s="1"/>
  <c r="H15" i="2" s="1"/>
  <c r="F4" i="2"/>
  <c r="F5" i="2" s="1"/>
  <c r="B181" i="2"/>
  <c r="F20" i="2"/>
  <c r="F21" i="2" s="1"/>
  <c r="B189" i="2"/>
  <c r="H20" i="2" s="1"/>
  <c r="H21" i="2" s="1"/>
  <c r="F16" i="2"/>
  <c r="F17" i="2" s="1"/>
  <c r="B187" i="2"/>
  <c r="H16" i="2" s="1"/>
  <c r="H17" i="2" s="1"/>
  <c r="F22" i="2"/>
  <c r="F23" i="2" s="1"/>
  <c r="B190" i="2"/>
  <c r="F18" i="2"/>
  <c r="F19" i="2" s="1"/>
  <c r="B188" i="2"/>
  <c r="H18" i="2" s="1"/>
  <c r="H19" i="2" s="1"/>
  <c r="F10" i="2"/>
  <c r="F11" i="2" s="1"/>
  <c r="B184" i="2"/>
  <c r="H10" i="2" s="1"/>
  <c r="H11" i="2" s="1"/>
  <c r="H4" i="2" l="1"/>
  <c r="H5" i="2" s="1"/>
  <c r="B192" i="2"/>
  <c r="B193" i="2" l="1"/>
  <c r="J27" i="1" s="1"/>
  <c r="J21" i="1"/>
  <c r="J23" i="1" s="1"/>
  <c r="B196" i="2"/>
  <c r="B197" i="2" s="1"/>
  <c r="J28" i="1" s="1"/>
  <c r="J24" i="1" l="1"/>
  <c r="J25" i="1"/>
  <c r="J29" i="1" s="1"/>
  <c r="J30" i="1" s="1"/>
</calcChain>
</file>

<file path=xl/sharedStrings.xml><?xml version="1.0" encoding="utf-8"?>
<sst xmlns="http://schemas.openxmlformats.org/spreadsheetml/2006/main" count="396" uniqueCount="168">
  <si>
    <t>Renewables</t>
  </si>
  <si>
    <t>Thermal power split on demand intervals, GW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</si>
  <si>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</si>
  <si>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</si>
  <si>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</si>
  <si>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</si>
  <si>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</si>
  <si>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</si>
  <si>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</si>
  <si>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</si>
  <si>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</si>
  <si>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</si>
  <si>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</si>
  <si>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Baseline/Reference</t>
  </si>
  <si>
    <t>600 MW Windpower</t>
  </si>
  <si>
    <t>Difference</t>
  </si>
  <si>
    <t>Reference Efficiency average</t>
  </si>
  <si>
    <t>Fossil fuel substitution, TJ/year</t>
  </si>
  <si>
    <t>Type of fuel</t>
  </si>
  <si>
    <t>NG</t>
  </si>
  <si>
    <t>CO2 emission reduction, kton/year</t>
  </si>
  <si>
    <t>Load, GW</t>
  </si>
  <si>
    <t>Marginal demand</t>
  </si>
  <si>
    <t>Total thermal</t>
  </si>
  <si>
    <t>Unit: TJ/year</t>
  </si>
  <si>
    <t>Marginal efficiency</t>
  </si>
  <si>
    <t>Substitution rate</t>
  </si>
  <si>
    <t>Revenue</t>
  </si>
  <si>
    <t>Electricity Rates</t>
  </si>
  <si>
    <t>Hour Profiles</t>
  </si>
  <si>
    <t>Unit</t>
  </si>
  <si>
    <t>Total</t>
  </si>
  <si>
    <t>Demand2</t>
  </si>
  <si>
    <t>Demand3</t>
  </si>
  <si>
    <t>Demand4</t>
  </si>
  <si>
    <t>Demand5</t>
  </si>
  <si>
    <t>Demand6</t>
  </si>
  <si>
    <t>Demand7</t>
  </si>
  <si>
    <t>Demand8</t>
  </si>
  <si>
    <t>Demand9</t>
  </si>
  <si>
    <t>Wind5</t>
  </si>
  <si>
    <t>Wind6</t>
  </si>
  <si>
    <t>Wind7</t>
  </si>
  <si>
    <t>Wind8</t>
  </si>
  <si>
    <t>Wind9</t>
  </si>
  <si>
    <t>Rate5</t>
  </si>
  <si>
    <t>Rate6</t>
  </si>
  <si>
    <t>Rate7</t>
  </si>
  <si>
    <t>Rate8</t>
  </si>
  <si>
    <t>Rate9</t>
  </si>
  <si>
    <t>Wind profile</t>
  </si>
  <si>
    <t>Discount rate</t>
  </si>
  <si>
    <t>Economic lifetime</t>
  </si>
  <si>
    <t>Total electricity generation</t>
  </si>
  <si>
    <t>Total generation</t>
  </si>
  <si>
    <t>Hydro</t>
  </si>
  <si>
    <t/>
  </si>
  <si>
    <t>Marginal thermal</t>
  </si>
  <si>
    <t>Other thermal</t>
  </si>
  <si>
    <t>Full load hours</t>
  </si>
  <si>
    <t>Fuel</t>
  </si>
  <si>
    <t>Total wind generation</t>
  </si>
  <si>
    <t>Total capacity, GW</t>
  </si>
  <si>
    <t>Marg. thermal</t>
  </si>
  <si>
    <t>Fuel substitution, TJ/year</t>
  </si>
  <si>
    <t>Fuel subst. TJ</t>
  </si>
  <si>
    <t>Gas</t>
  </si>
  <si>
    <t>Financial capability (present value)</t>
  </si>
  <si>
    <t>Financial capability of wind turbines</t>
  </si>
  <si>
    <t>Load intervals</t>
  </si>
  <si>
    <t>GW</t>
  </si>
  <si>
    <t>Egypt - unity</t>
  </si>
  <si>
    <t>GWh</t>
  </si>
  <si>
    <t>Thermal average</t>
  </si>
  <si>
    <t>Average efficiency</t>
  </si>
  <si>
    <t>Integration of 600 MW wind power. Substitution of thermal power production and CO2 emission.</t>
  </si>
  <si>
    <t>Residual thermal</t>
  </si>
  <si>
    <t>Wind 60-600 MW</t>
  </si>
  <si>
    <t>Wind 60 MW</t>
  </si>
  <si>
    <t>60 MW Windpower</t>
  </si>
  <si>
    <t>Load duration curve for thermal and wind power</t>
  </si>
  <si>
    <t>Annual requirement</t>
  </si>
  <si>
    <t>Currency</t>
  </si>
  <si>
    <t>Data for graphs</t>
  </si>
  <si>
    <t>Cost Base</t>
  </si>
  <si>
    <t>Demand profile</t>
  </si>
  <si>
    <t>Project</t>
  </si>
  <si>
    <t>Gasturbine 40%</t>
  </si>
  <si>
    <t>Gasturbine 35%</t>
  </si>
  <si>
    <t>Gas CCGT 50%</t>
  </si>
  <si>
    <t>CO2 Reduction</t>
  </si>
  <si>
    <t>Tech7</t>
  </si>
  <si>
    <t>Tech8</t>
  </si>
  <si>
    <t>Tech9</t>
  </si>
  <si>
    <t>Baseline price</t>
  </si>
  <si>
    <t>Coal  35%</t>
  </si>
  <si>
    <t>Gas CCGT 55%</t>
  </si>
  <si>
    <t>Coal  40%</t>
  </si>
  <si>
    <t>Coal  50%</t>
  </si>
  <si>
    <t>Custom flat rate</t>
  </si>
  <si>
    <t>Baseline average</t>
  </si>
  <si>
    <t>Custom</t>
  </si>
  <si>
    <t>Egypt - custom avg.</t>
  </si>
  <si>
    <t>Egypt 1999/00</t>
  </si>
  <si>
    <t>Fuel substitution</t>
  </si>
  <si>
    <t>CO2 Substitution per MWh - Baselines</t>
  </si>
  <si>
    <t>Sales price</t>
  </si>
  <si>
    <t>Capacity, MW</t>
  </si>
  <si>
    <t>Avarage price</t>
  </si>
  <si>
    <t>Technology</t>
  </si>
  <si>
    <t>11-12</t>
  </si>
  <si>
    <t>12-13</t>
  </si>
  <si>
    <t>13-14</t>
  </si>
  <si>
    <t>14-15</t>
  </si>
  <si>
    <t>15-16</t>
  </si>
  <si>
    <t>16-17</t>
  </si>
  <si>
    <t>17-18</t>
  </si>
  <si>
    <t>0-8</t>
  </si>
  <si>
    <t>HFO</t>
  </si>
  <si>
    <t>Fuels</t>
  </si>
  <si>
    <t>CO2  ton/GJ</t>
  </si>
  <si>
    <t>C</t>
  </si>
  <si>
    <t>Fuel substitution price</t>
  </si>
  <si>
    <t>Fuel substitution  revenue</t>
  </si>
  <si>
    <t>Fuel substitution price (constant revenue)</t>
  </si>
  <si>
    <t>Revenue at fuel subst. rate</t>
  </si>
  <si>
    <t>0-8 per GW</t>
  </si>
  <si>
    <t>Wind 600 MW</t>
  </si>
  <si>
    <t>Wind 600-2000 MW</t>
  </si>
  <si>
    <t>Source: Table 3: … 60 MW wind power … (Table 12  in DRAFT 07-08-02)</t>
  </si>
  <si>
    <t>Source: Table 4 of Pre-feasibility Study for a Pilot CDM-Project for a Wind Farm in Egypt.Task 2.1.  ENG2-CT1999-0001, CDMED, NREA, Risø National Laboratory. Final version. Draft for comments. June 2001.</t>
  </si>
  <si>
    <t>(Table 13 in Wind power projects in the CDM: Methods and tools for baselines, carbon financing and sustainability analysis. DRAFT 07-08-02)</t>
  </si>
  <si>
    <t>Source: Table 18 in Wind power projects in the CDM: Methods and tools for baselines, carbon financing and sustainability analysis. DRAFT 07-08-02</t>
  </si>
  <si>
    <t>Source: Table 17 in Wind power projects in the CDM: Methods and tools for baselines, carbon financing and sustainability analysis. DRAFT 07-08-02</t>
  </si>
  <si>
    <t>Source: Table 16 in Wind power projects in the CDM: Methods and tools for baselines, carbon financing and sustainability analysis. DRAFT 07-08-02</t>
  </si>
  <si>
    <t>1999 values</t>
  </si>
  <si>
    <t>Zafarana 1999 600 MW</t>
  </si>
  <si>
    <t>Zafarana 1999 60 MW</t>
  </si>
  <si>
    <t>Zafarana 2010 60 MW</t>
  </si>
  <si>
    <t>Zafarana 2010 600 MW</t>
  </si>
  <si>
    <t>Zafarana 2010 2000 MW</t>
  </si>
  <si>
    <t>Egypt 2010</t>
  </si>
  <si>
    <t>€90/GJ</t>
  </si>
  <si>
    <t>$99/GJ</t>
  </si>
  <si>
    <t>€90/MWh</t>
  </si>
  <si>
    <t>ShAn-14, €90/MWh</t>
  </si>
  <si>
    <t>ShAn-14, €90/GJ</t>
  </si>
  <si>
    <t>ShAn-14, $99/GJ</t>
  </si>
  <si>
    <t>Cost base</t>
  </si>
  <si>
    <t>Currency/Ecu90</t>
  </si>
  <si>
    <t>kg CO2/MWh</t>
  </si>
  <si>
    <t>Technology baseline</t>
  </si>
  <si>
    <t>Project specific baseline</t>
  </si>
  <si>
    <t>Emission reduction</t>
  </si>
  <si>
    <t>Technology substitution</t>
  </si>
  <si>
    <t>Efficiency</t>
  </si>
  <si>
    <t>Revenue requirement</t>
  </si>
  <si>
    <t>CO2 reduction, kg/kW.a</t>
  </si>
  <si>
    <t>CO2 payment</t>
  </si>
  <si>
    <t>Cost+CO2 payment</t>
  </si>
  <si>
    <t>CO2 reduction, kg per kW wind installed</t>
  </si>
  <si>
    <t>This model is a tool for evaluating wind turbine projects under different assumptions</t>
  </si>
  <si>
    <t>concerning wind profiles, electricity demand profiles and baselines for evaluation</t>
  </si>
  <si>
    <t>of CDM projects.</t>
  </si>
  <si>
    <t>Assumptions are selected from combo-boxes or the cells with blue text.</t>
  </si>
  <si>
    <t>ShAn-14: Grohnheit, P.E., Energy Policy Responses to the Climate Change Challenge: The Consistency of European CHP, Renewables and Energy Efficiency Policies. Risø-R-1147(EN) (1999) 148 p.(Volume 14 of of individual reports of the Shared Analysis Project prepared for the European Commission, Directorate General for Energy).</t>
  </si>
  <si>
    <t>Poul Erik Grohnheit, Risø National Laboratory, Dec. 2001/Oct. 2002</t>
  </si>
  <si>
    <t>Elec. price with CO2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</si>
</sst>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0"/>
    <numFmt numFmtId="178" formatCode="0.0"/>
    <numFmt numFmtId="179" formatCode="0.0000"/>
    <numFmt numFmtId="190" formatCode="#,##0.00;[Red]#,##0.00"/>
    <numFmt numFmtId="191" formatCode="0.000_)"/>
    <numFmt numFmtId="194" formatCode="0_)"/>
  </numFmts>
  <fonts count="15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20"/>
      <name val="Arial"/>
      <family val="2"/>
    </font>
    <font>
      <i/>
      <sz val="12"/>
      <name val="Arial"/>
      <family val="2"/>
    </font>
    <font>
      <i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sz val="18"/>
      <name val="Arial"/>
      <family val="2"/>
    </font>
    <font>
      <i/>
      <sz val="11"/>
      <name val="Arial"/>
      <family val="2"/>
    </font>
    <font>
      <sz val="10"/>
      <name val="Arial MT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178" fontId="0" fillId="0" borderId="0" xfId="0" applyNumberFormat="1"/>
    <xf numFmtId="16" fontId="0" fillId="0" borderId="0" xfId="0" applyNumberFormat="1" applyAlignment="1">
      <alignment horizontal="right"/>
    </xf>
    <xf numFmtId="177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78" fontId="2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wrapText="1"/>
    </xf>
    <xf numFmtId="0" fontId="3" fillId="0" borderId="0" xfId="0" applyFon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 applyAlignment="1"/>
    <xf numFmtId="0" fontId="4" fillId="0" borderId="0" xfId="0" applyFont="1" applyAlignment="1"/>
    <xf numFmtId="2" fontId="0" fillId="0" borderId="0" xfId="0" applyNumberFormat="1" applyAlignment="1">
      <alignment wrapText="1"/>
    </xf>
    <xf numFmtId="0" fontId="0" fillId="0" borderId="0" xfId="0" quotePrefix="1"/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/>
    <xf numFmtId="0" fontId="6" fillId="0" borderId="0" xfId="0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2" fontId="4" fillId="0" borderId="0" xfId="0" applyNumberFormat="1" applyFont="1" applyAlignment="1">
      <alignment horizontal="right"/>
    </xf>
    <xf numFmtId="1" fontId="3" fillId="0" borderId="0" xfId="0" applyNumberFormat="1" applyFont="1"/>
    <xf numFmtId="0" fontId="7" fillId="0" borderId="0" xfId="0" applyFont="1"/>
    <xf numFmtId="1" fontId="8" fillId="0" borderId="0" xfId="0" applyNumberFormat="1" applyFont="1" applyAlignment="1">
      <alignment horizontal="right"/>
    </xf>
    <xf numFmtId="1" fontId="8" fillId="0" borderId="0" xfId="0" applyNumberFormat="1" applyFont="1"/>
    <xf numFmtId="0" fontId="9" fillId="0" borderId="0" xfId="0" applyFont="1"/>
    <xf numFmtId="1" fontId="3" fillId="0" borderId="0" xfId="0" applyNumberFormat="1" applyFont="1" applyAlignment="1">
      <alignment wrapText="1"/>
    </xf>
    <xf numFmtId="16" fontId="1" fillId="0" borderId="0" xfId="0" applyNumberFormat="1" applyFont="1" applyAlignment="1">
      <alignment horizontal="left"/>
    </xf>
    <xf numFmtId="2" fontId="9" fillId="0" borderId="0" xfId="0" applyNumberFormat="1" applyFont="1"/>
    <xf numFmtId="16" fontId="9" fillId="0" borderId="0" xfId="0" applyNumberFormat="1" applyFont="1" applyAlignment="1">
      <alignment horizontal="left" wrapText="1"/>
    </xf>
    <xf numFmtId="1" fontId="9" fillId="0" borderId="0" xfId="0" applyNumberFormat="1" applyFont="1"/>
    <xf numFmtId="0" fontId="4" fillId="0" borderId="0" xfId="0" applyFont="1" applyAlignment="1">
      <alignment wrapText="1"/>
    </xf>
    <xf numFmtId="16" fontId="1" fillId="0" borderId="0" xfId="0" applyNumberFormat="1" applyFont="1" applyAlignment="1">
      <alignment horizontal="left" wrapText="1"/>
    </xf>
    <xf numFmtId="1" fontId="0" fillId="0" borderId="0" xfId="0" applyNumberFormat="1" applyAlignment="1">
      <alignment wrapText="1"/>
    </xf>
    <xf numFmtId="0" fontId="11" fillId="0" borderId="0" xfId="0" applyFont="1"/>
    <xf numFmtId="0" fontId="12" fillId="0" borderId="0" xfId="0" applyFont="1"/>
    <xf numFmtId="1" fontId="2" fillId="0" borderId="0" xfId="0" applyNumberFormat="1" applyFont="1"/>
    <xf numFmtId="0" fontId="3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" fontId="3" fillId="0" borderId="8" xfId="0" applyNumberFormat="1" applyFont="1" applyBorder="1"/>
    <xf numFmtId="0" fontId="3" fillId="0" borderId="2" xfId="0" applyFont="1" applyBorder="1"/>
    <xf numFmtId="1" fontId="10" fillId="0" borderId="2" xfId="0" applyNumberFormat="1" applyFont="1" applyBorder="1"/>
    <xf numFmtId="0" fontId="0" fillId="0" borderId="7" xfId="0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4" xfId="0" applyBorder="1"/>
    <xf numFmtId="190" fontId="0" fillId="0" borderId="0" xfId="0" applyNumberFormat="1" applyBorder="1"/>
    <xf numFmtId="0" fontId="0" fillId="0" borderId="5" xfId="0" applyBorder="1"/>
    <xf numFmtId="0" fontId="3" fillId="0" borderId="5" xfId="0" applyFont="1" applyBorder="1"/>
    <xf numFmtId="2" fontId="0" fillId="0" borderId="7" xfId="0" applyNumberFormat="1" applyBorder="1"/>
    <xf numFmtId="0" fontId="1" fillId="0" borderId="4" xfId="0" applyFont="1" applyBorder="1"/>
    <xf numFmtId="1" fontId="1" fillId="0" borderId="0" xfId="0" applyNumberFormat="1" applyFont="1" applyBorder="1"/>
    <xf numFmtId="0" fontId="4" fillId="0" borderId="3" xfId="0" applyFont="1" applyBorder="1"/>
    <xf numFmtId="0" fontId="4" fillId="0" borderId="5" xfId="0" applyFont="1" applyBorder="1"/>
    <xf numFmtId="178" fontId="3" fillId="0" borderId="0" xfId="0" applyNumberFormat="1" applyFont="1"/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right" wrapText="1"/>
    </xf>
    <xf numFmtId="0" fontId="0" fillId="0" borderId="0" xfId="0" applyAlignment="1"/>
    <xf numFmtId="0" fontId="0" fillId="0" borderId="0" xfId="0" quotePrefix="1" applyAlignment="1"/>
    <xf numFmtId="0" fontId="1" fillId="0" borderId="9" xfId="0" quotePrefix="1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0" xfId="0" applyFont="1" applyAlignment="1">
      <alignment wrapText="1"/>
    </xf>
    <xf numFmtId="2" fontId="8" fillId="0" borderId="0" xfId="0" applyNumberFormat="1" applyFont="1" applyAlignment="1">
      <alignment wrapText="1"/>
    </xf>
    <xf numFmtId="191" fontId="13" fillId="0" borderId="0" xfId="0" applyNumberFormat="1" applyFont="1" applyFill="1" applyBorder="1" applyProtection="1"/>
    <xf numFmtId="0" fontId="3" fillId="0" borderId="9" xfId="0" applyFont="1" applyBorder="1" applyAlignment="1">
      <alignment horizontal="right" wrapText="1"/>
    </xf>
    <xf numFmtId="0" fontId="3" fillId="0" borderId="15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1" fontId="0" fillId="0" borderId="11" xfId="0" applyNumberFormat="1" applyBorder="1"/>
    <xf numFmtId="1" fontId="0" fillId="0" borderId="0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6" xfId="0" applyNumberFormat="1" applyBorder="1"/>
    <xf numFmtId="1" fontId="0" fillId="0" borderId="14" xfId="0" applyNumberFormat="1" applyBorder="1"/>
    <xf numFmtId="0" fontId="3" fillId="0" borderId="9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0" xfId="0" applyFont="1" applyBorder="1" applyAlignment="1">
      <alignment wrapText="1"/>
    </xf>
    <xf numFmtId="16" fontId="9" fillId="0" borderId="0" xfId="0" applyNumberFormat="1" applyFont="1" applyAlignment="1">
      <alignment horizontal="left"/>
    </xf>
    <xf numFmtId="179" fontId="0" fillId="0" borderId="0" xfId="0" applyNumberFormat="1"/>
    <xf numFmtId="191" fontId="13" fillId="0" borderId="0" xfId="0" applyNumberFormat="1" applyFont="1" applyFill="1" applyBorder="1" applyAlignment="1" applyProtection="1">
      <alignment wrapText="1"/>
    </xf>
    <xf numFmtId="191" fontId="13" fillId="0" borderId="0" xfId="0" applyNumberFormat="1" applyFont="1" applyFill="1" applyBorder="1" applyAlignment="1" applyProtection="1">
      <alignment horizontal="right"/>
    </xf>
    <xf numFmtId="194" fontId="13" fillId="0" borderId="0" xfId="0" applyNumberFormat="1" applyFont="1" applyFill="1" applyBorder="1" applyAlignment="1" applyProtection="1">
      <alignment horizontal="right"/>
    </xf>
    <xf numFmtId="0" fontId="3" fillId="0" borderId="1" xfId="0" applyFont="1" applyBorder="1"/>
    <xf numFmtId="16" fontId="9" fillId="0" borderId="0" xfId="0" applyNumberFormat="1" applyFont="1"/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horizontal="right" wrapText="1"/>
    </xf>
    <xf numFmtId="16" fontId="1" fillId="0" borderId="0" xfId="0" applyNumberFormat="1" applyFont="1" applyAlignment="1">
      <alignment wrapText="1"/>
    </xf>
    <xf numFmtId="2" fontId="3" fillId="0" borderId="0" xfId="0" applyNumberFormat="1" applyFont="1" applyBorder="1"/>
    <xf numFmtId="190" fontId="3" fillId="0" borderId="0" xfId="0" applyNumberFormat="1" applyFont="1" applyBorder="1"/>
    <xf numFmtId="190" fontId="4" fillId="0" borderId="0" xfId="0" applyNumberFormat="1" applyFont="1" applyBorder="1"/>
    <xf numFmtId="190" fontId="0" fillId="0" borderId="5" xfId="0" applyNumberFormat="1" applyBorder="1"/>
    <xf numFmtId="1" fontId="1" fillId="0" borderId="5" xfId="0" applyNumberFormat="1" applyFont="1" applyBorder="1"/>
    <xf numFmtId="2" fontId="3" fillId="0" borderId="5" xfId="0" applyNumberFormat="1" applyFont="1" applyBorder="1"/>
    <xf numFmtId="2" fontId="0" fillId="0" borderId="8" xfId="0" applyNumberFormat="1" applyBorder="1"/>
    <xf numFmtId="1" fontId="3" fillId="0" borderId="7" xfId="0" applyNumberFormat="1" applyFont="1" applyBorder="1"/>
    <xf numFmtId="16" fontId="0" fillId="0" borderId="0" xfId="0" applyNumberFormat="1" applyAlignment="1">
      <alignment horizontal="right" wrapText="1"/>
    </xf>
    <xf numFmtId="16" fontId="14" fillId="0" borderId="2" xfId="0" applyNumberFormat="1" applyFont="1" applyBorder="1"/>
    <xf numFmtId="0" fontId="14" fillId="0" borderId="3" xfId="0" applyFont="1" applyBorder="1" applyAlignment="1">
      <alignment horizontal="right"/>
    </xf>
    <xf numFmtId="16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 of demand and wind generation</a:t>
            </a:r>
          </a:p>
        </c:rich>
      </c:tx>
      <c:layout>
        <c:manualLayout>
          <c:xMode val="edge"/>
          <c:yMode val="edge"/>
          <c:x val="0.19800104512517636"/>
          <c:y val="3.8252543063837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41009047553199E-2"/>
          <c:y val="0.30602034451069854"/>
          <c:w val="0.55891434256853589"/>
          <c:h val="0.49181841082076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Demand profile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Data!$B$4:$B$25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0.6913173083021501</c:v>
                </c:pt>
                <c:pt idx="7">
                  <c:v>0.6913173083021501</c:v>
                </c:pt>
                <c:pt idx="8">
                  <c:v>10.750301262129765</c:v>
                </c:pt>
                <c:pt idx="9">
                  <c:v>10.750301262129765</c:v>
                </c:pt>
                <c:pt idx="10">
                  <c:v>34.315342170355812</c:v>
                </c:pt>
                <c:pt idx="11">
                  <c:v>34.315342170355812</c:v>
                </c:pt>
                <c:pt idx="12">
                  <c:v>32.504598211454301</c:v>
                </c:pt>
                <c:pt idx="13">
                  <c:v>32.504598211454301</c:v>
                </c:pt>
                <c:pt idx="14">
                  <c:v>16.131794253821273</c:v>
                </c:pt>
                <c:pt idx="15">
                  <c:v>16.131794253821273</c:v>
                </c:pt>
                <c:pt idx="16">
                  <c:v>5.5273672861038881</c:v>
                </c:pt>
                <c:pt idx="17">
                  <c:v>5.5273672861038881</c:v>
                </c:pt>
                <c:pt idx="18">
                  <c:v>7.9279507832815385E-2</c:v>
                </c:pt>
                <c:pt idx="19">
                  <c:v>7.9279507832815385E-2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F-452F-93EF-F1E682247423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Wind profile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Data!$C$4:$C$25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7.5798592311857052E-2</c:v>
                </c:pt>
                <c:pt idx="7">
                  <c:v>7.5798592311857052E-2</c:v>
                </c:pt>
                <c:pt idx="8">
                  <c:v>5.4141851651326469</c:v>
                </c:pt>
                <c:pt idx="9">
                  <c:v>5.4141851651326469</c:v>
                </c:pt>
                <c:pt idx="10">
                  <c:v>28.619382782891172</c:v>
                </c:pt>
                <c:pt idx="11">
                  <c:v>28.619382782891172</c:v>
                </c:pt>
                <c:pt idx="12">
                  <c:v>37.336220898754732</c:v>
                </c:pt>
                <c:pt idx="13">
                  <c:v>37.336220898754732</c:v>
                </c:pt>
                <c:pt idx="14">
                  <c:v>20.119112073632916</c:v>
                </c:pt>
                <c:pt idx="15">
                  <c:v>20.119112073632916</c:v>
                </c:pt>
                <c:pt idx="16">
                  <c:v>8.2079047103410936</c:v>
                </c:pt>
                <c:pt idx="17">
                  <c:v>8.2079047103410936</c:v>
                </c:pt>
                <c:pt idx="18">
                  <c:v>0.22739577693557117</c:v>
                </c:pt>
                <c:pt idx="19">
                  <c:v>0.22739577693557117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F-452F-93EF-F1E68224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512592"/>
        <c:axId val="1"/>
      </c:scatterChart>
      <c:valAx>
        <c:axId val="155951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0.70428219848322215"/>
              <c:y val="0.81969735136794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49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4.5114162180419935E-2"/>
              <c:y val="0.158474821264468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512592"/>
        <c:crossesAt val="0"/>
        <c:crossBetween val="midCat"/>
        <c:maj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21877504965567"/>
          <c:y val="0.33334358955629662"/>
          <c:w val="0.30076108120279954"/>
          <c:h val="0.4535658677569281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Electricity price</a:t>
            </a:r>
          </a:p>
        </c:rich>
      </c:tx>
      <c:layout>
        <c:manualLayout>
          <c:xMode val="edge"/>
          <c:yMode val="edge"/>
          <c:x val="0.35460289760986452"/>
          <c:y val="6.0608429617486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90699363776878E-2"/>
          <c:y val="0.2666770903169427"/>
          <c:w val="0.57399749613107565"/>
          <c:h val="0.4848674369398957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Technology substitution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Data!$F$4:$F$25</c:f>
              <c:numCache>
                <c:formatCode>0.00</c:formatCode>
                <c:ptCount val="22"/>
                <c:pt idx="0">
                  <c:v>27.459767052439247</c:v>
                </c:pt>
                <c:pt idx="1">
                  <c:v>27.459767052439247</c:v>
                </c:pt>
                <c:pt idx="2">
                  <c:v>27.459767052439247</c:v>
                </c:pt>
                <c:pt idx="3">
                  <c:v>27.459767052439247</c:v>
                </c:pt>
                <c:pt idx="4">
                  <c:v>27.459767052439247</c:v>
                </c:pt>
                <c:pt idx="5">
                  <c:v>27.459767052439247</c:v>
                </c:pt>
                <c:pt idx="6">
                  <c:v>28.633261370919556</c:v>
                </c:pt>
                <c:pt idx="7">
                  <c:v>28.633261370919556</c:v>
                </c:pt>
                <c:pt idx="8">
                  <c:v>29.38676824910165</c:v>
                </c:pt>
                <c:pt idx="9">
                  <c:v>29.38676824910165</c:v>
                </c:pt>
                <c:pt idx="10">
                  <c:v>28.633261370919556</c:v>
                </c:pt>
                <c:pt idx="11">
                  <c:v>28.633261370919556</c:v>
                </c:pt>
                <c:pt idx="12">
                  <c:v>33.839308892904931</c:v>
                </c:pt>
                <c:pt idx="13">
                  <c:v>33.839308892904931</c:v>
                </c:pt>
                <c:pt idx="14">
                  <c:v>31.905634099024645</c:v>
                </c:pt>
                <c:pt idx="15">
                  <c:v>31.905634099024645</c:v>
                </c:pt>
                <c:pt idx="16">
                  <c:v>46.52904972774428</c:v>
                </c:pt>
                <c:pt idx="17">
                  <c:v>46.52904972774428</c:v>
                </c:pt>
                <c:pt idx="18">
                  <c:v>53.176056831707747</c:v>
                </c:pt>
                <c:pt idx="19">
                  <c:v>53.176056831707747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0-4CDE-993C-FBA232157940}"/>
            </c:ext>
          </c:extLst>
        </c:ser>
        <c:ser>
          <c:idx val="1"/>
          <c:order val="1"/>
          <c:tx>
            <c:strRef>
              <c:f>Data!$G$3</c:f>
              <c:strCache>
                <c:ptCount val="1"/>
                <c:pt idx="0">
                  <c:v>Sales price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Data!$G$4:$G$25</c:f>
              <c:numCache>
                <c:formatCode>0.00</c:formatCode>
                <c:ptCount val="22"/>
                <c:pt idx="0">
                  <c:v>28.9</c:v>
                </c:pt>
                <c:pt idx="1">
                  <c:v>28.9</c:v>
                </c:pt>
                <c:pt idx="2">
                  <c:v>28.9</c:v>
                </c:pt>
                <c:pt idx="3">
                  <c:v>28.9</c:v>
                </c:pt>
                <c:pt idx="4">
                  <c:v>28.9</c:v>
                </c:pt>
                <c:pt idx="5">
                  <c:v>28.9</c:v>
                </c:pt>
                <c:pt idx="6">
                  <c:v>28.9</c:v>
                </c:pt>
                <c:pt idx="7">
                  <c:v>28.9</c:v>
                </c:pt>
                <c:pt idx="8">
                  <c:v>28.9</c:v>
                </c:pt>
                <c:pt idx="9">
                  <c:v>28.9</c:v>
                </c:pt>
                <c:pt idx="10">
                  <c:v>28.9</c:v>
                </c:pt>
                <c:pt idx="11">
                  <c:v>28.9</c:v>
                </c:pt>
                <c:pt idx="12">
                  <c:v>28.9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28.9</c:v>
                </c:pt>
                <c:pt idx="18">
                  <c:v>28.9</c:v>
                </c:pt>
                <c:pt idx="19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0-4CDE-993C-FBA23215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15600"/>
        <c:axId val="1"/>
      </c:scatterChart>
      <c:valAx>
        <c:axId val="82401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0.82145419446313928"/>
              <c:y val="0.818213799836074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49"/>
          <c:min val="0"/>
        </c:scaling>
        <c:delete val="0"/>
        <c:axPos val="l"/>
        <c:title>
          <c:tx>
            <c:strRef>
              <c:f>Data!$B$84</c:f>
              <c:strCache>
                <c:ptCount val="1"/>
                <c:pt idx="0">
                  <c:v>$/MWh</c:v>
                </c:pt>
              </c:strCache>
            </c:strRef>
          </c:tx>
          <c:layout>
            <c:manualLayout>
              <c:xMode val="edge"/>
              <c:yMode val="edge"/>
              <c:x val="1.7857699879633464E-2"/>
              <c:y val="4.2425900732240882E-2"/>
            </c:manualLayout>
          </c:layout>
          <c:overlay val="0"/>
          <c:spPr>
            <a:noFill/>
            <a:ln w="25400">
              <a:noFill/>
            </a:ln>
          </c:spPr>
          <c:txPr>
            <a:bodyPr rot="0" vert="horz"/>
            <a:lstStyle/>
            <a:p>
              <a:pPr algn="ctr">
                <a:defRPr sz="8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015600"/>
        <c:crosses val="autoZero"/>
        <c:crossBetween val="midCat"/>
        <c:maj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267279573558555"/>
          <c:y val="0.20000781773770701"/>
          <c:w val="0.33929629771303588"/>
          <c:h val="0.5091108087868905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CO2 reduction</a:t>
            </a:r>
          </a:p>
        </c:rich>
      </c:tx>
      <c:layout>
        <c:manualLayout>
          <c:xMode val="edge"/>
          <c:yMode val="edge"/>
          <c:x val="0.36549405277209845"/>
          <c:y val="4.0937153169754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14058520277939"/>
          <c:y val="0.2339265895414559"/>
          <c:w val="0.52793585400414222"/>
          <c:h val="0.543879320683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Technology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Data!$D$4:$D$25</c:f>
              <c:numCache>
                <c:formatCode>0.00</c:formatCode>
                <c:ptCount val="22"/>
                <c:pt idx="0">
                  <c:v>513</c:v>
                </c:pt>
                <c:pt idx="1">
                  <c:v>513</c:v>
                </c:pt>
                <c:pt idx="2">
                  <c:v>513</c:v>
                </c:pt>
                <c:pt idx="3">
                  <c:v>513</c:v>
                </c:pt>
                <c:pt idx="4">
                  <c:v>513</c:v>
                </c:pt>
                <c:pt idx="5">
                  <c:v>513</c:v>
                </c:pt>
                <c:pt idx="6">
                  <c:v>513</c:v>
                </c:pt>
                <c:pt idx="7">
                  <c:v>513</c:v>
                </c:pt>
                <c:pt idx="8">
                  <c:v>513</c:v>
                </c:pt>
                <c:pt idx="9">
                  <c:v>513</c:v>
                </c:pt>
                <c:pt idx="10">
                  <c:v>513</c:v>
                </c:pt>
                <c:pt idx="11">
                  <c:v>513</c:v>
                </c:pt>
                <c:pt idx="12">
                  <c:v>513</c:v>
                </c:pt>
                <c:pt idx="13">
                  <c:v>513</c:v>
                </c:pt>
                <c:pt idx="14">
                  <c:v>513</c:v>
                </c:pt>
                <c:pt idx="15">
                  <c:v>513</c:v>
                </c:pt>
                <c:pt idx="16">
                  <c:v>513</c:v>
                </c:pt>
                <c:pt idx="17">
                  <c:v>513</c:v>
                </c:pt>
                <c:pt idx="18">
                  <c:v>513</c:v>
                </c:pt>
                <c:pt idx="19">
                  <c:v>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0-4397-B04C-0B8B7B8EBC3E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Project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Data!$E$4:$E$25</c:f>
              <c:numCache>
                <c:formatCode>0.00</c:formatCode>
                <c:ptCount val="22"/>
                <c:pt idx="0">
                  <c:v>488.57142857142861</c:v>
                </c:pt>
                <c:pt idx="1">
                  <c:v>488.57142857142861</c:v>
                </c:pt>
                <c:pt idx="2">
                  <c:v>500.48780487804885</c:v>
                </c:pt>
                <c:pt idx="3">
                  <c:v>500.48780487804885</c:v>
                </c:pt>
                <c:pt idx="4">
                  <c:v>526.15384615384619</c:v>
                </c:pt>
                <c:pt idx="5">
                  <c:v>526.15384615384619</c:v>
                </c:pt>
                <c:pt idx="6">
                  <c:v>526.15384615384619</c:v>
                </c:pt>
                <c:pt idx="7">
                  <c:v>526.15384615384619</c:v>
                </c:pt>
                <c:pt idx="8">
                  <c:v>540</c:v>
                </c:pt>
                <c:pt idx="9">
                  <c:v>540</c:v>
                </c:pt>
                <c:pt idx="10">
                  <c:v>526.15384615384619</c:v>
                </c:pt>
                <c:pt idx="11">
                  <c:v>526.15384615384619</c:v>
                </c:pt>
                <c:pt idx="12">
                  <c:v>621.81818181818187</c:v>
                </c:pt>
                <c:pt idx="13">
                  <c:v>621.81818181818187</c:v>
                </c:pt>
                <c:pt idx="14">
                  <c:v>586.28571428571433</c:v>
                </c:pt>
                <c:pt idx="15">
                  <c:v>586.28571428571433</c:v>
                </c:pt>
                <c:pt idx="16">
                  <c:v>855.00000000000011</c:v>
                </c:pt>
                <c:pt idx="17">
                  <c:v>855.00000000000011</c:v>
                </c:pt>
                <c:pt idx="18">
                  <c:v>977.14285714285722</c:v>
                </c:pt>
                <c:pt idx="19">
                  <c:v>977.14285714285722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0-4397-B04C-0B8B7B8E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521216"/>
        <c:axId val="1"/>
      </c:scatterChart>
      <c:valAx>
        <c:axId val="15565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0.75383148384245302"/>
              <c:y val="0.82459122813363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999"/>
          <c:min val="0"/>
        </c:scaling>
        <c:delete val="0"/>
        <c:axPos val="l"/>
        <c:title>
          <c:tx>
            <c:strRef>
              <c:f>Data!$A$84</c:f>
              <c:strCache>
                <c:ptCount val="1"/>
                <c:pt idx="0">
                  <c:v>kg CO2/MWh</c:v>
                </c:pt>
              </c:strCache>
            </c:strRef>
          </c:tx>
          <c:layout>
            <c:manualLayout>
              <c:xMode val="edge"/>
              <c:yMode val="edge"/>
              <c:x val="1.7767072009754786E-2"/>
              <c:y val="4.0937153169754784E-2"/>
            </c:manualLayout>
          </c:layout>
          <c:overlay val="0"/>
          <c:spPr>
            <a:noFill/>
            <a:ln w="25400">
              <a:noFill/>
            </a:ln>
          </c:spPr>
          <c:txPr>
            <a:bodyPr rot="0" vert="horz"/>
            <a:lstStyle/>
            <a:p>
              <a:pPr algn="ctr">
                <a:defRPr sz="6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521216"/>
        <c:crosses val="autoZero"/>
        <c:crossBetween val="midCat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991981750517781"/>
          <c:y val="0.29825640166535627"/>
          <c:w val="0.29950207102158066"/>
          <c:h val="0.274863742711210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Revenue</a:t>
            </a:r>
          </a:p>
        </c:rich>
      </c:tx>
      <c:layout>
        <c:manualLayout>
          <c:xMode val="edge"/>
          <c:yMode val="edge"/>
          <c:x val="0.4137189625128615"/>
          <c:y val="5.6820006140125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11666337275296E-2"/>
          <c:y val="0.2670540288585912"/>
          <c:w val="0.57869891688915587"/>
          <c:h val="0.50001605403310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Technology substitution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Data!$H$4:$H$25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9.2792976665017068E-2</c:v>
                </c:pt>
                <c:pt idx="7">
                  <c:v>9.2792976665017068E-2</c:v>
                </c:pt>
                <c:pt idx="8">
                  <c:v>6.8024926502550107</c:v>
                </c:pt>
                <c:pt idx="9">
                  <c:v>6.8024926502550107</c:v>
                </c:pt>
                <c:pt idx="10">
                  <c:v>35.035976760805731</c:v>
                </c:pt>
                <c:pt idx="11">
                  <c:v>35.035976760805731</c:v>
                </c:pt>
                <c:pt idx="12">
                  <c:v>54.017563454970457</c:v>
                </c:pt>
                <c:pt idx="13">
                  <c:v>54.017563454970457</c:v>
                </c:pt>
                <c:pt idx="14">
                  <c:v>27.444753775920272</c:v>
                </c:pt>
                <c:pt idx="15">
                  <c:v>27.444753775920272</c:v>
                </c:pt>
                <c:pt idx="16">
                  <c:v>16.32824985816211</c:v>
                </c:pt>
                <c:pt idx="17">
                  <c:v>16.32824985816211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8-43D3-A78F-E0C014268326}"/>
            </c:ext>
          </c:extLst>
        </c:ser>
        <c:ser>
          <c:idx val="1"/>
          <c:order val="1"/>
          <c:tx>
            <c:strRef>
              <c:f>Data!$I$3</c:f>
              <c:strCache>
                <c:ptCount val="1"/>
                <c:pt idx="0">
                  <c:v>Sales price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Data!$I$4:$I$25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9.3657407407407411E-2</c:v>
                </c:pt>
                <c:pt idx="7">
                  <c:v>9.3657407407407411E-2</c:v>
                </c:pt>
                <c:pt idx="8">
                  <c:v>6.6898148148148149</c:v>
                </c:pt>
                <c:pt idx="9">
                  <c:v>6.6898148148148149</c:v>
                </c:pt>
                <c:pt idx="10">
                  <c:v>35.362361111111106</c:v>
                </c:pt>
                <c:pt idx="11">
                  <c:v>35.362361111111106</c:v>
                </c:pt>
                <c:pt idx="12">
                  <c:v>46.132962962962957</c:v>
                </c:pt>
                <c:pt idx="13">
                  <c:v>46.132962962962957</c:v>
                </c:pt>
                <c:pt idx="14">
                  <c:v>24.859351851851848</c:v>
                </c:pt>
                <c:pt idx="15">
                  <c:v>24.859351851851848</c:v>
                </c:pt>
                <c:pt idx="16">
                  <c:v>10.141759259259258</c:v>
                </c:pt>
                <c:pt idx="17">
                  <c:v>10.141759259259258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8-43D3-A78F-E0C01426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522704"/>
        <c:axId val="1"/>
      </c:scatterChart>
      <c:valAx>
        <c:axId val="155652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0.82743792502572278"/>
              <c:y val="0.829572089645836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9"/>
          <c:min val="0"/>
        </c:scaling>
        <c:delete val="0"/>
        <c:axPos val="l"/>
        <c:title>
          <c:tx>
            <c:strRef>
              <c:f>Data!$B$85</c:f>
              <c:strCache>
                <c:ptCount val="1"/>
                <c:pt idx="0">
                  <c:v>$/kW</c:v>
                </c:pt>
              </c:strCache>
            </c:strRef>
          </c:tx>
          <c:layout>
            <c:manualLayout>
              <c:xMode val="edge"/>
              <c:yMode val="edge"/>
              <c:x val="1.7767072009754786E-2"/>
              <c:y val="3.9774004298088049E-2"/>
            </c:manualLayout>
          </c:layout>
          <c:overlay val="0"/>
          <c:spPr>
            <a:noFill/>
            <a:ln w="25400">
              <a:noFill/>
            </a:ln>
          </c:spPr>
          <c:txPr>
            <a:bodyPr rot="0" vert="horz"/>
            <a:lstStyle/>
            <a:p>
              <a:pPr algn="ctr">
                <a:defRPr sz="825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522704"/>
        <c:crosses val="autoZero"/>
        <c:crossBetween val="midCat"/>
        <c:maj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946197977416951"/>
          <c:y val="0.30114603254266664"/>
          <c:w val="0.33757436818534098"/>
          <c:h val="0.5000160540331068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223711016428E-2"/>
          <c:y val="9.7405946396012674E-2"/>
          <c:w val="0.5140344177698285"/>
          <c:h val="0.73379146284996211"/>
        </c:manualLayout>
      </c:layout>
      <c:scatterChart>
        <c:scatterStyle val="lineMarker"/>
        <c:varyColors val="0"/>
        <c:ser>
          <c:idx val="2"/>
          <c:order val="2"/>
          <c:tx>
            <c:strRef>
              <c:f>Data!$E$3</c:f>
              <c:strCache>
                <c:ptCount val="1"/>
                <c:pt idx="0">
                  <c:v>Project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Data!$A$4:$A$25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Data!$F$4:$F$25</c:f>
              <c:numCache>
                <c:formatCode>0.00</c:formatCode>
                <c:ptCount val="22"/>
                <c:pt idx="0">
                  <c:v>27.459767052439247</c:v>
                </c:pt>
                <c:pt idx="1">
                  <c:v>27.459767052439247</c:v>
                </c:pt>
                <c:pt idx="2">
                  <c:v>27.459767052439247</c:v>
                </c:pt>
                <c:pt idx="3">
                  <c:v>27.459767052439247</c:v>
                </c:pt>
                <c:pt idx="4">
                  <c:v>27.459767052439247</c:v>
                </c:pt>
                <c:pt idx="5">
                  <c:v>27.459767052439247</c:v>
                </c:pt>
                <c:pt idx="6">
                  <c:v>28.633261370919556</c:v>
                </c:pt>
                <c:pt idx="7">
                  <c:v>28.633261370919556</c:v>
                </c:pt>
                <c:pt idx="8">
                  <c:v>29.38676824910165</c:v>
                </c:pt>
                <c:pt idx="9">
                  <c:v>29.38676824910165</c:v>
                </c:pt>
                <c:pt idx="10">
                  <c:v>28.633261370919556</c:v>
                </c:pt>
                <c:pt idx="11">
                  <c:v>28.633261370919556</c:v>
                </c:pt>
                <c:pt idx="12">
                  <c:v>33.839308892904931</c:v>
                </c:pt>
                <c:pt idx="13">
                  <c:v>33.839308892904931</c:v>
                </c:pt>
                <c:pt idx="14">
                  <c:v>31.905634099024645</c:v>
                </c:pt>
                <c:pt idx="15">
                  <c:v>31.905634099024645</c:v>
                </c:pt>
                <c:pt idx="16">
                  <c:v>46.52904972774428</c:v>
                </c:pt>
                <c:pt idx="17">
                  <c:v>46.52904972774428</c:v>
                </c:pt>
                <c:pt idx="18">
                  <c:v>53.176056831707747</c:v>
                </c:pt>
                <c:pt idx="19">
                  <c:v>53.176056831707747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A-415E-912E-51BC631C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516064"/>
        <c:axId val="1"/>
      </c:scatterChart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Demand profile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Data!$B$4:$B$25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0.6913173083021501</c:v>
                </c:pt>
                <c:pt idx="7">
                  <c:v>0.6913173083021501</c:v>
                </c:pt>
                <c:pt idx="8">
                  <c:v>10.750301262129765</c:v>
                </c:pt>
                <c:pt idx="9">
                  <c:v>10.750301262129765</c:v>
                </c:pt>
                <c:pt idx="10">
                  <c:v>34.315342170355812</c:v>
                </c:pt>
                <c:pt idx="11">
                  <c:v>34.315342170355812</c:v>
                </c:pt>
                <c:pt idx="12">
                  <c:v>32.504598211454301</c:v>
                </c:pt>
                <c:pt idx="13">
                  <c:v>32.504598211454301</c:v>
                </c:pt>
                <c:pt idx="14">
                  <c:v>16.131794253821273</c:v>
                </c:pt>
                <c:pt idx="15">
                  <c:v>16.131794253821273</c:v>
                </c:pt>
                <c:pt idx="16">
                  <c:v>5.5273672861038881</c:v>
                </c:pt>
                <c:pt idx="17">
                  <c:v>5.5273672861038881</c:v>
                </c:pt>
                <c:pt idx="18">
                  <c:v>7.9279507832815385E-2</c:v>
                </c:pt>
                <c:pt idx="19">
                  <c:v>7.9279507832815385E-2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A-415E-912E-51BC631C6632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Wind profile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Data!$C$4:$C$25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7.5798592311857052E-2</c:v>
                </c:pt>
                <c:pt idx="7">
                  <c:v>7.5798592311857052E-2</c:v>
                </c:pt>
                <c:pt idx="8">
                  <c:v>5.4141851651326469</c:v>
                </c:pt>
                <c:pt idx="9">
                  <c:v>5.4141851651326469</c:v>
                </c:pt>
                <c:pt idx="10">
                  <c:v>28.619382782891172</c:v>
                </c:pt>
                <c:pt idx="11">
                  <c:v>28.619382782891172</c:v>
                </c:pt>
                <c:pt idx="12">
                  <c:v>37.336220898754732</c:v>
                </c:pt>
                <c:pt idx="13">
                  <c:v>37.336220898754732</c:v>
                </c:pt>
                <c:pt idx="14">
                  <c:v>20.119112073632916</c:v>
                </c:pt>
                <c:pt idx="15">
                  <c:v>20.119112073632916</c:v>
                </c:pt>
                <c:pt idx="16">
                  <c:v>8.2079047103410936</c:v>
                </c:pt>
                <c:pt idx="17">
                  <c:v>8.2079047103410936</c:v>
                </c:pt>
                <c:pt idx="18">
                  <c:v>0.22739577693557117</c:v>
                </c:pt>
                <c:pt idx="19">
                  <c:v>0.22739577693557117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FA-415E-912E-51BC631C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5595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516064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13307965002623"/>
          <c:y val="0.35066140702564563"/>
          <c:w val="0.2972053542741917"/>
          <c:h val="0.227280541590696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duration curve for thermal and wind power. Egypt 1999</a:t>
            </a:r>
          </a:p>
        </c:rich>
      </c:tx>
      <c:layout>
        <c:manualLayout>
          <c:xMode val="edge"/>
          <c:yMode val="edge"/>
          <c:x val="0.16454414491808886"/>
          <c:y val="3.19559333162204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413296348240603E-2"/>
          <c:y val="0.17105823128094502"/>
          <c:w val="0.89506340899408676"/>
          <c:h val="0.695511489823622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'Zafarana 1999'!$B$75</c:f>
              <c:strCache>
                <c:ptCount val="1"/>
                <c:pt idx="0">
                  <c:v>Residual thermal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strRef>
              <c:f>'Zafarana 1999'!$A$76:$A$85</c:f>
              <c:strCache>
                <c:ptCount val="10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</c:strCache>
            </c:strRef>
          </c:cat>
          <c:val>
            <c:numRef>
              <c:f>'Zafarana 1999'!$B$76:$B$85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0.99977801737806815</c:v>
                </c:pt>
                <c:pt idx="4">
                  <c:v>0.97723092535041545</c:v>
                </c:pt>
                <c:pt idx="5">
                  <c:v>0.80176951861482848</c:v>
                </c:pt>
                <c:pt idx="6">
                  <c:v>0.43308809538910381</c:v>
                </c:pt>
                <c:pt idx="7">
                  <c:v>0.15846388025623137</c:v>
                </c:pt>
                <c:pt idx="8">
                  <c:v>3.2028921164457408E-2</c:v>
                </c:pt>
                <c:pt idx="9">
                  <c:v>1.2684721253250459E-4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C-4FDC-AF64-16DF49557537}"/>
            </c:ext>
          </c:extLst>
        </c:ser>
        <c:ser>
          <c:idx val="1"/>
          <c:order val="1"/>
          <c:tx>
            <c:strRef>
              <c:f>'Zafarana 1999'!$C$75</c:f>
              <c:strCache>
                <c:ptCount val="1"/>
                <c:pt idx="0">
                  <c:v>Wind 60-600 MW</c:v>
                </c:pt>
              </c:strCache>
            </c:strRef>
          </c:tx>
          <c:spPr>
            <a:solidFill>
              <a:srgbClr val="99CCFF"/>
            </a:solidFill>
            <a:ln w="25400">
              <a:noFill/>
            </a:ln>
          </c:spPr>
          <c:invertIfNegative val="0"/>
          <c:cat>
            <c:strRef>
              <c:f>'Zafarana 1999'!$A$76:$A$85</c:f>
              <c:strCache>
                <c:ptCount val="10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</c:strCache>
            </c:strRef>
          </c:cat>
          <c:val>
            <c:numRef>
              <c:f>'Zafarana 1999'!$C$76:$C$85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2.2198262193188305E-4</c:v>
                </c:pt>
                <c:pt idx="4">
                  <c:v>1.51582418976343E-2</c:v>
                </c:pt>
                <c:pt idx="5">
                  <c:v>7.6742563582165288E-2</c:v>
                </c:pt>
                <c:pt idx="6">
                  <c:v>9.7957759878226677E-2</c:v>
                </c:pt>
                <c:pt idx="7">
                  <c:v>5.2007357138326889E-2</c:v>
                </c:pt>
                <c:pt idx="8">
                  <c:v>2.0993213674129509E-2</c:v>
                </c:pt>
                <c:pt idx="9">
                  <c:v>5.0738885013001836E-4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C-4FDC-AF64-16DF49557537}"/>
            </c:ext>
          </c:extLst>
        </c:ser>
        <c:ser>
          <c:idx val="2"/>
          <c:order val="2"/>
          <c:tx>
            <c:strRef>
              <c:f>'Zafarana 1999'!$D$75</c:f>
              <c:strCache>
                <c:ptCount val="1"/>
                <c:pt idx="0">
                  <c:v>Wind 60 MW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'Zafarana 1999'!$A$76:$A$85</c:f>
              <c:strCache>
                <c:ptCount val="10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</c:strCache>
            </c:strRef>
          </c:cat>
          <c:val>
            <c:numRef>
              <c:f>'Zafarana 1999'!$D$76:$D$85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6.9765966892877532E-4</c:v>
                </c:pt>
                <c:pt idx="5">
                  <c:v>7.0717320986871312E-3</c:v>
                </c:pt>
                <c:pt idx="6">
                  <c:v>1.1384537324792287E-2</c:v>
                </c:pt>
                <c:pt idx="7">
                  <c:v>6.913173083021501E-3</c:v>
                </c:pt>
                <c:pt idx="8">
                  <c:v>3.0443331007801101E-3</c:v>
                </c:pt>
                <c:pt idx="9">
                  <c:v>1.5855901566563075E-4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C-4FDC-AF64-16DF495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64182144"/>
        <c:axId val="1"/>
      </c:barChart>
      <c:catAx>
        <c:axId val="156418214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1.418484007914559E-2"/>
              <c:y val="0.103386843081889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182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0782976506531776E-2"/>
          <c:y val="0.92860182695370153"/>
          <c:w val="0.81562830455087143"/>
          <c:h val="6.20321058491339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duration curve for thermal and wind power. Egypt 2010</a:t>
            </a:r>
          </a:p>
        </c:rich>
      </c:tx>
      <c:layout>
        <c:manualLayout>
          <c:xMode val="edge"/>
          <c:yMode val="edge"/>
          <c:x val="0.18849497207892876"/>
          <c:y val="1.3060106871586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8748285237E-2"/>
          <c:y val="0.22948473502930866"/>
          <c:w val="0.90218585872891854"/>
          <c:h val="0.578376161455981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'Zafarana 2010'!$B$99</c:f>
              <c:strCache>
                <c:ptCount val="1"/>
                <c:pt idx="0">
                  <c:v>Residual thermal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strRef>
              <c:f>'Zafarana 2010'!$A$100:$A$117</c:f>
              <c:strCache>
                <c:ptCount val="18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</c:strCache>
            </c:strRef>
          </c:cat>
          <c:val>
            <c:numRef>
              <c:f>'Zafarana 2010'!$B$100:$B$117</c:f>
              <c:numCache>
                <c:formatCode>0.000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0.98510716734913917</c:v>
                </c:pt>
                <c:pt idx="9">
                  <c:v>0.90531932183502528</c:v>
                </c:pt>
                <c:pt idx="10">
                  <c:v>0.72760426370263487</c:v>
                </c:pt>
                <c:pt idx="11">
                  <c:v>0.47657064482754519</c:v>
                </c:pt>
                <c:pt idx="12">
                  <c:v>0.27424693481957751</c:v>
                </c:pt>
                <c:pt idx="13">
                  <c:v>0.16734517518997577</c:v>
                </c:pt>
                <c:pt idx="14">
                  <c:v>0.10113014282373181</c:v>
                </c:pt>
                <c:pt idx="15">
                  <c:v>4.7409709476788665E-2</c:v>
                </c:pt>
                <c:pt idx="16">
                  <c:v>6.9766796554471613E-3</c:v>
                </c:pt>
                <c:pt idx="17">
                  <c:v>6.3424360504065112E-5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B-4CE5-A3BF-03EA68F4AC6F}"/>
            </c:ext>
          </c:extLst>
        </c:ser>
        <c:ser>
          <c:idx val="1"/>
          <c:order val="1"/>
          <c:tx>
            <c:strRef>
              <c:f>'Zafarana 2010'!$C$99</c:f>
              <c:strCache>
                <c:ptCount val="1"/>
                <c:pt idx="0">
                  <c:v>Wind 600-2000 MW</c:v>
                </c:pt>
              </c:strCache>
            </c:strRef>
          </c:tx>
          <c:spPr>
            <a:solidFill>
              <a:srgbClr val="CCFFCC"/>
            </a:solidFill>
            <a:ln w="25400">
              <a:noFill/>
            </a:ln>
          </c:spPr>
          <c:invertIfNegative val="0"/>
          <c:cat>
            <c:strRef>
              <c:f>'Zafarana 2010'!$A$100:$A$117</c:f>
              <c:strCache>
                <c:ptCount val="18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</c:strCache>
            </c:strRef>
          </c:cat>
          <c:val>
            <c:numRef>
              <c:f>'Zafarana 2010'!$C$100:$C$117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-3.5676202783536621E-5</c:v>
                </c:pt>
                <c:pt idx="8">
                  <c:v>1.4333905473918714E-2</c:v>
                </c:pt>
                <c:pt idx="9">
                  <c:v>7.683861275067487E-2</c:v>
                </c:pt>
                <c:pt idx="10">
                  <c:v>0.14860327666102455</c:v>
                </c:pt>
                <c:pt idx="11">
                  <c:v>0.17657341964331724</c:v>
                </c:pt>
                <c:pt idx="12">
                  <c:v>0.11581288228042289</c:v>
                </c:pt>
                <c:pt idx="13">
                  <c:v>5.6289119947357781E-2</c:v>
                </c:pt>
                <c:pt idx="14">
                  <c:v>4.931244029191062E-2</c:v>
                </c:pt>
                <c:pt idx="15">
                  <c:v>3.3297789264634177E-2</c:v>
                </c:pt>
                <c:pt idx="16">
                  <c:v>1.0147897680650417E-2</c:v>
                </c:pt>
                <c:pt idx="17">
                  <c:v>9.5136540756097661E-5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B-4CE5-A3BF-03EA68F4AC6F}"/>
            </c:ext>
          </c:extLst>
        </c:ser>
        <c:ser>
          <c:idx val="2"/>
          <c:order val="2"/>
          <c:tx>
            <c:strRef>
              <c:f>'Zafarana 2010'!$D$99</c:f>
              <c:strCache>
                <c:ptCount val="1"/>
                <c:pt idx="0">
                  <c:v>Wind 600 MW</c:v>
                </c:pt>
              </c:strCache>
            </c:strRef>
          </c:tx>
          <c:spPr>
            <a:solidFill>
              <a:srgbClr val="99CCFF"/>
            </a:solidFill>
            <a:ln w="25400">
              <a:noFill/>
            </a:ln>
          </c:spPr>
          <c:invertIfNegative val="0"/>
          <c:cat>
            <c:strRef>
              <c:f>'Zafarana 2010'!$A$100:$A$117</c:f>
              <c:strCache>
                <c:ptCount val="18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</c:strCache>
            </c:strRef>
          </c:cat>
          <c:val>
            <c:numRef>
              <c:f>'Zafarana 2010'!$D$100:$D$117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3.5676202783536621E-5</c:v>
                </c:pt>
                <c:pt idx="8">
                  <c:v>2.8540962226829297E-4</c:v>
                </c:pt>
                <c:pt idx="9">
                  <c:v>9.228244453341472E-3</c:v>
                </c:pt>
                <c:pt idx="10">
                  <c:v>4.1257546507894351E-2</c:v>
                </c:pt>
                <c:pt idx="11">
                  <c:v>6.4280589370869987E-2</c:v>
                </c:pt>
                <c:pt idx="12">
                  <c:v>6.6976124692292749E-2</c:v>
                </c:pt>
                <c:pt idx="13">
                  <c:v>3.0380268681447185E-2</c:v>
                </c:pt>
                <c:pt idx="14">
                  <c:v>2.0010385739032542E-2</c:v>
                </c:pt>
                <c:pt idx="15">
                  <c:v>1.950299085500002E-2</c:v>
                </c:pt>
                <c:pt idx="16">
                  <c:v>1.1130975268463426E-2</c:v>
                </c:pt>
                <c:pt idx="17">
                  <c:v>4.1225834327642317E-4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B-4CE5-A3BF-03EA68F4AC6F}"/>
            </c:ext>
          </c:extLst>
        </c:ser>
        <c:ser>
          <c:idx val="3"/>
          <c:order val="3"/>
          <c:tx>
            <c:strRef>
              <c:f>'Zafarana 2010'!$E$99</c:f>
              <c:strCache>
                <c:ptCount val="1"/>
                <c:pt idx="0">
                  <c:v>Wind 60 MW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'Zafarana 2010'!$A$100:$A$117</c:f>
              <c:strCache>
                <c:ptCount val="18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</c:strCache>
            </c:strRef>
          </c:cat>
          <c:val>
            <c:numRef>
              <c:f>'Zafarana 2010'!$E$100:$E$117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3.1712180252032556E-5</c:v>
                </c:pt>
                <c:pt idx="9">
                  <c:v>5.0739488403252089E-4</c:v>
                </c:pt>
                <c:pt idx="10">
                  <c:v>3.900598171000004E-3</c:v>
                </c:pt>
                <c:pt idx="11">
                  <c:v>6.8498309344390317E-3</c:v>
                </c:pt>
                <c:pt idx="12">
                  <c:v>7.6109232604878122E-3</c:v>
                </c:pt>
                <c:pt idx="13">
                  <c:v>4.2177199735203294E-3</c:v>
                </c:pt>
                <c:pt idx="14">
                  <c:v>2.1881404373902463E-3</c:v>
                </c:pt>
                <c:pt idx="15">
                  <c:v>2.3784135189024416E-3</c:v>
                </c:pt>
                <c:pt idx="16">
                  <c:v>1.553896832349595E-3</c:v>
                </c:pt>
                <c:pt idx="17">
                  <c:v>9.5136540756097661E-5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B-4CE5-A3BF-03EA68F4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203533392"/>
        <c:axId val="1"/>
      </c:barChart>
      <c:catAx>
        <c:axId val="12035333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1.4388929166330439E-2"/>
              <c:y val="0.169781389330626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533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0072250416431307E-2"/>
          <c:y val="0.86756424218397177"/>
          <c:w val="0.99715279122669942"/>
          <c:h val="0.1231381505035314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6" fmlaLink="Data!$C$43" fmlaRange="Data!$B$29:$B$38" noThreeD="1" sel="1" val="0"/>
</file>

<file path=xl/ctrlProps/ctrlProp2.xml><?xml version="1.0" encoding="utf-8"?>
<formControlPr xmlns="http://schemas.microsoft.com/office/spreadsheetml/2009/9/main" objectType="Drop" dropStyle="combo" dx="26" fmlaLink="Data!$C$87" fmlaRange="Data!$C$29:$C$38" noThreeD="1" sel="2" val="0"/>
</file>

<file path=xl/ctrlProps/ctrlProp3.xml><?xml version="1.0" encoding="utf-8"?>
<formControlPr xmlns="http://schemas.microsoft.com/office/spreadsheetml/2009/9/main" objectType="Drop" dropStyle="combo" dx="26" fmlaLink="Data!$C$141" fmlaRange="Data!$E$29:$E$38" noThreeD="1" sel="2" val="0"/>
</file>

<file path=xl/ctrlProps/ctrlProp4.xml><?xml version="1.0" encoding="utf-8"?>
<formControlPr xmlns="http://schemas.microsoft.com/office/spreadsheetml/2009/9/main" objectType="Drop" dropLines="10" dropStyle="combo" dx="26" fmlaLink="Data!$C$160" fmlaRange="Data!$F$29:$F$38" noThreeD="1" sel="1" val="0"/>
</file>

<file path=xl/ctrlProps/ctrlProp5.xml><?xml version="1.0" encoding="utf-8"?>
<formControlPr xmlns="http://schemas.microsoft.com/office/spreadsheetml/2009/9/main" objectType="Drop" dropStyle="combo" dx="26" fmlaLink="Data!$C$112" fmlaRange="Data!$D$29:$D$38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</xdr:col>
      <xdr:colOff>0</xdr:colOff>
      <xdr:row>7</xdr:row>
      <xdr:rowOff>91440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238FDD58-5F89-5427-95B3-A58913588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30480</xdr:rowOff>
    </xdr:from>
    <xdr:to>
      <xdr:col>0</xdr:col>
      <xdr:colOff>2987040</xdr:colOff>
      <xdr:row>22</xdr:row>
      <xdr:rowOff>106680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5AD24258-E7F8-FA6C-8A50-5B14A516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60960</xdr:rowOff>
    </xdr:from>
    <xdr:to>
      <xdr:col>0</xdr:col>
      <xdr:colOff>3002280</xdr:colOff>
      <xdr:row>15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1E5FA30-AD7C-6ABC-F5F5-82B011FBA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76200</xdr:rowOff>
        </xdr:from>
        <xdr:to>
          <xdr:col>3</xdr:col>
          <xdr:colOff>152400</xdr:colOff>
          <xdr:row>3</xdr:row>
          <xdr:rowOff>121920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1EFAF393-6D71-D68D-6F56-087B17CD0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30480</xdr:rowOff>
        </xdr:from>
        <xdr:to>
          <xdr:col>3</xdr:col>
          <xdr:colOff>152400</xdr:colOff>
          <xdr:row>6</xdr:row>
          <xdr:rowOff>68580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972F8193-041F-089D-2C59-13B74C6C61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16</xdr:row>
          <xdr:rowOff>91440</xdr:rowOff>
        </xdr:from>
        <xdr:to>
          <xdr:col>3</xdr:col>
          <xdr:colOff>144780</xdr:colOff>
          <xdr:row>17</xdr:row>
          <xdr:rowOff>129540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FD5FC54A-F263-D591-44EC-9C1AD1951B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21</xdr:row>
          <xdr:rowOff>45720</xdr:rowOff>
        </xdr:from>
        <xdr:to>
          <xdr:col>3</xdr:col>
          <xdr:colOff>190500</xdr:colOff>
          <xdr:row>22</xdr:row>
          <xdr:rowOff>91440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9BEE05ED-EB10-7252-85A9-C8548EC09F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9</xdr:row>
          <xdr:rowOff>76200</xdr:rowOff>
        </xdr:from>
        <xdr:to>
          <xdr:col>3</xdr:col>
          <xdr:colOff>144780</xdr:colOff>
          <xdr:row>10</xdr:row>
          <xdr:rowOff>121920</xdr:rowOff>
        </xdr:to>
        <xdr:sp macro="" textlink="">
          <xdr:nvSpPr>
            <xdr:cNvPr id="2073" name="Drop Down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A9A79E97-2D1B-21D8-2B1A-40C434BE16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22</xdr:row>
      <xdr:rowOff>91440</xdr:rowOff>
    </xdr:from>
    <xdr:to>
      <xdr:col>0</xdr:col>
      <xdr:colOff>3002280</xdr:colOff>
      <xdr:row>30</xdr:row>
      <xdr:rowOff>76200</xdr:rowOff>
    </xdr:to>
    <xdr:graphicFrame macro="">
      <xdr:nvGraphicFramePr>
        <xdr:cNvPr id="2089" name="Chart 41">
          <a:extLst>
            <a:ext uri="{FF2B5EF4-FFF2-40B4-BE49-F238E27FC236}">
              <a16:creationId xmlns:a16="http://schemas.microsoft.com/office/drawing/2014/main" id="{BC3CB453-95F6-4451-47BD-A32E52827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93</xdr:row>
      <xdr:rowOff>0</xdr:rowOff>
    </xdr:from>
    <xdr:to>
      <xdr:col>21</xdr:col>
      <xdr:colOff>419100</xdr:colOff>
      <xdr:row>107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4F265259-31DC-5501-BB8D-AC78D125D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3</xdr:row>
      <xdr:rowOff>38100</xdr:rowOff>
    </xdr:from>
    <xdr:to>
      <xdr:col>10</xdr:col>
      <xdr:colOff>7620</xdr:colOff>
      <xdr:row>27</xdr:row>
      <xdr:rowOff>68580</xdr:rowOff>
    </xdr:to>
    <xdr:graphicFrame macro="">
      <xdr:nvGraphicFramePr>
        <xdr:cNvPr id="3330" name="Chart 258">
          <a:extLst>
            <a:ext uri="{FF2B5EF4-FFF2-40B4-BE49-F238E27FC236}">
              <a16:creationId xmlns:a16="http://schemas.microsoft.com/office/drawing/2014/main" id="{5EA25F31-C36C-2A3B-DF04-52D960D98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</xdr:row>
      <xdr:rowOff>144780</xdr:rowOff>
    </xdr:from>
    <xdr:to>
      <xdr:col>9</xdr:col>
      <xdr:colOff>487680</xdr:colOff>
      <xdr:row>27</xdr:row>
      <xdr:rowOff>38100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D4100F4A-4D7C-2110-C815-F040AFC61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30"/>
  <sheetViews>
    <sheetView showGridLines="0" tabSelected="1" workbookViewId="0">
      <selection activeCell="C25" sqref="C25"/>
    </sheetView>
  </sheetViews>
  <sheetFormatPr defaultRowHeight="13.2"/>
  <cols>
    <col min="1" max="1" width="44.33203125" customWidth="1"/>
    <col min="2" max="3" width="9.6640625" customWidth="1"/>
    <col min="4" max="4" width="3.6640625" customWidth="1"/>
    <col min="5" max="12" width="9.6640625" customWidth="1"/>
  </cols>
  <sheetData>
    <row r="1" spans="2:12" ht="24.6">
      <c r="E1" s="47" t="s">
        <v>68</v>
      </c>
      <c r="F1" s="28"/>
    </row>
    <row r="2" spans="2:12" ht="15.6">
      <c r="B2" s="25" t="str">
        <f>Data!B3</f>
        <v>Demand profile</v>
      </c>
      <c r="E2" s="48" t="s">
        <v>166</v>
      </c>
      <c r="F2" s="29"/>
    </row>
    <row r="4" spans="2:12">
      <c r="E4" t="s">
        <v>161</v>
      </c>
    </row>
    <row r="5" spans="2:12">
      <c r="B5" s="11" t="str">
        <f>Data!C3</f>
        <v>Wind profile</v>
      </c>
      <c r="C5" s="11"/>
      <c r="E5" t="s">
        <v>162</v>
      </c>
    </row>
    <row r="6" spans="2:12">
      <c r="E6" t="s">
        <v>163</v>
      </c>
    </row>
    <row r="7" spans="2:12">
      <c r="E7" s="19" t="s">
        <v>164</v>
      </c>
    </row>
    <row r="8" spans="2:12" ht="13.8" thickBot="1">
      <c r="B8" s="11"/>
    </row>
    <row r="9" spans="2:12">
      <c r="B9" s="104" t="str">
        <f>Data!A112</f>
        <v>Technology baseline</v>
      </c>
      <c r="E9" s="51" t="str">
        <f>"Project: "&amp;Data!B87</f>
        <v>Project: Zafarana 1999 600 MW</v>
      </c>
      <c r="F9" s="52"/>
      <c r="G9" s="53"/>
      <c r="I9" s="51" t="str">
        <f>Data!B43</f>
        <v>Egypt 1999/00</v>
      </c>
      <c r="J9" s="52"/>
      <c r="K9" s="53"/>
    </row>
    <row r="10" spans="2:12">
      <c r="E10" s="54" t="str">
        <f>"Wind, "&amp;K10</f>
        <v>Wind, GWh</v>
      </c>
      <c r="F10" s="50"/>
      <c r="G10" s="55">
        <f>Data!B99</f>
        <v>2565.2777777777778</v>
      </c>
      <c r="H10" s="16"/>
      <c r="I10" s="54" t="s">
        <v>30</v>
      </c>
      <c r="J10" s="50"/>
      <c r="K10" s="59" t="str">
        <f>Data!B74</f>
        <v>GWh</v>
      </c>
      <c r="L10" s="36"/>
    </row>
    <row r="11" spans="2:12">
      <c r="E11" s="54" t="s">
        <v>107</v>
      </c>
      <c r="F11" s="50"/>
      <c r="G11" s="55">
        <f>Data!B101</f>
        <v>600</v>
      </c>
      <c r="H11" s="16"/>
      <c r="I11" s="54" t="s">
        <v>55</v>
      </c>
      <c r="J11" s="50"/>
      <c r="K11" s="55">
        <f>Data!B72</f>
        <v>14658.888888888889</v>
      </c>
      <c r="L11" s="36"/>
    </row>
    <row r="12" spans="2:12">
      <c r="B12" s="110" t="str">
        <f>Data!A119</f>
        <v>Project specific baseline</v>
      </c>
      <c r="C12" s="11"/>
      <c r="E12" s="54" t="s">
        <v>59</v>
      </c>
      <c r="F12" s="50"/>
      <c r="G12" s="55">
        <f>Data!B102</f>
        <v>4275.4629629629626</v>
      </c>
      <c r="H12" s="16"/>
      <c r="I12" s="54" t="s">
        <v>63</v>
      </c>
      <c r="J12" s="50"/>
      <c r="K12" s="55">
        <f>Data!B70</f>
        <v>8759.4444444444434</v>
      </c>
      <c r="L12" s="37"/>
    </row>
    <row r="13" spans="2:12">
      <c r="B13" s="41" t="str">
        <f>Data!B119</f>
        <v>Zafarana 1999 600 MW</v>
      </c>
      <c r="E13" s="54" t="s">
        <v>65</v>
      </c>
      <c r="F13" s="50"/>
      <c r="G13" s="55">
        <f>Data!B136</f>
        <v>27126.050878945618</v>
      </c>
      <c r="H13" s="16"/>
      <c r="I13" s="54" t="s">
        <v>58</v>
      </c>
      <c r="J13" s="50"/>
      <c r="K13" s="55">
        <f>Data!B71</f>
        <v>49888.055555555555</v>
      </c>
    </row>
    <row r="14" spans="2:12" ht="13.8" thickBot="1">
      <c r="E14" s="56" t="s">
        <v>60</v>
      </c>
      <c r="F14" s="57"/>
      <c r="G14" s="58" t="str">
        <f>Data!B138</f>
        <v>NG</v>
      </c>
      <c r="H14" s="16"/>
      <c r="I14" s="56" t="s">
        <v>31</v>
      </c>
      <c r="J14" s="57"/>
      <c r="K14" s="60">
        <f>SUM(K11:K13)</f>
        <v>73306.388888888891</v>
      </c>
    </row>
    <row r="15" spans="2:12" ht="13.8" thickBot="1">
      <c r="B15" s="11" t="str">
        <f>"Prices, "&amp;Data!B81&amp;"/MWh"</f>
        <v>Prices, $/MWh</v>
      </c>
    </row>
    <row r="16" spans="2:12">
      <c r="B16" s="38" t="str">
        <f>Data!A141</f>
        <v>Technology substitution</v>
      </c>
      <c r="E16" s="51" t="str">
        <f>"Invest. cost, "&amp;Data!$B$81&amp;"/kW"</f>
        <v>Invest. cost, $/kW</v>
      </c>
      <c r="F16" s="64"/>
      <c r="G16" s="62">
        <f>64000/60</f>
        <v>1066.6666666666667</v>
      </c>
      <c r="H16" s="61"/>
      <c r="I16" s="61" t="s">
        <v>51</v>
      </c>
      <c r="J16" s="61"/>
      <c r="K16" s="76">
        <v>5</v>
      </c>
    </row>
    <row r="17" spans="2:11">
      <c r="E17" s="54" t="s">
        <v>81</v>
      </c>
      <c r="F17" s="50"/>
      <c r="G17" s="115">
        <f>-PMT(K16/100,K17,G16)</f>
        <v>85.592093003404074</v>
      </c>
      <c r="H17" s="50"/>
      <c r="I17" s="50" t="s">
        <v>52</v>
      </c>
      <c r="J17" s="50"/>
      <c r="K17" s="77">
        <v>20</v>
      </c>
    </row>
    <row r="18" spans="2:11">
      <c r="E18" s="54" t="str">
        <f>"O&amp;M cost, "&amp;Data!$B$81&amp;"/kW"</f>
        <v>O&amp;M cost, $/kW</v>
      </c>
      <c r="F18" s="50"/>
      <c r="G18" s="116">
        <v>44.6</v>
      </c>
      <c r="H18" s="50"/>
      <c r="I18" s="50" t="s">
        <v>84</v>
      </c>
      <c r="J18" s="50"/>
      <c r="K18" s="72">
        <f>Data!C82</f>
        <v>1999</v>
      </c>
    </row>
    <row r="19" spans="2:11" ht="13.8" thickBot="1">
      <c r="B19" t="s">
        <v>101</v>
      </c>
      <c r="C19" s="20">
        <v>28.9</v>
      </c>
      <c r="E19" s="69" t="s">
        <v>156</v>
      </c>
      <c r="F19" s="66"/>
      <c r="G19" s="70">
        <f>G17+G18</f>
        <v>130.19209300340407</v>
      </c>
      <c r="H19" s="66"/>
      <c r="I19" s="66"/>
      <c r="J19" s="66"/>
      <c r="K19" s="71"/>
    </row>
    <row r="20" spans="2:11">
      <c r="E20" s="109"/>
      <c r="F20" s="64"/>
      <c r="G20" s="52"/>
      <c r="H20" s="52"/>
      <c r="I20" s="52"/>
      <c r="J20" s="123" t="str">
        <f>Data!D3</f>
        <v>Technology</v>
      </c>
      <c r="K20" s="124" t="str">
        <f>Data!E3</f>
        <v>Project</v>
      </c>
    </row>
    <row r="21" spans="2:11">
      <c r="B21" s="43" t="str">
        <f>Data!A160</f>
        <v>Sales price</v>
      </c>
      <c r="E21" s="54" t="str">
        <f>"Revenue of wind generation, "&amp;Data!$B$81&amp;"/kW"</f>
        <v>Revenue of wind generation, $/kW</v>
      </c>
      <c r="F21" s="65"/>
      <c r="G21" s="66"/>
      <c r="H21" s="66"/>
      <c r="I21" s="66"/>
      <c r="J21" s="67">
        <f>Data!B192</f>
        <v>140.23881891819798</v>
      </c>
      <c r="K21" s="68">
        <f>Data!C192</f>
        <v>123.56087962962961</v>
      </c>
    </row>
    <row r="22" spans="2:11">
      <c r="E22" s="69" t="str">
        <f>E18</f>
        <v>O&amp;M cost, $/kW</v>
      </c>
      <c r="F22" s="66"/>
      <c r="G22" s="66"/>
      <c r="H22" s="66"/>
      <c r="I22" s="66"/>
      <c r="J22" s="70">
        <f>G18</f>
        <v>44.6</v>
      </c>
      <c r="K22" s="117">
        <f>G18</f>
        <v>44.6</v>
      </c>
    </row>
    <row r="23" spans="2:11">
      <c r="E23" s="69" t="str">
        <f>"Annual contribution margin, "&amp;Data!$B$81&amp;"/kW"</f>
        <v>Annual contribution margin, $/kW</v>
      </c>
      <c r="F23" s="66"/>
      <c r="G23" s="66"/>
      <c r="H23" s="66"/>
      <c r="I23" s="66"/>
      <c r="J23" s="67">
        <f>J21-J22</f>
        <v>95.638818918197984</v>
      </c>
      <c r="K23" s="68">
        <f>K21-K22</f>
        <v>78.960879629629602</v>
      </c>
    </row>
    <row r="24" spans="2:11">
      <c r="B24" s="16" t="s">
        <v>101</v>
      </c>
      <c r="C24" s="33">
        <v>28.9</v>
      </c>
      <c r="E24" s="74" t="s">
        <v>67</v>
      </c>
      <c r="F24" s="65"/>
      <c r="G24" s="65"/>
      <c r="H24" s="66"/>
      <c r="I24" s="66"/>
      <c r="J24" s="75">
        <f>-PV($K$16/100,$K$17,J23)</f>
        <v>1191.8710782706758</v>
      </c>
      <c r="K24" s="118">
        <f>-PV($K$16/100,$K$17,K23)</f>
        <v>984.02709077642498</v>
      </c>
    </row>
    <row r="25" spans="2:11">
      <c r="E25" s="54" t="str">
        <f>"Net annual surplus, "&amp;Data!$B$81&amp;"/kW"</f>
        <v>Net annual surplus, $/kW</v>
      </c>
      <c r="F25" s="66"/>
      <c r="G25" s="66"/>
      <c r="H25" s="66"/>
      <c r="I25" s="66"/>
      <c r="J25" s="67">
        <f>J23-$G$17</f>
        <v>10.04672591479391</v>
      </c>
      <c r="K25" s="68">
        <f>K23-$G$17</f>
        <v>-6.6312133737744716</v>
      </c>
    </row>
    <row r="26" spans="2:11" ht="13.8" thickBot="1">
      <c r="B26" s="11" t="s">
        <v>153</v>
      </c>
      <c r="C26" s="11"/>
      <c r="E26" s="56" t="s">
        <v>160</v>
      </c>
      <c r="F26" s="57"/>
      <c r="G26" s="57"/>
      <c r="H26" s="63"/>
      <c r="I26" s="63"/>
      <c r="J26" s="121">
        <f>Data!B116</f>
        <v>2193.3125</v>
      </c>
      <c r="K26" s="60">
        <f>Data!B137</f>
        <v>2576.9748334998339</v>
      </c>
    </row>
    <row r="27" spans="2:11">
      <c r="B27" s="11" t="str">
        <f>"benefit "&amp;Data!$B$81&amp;"/ton CO2"</f>
        <v>benefit $/ton CO2</v>
      </c>
      <c r="C27" s="11"/>
      <c r="E27" s="69" t="str">
        <f>"Average electricity price, "&amp;Data!$B$81&amp;"/MWh"</f>
        <v>Average electricity price, $/MWh</v>
      </c>
      <c r="F27" s="66"/>
      <c r="G27" s="66"/>
      <c r="H27" s="66"/>
      <c r="I27" s="66"/>
      <c r="J27" s="67">
        <f>Data!B193</f>
        <v>32.800849903985672</v>
      </c>
      <c r="K27" s="68">
        <f>Data!C193</f>
        <v>28.9</v>
      </c>
    </row>
    <row r="28" spans="2:11">
      <c r="B28" s="16" t="s">
        <v>109</v>
      </c>
      <c r="C28" s="20">
        <v>2</v>
      </c>
      <c r="E28" s="69" t="str">
        <f>Data!A197&amp;", "&amp;Data!$B$81&amp;"/MWh"</f>
        <v>Elec. price with CO2 payment, $/MWh</v>
      </c>
      <c r="F28" s="66"/>
      <c r="G28" s="66"/>
      <c r="H28" s="66"/>
      <c r="I28" s="66"/>
      <c r="J28" s="67">
        <f>Data!B197</f>
        <v>33.826849903985668</v>
      </c>
      <c r="K28" s="68">
        <f>Data!C197</f>
        <v>30.10547171420891</v>
      </c>
    </row>
    <row r="29" spans="2:11">
      <c r="B29" s="16" t="s">
        <v>86</v>
      </c>
      <c r="C29" s="20">
        <v>2</v>
      </c>
      <c r="E29" s="54" t="str">
        <f>"Additional costs,  "&amp;Data!$B$81&amp;" per ton CO2 reduced"</f>
        <v>Additional costs,  $ per ton CO2 reduced</v>
      </c>
      <c r="F29" s="50"/>
      <c r="G29" s="50"/>
      <c r="H29" s="66"/>
      <c r="I29" s="66"/>
      <c r="J29" s="114">
        <f>-J25/J26*1000</f>
        <v>-4.5806176341920768</v>
      </c>
      <c r="K29" s="119">
        <f>-K25/K26*1000</f>
        <v>2.5732549994555076</v>
      </c>
    </row>
    <row r="30" spans="2:11" ht="13.8" thickBot="1">
      <c r="E30" s="56" t="str">
        <f>"Required further CO2 benefit "&amp;Data!$B$81&amp;"/ton CO2"</f>
        <v>Required further CO2 benefit $/ton CO2</v>
      </c>
      <c r="F30" s="63"/>
      <c r="G30" s="63"/>
      <c r="H30" s="63"/>
      <c r="I30" s="63"/>
      <c r="J30" s="73">
        <f>J29-C28</f>
        <v>-6.5806176341920768</v>
      </c>
      <c r="K30" s="120">
        <f>K29-C29</f>
        <v>0.57325499945550762</v>
      </c>
    </row>
  </sheetData>
  <phoneticPr fontId="0" type="noConversion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Drop Down 7">
              <controlPr defaultSize="0" autoLine="0" autoPict="0">
                <anchor moveWithCells="1">
                  <from>
                    <xdr:col>1</xdr:col>
                    <xdr:colOff>7620</xdr:colOff>
                    <xdr:row>2</xdr:row>
                    <xdr:rowOff>76200</xdr:rowOff>
                  </from>
                  <to>
                    <xdr:col>3</xdr:col>
                    <xdr:colOff>152400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Drop Down 8">
              <controlPr defaultSize="0" autoLine="0" autoPict="0">
                <anchor moveWithCells="1">
                  <from>
                    <xdr:col>1</xdr:col>
                    <xdr:colOff>7620</xdr:colOff>
                    <xdr:row>5</xdr:row>
                    <xdr:rowOff>30480</xdr:rowOff>
                  </from>
                  <to>
                    <xdr:col>3</xdr:col>
                    <xdr:colOff>152400</xdr:colOff>
                    <xdr:row>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Drop Down 9">
              <controlPr defaultSize="0" autoLine="0" autoPict="0">
                <anchor moveWithCells="1">
                  <from>
                    <xdr:col>1</xdr:col>
                    <xdr:colOff>30480</xdr:colOff>
                    <xdr:row>16</xdr:row>
                    <xdr:rowOff>91440</xdr:rowOff>
                  </from>
                  <to>
                    <xdr:col>3</xdr:col>
                    <xdr:colOff>144780</xdr:colOff>
                    <xdr:row>17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Line="0" autoPict="0">
                <anchor moveWithCells="1">
                  <from>
                    <xdr:col>1</xdr:col>
                    <xdr:colOff>30480</xdr:colOff>
                    <xdr:row>21</xdr:row>
                    <xdr:rowOff>45720</xdr:rowOff>
                  </from>
                  <to>
                    <xdr:col>3</xdr:col>
                    <xdr:colOff>190500</xdr:colOff>
                    <xdr:row>22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8" name="Drop Down 25">
              <controlPr defaultSize="0" autoLine="0" autoPict="0">
                <anchor moveWithCells="1">
                  <from>
                    <xdr:col>1</xdr:col>
                    <xdr:colOff>38100</xdr:colOff>
                    <xdr:row>9</xdr:row>
                    <xdr:rowOff>76200</xdr:rowOff>
                  </from>
                  <to>
                    <xdr:col>3</xdr:col>
                    <xdr:colOff>144780</xdr:colOff>
                    <xdr:row>10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97"/>
  <sheetViews>
    <sheetView workbookViewId="0"/>
  </sheetViews>
  <sheetFormatPr defaultRowHeight="13.2"/>
  <cols>
    <col min="1" max="1" width="19.5546875" customWidth="1"/>
    <col min="4" max="4" width="9.5546875" bestFit="1" customWidth="1"/>
    <col min="6" max="6" width="10.109375" bestFit="1" customWidth="1"/>
    <col min="8" max="9" width="9.5546875" bestFit="1" customWidth="1"/>
  </cols>
  <sheetData>
    <row r="2" spans="1:9">
      <c r="A2" s="38" t="s">
        <v>83</v>
      </c>
      <c r="B2" s="11" t="s">
        <v>29</v>
      </c>
      <c r="D2" s="11" t="s">
        <v>90</v>
      </c>
      <c r="F2" s="11" t="s">
        <v>28</v>
      </c>
      <c r="H2" s="11" t="s">
        <v>27</v>
      </c>
    </row>
    <row r="3" spans="1:9" ht="52.8">
      <c r="A3" s="112" t="s">
        <v>21</v>
      </c>
      <c r="B3" s="80" t="str">
        <f>B28</f>
        <v>Demand profile</v>
      </c>
      <c r="C3" s="80" t="str">
        <f>C28</f>
        <v>Wind profile</v>
      </c>
      <c r="D3" s="113" t="s">
        <v>109</v>
      </c>
      <c r="E3" s="12" t="s">
        <v>86</v>
      </c>
      <c r="F3" s="12" t="str">
        <f>A141</f>
        <v>Technology substitution</v>
      </c>
      <c r="G3" s="111" t="str">
        <f>A160</f>
        <v>Sales price</v>
      </c>
      <c r="H3" s="12" t="str">
        <f>B180</f>
        <v>Technology substitution</v>
      </c>
      <c r="I3" s="111" t="str">
        <f>C180</f>
        <v>Sales price</v>
      </c>
    </row>
    <row r="4" spans="1:9">
      <c r="A4">
        <f>A5-(A7-A5)</f>
        <v>0</v>
      </c>
      <c r="B4" s="1">
        <f>100*Data!B59/Data!$B$70</f>
        <v>0</v>
      </c>
      <c r="C4" s="1">
        <f>100*Data!B88/Data!$B$99</f>
        <v>0</v>
      </c>
      <c r="D4" s="6">
        <f>Data!B113</f>
        <v>513</v>
      </c>
      <c r="E4" s="6">
        <f>Data!B120</f>
        <v>488.57142857142861</v>
      </c>
      <c r="F4" s="6">
        <f>Data!B142</f>
        <v>27.459767052439247</v>
      </c>
      <c r="G4" s="6">
        <f>Data!B161</f>
        <v>28.9</v>
      </c>
      <c r="H4" s="1">
        <f>Data!B181</f>
        <v>0</v>
      </c>
      <c r="I4" s="1">
        <f>Data!C181</f>
        <v>0</v>
      </c>
    </row>
    <row r="5" spans="1:9">
      <c r="A5" s="5">
        <f>A6</f>
        <v>1</v>
      </c>
      <c r="B5" s="49">
        <f t="shared" ref="B5:I5" si="0">B4</f>
        <v>0</v>
      </c>
      <c r="C5" s="49">
        <f t="shared" si="0"/>
        <v>0</v>
      </c>
      <c r="D5" s="7">
        <f>$D$4</f>
        <v>513</v>
      </c>
      <c r="E5" s="7">
        <f t="shared" si="0"/>
        <v>488.57142857142861</v>
      </c>
      <c r="F5" s="7">
        <f t="shared" si="0"/>
        <v>27.459767052439247</v>
      </c>
      <c r="G5" s="7">
        <f t="shared" si="0"/>
        <v>28.9</v>
      </c>
      <c r="H5" s="49">
        <f t="shared" si="0"/>
        <v>0</v>
      </c>
      <c r="I5" s="49">
        <f t="shared" si="0"/>
        <v>0</v>
      </c>
    </row>
    <row r="6" spans="1:9">
      <c r="A6">
        <f>B44</f>
        <v>1</v>
      </c>
      <c r="B6" s="1">
        <f>100*Data!B60/Data!$B$70</f>
        <v>0</v>
      </c>
      <c r="C6" s="1">
        <f>100*Data!B89/Data!$B$99</f>
        <v>0</v>
      </c>
      <c r="D6" s="7">
        <f t="shared" ref="D6:D23" si="1">$D$4</f>
        <v>513</v>
      </c>
      <c r="E6" s="6">
        <f>Data!B121</f>
        <v>500.48780487804885</v>
      </c>
      <c r="F6" s="6">
        <f>Data!B143</f>
        <v>27.459767052439247</v>
      </c>
      <c r="G6" s="6">
        <f>Data!B162</f>
        <v>28.9</v>
      </c>
      <c r="H6" s="1">
        <f>Data!B182</f>
        <v>0</v>
      </c>
      <c r="I6" s="1">
        <f>Data!C182</f>
        <v>0</v>
      </c>
    </row>
    <row r="7" spans="1:9">
      <c r="A7" s="5">
        <f>A8</f>
        <v>2</v>
      </c>
      <c r="B7" s="49">
        <f t="shared" ref="B7:I7" si="2">B6</f>
        <v>0</v>
      </c>
      <c r="C7" s="49">
        <f t="shared" si="2"/>
        <v>0</v>
      </c>
      <c r="D7" s="7">
        <f t="shared" si="1"/>
        <v>513</v>
      </c>
      <c r="E7" s="7">
        <f t="shared" si="2"/>
        <v>500.48780487804885</v>
      </c>
      <c r="F7" s="7">
        <f t="shared" si="2"/>
        <v>27.459767052439247</v>
      </c>
      <c r="G7" s="7">
        <f t="shared" si="2"/>
        <v>28.9</v>
      </c>
      <c r="H7" s="49">
        <f t="shared" si="2"/>
        <v>0</v>
      </c>
      <c r="I7" s="49">
        <f t="shared" si="2"/>
        <v>0</v>
      </c>
    </row>
    <row r="8" spans="1:9">
      <c r="A8">
        <f>B45</f>
        <v>2</v>
      </c>
      <c r="B8" s="1">
        <f>100*Data!B61/Data!$B$70</f>
        <v>0</v>
      </c>
      <c r="C8" s="1">
        <f>100*Data!B90/Data!$B$99</f>
        <v>0</v>
      </c>
      <c r="D8" s="7">
        <f t="shared" si="1"/>
        <v>513</v>
      </c>
      <c r="E8" s="6">
        <f>Data!B122</f>
        <v>526.15384615384619</v>
      </c>
      <c r="F8" s="6">
        <f>Data!B144</f>
        <v>27.459767052439247</v>
      </c>
      <c r="G8" s="6">
        <f>Data!B163</f>
        <v>28.9</v>
      </c>
      <c r="H8" s="1">
        <f>Data!B183</f>
        <v>0</v>
      </c>
      <c r="I8" s="1">
        <f>Data!C183</f>
        <v>0</v>
      </c>
    </row>
    <row r="9" spans="1:9">
      <c r="A9" s="5">
        <f>A10</f>
        <v>3</v>
      </c>
      <c r="B9" s="49">
        <f t="shared" ref="B9:I9" si="3">B8</f>
        <v>0</v>
      </c>
      <c r="C9" s="49">
        <f t="shared" si="3"/>
        <v>0</v>
      </c>
      <c r="D9" s="7">
        <f t="shared" si="1"/>
        <v>513</v>
      </c>
      <c r="E9" s="7">
        <f t="shared" si="3"/>
        <v>526.15384615384619</v>
      </c>
      <c r="F9" s="7">
        <f t="shared" si="3"/>
        <v>27.459767052439247</v>
      </c>
      <c r="G9" s="7">
        <f t="shared" si="3"/>
        <v>28.9</v>
      </c>
      <c r="H9" s="49">
        <f t="shared" si="3"/>
        <v>0</v>
      </c>
      <c r="I9" s="49">
        <f t="shared" si="3"/>
        <v>0</v>
      </c>
    </row>
    <row r="10" spans="1:9">
      <c r="A10">
        <f>B46</f>
        <v>3</v>
      </c>
      <c r="B10" s="1">
        <f>100*Data!B62/Data!$B$70</f>
        <v>0.6913173083021501</v>
      </c>
      <c r="C10" s="1">
        <f>100*Data!B91/Data!$B$99</f>
        <v>7.5798592311857052E-2</v>
      </c>
      <c r="D10" s="7">
        <f t="shared" si="1"/>
        <v>513</v>
      </c>
      <c r="E10" s="6">
        <f>Data!B123</f>
        <v>526.15384615384619</v>
      </c>
      <c r="F10" s="6">
        <f>Data!B145</f>
        <v>28.633261370919556</v>
      </c>
      <c r="G10" s="6">
        <f>Data!B164</f>
        <v>28.9</v>
      </c>
      <c r="H10" s="1">
        <f>Data!B184</f>
        <v>9.2792976665017068E-2</v>
      </c>
      <c r="I10" s="1">
        <f>Data!C184</f>
        <v>9.3657407407407411E-2</v>
      </c>
    </row>
    <row r="11" spans="1:9">
      <c r="A11" s="5">
        <f>A12</f>
        <v>4</v>
      </c>
      <c r="B11" s="49">
        <f t="shared" ref="B11:I11" si="4">B10</f>
        <v>0.6913173083021501</v>
      </c>
      <c r="C11" s="49">
        <f t="shared" si="4"/>
        <v>7.5798592311857052E-2</v>
      </c>
      <c r="D11" s="7">
        <f t="shared" si="1"/>
        <v>513</v>
      </c>
      <c r="E11" s="7">
        <f t="shared" si="4"/>
        <v>526.15384615384619</v>
      </c>
      <c r="F11" s="7">
        <f t="shared" si="4"/>
        <v>28.633261370919556</v>
      </c>
      <c r="G11" s="7">
        <f t="shared" si="4"/>
        <v>28.9</v>
      </c>
      <c r="H11" s="49">
        <f t="shared" si="4"/>
        <v>9.2792976665017068E-2</v>
      </c>
      <c r="I11" s="49">
        <f t="shared" si="4"/>
        <v>9.3657407407407411E-2</v>
      </c>
    </row>
    <row r="12" spans="1:9">
      <c r="A12">
        <f>B47</f>
        <v>4</v>
      </c>
      <c r="B12" s="1">
        <f>100*Data!B63/Data!$B$70</f>
        <v>10.750301262129765</v>
      </c>
      <c r="C12" s="1">
        <f>100*Data!B92/Data!$B$99</f>
        <v>5.4141851651326469</v>
      </c>
      <c r="D12" s="7">
        <f t="shared" si="1"/>
        <v>513</v>
      </c>
      <c r="E12" s="6">
        <f>Data!B124</f>
        <v>540</v>
      </c>
      <c r="F12" s="6">
        <f>Data!B146</f>
        <v>29.38676824910165</v>
      </c>
      <c r="G12" s="6">
        <f>Data!B165</f>
        <v>28.9</v>
      </c>
      <c r="H12" s="1">
        <f>Data!B185</f>
        <v>6.8024926502550107</v>
      </c>
      <c r="I12" s="1">
        <f>Data!C185</f>
        <v>6.6898148148148149</v>
      </c>
    </row>
    <row r="13" spans="1:9">
      <c r="A13" s="5">
        <f>A14</f>
        <v>5</v>
      </c>
      <c r="B13" s="49">
        <f t="shared" ref="B13:I13" si="5">B12</f>
        <v>10.750301262129765</v>
      </c>
      <c r="C13" s="49">
        <f t="shared" si="5"/>
        <v>5.4141851651326469</v>
      </c>
      <c r="D13" s="7">
        <f t="shared" si="1"/>
        <v>513</v>
      </c>
      <c r="E13" s="7">
        <f t="shared" si="5"/>
        <v>540</v>
      </c>
      <c r="F13" s="7">
        <f t="shared" si="5"/>
        <v>29.38676824910165</v>
      </c>
      <c r="G13" s="7">
        <f t="shared" si="5"/>
        <v>28.9</v>
      </c>
      <c r="H13" s="49">
        <f t="shared" si="5"/>
        <v>6.8024926502550107</v>
      </c>
      <c r="I13" s="49">
        <f t="shared" si="5"/>
        <v>6.6898148148148149</v>
      </c>
    </row>
    <row r="14" spans="1:9">
      <c r="A14">
        <f>B48</f>
        <v>5</v>
      </c>
      <c r="B14" s="1">
        <f>100*Data!B64/Data!$B$70</f>
        <v>34.315342170355812</v>
      </c>
      <c r="C14" s="1">
        <f>100*Data!B93/Data!$B$99</f>
        <v>28.619382782891172</v>
      </c>
      <c r="D14" s="7">
        <f t="shared" si="1"/>
        <v>513</v>
      </c>
      <c r="E14" s="6">
        <f>Data!B125</f>
        <v>526.15384615384619</v>
      </c>
      <c r="F14" s="6">
        <f>Data!B147</f>
        <v>28.633261370919556</v>
      </c>
      <c r="G14" s="6">
        <f>Data!B166</f>
        <v>28.9</v>
      </c>
      <c r="H14" s="1">
        <f>Data!B186</f>
        <v>35.035976760805731</v>
      </c>
      <c r="I14" s="1">
        <f>Data!C186</f>
        <v>35.362361111111106</v>
      </c>
    </row>
    <row r="15" spans="1:9">
      <c r="A15" s="5">
        <f>A16</f>
        <v>6</v>
      </c>
      <c r="B15" s="49">
        <f t="shared" ref="B15:I15" si="6">B14</f>
        <v>34.315342170355812</v>
      </c>
      <c r="C15" s="49">
        <f t="shared" si="6"/>
        <v>28.619382782891172</v>
      </c>
      <c r="D15" s="7">
        <f t="shared" si="1"/>
        <v>513</v>
      </c>
      <c r="E15" s="7">
        <f t="shared" si="6"/>
        <v>526.15384615384619</v>
      </c>
      <c r="F15" s="7">
        <f t="shared" si="6"/>
        <v>28.633261370919556</v>
      </c>
      <c r="G15" s="7">
        <f t="shared" si="6"/>
        <v>28.9</v>
      </c>
      <c r="H15" s="49">
        <f t="shared" si="6"/>
        <v>35.035976760805731</v>
      </c>
      <c r="I15" s="49">
        <f t="shared" si="6"/>
        <v>35.362361111111106</v>
      </c>
    </row>
    <row r="16" spans="1:9">
      <c r="A16">
        <f>B49</f>
        <v>6</v>
      </c>
      <c r="B16" s="1">
        <f>100*Data!B65/Data!$B$70</f>
        <v>32.504598211454301</v>
      </c>
      <c r="C16" s="1">
        <f>100*Data!B94/Data!$B$99</f>
        <v>37.336220898754732</v>
      </c>
      <c r="D16" s="7">
        <f t="shared" si="1"/>
        <v>513</v>
      </c>
      <c r="E16" s="6">
        <f>Data!B126</f>
        <v>621.81818181818187</v>
      </c>
      <c r="F16" s="6">
        <f>Data!B148</f>
        <v>33.839308892904931</v>
      </c>
      <c r="G16" s="6">
        <f>Data!B167</f>
        <v>28.9</v>
      </c>
      <c r="H16" s="1">
        <f>Data!B187</f>
        <v>54.017563454970457</v>
      </c>
      <c r="I16" s="1">
        <f>Data!C187</f>
        <v>46.132962962962957</v>
      </c>
    </row>
    <row r="17" spans="1:9">
      <c r="A17" s="5">
        <f>A18</f>
        <v>7</v>
      </c>
      <c r="B17" s="49">
        <f t="shared" ref="B17:I17" si="7">B16</f>
        <v>32.504598211454301</v>
      </c>
      <c r="C17" s="49">
        <f t="shared" si="7"/>
        <v>37.336220898754732</v>
      </c>
      <c r="D17" s="7">
        <f t="shared" si="1"/>
        <v>513</v>
      </c>
      <c r="E17" s="7">
        <f t="shared" si="7"/>
        <v>621.81818181818187</v>
      </c>
      <c r="F17" s="7">
        <f t="shared" si="7"/>
        <v>33.839308892904931</v>
      </c>
      <c r="G17" s="7">
        <f t="shared" si="7"/>
        <v>28.9</v>
      </c>
      <c r="H17" s="49">
        <f t="shared" si="7"/>
        <v>54.017563454970457</v>
      </c>
      <c r="I17" s="49">
        <f t="shared" si="7"/>
        <v>46.132962962962957</v>
      </c>
    </row>
    <row r="18" spans="1:9">
      <c r="A18">
        <f>B50</f>
        <v>7</v>
      </c>
      <c r="B18" s="1">
        <f>100*Data!B66/Data!$B$70</f>
        <v>16.131794253821273</v>
      </c>
      <c r="C18" s="1">
        <f>100*Data!B95/Data!$B$99</f>
        <v>20.119112073632916</v>
      </c>
      <c r="D18" s="7">
        <f t="shared" si="1"/>
        <v>513</v>
      </c>
      <c r="E18" s="6">
        <f>Data!B127</f>
        <v>586.28571428571433</v>
      </c>
      <c r="F18" s="6">
        <f>Data!B149</f>
        <v>31.905634099024645</v>
      </c>
      <c r="G18" s="6">
        <f>Data!B168</f>
        <v>28.9</v>
      </c>
      <c r="H18" s="1">
        <f>Data!B188</f>
        <v>27.444753775920272</v>
      </c>
      <c r="I18" s="1">
        <f>Data!C188</f>
        <v>24.859351851851848</v>
      </c>
    </row>
    <row r="19" spans="1:9">
      <c r="A19" s="5">
        <f>A20</f>
        <v>8</v>
      </c>
      <c r="B19" s="49">
        <f t="shared" ref="B19:I19" si="8">B18</f>
        <v>16.131794253821273</v>
      </c>
      <c r="C19" s="49">
        <f t="shared" si="8"/>
        <v>20.119112073632916</v>
      </c>
      <c r="D19" s="7">
        <f t="shared" si="1"/>
        <v>513</v>
      </c>
      <c r="E19" s="7">
        <f t="shared" si="8"/>
        <v>586.28571428571433</v>
      </c>
      <c r="F19" s="7">
        <f t="shared" si="8"/>
        <v>31.905634099024645</v>
      </c>
      <c r="G19" s="7">
        <f t="shared" si="8"/>
        <v>28.9</v>
      </c>
      <c r="H19" s="49">
        <f t="shared" si="8"/>
        <v>27.444753775920272</v>
      </c>
      <c r="I19" s="49">
        <f t="shared" si="8"/>
        <v>24.859351851851848</v>
      </c>
    </row>
    <row r="20" spans="1:9">
      <c r="A20">
        <f>B51</f>
        <v>8</v>
      </c>
      <c r="B20" s="1">
        <f>100*Data!B67/Data!$B$70</f>
        <v>5.5273672861038881</v>
      </c>
      <c r="C20" s="1">
        <f>100*Data!B96/Data!$B$99</f>
        <v>8.2079047103410936</v>
      </c>
      <c r="D20" s="7">
        <f t="shared" si="1"/>
        <v>513</v>
      </c>
      <c r="E20" s="6">
        <f>Data!B128</f>
        <v>855.00000000000011</v>
      </c>
      <c r="F20" s="6">
        <f>Data!B150</f>
        <v>46.52904972774428</v>
      </c>
      <c r="G20" s="6">
        <f>Data!B169</f>
        <v>28.9</v>
      </c>
      <c r="H20" s="1">
        <f>Data!B189</f>
        <v>16.32824985816211</v>
      </c>
      <c r="I20" s="1">
        <f>Data!C189</f>
        <v>10.141759259259258</v>
      </c>
    </row>
    <row r="21" spans="1:9">
      <c r="A21" s="5">
        <f>A22</f>
        <v>9</v>
      </c>
      <c r="B21" s="49">
        <f t="shared" ref="B21:I21" si="9">B20</f>
        <v>5.5273672861038881</v>
      </c>
      <c r="C21" s="49">
        <f t="shared" si="9"/>
        <v>8.2079047103410936</v>
      </c>
      <c r="D21" s="7">
        <f t="shared" si="1"/>
        <v>513</v>
      </c>
      <c r="E21" s="7">
        <f t="shared" si="9"/>
        <v>855.00000000000011</v>
      </c>
      <c r="F21" s="7">
        <f t="shared" si="9"/>
        <v>46.52904972774428</v>
      </c>
      <c r="G21" s="7">
        <f t="shared" si="9"/>
        <v>28.9</v>
      </c>
      <c r="H21" s="49">
        <f t="shared" si="9"/>
        <v>16.32824985816211</v>
      </c>
      <c r="I21" s="49">
        <f t="shared" si="9"/>
        <v>10.141759259259258</v>
      </c>
    </row>
    <row r="22" spans="1:9">
      <c r="A22">
        <f>B52</f>
        <v>9</v>
      </c>
      <c r="B22" s="1">
        <f>100*Data!B68/Data!$B$70</f>
        <v>7.9279507832815385E-2</v>
      </c>
      <c r="C22" s="1">
        <f>100*Data!B97/Data!$B$99</f>
        <v>0.22739577693557117</v>
      </c>
      <c r="D22" s="7">
        <f t="shared" si="1"/>
        <v>513</v>
      </c>
      <c r="E22" s="6">
        <f>Data!B129</f>
        <v>977.14285714285722</v>
      </c>
      <c r="F22" s="6">
        <f>Data!B151</f>
        <v>53.176056831707747</v>
      </c>
      <c r="G22" s="6">
        <f>Data!B170</f>
        <v>28.9</v>
      </c>
      <c r="H22" s="1">
        <f>Data!B1794</f>
        <v>0</v>
      </c>
      <c r="I22" s="1">
        <f>Data!C1794</f>
        <v>0</v>
      </c>
    </row>
    <row r="23" spans="1:9">
      <c r="A23" s="5">
        <f>A24</f>
        <v>10</v>
      </c>
      <c r="B23" s="49">
        <f t="shared" ref="B23:I23" si="10">B22</f>
        <v>7.9279507832815385E-2</v>
      </c>
      <c r="C23" s="49">
        <f t="shared" si="10"/>
        <v>0.22739577693557117</v>
      </c>
      <c r="D23" s="7">
        <f t="shared" si="1"/>
        <v>513</v>
      </c>
      <c r="E23" s="7">
        <f t="shared" si="10"/>
        <v>977.14285714285722</v>
      </c>
      <c r="F23" s="7">
        <f t="shared" si="10"/>
        <v>53.176056831707747</v>
      </c>
      <c r="G23" s="7">
        <f t="shared" si="10"/>
        <v>28.9</v>
      </c>
      <c r="H23" s="49">
        <f t="shared" si="10"/>
        <v>0</v>
      </c>
      <c r="I23" s="49">
        <f t="shared" si="10"/>
        <v>0</v>
      </c>
    </row>
    <row r="24" spans="1:9">
      <c r="A24">
        <f>B53</f>
        <v>10</v>
      </c>
      <c r="B24" s="1">
        <f>100*Data!B69/Data!$B$70</f>
        <v>0</v>
      </c>
      <c r="C24" s="1">
        <f>100*Data!B98/Data!$B$99</f>
        <v>0</v>
      </c>
      <c r="F24" s="7"/>
    </row>
    <row r="25" spans="1:9">
      <c r="A25">
        <f>B54</f>
        <v>11</v>
      </c>
      <c r="B25" s="49">
        <f>B24</f>
        <v>0</v>
      </c>
      <c r="C25" s="49">
        <f>C24</f>
        <v>0</v>
      </c>
      <c r="F25" s="7"/>
    </row>
    <row r="26" spans="1:9">
      <c r="B26" s="7"/>
      <c r="C26" s="7"/>
      <c r="D26" s="7"/>
    </row>
    <row r="27" spans="1:9">
      <c r="B27" s="7"/>
      <c r="C27" s="7"/>
      <c r="D27" s="7"/>
    </row>
    <row r="28" spans="1:9">
      <c r="B28" s="41" t="s">
        <v>85</v>
      </c>
      <c r="C28" s="41" t="s">
        <v>50</v>
      </c>
      <c r="D28" s="41" t="s">
        <v>109</v>
      </c>
      <c r="E28" s="38" t="s">
        <v>94</v>
      </c>
      <c r="F28" s="43" t="s">
        <v>106</v>
      </c>
    </row>
    <row r="29" spans="1:9">
      <c r="B29" s="20" t="s">
        <v>103</v>
      </c>
      <c r="C29" s="21" t="s">
        <v>137</v>
      </c>
      <c r="D29" s="21" t="s">
        <v>88</v>
      </c>
      <c r="E29" s="19" t="s">
        <v>99</v>
      </c>
      <c r="F29" s="19" t="s">
        <v>99</v>
      </c>
    </row>
    <row r="30" spans="1:9">
      <c r="B30" s="19" t="s">
        <v>141</v>
      </c>
      <c r="C30" s="21" t="s">
        <v>136</v>
      </c>
      <c r="D30" s="21" t="s">
        <v>87</v>
      </c>
      <c r="E30" s="22" t="s">
        <v>102</v>
      </c>
      <c r="F30" s="19" t="s">
        <v>100</v>
      </c>
    </row>
    <row r="31" spans="1:9">
      <c r="B31" s="19" t="s">
        <v>32</v>
      </c>
      <c r="C31" s="21" t="s">
        <v>138</v>
      </c>
      <c r="D31" s="21" t="s">
        <v>89</v>
      </c>
      <c r="E31" s="22" t="str">
        <f>"Egypt - avg. 20"&amp;$B$81&amp;"/MWh"</f>
        <v>Egypt - avg. 20$/MWh</v>
      </c>
      <c r="F31" s="19" t="s">
        <v>26</v>
      </c>
    </row>
    <row r="32" spans="1:9">
      <c r="B32" s="19" t="s">
        <v>33</v>
      </c>
      <c r="C32" s="21" t="s">
        <v>139</v>
      </c>
      <c r="D32" s="21" t="s">
        <v>96</v>
      </c>
      <c r="E32" s="22" t="str">
        <f>"Egypt - avg. 30"&amp;$B$81&amp;"/MWh"</f>
        <v>Egypt - avg. 30$/MWh</v>
      </c>
      <c r="F32" s="22" t="str">
        <f>"Egypt - avg. 30"&amp;$B$81&amp;"/MWh"</f>
        <v>Egypt - avg. 30$/MWh</v>
      </c>
    </row>
    <row r="33" spans="1:13">
      <c r="B33" s="19" t="s">
        <v>34</v>
      </c>
      <c r="C33" s="21" t="s">
        <v>140</v>
      </c>
      <c r="D33" s="19" t="s">
        <v>95</v>
      </c>
      <c r="E33" s="22" t="str">
        <f>"Market 10-40 "&amp;$B$81&amp;"/MWh"</f>
        <v>Market 10-40 $/MWh</v>
      </c>
      <c r="F33" s="22" t="str">
        <f>"Market 10-40 "&amp;$B$81&amp;"/MWh"</f>
        <v>Market 10-40 $/MWh</v>
      </c>
    </row>
    <row r="34" spans="1:13">
      <c r="B34" s="19" t="s">
        <v>35</v>
      </c>
      <c r="C34" s="19" t="s">
        <v>40</v>
      </c>
      <c r="D34" s="19" t="s">
        <v>97</v>
      </c>
      <c r="E34" s="22" t="s">
        <v>45</v>
      </c>
      <c r="F34" s="22" t="s">
        <v>45</v>
      </c>
    </row>
    <row r="35" spans="1:13">
      <c r="B35" s="19" t="s">
        <v>36</v>
      </c>
      <c r="C35" s="19" t="s">
        <v>41</v>
      </c>
      <c r="D35" s="19" t="s">
        <v>98</v>
      </c>
      <c r="E35" s="22" t="s">
        <v>46</v>
      </c>
      <c r="F35" s="22" t="s">
        <v>46</v>
      </c>
    </row>
    <row r="36" spans="1:13">
      <c r="B36" s="19" t="s">
        <v>37</v>
      </c>
      <c r="C36" s="19" t="s">
        <v>42</v>
      </c>
      <c r="D36" s="19" t="s">
        <v>91</v>
      </c>
      <c r="E36" s="22" t="s">
        <v>47</v>
      </c>
      <c r="F36" s="22" t="s">
        <v>47</v>
      </c>
    </row>
    <row r="37" spans="1:13">
      <c r="B37" s="19" t="s">
        <v>38</v>
      </c>
      <c r="C37" s="19" t="s">
        <v>43</v>
      </c>
      <c r="D37" s="19" t="s">
        <v>92</v>
      </c>
      <c r="E37" s="22" t="s">
        <v>48</v>
      </c>
      <c r="F37" s="22" t="s">
        <v>48</v>
      </c>
    </row>
    <row r="38" spans="1:13">
      <c r="B38" s="19" t="s">
        <v>39</v>
      </c>
      <c r="C38" s="19" t="s">
        <v>44</v>
      </c>
      <c r="D38" s="19" t="s">
        <v>93</v>
      </c>
      <c r="E38" s="22" t="s">
        <v>49</v>
      </c>
      <c r="F38" s="22" t="s">
        <v>49</v>
      </c>
    </row>
    <row r="39" spans="1:13">
      <c r="B39" s="7"/>
      <c r="C39" s="7"/>
      <c r="D39" s="7"/>
      <c r="F39" s="19"/>
    </row>
    <row r="40" spans="1:13">
      <c r="B40" s="7"/>
      <c r="C40" s="7"/>
      <c r="D40" s="7"/>
    </row>
    <row r="41" spans="1:13">
      <c r="B41" s="7"/>
      <c r="C41" s="7"/>
      <c r="D41" s="7"/>
    </row>
    <row r="42" spans="1:13">
      <c r="B42" s="7"/>
      <c r="C42" s="7"/>
      <c r="D42" s="7"/>
    </row>
    <row r="43" spans="1:13">
      <c r="A43" s="11" t="s">
        <v>69</v>
      </c>
      <c r="B43" t="str">
        <f>INDEX($D$43:$M$55,1,$C$43)</f>
        <v>Egypt 1999/00</v>
      </c>
      <c r="C43" s="19">
        <v>1</v>
      </c>
      <c r="D43" s="14" t="str">
        <f>B29</f>
        <v>Egypt 1999/00</v>
      </c>
      <c r="E43" s="16" t="str">
        <f>B30</f>
        <v>Egypt 2010</v>
      </c>
      <c r="F43" t="str">
        <f>B31</f>
        <v>Demand2</v>
      </c>
      <c r="G43" t="str">
        <f>B32</f>
        <v>Demand3</v>
      </c>
      <c r="H43" t="str">
        <f>B33</f>
        <v>Demand4</v>
      </c>
      <c r="I43" t="str">
        <f>B34</f>
        <v>Demand5</v>
      </c>
      <c r="J43" t="str">
        <f>B35</f>
        <v>Demand6</v>
      </c>
      <c r="K43" t="str">
        <f>B36</f>
        <v>Demand7</v>
      </c>
      <c r="L43" t="str">
        <f>B37</f>
        <v>Demand8</v>
      </c>
      <c r="M43" t="str">
        <f>B38</f>
        <v>Demand9</v>
      </c>
    </row>
    <row r="44" spans="1:13">
      <c r="A44" s="30" t="str">
        <f>"0-"&amp;FIXED(B44,0)</f>
        <v>0-1</v>
      </c>
      <c r="B44">
        <f>INDEX($D$43:$M$55,2,$C$43)</f>
        <v>1</v>
      </c>
      <c r="D44" s="19">
        <v>1</v>
      </c>
      <c r="E44" s="19">
        <v>7</v>
      </c>
    </row>
    <row r="45" spans="1:13">
      <c r="A45" s="30" t="str">
        <f t="shared" ref="A45:A54" si="11">FIXED(B44,0)&amp;"-"&amp;FIXED(B45,0)</f>
        <v>1-2</v>
      </c>
      <c r="B45">
        <f>INDEX($D$43:$M$55,3,$C$43)</f>
        <v>2</v>
      </c>
      <c r="D45" s="19">
        <v>2</v>
      </c>
      <c r="E45" s="19">
        <v>8</v>
      </c>
    </row>
    <row r="46" spans="1:13">
      <c r="A46" s="30" t="str">
        <f t="shared" si="11"/>
        <v>2-3</v>
      </c>
      <c r="B46">
        <f>INDEX($D$43:$M$55,4,$C$43)</f>
        <v>3</v>
      </c>
      <c r="D46" s="19">
        <v>3</v>
      </c>
      <c r="E46" s="19">
        <v>9</v>
      </c>
    </row>
    <row r="47" spans="1:13">
      <c r="A47" s="30" t="str">
        <f t="shared" si="11"/>
        <v>3-4</v>
      </c>
      <c r="B47">
        <f>INDEX($D$43:$M$55,5,$C$43)</f>
        <v>4</v>
      </c>
      <c r="D47" s="19">
        <v>4</v>
      </c>
      <c r="E47" s="19">
        <v>10</v>
      </c>
    </row>
    <row r="48" spans="1:13">
      <c r="A48" s="30" t="str">
        <f t="shared" si="11"/>
        <v>4-5</v>
      </c>
      <c r="B48">
        <f>INDEX($D$43:$M$55,6,$C$43)</f>
        <v>5</v>
      </c>
      <c r="D48" s="19">
        <v>5</v>
      </c>
      <c r="E48" s="19">
        <v>11</v>
      </c>
    </row>
    <row r="49" spans="1:13">
      <c r="A49" s="30" t="str">
        <f t="shared" si="11"/>
        <v>5-6</v>
      </c>
      <c r="B49">
        <f>INDEX($D$43:$M$55,7,$C$43)</f>
        <v>6</v>
      </c>
      <c r="D49" s="19">
        <v>6</v>
      </c>
      <c r="E49" s="19">
        <v>12</v>
      </c>
    </row>
    <row r="50" spans="1:13">
      <c r="A50" s="30" t="str">
        <f t="shared" si="11"/>
        <v>6-7</v>
      </c>
      <c r="B50">
        <f>INDEX($D$43:$M$55,8,$C$43)</f>
        <v>7</v>
      </c>
      <c r="D50" s="19">
        <v>7</v>
      </c>
      <c r="E50" s="19">
        <v>13</v>
      </c>
    </row>
    <row r="51" spans="1:13">
      <c r="A51" s="30" t="str">
        <f t="shared" si="11"/>
        <v>7-8</v>
      </c>
      <c r="B51">
        <f>INDEX($D$43:$M$55,9,$C$43)</f>
        <v>8</v>
      </c>
      <c r="D51" s="19">
        <v>8</v>
      </c>
      <c r="E51" s="19">
        <v>14</v>
      </c>
    </row>
    <row r="52" spans="1:13">
      <c r="A52" s="30" t="str">
        <f t="shared" si="11"/>
        <v>8-9</v>
      </c>
      <c r="B52">
        <f>INDEX($D$43:$M$55,10,$C$43)</f>
        <v>9</v>
      </c>
      <c r="D52" s="19">
        <v>9</v>
      </c>
      <c r="E52" s="19">
        <v>15</v>
      </c>
    </row>
    <row r="53" spans="1:13">
      <c r="A53" s="30" t="str">
        <f t="shared" si="11"/>
        <v>9-10</v>
      </c>
      <c r="B53">
        <f>INDEX($D$43:$M$55,11,$C$43)</f>
        <v>10</v>
      </c>
      <c r="D53" s="19">
        <v>10</v>
      </c>
      <c r="E53" s="19">
        <v>16</v>
      </c>
    </row>
    <row r="54" spans="1:13">
      <c r="A54" s="30" t="str">
        <f t="shared" si="11"/>
        <v>10-11</v>
      </c>
      <c r="B54">
        <f>INDEX($D$43:$M$55,12,$C$43)</f>
        <v>11</v>
      </c>
      <c r="D54" s="19">
        <v>11</v>
      </c>
      <c r="E54" s="19">
        <v>17</v>
      </c>
    </row>
    <row r="55" spans="1:13">
      <c r="A55" s="30" t="s">
        <v>30</v>
      </c>
      <c r="B55" s="2" t="str">
        <f>INDEX($D$43:$M$55,13,$C$43)</f>
        <v>GW</v>
      </c>
      <c r="D55" s="30" t="s">
        <v>70</v>
      </c>
      <c r="E55" s="31" t="s">
        <v>70</v>
      </c>
    </row>
    <row r="56" spans="1:13">
      <c r="C56" s="7"/>
      <c r="D56" s="7"/>
    </row>
    <row r="57" spans="1:13">
      <c r="C57" s="7"/>
      <c r="D57" s="7"/>
    </row>
    <row r="58" spans="1:13">
      <c r="A58" s="11" t="str">
        <f>'Zafarana 1999'!I33</f>
        <v>Marginal demand</v>
      </c>
      <c r="B58" t="str">
        <f>INDEX($D$58:$M$74,1,$C$58)</f>
        <v>Egypt 1999/00</v>
      </c>
      <c r="C58">
        <f>C43</f>
        <v>1</v>
      </c>
      <c r="D58" t="str">
        <f t="shared" ref="D58:M58" si="12">D43</f>
        <v>Egypt 1999/00</v>
      </c>
      <c r="E58" t="str">
        <f t="shared" si="12"/>
        <v>Egypt 2010</v>
      </c>
      <c r="F58" t="str">
        <f t="shared" si="12"/>
        <v>Demand2</v>
      </c>
      <c r="G58" t="str">
        <f t="shared" si="12"/>
        <v>Demand3</v>
      </c>
      <c r="H58" t="str">
        <f t="shared" si="12"/>
        <v>Demand4</v>
      </c>
      <c r="I58" t="str">
        <f t="shared" si="12"/>
        <v>Demand5</v>
      </c>
      <c r="J58" t="str">
        <f t="shared" si="12"/>
        <v>Demand6</v>
      </c>
      <c r="K58" t="str">
        <f t="shared" si="12"/>
        <v>Demand7</v>
      </c>
      <c r="L58" t="str">
        <f t="shared" si="12"/>
        <v>Demand8</v>
      </c>
      <c r="M58" t="str">
        <f t="shared" si="12"/>
        <v>Demand9</v>
      </c>
    </row>
    <row r="59" spans="1:13">
      <c r="A59" s="26" t="str">
        <f>A44</f>
        <v>0-1</v>
      </c>
      <c r="B59" s="1">
        <f>INDEX($D$58:$M$74,2,$C$58)</f>
        <v>0</v>
      </c>
      <c r="D59" s="1">
        <f>'Zafarana 1999'!I36/3.6</f>
        <v>0</v>
      </c>
      <c r="E59" s="34">
        <f>'Zafarana 2010'!I36/3.6</f>
        <v>2.1180555555555554</v>
      </c>
    </row>
    <row r="60" spans="1:13">
      <c r="A60" s="26" t="str">
        <f t="shared" ref="A60:A69" si="13">A45</f>
        <v>1-2</v>
      </c>
      <c r="B60" s="1">
        <f>INDEX($D$58:$M$74,3,$C$58)</f>
        <v>0</v>
      </c>
      <c r="D60" s="1">
        <f>'Zafarana 1999'!I37/3.6</f>
        <v>0</v>
      </c>
      <c r="E60" s="34">
        <f>'Zafarana 2010'!I37/3.6</f>
        <v>68.888888888888886</v>
      </c>
    </row>
    <row r="61" spans="1:13">
      <c r="A61" s="26" t="str">
        <f t="shared" si="13"/>
        <v>2-3</v>
      </c>
      <c r="B61" s="1">
        <f>INDEX($D$58:$M$74,4,$C$58)</f>
        <v>0</v>
      </c>
      <c r="D61" s="1">
        <f>'Zafarana 1999'!I38/3.6</f>
        <v>0</v>
      </c>
      <c r="E61" s="34">
        <f>'Zafarana 2010'!I38/3.6</f>
        <v>617.77777777777771</v>
      </c>
    </row>
    <row r="62" spans="1:13">
      <c r="A62" s="26" t="str">
        <f t="shared" si="13"/>
        <v>3-4</v>
      </c>
      <c r="B62" s="1">
        <f>INDEX($D$58:$M$74,5,$C$58)</f>
        <v>60.555555555555557</v>
      </c>
      <c r="D62" s="1">
        <f>'Zafarana 1999'!I39/3.6</f>
        <v>60.555555555555557</v>
      </c>
      <c r="E62" s="34">
        <f>'Zafarana 2010'!I39/3.6</f>
        <v>1726.3888888888889</v>
      </c>
    </row>
    <row r="63" spans="1:13">
      <c r="A63" s="26" t="str">
        <f t="shared" si="13"/>
        <v>4-5</v>
      </c>
      <c r="B63" s="1">
        <f>INDEX($D$58:$M$74,6,$C$58)</f>
        <v>941.66666666666663</v>
      </c>
      <c r="D63" s="1">
        <f>'Zafarana 1999'!I40/3.6</f>
        <v>941.66666666666663</v>
      </c>
      <c r="E63" s="34">
        <f>'Zafarana 2010'!I40/3.6</f>
        <v>2274.1666666666665</v>
      </c>
    </row>
    <row r="64" spans="1:13">
      <c r="A64" s="26" t="str">
        <f t="shared" si="13"/>
        <v>5-6</v>
      </c>
      <c r="B64" s="1">
        <f>INDEX($D$58:$M$74,7,$C$58)</f>
        <v>3005.8333333333335</v>
      </c>
      <c r="D64" s="1">
        <f>'Zafarana 1999'!I41/3.6</f>
        <v>3005.8333333333335</v>
      </c>
      <c r="E64" s="34">
        <f>'Zafarana 2010'!I41/3.6</f>
        <v>1808.0555555555554</v>
      </c>
    </row>
    <row r="65" spans="1:27">
      <c r="A65" s="26" t="str">
        <f t="shared" si="13"/>
        <v>6-7</v>
      </c>
      <c r="B65" s="1">
        <f>INDEX($D$58:$M$74,8,$C$58)</f>
        <v>2847.2222222222222</v>
      </c>
      <c r="D65" s="1">
        <f>'Zafarana 1999'!I42/3.6</f>
        <v>2847.2222222222222</v>
      </c>
      <c r="E65" s="34">
        <f>'Zafarana 2010'!I42/3.6</f>
        <v>749.72222222222217</v>
      </c>
    </row>
    <row r="66" spans="1:27">
      <c r="A66" s="26" t="str">
        <f t="shared" si="13"/>
        <v>7-8</v>
      </c>
      <c r="B66" s="1">
        <f>INDEX($D$58:$M$74,9,$C$58)</f>
        <v>1413.0555555555554</v>
      </c>
      <c r="D66" s="1">
        <f>'Zafarana 1999'!I43/3.6</f>
        <v>1413.0555555555554</v>
      </c>
      <c r="E66" s="34">
        <f>'Zafarana 2010'!I43/3.6</f>
        <v>613.61111111111109</v>
      </c>
    </row>
    <row r="67" spans="1:27">
      <c r="A67" s="26" t="str">
        <f t="shared" si="13"/>
        <v>8-9</v>
      </c>
      <c r="B67" s="1">
        <f>INDEX($D$58:$M$74,10,$C$58)</f>
        <v>484.16666666666663</v>
      </c>
      <c r="D67" s="1">
        <f>'Zafarana 1999'!I44/3.6</f>
        <v>484.16666666666663</v>
      </c>
      <c r="E67" s="34">
        <f>'Zafarana 2010'!I44/3.6</f>
        <v>637.5</v>
      </c>
    </row>
    <row r="68" spans="1:27">
      <c r="A68" s="26" t="str">
        <f t="shared" si="13"/>
        <v>9-10</v>
      </c>
      <c r="B68" s="1">
        <f>INDEX($D$58:$M$74,11,$C$58)</f>
        <v>6.9444444444444446</v>
      </c>
      <c r="D68" s="1">
        <f>'Zafarana 1999'!I45/3.6</f>
        <v>6.9444444444444446</v>
      </c>
      <c r="E68" s="34">
        <f>'Zafarana 2010'!I45/3.6</f>
        <v>255.27777777777777</v>
      </c>
    </row>
    <row r="69" spans="1:27">
      <c r="A69" s="26" t="str">
        <f t="shared" si="13"/>
        <v>10-11</v>
      </c>
      <c r="B69" s="1">
        <f>INDEX($D$58:$M$74,12,$C$58)</f>
        <v>0</v>
      </c>
      <c r="D69" s="1">
        <f>'Zafarana 1999'!I46/3.6</f>
        <v>0</v>
      </c>
      <c r="E69" s="34">
        <f>'Zafarana 2010'!I46/3.6</f>
        <v>5.833333333333333</v>
      </c>
    </row>
    <row r="70" spans="1:27">
      <c r="A70" s="17" t="s">
        <v>57</v>
      </c>
      <c r="B70" s="1">
        <f>INDEX($D$58:$M$74,13,$C$58)</f>
        <v>8759.4444444444434</v>
      </c>
      <c r="D70" s="1">
        <f>SUM(D59:D69)</f>
        <v>8759.4444444444434</v>
      </c>
      <c r="E70" s="1">
        <f>SUM(E59:E69)</f>
        <v>8759.3402777777774</v>
      </c>
    </row>
    <row r="71" spans="1:27">
      <c r="A71" s="17" t="s">
        <v>58</v>
      </c>
      <c r="B71" s="27">
        <f>INDEX($D$58:$M$74,14,$C$58)</f>
        <v>49888.055555555555</v>
      </c>
      <c r="D71" s="1">
        <f>'Zafarana 1999'!B47/3.6-Data!D70</f>
        <v>49888.055555555555</v>
      </c>
      <c r="E71" s="34">
        <f>'Zafarana 2010'!B47/3.6-Data!D70</f>
        <v>102185.27777777778</v>
      </c>
    </row>
    <row r="72" spans="1:27">
      <c r="A72" s="17" t="s">
        <v>55</v>
      </c>
      <c r="B72" s="27">
        <f>INDEX($D$58:$M$74,15,$C$58)</f>
        <v>14658.888888888889</v>
      </c>
      <c r="D72" s="1">
        <f>'Zafarana 1999'!B34/3.6</f>
        <v>14658.888888888889</v>
      </c>
      <c r="E72" s="34">
        <f>'Zafarana 2010'!B34/3.6</f>
        <v>14658.888888888889</v>
      </c>
    </row>
    <row r="73" spans="1:27">
      <c r="A73" t="s">
        <v>54</v>
      </c>
      <c r="B73" s="27">
        <f>INDEX($D$58:$M$74,16,$C$58)</f>
        <v>73306.388888888891</v>
      </c>
      <c r="D73" s="1">
        <f>SUM(D70:D72)</f>
        <v>73306.388888888891</v>
      </c>
      <c r="E73" s="1">
        <f>SUM(E70:E72)</f>
        <v>125603.50694444445</v>
      </c>
    </row>
    <row r="74" spans="1:27">
      <c r="A74" s="9" t="s">
        <v>30</v>
      </c>
      <c r="B74" s="2" t="str">
        <f>INDEX($D$58:$M$74,17,$C$58)</f>
        <v>GWh</v>
      </c>
      <c r="D74" s="2" t="s">
        <v>72</v>
      </c>
      <c r="E74" s="2" t="s">
        <v>72</v>
      </c>
    </row>
    <row r="75" spans="1:27">
      <c r="A75" s="9"/>
      <c r="B75" s="24" t="s">
        <v>56</v>
      </c>
    </row>
    <row r="76" spans="1:27" ht="39" customHeight="1">
      <c r="A76" s="11" t="s">
        <v>119</v>
      </c>
      <c r="B76" s="32" t="s">
        <v>120</v>
      </c>
      <c r="C76" s="106" t="str">
        <f>INDEX($E$76:$M$79,1,$D$76)</f>
        <v>ShAn-14, $99/GJ</v>
      </c>
      <c r="D76">
        <v>2</v>
      </c>
      <c r="E76" s="18" t="s">
        <v>146</v>
      </c>
      <c r="F76" s="18" t="s">
        <v>147</v>
      </c>
      <c r="O76" s="44" t="s">
        <v>145</v>
      </c>
      <c r="P76" s="125" t="s">
        <v>165</v>
      </c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</row>
    <row r="77" spans="1:27">
      <c r="A77" t="s">
        <v>121</v>
      </c>
      <c r="B77">
        <v>95</v>
      </c>
      <c r="C77" s="91">
        <f>INDEX($E$76:$M$79,2,$D$76)</f>
        <v>1.7753923147033162</v>
      </c>
      <c r="E77" s="10">
        <f>O77/3.6</f>
        <v>1.3305555555555555</v>
      </c>
      <c r="F77" s="10">
        <f>E77*$F$83</f>
        <v>1.7753923147033162</v>
      </c>
      <c r="O77" s="19">
        <v>4.79</v>
      </c>
    </row>
    <row r="78" spans="1:27">
      <c r="A78" t="s">
        <v>118</v>
      </c>
      <c r="B78">
        <v>74</v>
      </c>
      <c r="C78" s="91">
        <f>INDEX($E$76:$M$79,3,$D$76)</f>
        <v>2.2868832112149184</v>
      </c>
      <c r="E78" s="10">
        <f>O78/3.6</f>
        <v>1.7138888888888888</v>
      </c>
      <c r="F78" s="10">
        <f>E78*$F$83</f>
        <v>2.2868832112149184</v>
      </c>
      <c r="O78" s="19">
        <v>6.17</v>
      </c>
    </row>
    <row r="79" spans="1:27">
      <c r="A79" t="s">
        <v>19</v>
      </c>
      <c r="B79">
        <v>57</v>
      </c>
      <c r="C79" s="91">
        <f>INDEX($E$76:$M$79,4,$D$76)</f>
        <v>2.3832510612823219</v>
      </c>
      <c r="E79" s="10">
        <f>O79/3.6</f>
        <v>1.786111111111111</v>
      </c>
      <c r="F79" s="10">
        <f>E79*$F$83</f>
        <v>2.3832510612823219</v>
      </c>
      <c r="O79" s="19">
        <v>6.43</v>
      </c>
    </row>
    <row r="80" spans="1:27">
      <c r="O80" s="19"/>
    </row>
    <row r="81" spans="1:15">
      <c r="A81" s="25" t="s">
        <v>82</v>
      </c>
      <c r="B81" s="2" t="str">
        <f>LEFT($C$81,1)</f>
        <v>$</v>
      </c>
      <c r="C81" s="107" t="str">
        <f>INDEX($E$81:$M$82,1,$D$76)</f>
        <v>$99/GJ</v>
      </c>
      <c r="E81" s="2" t="s">
        <v>142</v>
      </c>
      <c r="F81" s="2" t="s">
        <v>143</v>
      </c>
      <c r="O81" s="19"/>
    </row>
    <row r="82" spans="1:15">
      <c r="A82" t="s">
        <v>148</v>
      </c>
      <c r="C82" s="108">
        <f>INDEX($E$81:$M$82,2,$D$76)</f>
        <v>1999</v>
      </c>
      <c r="E82">
        <v>1990</v>
      </c>
      <c r="F82">
        <v>1999</v>
      </c>
      <c r="O82" s="19" t="s">
        <v>144</v>
      </c>
    </row>
    <row r="83" spans="1:15">
      <c r="A83" t="s">
        <v>149</v>
      </c>
      <c r="B83" s="2"/>
      <c r="E83" s="105">
        <v>1</v>
      </c>
      <c r="F83" s="105">
        <v>1.3343240778563545</v>
      </c>
    </row>
    <row r="84" spans="1:15">
      <c r="A84" t="s">
        <v>150</v>
      </c>
      <c r="B84" t="str">
        <f>$B$81&amp;"/MWh"</f>
        <v>$/MWh</v>
      </c>
    </row>
    <row r="85" spans="1:15">
      <c r="A85" s="25"/>
      <c r="B85" t="str">
        <f>$B$81&amp;"/kW"</f>
        <v>$/kW</v>
      </c>
    </row>
    <row r="86" spans="1:15">
      <c r="A86" s="122"/>
      <c r="B86" s="24"/>
    </row>
    <row r="87" spans="1:15" ht="31.2">
      <c r="A87" s="11" t="s">
        <v>50</v>
      </c>
      <c r="B87" s="89" t="str">
        <f>INDEX($D$87:$M$102,1,$C$87)</f>
        <v>Zafarana 1999 600 MW</v>
      </c>
      <c r="C87" s="32">
        <v>2</v>
      </c>
      <c r="D87" s="90" t="str">
        <f>C29</f>
        <v>Zafarana 1999 60 MW</v>
      </c>
      <c r="E87" s="89" t="str">
        <f>C30</f>
        <v>Zafarana 1999 600 MW</v>
      </c>
      <c r="F87" s="89" t="str">
        <f>C31</f>
        <v>Zafarana 2010 60 MW</v>
      </c>
      <c r="G87" s="89" t="str">
        <f>C32</f>
        <v>Zafarana 2010 600 MW</v>
      </c>
      <c r="H87" s="89" t="str">
        <f>C33</f>
        <v>Zafarana 2010 2000 MW</v>
      </c>
      <c r="I87" s="89" t="str">
        <f>C34</f>
        <v>Wind5</v>
      </c>
      <c r="J87" s="89" t="str">
        <f>C35</f>
        <v>Wind6</v>
      </c>
      <c r="K87" s="89" t="str">
        <f>C36</f>
        <v>Wind7</v>
      </c>
      <c r="L87" s="89" t="str">
        <f>C37</f>
        <v>Wind8</v>
      </c>
      <c r="M87" s="89" t="str">
        <f>C38</f>
        <v>Wind9</v>
      </c>
    </row>
    <row r="88" spans="1:15">
      <c r="A88" s="26" t="str">
        <f>A44</f>
        <v>0-1</v>
      </c>
      <c r="B88" s="1">
        <f>INDEX($D$87:$M$102,2,$C$87)</f>
        <v>0</v>
      </c>
      <c r="D88" s="1">
        <f>-'Zafarana 1999'!$D58/3.6</f>
        <v>0</v>
      </c>
      <c r="E88" s="34">
        <f>-'Zafarana 1999'!$D36/3.6</f>
        <v>0</v>
      </c>
      <c r="F88" s="1">
        <f>-'Zafarana 2010'!$D80/3.6</f>
        <v>0</v>
      </c>
      <c r="G88" s="1">
        <f>-'Zafarana 2010'!$D58/3.6</f>
        <v>2.5</v>
      </c>
      <c r="H88" s="34">
        <f>-'Zafarana 2010'!$D36/3.6</f>
        <v>0</v>
      </c>
    </row>
    <row r="89" spans="1:15">
      <c r="A89" s="26" t="str">
        <f t="shared" ref="A89:A98" si="14">A45</f>
        <v>1-2</v>
      </c>
      <c r="B89" s="1">
        <f>INDEX($D$87:$M$102,3,$C$87)</f>
        <v>0</v>
      </c>
      <c r="D89" s="1">
        <f>-'Zafarana 1999'!$D59/3.6</f>
        <v>0</v>
      </c>
      <c r="E89" s="34">
        <f>-'Zafarana 1999'!$D37/3.6</f>
        <v>0</v>
      </c>
      <c r="F89" s="1">
        <f>-'Zafarana 2010'!$D81/3.6</f>
        <v>0.27777777777777779</v>
      </c>
      <c r="G89" s="1">
        <f>-'Zafarana 2010'!$D59/3.6</f>
        <v>2.7777777777777777</v>
      </c>
      <c r="H89" s="34">
        <f>-'Zafarana 2010'!$D37/3.6</f>
        <v>128.33333333333334</v>
      </c>
    </row>
    <row r="90" spans="1:15">
      <c r="A90" s="26" t="str">
        <f t="shared" si="14"/>
        <v>2-3</v>
      </c>
      <c r="B90" s="1">
        <f>INDEX($D$87:$M$102,4,$C$87)</f>
        <v>0</v>
      </c>
      <c r="D90" s="1">
        <f>-'Zafarana 1999'!$D60/3.6</f>
        <v>0</v>
      </c>
      <c r="E90" s="34">
        <f>-'Zafarana 1999'!$D38/3.6</f>
        <v>0</v>
      </c>
      <c r="F90" s="1">
        <f>-'Zafarana 2010'!$D82/3.6</f>
        <v>4.4444444444444446</v>
      </c>
      <c r="G90" s="1">
        <f>-'Zafarana 2010'!$D60/3.6</f>
        <v>85.277777777777771</v>
      </c>
      <c r="H90" s="34">
        <f>-'Zafarana 2010'!$D38/3.6</f>
        <v>758.33333333333337</v>
      </c>
    </row>
    <row r="91" spans="1:15">
      <c r="A91" s="26" t="str">
        <f t="shared" si="14"/>
        <v>3-4</v>
      </c>
      <c r="B91" s="1">
        <f>INDEX($D$87:$M$102,5,$C$87)</f>
        <v>1.9444444444444444</v>
      </c>
      <c r="D91" s="1">
        <f>-'Zafarana 1999'!$D61/3.6</f>
        <v>0</v>
      </c>
      <c r="E91" s="34">
        <f>-'Zafarana 1999'!$D39/3.6</f>
        <v>1.9444444444444444</v>
      </c>
      <c r="F91" s="1">
        <f>-'Zafarana 2010'!$D83/3.6</f>
        <v>34.166666666666664</v>
      </c>
      <c r="G91" s="1">
        <f>-'Zafarana 2010'!$D61/3.6</f>
        <v>395.55555555555554</v>
      </c>
      <c r="H91" s="34">
        <f>-'Zafarana 2010'!$D39/3.6</f>
        <v>1697.2222222222222</v>
      </c>
    </row>
    <row r="92" spans="1:15">
      <c r="A92" s="26" t="str">
        <f t="shared" si="14"/>
        <v>4-5</v>
      </c>
      <c r="B92" s="1">
        <f>INDEX($D$87:$M$102,6,$C$87)</f>
        <v>138.88888888888889</v>
      </c>
      <c r="D92" s="1">
        <f>-'Zafarana 1999'!$D62/3.6</f>
        <v>6.1111111111111107</v>
      </c>
      <c r="E92" s="34">
        <f>-'Zafarana 1999'!$D40/3.6</f>
        <v>138.88888888888889</v>
      </c>
      <c r="F92" s="1">
        <f>-'Zafarana 2010'!$D84/3.6</f>
        <v>60</v>
      </c>
      <c r="G92" s="1">
        <f>-'Zafarana 2010'!$D62/3.6</f>
        <v>623.05555555555554</v>
      </c>
      <c r="H92" s="34">
        <f>-'Zafarana 2010'!$D40/3.6</f>
        <v>2169.7222222222222</v>
      </c>
    </row>
    <row r="93" spans="1:15">
      <c r="A93" s="26" t="str">
        <f t="shared" si="14"/>
        <v>5-6</v>
      </c>
      <c r="B93" s="1">
        <f>INDEX($D$87:$M$102,7,$C$87)</f>
        <v>734.16666666666663</v>
      </c>
      <c r="D93" s="1">
        <f>-'Zafarana 1999'!$D63/3.6</f>
        <v>61.944444444444443</v>
      </c>
      <c r="E93" s="34">
        <f>-'Zafarana 1999'!$D41/3.6</f>
        <v>734.16666666666663</v>
      </c>
      <c r="F93" s="1">
        <f>-'Zafarana 2010'!$D85/3.6</f>
        <v>66.666666666666671</v>
      </c>
      <c r="G93" s="1">
        <f>-'Zafarana 2010'!$D63/3.6</f>
        <v>653.33333333333337</v>
      </c>
      <c r="H93" s="34">
        <f>-'Zafarana 2010'!$D41/3.6</f>
        <v>1667.7777777777778</v>
      </c>
    </row>
    <row r="94" spans="1:15">
      <c r="A94" s="26" t="str">
        <f t="shared" si="14"/>
        <v>6-7</v>
      </c>
      <c r="B94" s="1">
        <f>INDEX($D$87:$M$102,8,$C$87)</f>
        <v>957.77777777777771</v>
      </c>
      <c r="D94" s="1">
        <f>-'Zafarana 1999'!$D64/3.6</f>
        <v>99.722222222222214</v>
      </c>
      <c r="E94" s="34">
        <f>-'Zafarana 1999'!$D42/3.6</f>
        <v>957.77777777777771</v>
      </c>
      <c r="F94" s="1">
        <f>-'Zafarana 2010'!$D86/3.6</f>
        <v>36.944444444444443</v>
      </c>
      <c r="G94" s="1">
        <f>-'Zafarana 2010'!$D64/3.6</f>
        <v>303.05555555555554</v>
      </c>
      <c r="H94" s="34">
        <f>-'Zafarana 2010'!$D42/3.6</f>
        <v>796.11111111111109</v>
      </c>
    </row>
    <row r="95" spans="1:15">
      <c r="A95" s="26" t="str">
        <f t="shared" si="14"/>
        <v>7-8</v>
      </c>
      <c r="B95" s="1">
        <f>INDEX($D$87:$M$102,9,$C$87)</f>
        <v>516.11111111111109</v>
      </c>
      <c r="D95" s="1">
        <f>-'Zafarana 1999'!$D65/3.6</f>
        <v>60.555555555555557</v>
      </c>
      <c r="E95" s="34">
        <f>-'Zafarana 1999'!$D43/3.6</f>
        <v>516.11111111111109</v>
      </c>
      <c r="F95" s="1">
        <f>-'Zafarana 2010'!$D87/3.6</f>
        <v>19.166666666666668</v>
      </c>
      <c r="G95" s="1">
        <f>-'Zafarana 2010'!$D65/3.6</f>
        <v>194.44444444444443</v>
      </c>
      <c r="H95" s="34">
        <f>-'Zafarana 2010'!$D43/3.6</f>
        <v>626.38888888888891</v>
      </c>
    </row>
    <row r="96" spans="1:15">
      <c r="A96" s="26" t="str">
        <f t="shared" si="14"/>
        <v>8-9</v>
      </c>
      <c r="B96" s="1">
        <f>INDEX($D$87:$M$102,10,$C$87)</f>
        <v>210.55555555555554</v>
      </c>
      <c r="D96" s="1">
        <f>-'Zafarana 1999'!$D66/3.6</f>
        <v>26.666666666666664</v>
      </c>
      <c r="E96" s="34">
        <f>-'Zafarana 1999'!$D44/3.6</f>
        <v>210.55555555555554</v>
      </c>
      <c r="F96" s="1">
        <f>-'Zafarana 2010'!$D88/3.6</f>
        <v>20.833333333333332</v>
      </c>
      <c r="G96" s="1">
        <f>-'Zafarana 2010'!$D66/3.6</f>
        <v>191.66666666666666</v>
      </c>
      <c r="H96" s="34">
        <f>-'Zafarana 2010'!$D44/3.6</f>
        <v>483.33333333333331</v>
      </c>
    </row>
    <row r="97" spans="1:13">
      <c r="A97" s="26" t="str">
        <f t="shared" si="14"/>
        <v>9-10</v>
      </c>
      <c r="B97" s="1">
        <f>INDEX($D$87:$M$102,11,$C$87)</f>
        <v>5.833333333333333</v>
      </c>
      <c r="D97" s="1">
        <f>-'Zafarana 1999'!$D67/3.6</f>
        <v>1.3888888888888888</v>
      </c>
      <c r="E97" s="34">
        <f>-'Zafarana 1999'!$D45/3.6</f>
        <v>5.833333333333333</v>
      </c>
      <c r="F97" s="1">
        <f>-'Zafarana 2010'!$D89/3.6</f>
        <v>13.611111111111111</v>
      </c>
      <c r="G97" s="1">
        <f>-'Zafarana 2010'!$D67/3.6</f>
        <v>111.11111111111111</v>
      </c>
      <c r="H97" s="34">
        <f>-'Zafarana 2010'!$D45/3.6</f>
        <v>200</v>
      </c>
    </row>
    <row r="98" spans="1:13">
      <c r="A98" s="26" t="str">
        <f t="shared" si="14"/>
        <v>10-11</v>
      </c>
      <c r="B98" s="1">
        <f>INDEX($D$87:$M$102,12,$C$87)</f>
        <v>0</v>
      </c>
      <c r="D98" s="1">
        <f>-'Zafarana 1999'!$D68/3.6</f>
        <v>0</v>
      </c>
      <c r="E98" s="34">
        <f>-'Zafarana 1999'!$D46/3.6</f>
        <v>0</v>
      </c>
      <c r="F98" s="1">
        <f>-'Zafarana 2010'!$D90/3.6</f>
        <v>0.83333333333333326</v>
      </c>
      <c r="G98" s="1">
        <f>-'Zafarana 2010'!$D68/3.6</f>
        <v>4.4444444444444446</v>
      </c>
      <c r="H98" s="34">
        <f>-'Zafarana 2010'!$D46/3.6</f>
        <v>5.2777777777777777</v>
      </c>
    </row>
    <row r="99" spans="1:13">
      <c r="A99" s="17" t="s">
        <v>61</v>
      </c>
      <c r="B99" s="1">
        <f>INDEX($D$87:$M$102,13,$C$87)</f>
        <v>2565.2777777777778</v>
      </c>
      <c r="D99" s="1">
        <f>SUM(D88:D98)</f>
        <v>256.38888888888886</v>
      </c>
      <c r="E99" s="1">
        <f>SUM(E88:E98)</f>
        <v>2565.2777777777778</v>
      </c>
      <c r="F99" s="1">
        <f>SUM(F88:F98)</f>
        <v>256.9444444444444</v>
      </c>
      <c r="G99" s="1">
        <f>SUM(G88:G98)</f>
        <v>2567.2222222222222</v>
      </c>
      <c r="H99" s="1">
        <f>SUM(H88:H98)</f>
        <v>8532.5</v>
      </c>
    </row>
    <row r="100" spans="1:13">
      <c r="A100" s="17" t="s">
        <v>30</v>
      </c>
      <c r="B100" s="2" t="str">
        <f>INDEX($D$87:$M$102,14,$C$87)</f>
        <v>GWh</v>
      </c>
      <c r="D100" s="2" t="s">
        <v>72</v>
      </c>
      <c r="E100" s="2" t="s">
        <v>72</v>
      </c>
      <c r="F100" s="2" t="s">
        <v>72</v>
      </c>
      <c r="G100" s="2" t="s">
        <v>72</v>
      </c>
      <c r="H100" s="2" t="s">
        <v>72</v>
      </c>
    </row>
    <row r="101" spans="1:13">
      <c r="A101" s="17" t="s">
        <v>62</v>
      </c>
      <c r="B101" s="1">
        <f>INDEX($D$87:$M$102,15,$C$87)</f>
        <v>600</v>
      </c>
      <c r="D101" s="19">
        <v>60</v>
      </c>
      <c r="E101" s="19">
        <v>600</v>
      </c>
      <c r="F101" s="19">
        <v>60</v>
      </c>
      <c r="G101" s="19">
        <v>600</v>
      </c>
      <c r="H101" s="19">
        <v>2000</v>
      </c>
    </row>
    <row r="102" spans="1:13">
      <c r="A102" t="s">
        <v>59</v>
      </c>
      <c r="B102" s="1">
        <f>INDEX($D$87:$M$102,16,$C$87)</f>
        <v>4275.4629629629626</v>
      </c>
      <c r="D102" s="1">
        <f>D99/D101*1000</f>
        <v>4273.1481481481478</v>
      </c>
      <c r="E102" s="1">
        <f>E99/E101*1000</f>
        <v>4275.4629629629626</v>
      </c>
      <c r="F102" s="1">
        <f>F99/F101*1000</f>
        <v>4282.4074074074069</v>
      </c>
      <c r="G102" s="1">
        <f>G99/G101*1000</f>
        <v>4278.7037037037035</v>
      </c>
      <c r="H102" s="1">
        <f>H99/H101*1000</f>
        <v>4266.25</v>
      </c>
    </row>
    <row r="111" spans="1:13">
      <c r="A111" s="40" t="s">
        <v>105</v>
      </c>
      <c r="D111" s="6"/>
      <c r="E111" s="6"/>
    </row>
    <row r="112" spans="1:13" ht="39.6">
      <c r="A112" s="42" t="s">
        <v>151</v>
      </c>
      <c r="B112" s="18" t="str">
        <f>INDEX($D$112:$M$113,1,$C$112)</f>
        <v>Gasturbine 40%</v>
      </c>
      <c r="C112">
        <v>2</v>
      </c>
      <c r="D112" s="15" t="str">
        <f>D29</f>
        <v>Gasturbine 35%</v>
      </c>
      <c r="E112" s="32" t="str">
        <f>D30</f>
        <v>Gasturbine 40%</v>
      </c>
      <c r="F112" s="18" t="str">
        <f>D31</f>
        <v>Gas CCGT 50%</v>
      </c>
      <c r="G112" s="18" t="str">
        <f>D32</f>
        <v>Gas CCGT 55%</v>
      </c>
      <c r="H112" s="23" t="str">
        <f>D33</f>
        <v>Coal  35%</v>
      </c>
      <c r="I112" s="18" t="str">
        <f>D34</f>
        <v>Coal  40%</v>
      </c>
      <c r="J112" s="18" t="str">
        <f>D35</f>
        <v>Coal  50%</v>
      </c>
      <c r="K112" s="18" t="str">
        <f>D36</f>
        <v>Tech7</v>
      </c>
      <c r="L112" s="18" t="str">
        <f>D37</f>
        <v>Tech8</v>
      </c>
      <c r="M112" s="18" t="str">
        <f>D38</f>
        <v>Tech9</v>
      </c>
    </row>
    <row r="113" spans="1:13">
      <c r="A113" s="26" t="str">
        <f>A44</f>
        <v>0-1</v>
      </c>
      <c r="B113" s="1">
        <f>INDEX($D$112:$M$116,2,$C$112)</f>
        <v>513</v>
      </c>
      <c r="D113" s="1">
        <f t="shared" ref="D113:J113" si="15">VLOOKUP(D114,$A$77:$B$79,2)*3.6/(D115/100)</f>
        <v>586.28571428571433</v>
      </c>
      <c r="E113" s="1">
        <f t="shared" si="15"/>
        <v>513</v>
      </c>
      <c r="F113" s="1">
        <f t="shared" si="15"/>
        <v>410.40000000000003</v>
      </c>
      <c r="G113" s="1">
        <f t="shared" si="15"/>
        <v>373.09090909090907</v>
      </c>
      <c r="H113" s="1">
        <f t="shared" si="15"/>
        <v>977.14285714285722</v>
      </c>
      <c r="I113" s="1">
        <f t="shared" si="15"/>
        <v>855</v>
      </c>
      <c r="J113" s="1">
        <f t="shared" si="15"/>
        <v>684</v>
      </c>
    </row>
    <row r="114" spans="1:13">
      <c r="A114" s="9"/>
      <c r="B114" s="27" t="str">
        <f>INDEX($D$112:$M$116,3,$C$112)</f>
        <v>NG</v>
      </c>
      <c r="C114" s="1"/>
      <c r="D114" s="26" t="s">
        <v>19</v>
      </c>
      <c r="E114" s="26" t="s">
        <v>19</v>
      </c>
      <c r="F114" s="26" t="s">
        <v>19</v>
      </c>
      <c r="G114" s="26" t="s">
        <v>19</v>
      </c>
      <c r="H114" s="26" t="s">
        <v>121</v>
      </c>
      <c r="I114" s="26" t="s">
        <v>121</v>
      </c>
      <c r="J114" s="26" t="s">
        <v>121</v>
      </c>
    </row>
    <row r="115" spans="1:13">
      <c r="A115" s="9" t="s">
        <v>155</v>
      </c>
      <c r="B115" s="1">
        <f>INDEX($D$112:$M$116,4,$C$112)</f>
        <v>40</v>
      </c>
      <c r="C115" s="1"/>
      <c r="D115" s="1">
        <v>35</v>
      </c>
      <c r="E115" s="1">
        <v>40</v>
      </c>
      <c r="F115" s="1">
        <v>50</v>
      </c>
      <c r="G115" s="1">
        <v>55</v>
      </c>
      <c r="H115" s="1">
        <v>35</v>
      </c>
      <c r="I115" s="1">
        <v>40</v>
      </c>
      <c r="J115" s="1">
        <v>50</v>
      </c>
      <c r="K115" s="1"/>
    </row>
    <row r="116" spans="1:13">
      <c r="A116" s="17" t="s">
        <v>157</v>
      </c>
      <c r="B116" s="1">
        <f>INDEX($D$112:$M$116,5,$C$112)</f>
        <v>2193.3125</v>
      </c>
      <c r="C116" s="1"/>
      <c r="D116" s="1">
        <f t="shared" ref="D116:J116" si="16">$B$102*D113/1000</f>
        <v>2506.6428571428573</v>
      </c>
      <c r="E116" s="1">
        <f t="shared" si="16"/>
        <v>2193.3125</v>
      </c>
      <c r="F116" s="1">
        <f t="shared" si="16"/>
        <v>1754.65</v>
      </c>
      <c r="G116" s="1">
        <f t="shared" si="16"/>
        <v>1595.1363636363633</v>
      </c>
      <c r="H116" s="1">
        <f t="shared" si="16"/>
        <v>4177.7380952380954</v>
      </c>
      <c r="I116" s="1">
        <f t="shared" si="16"/>
        <v>3655.520833333333</v>
      </c>
      <c r="J116" s="1">
        <f t="shared" si="16"/>
        <v>2924.4166666666665</v>
      </c>
    </row>
    <row r="117" spans="1:13">
      <c r="A117" s="3"/>
      <c r="B117" s="6"/>
      <c r="C117" s="1"/>
      <c r="F117" s="6"/>
      <c r="H117" s="6"/>
      <c r="I117" s="6"/>
    </row>
    <row r="118" spans="1:13">
      <c r="C118" s="1"/>
    </row>
    <row r="119" spans="1:13" ht="39.6">
      <c r="A119" s="42" t="s">
        <v>152</v>
      </c>
      <c r="B119" s="18" t="str">
        <f>INDEX($D$119:$M$132,1,$C$87)</f>
        <v>Zafarana 1999 600 MW</v>
      </c>
      <c r="C119" s="39"/>
      <c r="D119" s="15" t="str">
        <f>D87</f>
        <v>Zafarana 1999 60 MW</v>
      </c>
      <c r="E119" s="15" t="str">
        <f t="shared" ref="E119:M119" si="17">E87</f>
        <v>Zafarana 1999 600 MW</v>
      </c>
      <c r="F119" s="15" t="str">
        <f t="shared" si="17"/>
        <v>Zafarana 2010 60 MW</v>
      </c>
      <c r="G119" s="15" t="str">
        <f t="shared" si="17"/>
        <v>Zafarana 2010 600 MW</v>
      </c>
      <c r="H119" s="15" t="str">
        <f t="shared" si="17"/>
        <v>Zafarana 2010 2000 MW</v>
      </c>
      <c r="I119" s="15" t="str">
        <f t="shared" si="17"/>
        <v>Wind5</v>
      </c>
      <c r="J119" s="15" t="str">
        <f t="shared" si="17"/>
        <v>Wind6</v>
      </c>
      <c r="K119" s="15" t="str">
        <f t="shared" si="17"/>
        <v>Wind7</v>
      </c>
      <c r="L119" s="15" t="str">
        <f t="shared" si="17"/>
        <v>Wind8</v>
      </c>
      <c r="M119" s="15" t="str">
        <f t="shared" si="17"/>
        <v>Wind9</v>
      </c>
    </row>
    <row r="120" spans="1:13">
      <c r="A120" s="26" t="str">
        <f>A44</f>
        <v>0-1</v>
      </c>
      <c r="B120" s="1">
        <f>INDEX($D$119:$M$133,2,$C$87)</f>
        <v>488.57142857142861</v>
      </c>
      <c r="C120" s="15"/>
      <c r="D120" s="1">
        <f>$B$79*3.6/('Zafarana 1999'!$E36/100)</f>
        <v>488.57142857142861</v>
      </c>
      <c r="E120" s="1">
        <f>$B$79*3.6/('Zafarana 1999'!$E36/100)</f>
        <v>488.57142857142861</v>
      </c>
      <c r="F120" s="1">
        <f>$B$79*3.6/('Zafarana 2010'!$E36/100)</f>
        <v>488.57142857142861</v>
      </c>
      <c r="G120" s="1">
        <f>$B$79*3.6/('Zafarana 2010'!$E36/100)</f>
        <v>488.57142857142861</v>
      </c>
      <c r="H120" s="1">
        <f>$B$79*3.6/('Zafarana 2010'!$E36/100)</f>
        <v>488.57142857142861</v>
      </c>
    </row>
    <row r="121" spans="1:13">
      <c r="A121" s="26" t="str">
        <f t="shared" ref="A121:A130" si="18">A45</f>
        <v>1-2</v>
      </c>
      <c r="B121" s="1">
        <f>INDEX($D$119:$M$133,3,$C$87)</f>
        <v>500.48780487804885</v>
      </c>
      <c r="D121" s="1">
        <f>$B$79*3.6/('Zafarana 1999'!$E37/100)</f>
        <v>500.48780487804885</v>
      </c>
      <c r="E121" s="1">
        <f>$B$79*3.6/('Zafarana 1999'!$E37/100)</f>
        <v>500.48780487804885</v>
      </c>
      <c r="F121" s="1">
        <f>$B$79*3.6/('Zafarana 2010'!$E37/100)</f>
        <v>488.57142857142861</v>
      </c>
      <c r="G121" s="1">
        <f>$B$79*3.6/('Zafarana 2010'!$E37/100)</f>
        <v>488.57142857142861</v>
      </c>
      <c r="H121" s="1">
        <f>$B$79*3.6/('Zafarana 2010'!$E37/100)</f>
        <v>488.57142857142861</v>
      </c>
    </row>
    <row r="122" spans="1:13">
      <c r="A122" s="26" t="str">
        <f t="shared" si="18"/>
        <v>2-3</v>
      </c>
      <c r="B122" s="1">
        <f>INDEX($D$119:$M$133,4,$C$87)</f>
        <v>526.15384615384619</v>
      </c>
      <c r="D122" s="1">
        <f>$B$79*3.6/('Zafarana 1999'!$E38/100)</f>
        <v>526.15384615384619</v>
      </c>
      <c r="E122" s="1">
        <f>$B$79*3.6/('Zafarana 1999'!$E38/100)</f>
        <v>526.15384615384619</v>
      </c>
      <c r="F122" s="1">
        <f>$B$79*3.6/('Zafarana 2010'!$E38/100)</f>
        <v>500.48780487804885</v>
      </c>
      <c r="G122" s="1">
        <f>$B$79*3.6/('Zafarana 2010'!$E38/100)</f>
        <v>500.48780487804885</v>
      </c>
      <c r="H122" s="1">
        <f>$B$79*3.6/('Zafarana 2010'!$E38/100)</f>
        <v>500.48780487804885</v>
      </c>
    </row>
    <row r="123" spans="1:13">
      <c r="A123" s="26" t="str">
        <f t="shared" si="18"/>
        <v>3-4</v>
      </c>
      <c r="B123" s="1">
        <f>INDEX($D$119:$M$133,5,$C$87)</f>
        <v>526.15384615384619</v>
      </c>
      <c r="D123" s="1">
        <f>$B$79*3.6/('Zafarana 1999'!$E39/100)</f>
        <v>526.15384615384619</v>
      </c>
      <c r="E123" s="1">
        <f>$B$79*3.6/('Zafarana 1999'!$E39/100)</f>
        <v>526.15384615384619</v>
      </c>
      <c r="F123" s="1">
        <f>$B$79*3.6/('Zafarana 2010'!$E39/100)</f>
        <v>526.15384615384619</v>
      </c>
      <c r="G123" s="1">
        <f>$B$79*3.6/('Zafarana 2010'!$E39/100)</f>
        <v>526.15384615384619</v>
      </c>
      <c r="H123" s="1">
        <f>$B$79*3.6/('Zafarana 2010'!$E39/100)</f>
        <v>526.15384615384619</v>
      </c>
    </row>
    <row r="124" spans="1:13">
      <c r="A124" s="26" t="str">
        <f t="shared" si="18"/>
        <v>4-5</v>
      </c>
      <c r="B124" s="1">
        <f>INDEX($D$119:$M$133,6,$C$87)</f>
        <v>540</v>
      </c>
      <c r="D124" s="1">
        <f>$B$79*3.6/('Zafarana 1999'!$E40/100)</f>
        <v>540</v>
      </c>
      <c r="E124" s="1">
        <f>$B$79*3.6/('Zafarana 1999'!$E40/100)</f>
        <v>540</v>
      </c>
      <c r="F124" s="1">
        <f>$B$79*3.6/('Zafarana 2010'!$E40/100)</f>
        <v>526.15384615384619</v>
      </c>
      <c r="G124" s="1">
        <f>$B$79*3.6/('Zafarana 2010'!$E40/100)</f>
        <v>526.15384615384619</v>
      </c>
      <c r="H124" s="1">
        <f>$B$79*3.6/('Zafarana 2010'!$E40/100)</f>
        <v>526.15384615384619</v>
      </c>
    </row>
    <row r="125" spans="1:13">
      <c r="A125" s="26" t="str">
        <f t="shared" si="18"/>
        <v>5-6</v>
      </c>
      <c r="B125" s="1">
        <f>INDEX($D$119:$M$133,7,$C$87)</f>
        <v>526.15384615384619</v>
      </c>
      <c r="D125" s="1">
        <f>$B$79*3.6/('Zafarana 1999'!$E41/100)</f>
        <v>526.15384615384619</v>
      </c>
      <c r="E125" s="1">
        <f>$B$79*3.6/('Zafarana 1999'!$E41/100)</f>
        <v>526.15384615384619</v>
      </c>
      <c r="F125" s="1">
        <f>$B$79*3.6/('Zafarana 2010'!$E41/100)</f>
        <v>540</v>
      </c>
      <c r="G125" s="1">
        <f>$B$79*3.6/('Zafarana 2010'!$E41/100)</f>
        <v>540</v>
      </c>
      <c r="H125" s="1">
        <f>$B$79*3.6/('Zafarana 2010'!$E41/100)</f>
        <v>540</v>
      </c>
    </row>
    <row r="126" spans="1:13">
      <c r="A126" s="26" t="str">
        <f t="shared" si="18"/>
        <v>6-7</v>
      </c>
      <c r="B126" s="1">
        <f>INDEX($D$119:$M$133,8,$C$87)</f>
        <v>621.81818181818187</v>
      </c>
      <c r="D126" s="1">
        <f>$B$79*3.6/('Zafarana 1999'!$E42/100)</f>
        <v>621.81818181818187</v>
      </c>
      <c r="E126" s="1">
        <f>$B$79*3.6/('Zafarana 1999'!$E42/100)</f>
        <v>621.81818181818187</v>
      </c>
      <c r="F126" s="1">
        <f>$B$79*3.6/('Zafarana 2010'!$E42/100)</f>
        <v>526.15384615384619</v>
      </c>
      <c r="G126" s="1">
        <f>$B$79*3.6/('Zafarana 2010'!$E42/100)</f>
        <v>526.15384615384619</v>
      </c>
      <c r="H126" s="1">
        <f>$B$79*3.6/('Zafarana 2010'!$E42/100)</f>
        <v>526.15384615384619</v>
      </c>
    </row>
    <row r="127" spans="1:13">
      <c r="A127" s="26" t="str">
        <f t="shared" si="18"/>
        <v>7-8</v>
      </c>
      <c r="B127" s="1">
        <f>INDEX($D$119:$M$133,9,$C$87)</f>
        <v>586.28571428571433</v>
      </c>
      <c r="D127" s="1">
        <f>$B$79*3.6/('Zafarana 1999'!$E43/100)</f>
        <v>586.28571428571433</v>
      </c>
      <c r="E127" s="1">
        <f>$B$79*3.6/('Zafarana 1999'!$E43/100)</f>
        <v>586.28571428571433</v>
      </c>
      <c r="F127" s="1">
        <f>$B$79*3.6/('Zafarana 2010'!$E43/100)</f>
        <v>621.81818181818187</v>
      </c>
      <c r="G127" s="1">
        <f>$B$79*3.6/('Zafarana 2010'!$E43/100)</f>
        <v>621.81818181818187</v>
      </c>
      <c r="H127" s="1">
        <f>$B$79*3.6/('Zafarana 2010'!$E43/100)</f>
        <v>621.81818181818187</v>
      </c>
    </row>
    <row r="128" spans="1:13">
      <c r="A128" s="26" t="str">
        <f t="shared" si="18"/>
        <v>8-9</v>
      </c>
      <c r="B128" s="1">
        <f>INDEX($D$119:$M$133,10,$C$87)</f>
        <v>855.00000000000011</v>
      </c>
      <c r="D128" s="1">
        <f>$B$79*3.6/('Zafarana 1999'!$E44/100)</f>
        <v>855.00000000000011</v>
      </c>
      <c r="E128" s="1">
        <f>$B$79*3.6/('Zafarana 1999'!$E44/100)</f>
        <v>855.00000000000011</v>
      </c>
      <c r="F128" s="1">
        <f>$B$79*3.6/('Zafarana 2010'!$E44/100)</f>
        <v>586.28571428571433</v>
      </c>
      <c r="G128" s="1">
        <f>$B$79*3.6/('Zafarana 2010'!$E44/100)</f>
        <v>586.28571428571433</v>
      </c>
      <c r="H128" s="1">
        <f>$B$79*3.6/('Zafarana 2010'!$E44/100)</f>
        <v>586.28571428571433</v>
      </c>
    </row>
    <row r="129" spans="1:14">
      <c r="A129" s="26" t="str">
        <f t="shared" si="18"/>
        <v>9-10</v>
      </c>
      <c r="B129" s="1">
        <f>INDEX($D$119:$M$133,11,$C$87)</f>
        <v>977.14285714285722</v>
      </c>
      <c r="C129" s="6"/>
      <c r="D129" s="1">
        <f>$B$79*3.6/('Zafarana 1999'!$E45/100)</f>
        <v>977.14285714285722</v>
      </c>
      <c r="E129" s="1">
        <f>$B$79*3.6/('Zafarana 1999'!$E45/100)</f>
        <v>977.14285714285722</v>
      </c>
      <c r="F129" s="1">
        <f>$B$79*3.6/('Zafarana 2010'!$E45/100)</f>
        <v>855.00000000000011</v>
      </c>
      <c r="G129" s="1">
        <f>$B$79*3.6/('Zafarana 2010'!$E45/100)</f>
        <v>855.00000000000011</v>
      </c>
      <c r="H129" s="1">
        <f>$B$79*3.6/('Zafarana 2010'!$E45/100)</f>
        <v>855.00000000000011</v>
      </c>
    </row>
    <row r="130" spans="1:14">
      <c r="A130" s="26" t="str">
        <f t="shared" si="18"/>
        <v>10-11</v>
      </c>
      <c r="B130" s="1">
        <f>INDEX($D$119:$M$133,12,$C$87)</f>
        <v>977.14285714285722</v>
      </c>
      <c r="C130" s="6"/>
      <c r="D130" s="1">
        <f>$B$79*3.6/('Zafarana 1999'!$E46/100)</f>
        <v>977.14285714285722</v>
      </c>
      <c r="E130" s="1">
        <f>$B$79*3.6/('Zafarana 1999'!$E46/100)</f>
        <v>977.14285714285722</v>
      </c>
      <c r="F130" s="1">
        <f>$B$79*3.6/('Zafarana 2010'!$E46/100)</f>
        <v>977.14285714285722</v>
      </c>
      <c r="G130" s="1">
        <f>$B$79*3.6/('Zafarana 2010'!$E46/100)</f>
        <v>977.14285714285722</v>
      </c>
      <c r="H130" s="1">
        <f>$B$79*3.6/('Zafarana 2010'!$E46/100)</f>
        <v>977.14285714285722</v>
      </c>
    </row>
    <row r="131" spans="1:14">
      <c r="A131" s="26"/>
      <c r="B131" s="1"/>
      <c r="C131" s="6"/>
      <c r="D131" s="1"/>
      <c r="E131" s="1"/>
      <c r="F131" s="1"/>
      <c r="G131" s="1"/>
      <c r="H131" s="1"/>
    </row>
    <row r="132" spans="1:14">
      <c r="A132" s="104" t="s">
        <v>104</v>
      </c>
      <c r="D132" s="1"/>
    </row>
    <row r="133" spans="1:14">
      <c r="A133" s="17" t="s">
        <v>121</v>
      </c>
      <c r="B133" s="1">
        <f>INDEX($D$133:$M$137,1,$C$87)</f>
        <v>0</v>
      </c>
      <c r="D133" s="1">
        <f>'Zafarana 1999'!O69</f>
        <v>0</v>
      </c>
      <c r="E133" s="1">
        <f>'Zafarana 1999'!$O$47</f>
        <v>0</v>
      </c>
      <c r="F133" s="1">
        <f>'Zafarana 2010'!$O$91</f>
        <v>0</v>
      </c>
      <c r="G133" s="1">
        <f>'Zafarana 2010'!$O$69</f>
        <v>0</v>
      </c>
      <c r="H133" s="1">
        <f>'Zafarana 2010'!$O$47</f>
        <v>0</v>
      </c>
    </row>
    <row r="134" spans="1:14">
      <c r="A134" s="17" t="s">
        <v>118</v>
      </c>
      <c r="B134" s="1">
        <f>INDEX($D$133:$M$137,2,$C$87)</f>
        <v>0</v>
      </c>
      <c r="D134" s="1">
        <f>'Zafarana 1999'!P69</f>
        <v>0</v>
      </c>
      <c r="E134" s="1">
        <f>'Zafarana 1999'!$P$47</f>
        <v>0</v>
      </c>
      <c r="F134" s="1">
        <f>'Zafarana 2010'!$P$91</f>
        <v>355.86080586080584</v>
      </c>
      <c r="G134" s="1">
        <f>'Zafarana 2010'!$P$69</f>
        <v>4427.4725274725279</v>
      </c>
      <c r="H134" s="1">
        <f>'Zafarana 2010'!$P$47</f>
        <v>23266.666666666664</v>
      </c>
    </row>
    <row r="135" spans="1:14">
      <c r="A135" s="17" t="s">
        <v>19</v>
      </c>
      <c r="B135" s="1">
        <f>INDEX($D$133:$M$137,3,$C$87)</f>
        <v>27126.050878945618</v>
      </c>
      <c r="D135" s="1">
        <f>'Zafarana 1999'!Q69</f>
        <v>2764.235063182432</v>
      </c>
      <c r="E135" s="1">
        <f>'Zafarana 1999'!$Q$47</f>
        <v>27126.050878945618</v>
      </c>
      <c r="F135" s="1">
        <f>'Zafarana 2010'!$Q$91</f>
        <v>2168.2797465692197</v>
      </c>
      <c r="G135" s="1">
        <f>'Zafarana 2010'!$Q$69</f>
        <v>20573.689468426313</v>
      </c>
      <c r="H135" s="1">
        <f>'Zafarana 2010'!$Q$47</f>
        <v>58072.161172161177</v>
      </c>
    </row>
    <row r="136" spans="1:14">
      <c r="A136" s="17" t="s">
        <v>31</v>
      </c>
      <c r="B136" s="27">
        <f>SUM(B133:B135)</f>
        <v>27126.050878945618</v>
      </c>
      <c r="D136" s="27">
        <f>SUM(D133:D135)</f>
        <v>2764.235063182432</v>
      </c>
      <c r="E136" s="27">
        <f>SUM(E133:E135)</f>
        <v>27126.050878945618</v>
      </c>
      <c r="F136" s="27">
        <f>SUM(F133:F135)</f>
        <v>2524.1405524300253</v>
      </c>
      <c r="G136" s="27">
        <f>SUM(G133:G135)</f>
        <v>25001.161995898841</v>
      </c>
      <c r="H136" s="27">
        <f>SUM(H133:H135)</f>
        <v>81338.827838827841</v>
      </c>
    </row>
    <row r="137" spans="1:14">
      <c r="A137" s="17" t="s">
        <v>157</v>
      </c>
      <c r="B137" s="1">
        <f>INDEX($D$133:$M$137,5,$C$87)</f>
        <v>2576.9748334998339</v>
      </c>
      <c r="D137" s="1">
        <f>(D133*$B$77+D134*$B$78+D135*$B$79)/D101</f>
        <v>2626.0233100233104</v>
      </c>
      <c r="E137" s="1">
        <f>(E133*$B$77+E134*$B$78+E135*$B$79)/E101</f>
        <v>2576.9748334998339</v>
      </c>
      <c r="F137" s="1">
        <f>(F133*$B$77+F134*$B$78+F135*$B$79)/F101</f>
        <v>2498.7607531357526</v>
      </c>
      <c r="G137" s="1">
        <f>(G133*$B$77+G134*$B$78+G135*$B$79)/G101</f>
        <v>2500.5554445554453</v>
      </c>
      <c r="H137" s="1">
        <f>(H133*$B$77+H134*$B$78+H135*$B$79)/H101</f>
        <v>2515.9232600732603</v>
      </c>
    </row>
    <row r="138" spans="1:14">
      <c r="A138" s="17" t="s">
        <v>119</v>
      </c>
      <c r="B138" s="2" t="str">
        <f>IF(B133&gt;0,A133&amp;"/","")&amp;IF(B134&gt;0,A134&amp;"/","")&amp;IF(B135&gt;0,A135,"")</f>
        <v>NG</v>
      </c>
      <c r="D138" s="1"/>
      <c r="E138" s="1"/>
      <c r="F138" s="1"/>
      <c r="G138" s="1"/>
      <c r="H138" s="1"/>
    </row>
    <row r="139" spans="1:14">
      <c r="A139" s="3"/>
      <c r="B139" s="6"/>
      <c r="D139" s="6"/>
    </row>
    <row r="140" spans="1:14">
      <c r="A140" s="40" t="str">
        <f>"Electricity prices, "&amp;$B$81&amp;"/MWh"</f>
        <v>Electricity prices, $/MWh</v>
      </c>
    </row>
    <row r="141" spans="1:14" ht="42" customHeight="1">
      <c r="A141" s="38" t="s">
        <v>154</v>
      </c>
      <c r="B141" s="18" t="str">
        <f>INDEX($D$141:$M$158,1,$C$141)</f>
        <v>Egypt - custom avg.</v>
      </c>
      <c r="C141">
        <v>2</v>
      </c>
      <c r="D141" s="18" t="str">
        <f>E29</f>
        <v>Custom flat rate</v>
      </c>
      <c r="E141" s="32" t="str">
        <f>$E$30</f>
        <v>Egypt - custom avg.</v>
      </c>
      <c r="F141" s="32" t="str">
        <f>$E$31</f>
        <v>Egypt - avg. 20$/MWh</v>
      </c>
      <c r="G141" s="32" t="str">
        <f>$E$32</f>
        <v>Egypt - avg. 30$/MWh</v>
      </c>
      <c r="H141" s="32" t="str">
        <f>$E$33</f>
        <v>Market 10-40 $/MWh</v>
      </c>
      <c r="I141" s="32" t="str">
        <f>$E$34</f>
        <v>Rate5</v>
      </c>
      <c r="J141" s="32" t="str">
        <f>$E$35</f>
        <v>Rate6</v>
      </c>
      <c r="K141" s="32" t="str">
        <f>$E$36</f>
        <v>Rate7</v>
      </c>
      <c r="L141" s="32" t="str">
        <f>$E$37</f>
        <v>Rate8</v>
      </c>
      <c r="M141" s="32" t="str">
        <f>$E$38</f>
        <v>Rate9</v>
      </c>
      <c r="N141" s="44" t="s">
        <v>71</v>
      </c>
    </row>
    <row r="142" spans="1:14">
      <c r="A142" s="26" t="str">
        <f>A44</f>
        <v>0-1</v>
      </c>
      <c r="B142" s="6">
        <f>INDEX($D$141:$M$158,2,$C$141)</f>
        <v>27.459767052439247</v>
      </c>
      <c r="D142" s="6">
        <f t="shared" ref="D142:D152" si="19">$D$157</f>
        <v>28.9</v>
      </c>
      <c r="E142" s="14">
        <f t="shared" ref="E142:G152" si="20">$N142*E$157</f>
        <v>27.459767052439247</v>
      </c>
      <c r="F142" s="14">
        <f t="shared" si="20"/>
        <v>19.003298998227855</v>
      </c>
      <c r="G142" s="14">
        <f t="shared" si="20"/>
        <v>28.504948497341779</v>
      </c>
      <c r="H142" s="20">
        <v>10</v>
      </c>
      <c r="N142" s="6">
        <f>'Zafarana 1999'!M36</f>
        <v>0.95016494991139266</v>
      </c>
    </row>
    <row r="143" spans="1:14">
      <c r="A143" s="26" t="str">
        <f t="shared" ref="A143:A152" si="21">A45</f>
        <v>1-2</v>
      </c>
      <c r="B143" s="6">
        <f>INDEX($D$141:$M$158,3,$C$141)</f>
        <v>27.459767052439247</v>
      </c>
      <c r="D143" s="6">
        <f t="shared" si="19"/>
        <v>28.9</v>
      </c>
      <c r="E143" s="14">
        <f t="shared" si="20"/>
        <v>27.459767052439247</v>
      </c>
      <c r="F143" s="14">
        <f t="shared" si="20"/>
        <v>19.003298998227855</v>
      </c>
      <c r="G143" s="14">
        <f t="shared" si="20"/>
        <v>28.504948497341779</v>
      </c>
      <c r="H143" s="20">
        <v>10</v>
      </c>
      <c r="N143" s="6">
        <f>'Zafarana 1999'!M37</f>
        <v>0.95016494991139266</v>
      </c>
    </row>
    <row r="144" spans="1:14">
      <c r="A144" s="26" t="str">
        <f t="shared" si="21"/>
        <v>2-3</v>
      </c>
      <c r="B144" s="6">
        <f>INDEX($D$141:$M$158,4,$C$141)</f>
        <v>27.459767052439247</v>
      </c>
      <c r="D144" s="6">
        <f t="shared" si="19"/>
        <v>28.9</v>
      </c>
      <c r="E144" s="14">
        <f t="shared" si="20"/>
        <v>27.459767052439247</v>
      </c>
      <c r="F144" s="14">
        <f t="shared" si="20"/>
        <v>19.003298998227855</v>
      </c>
      <c r="G144" s="14">
        <f t="shared" si="20"/>
        <v>28.504948497341779</v>
      </c>
      <c r="H144" s="20">
        <v>10</v>
      </c>
      <c r="N144" s="6">
        <f>'Zafarana 1999'!M38</f>
        <v>0.95016494991139266</v>
      </c>
    </row>
    <row r="145" spans="1:14">
      <c r="A145" s="26" t="str">
        <f t="shared" si="21"/>
        <v>3-4</v>
      </c>
      <c r="B145" s="6">
        <f>INDEX($D$141:$M$158,5,$C$141)</f>
        <v>28.633261370919556</v>
      </c>
      <c r="D145" s="6">
        <f t="shared" si="19"/>
        <v>28.9</v>
      </c>
      <c r="E145" s="14">
        <f t="shared" si="20"/>
        <v>28.633261370919556</v>
      </c>
      <c r="F145" s="14">
        <f t="shared" si="20"/>
        <v>19.815405793023913</v>
      </c>
      <c r="G145" s="14">
        <f t="shared" si="20"/>
        <v>29.723108689535874</v>
      </c>
      <c r="H145" s="20">
        <v>10</v>
      </c>
      <c r="N145" s="6">
        <f>'Zafarana 1999'!M39</f>
        <v>0.99077028965119573</v>
      </c>
    </row>
    <row r="146" spans="1:14">
      <c r="A146" s="26" t="str">
        <f t="shared" si="21"/>
        <v>4-5</v>
      </c>
      <c r="B146" s="6">
        <f>INDEX($D$141:$M$158,6,$C$141)</f>
        <v>29.38676824910165</v>
      </c>
      <c r="D146" s="6">
        <f t="shared" si="19"/>
        <v>28.9</v>
      </c>
      <c r="E146" s="14">
        <f t="shared" si="20"/>
        <v>29.38676824910165</v>
      </c>
      <c r="F146" s="14">
        <f t="shared" si="20"/>
        <v>20.336863840208753</v>
      </c>
      <c r="G146" s="14">
        <f t="shared" si="20"/>
        <v>30.505295760313132</v>
      </c>
      <c r="H146" s="20">
        <v>20</v>
      </c>
      <c r="N146" s="6">
        <f>'Zafarana 1999'!M40</f>
        <v>1.0168431920104377</v>
      </c>
    </row>
    <row r="147" spans="1:14">
      <c r="A147" s="26" t="str">
        <f t="shared" si="21"/>
        <v>5-6</v>
      </c>
      <c r="B147" s="6">
        <f>INDEX($D$141:$M$158,7,$C$141)</f>
        <v>28.633261370919556</v>
      </c>
      <c r="D147" s="6">
        <f t="shared" si="19"/>
        <v>28.9</v>
      </c>
      <c r="E147" s="14">
        <f t="shared" si="20"/>
        <v>28.633261370919556</v>
      </c>
      <c r="F147" s="14">
        <f t="shared" si="20"/>
        <v>19.815405793023913</v>
      </c>
      <c r="G147" s="14">
        <f t="shared" si="20"/>
        <v>29.723108689535874</v>
      </c>
      <c r="H147" s="20">
        <v>20</v>
      </c>
      <c r="N147" s="6">
        <f>'Zafarana 1999'!M41</f>
        <v>0.99077028965119573</v>
      </c>
    </row>
    <row r="148" spans="1:14">
      <c r="A148" s="26" t="str">
        <f t="shared" si="21"/>
        <v>6-7</v>
      </c>
      <c r="B148" s="6">
        <f>INDEX($D$141:$M$158,8,$C$141)</f>
        <v>33.839308892904931</v>
      </c>
      <c r="D148" s="6">
        <f t="shared" si="19"/>
        <v>28.9</v>
      </c>
      <c r="E148" s="14">
        <f t="shared" si="20"/>
        <v>33.839308892904931</v>
      </c>
      <c r="F148" s="14">
        <f t="shared" si="20"/>
        <v>23.41820684630099</v>
      </c>
      <c r="G148" s="14">
        <f t="shared" si="20"/>
        <v>35.127310269451485</v>
      </c>
      <c r="H148" s="20">
        <v>20</v>
      </c>
      <c r="N148" s="6">
        <f>'Zafarana 1999'!M42</f>
        <v>1.1709103423150495</v>
      </c>
    </row>
    <row r="149" spans="1:14">
      <c r="A149" s="26" t="str">
        <f t="shared" si="21"/>
        <v>7-8</v>
      </c>
      <c r="B149" s="6">
        <f>INDEX($D$141:$M$158,9,$C$141)</f>
        <v>31.905634099024645</v>
      </c>
      <c r="D149" s="6">
        <f t="shared" si="19"/>
        <v>28.9</v>
      </c>
      <c r="E149" s="14">
        <f t="shared" si="20"/>
        <v>31.905634099024645</v>
      </c>
      <c r="F149" s="14">
        <f t="shared" si="20"/>
        <v>22.080023597940933</v>
      </c>
      <c r="G149" s="14">
        <f t="shared" si="20"/>
        <v>33.120035396911398</v>
      </c>
      <c r="H149" s="20">
        <v>30</v>
      </c>
      <c r="N149" s="6">
        <f>'Zafarana 1999'!M43</f>
        <v>1.1040011798970466</v>
      </c>
    </row>
    <row r="150" spans="1:14">
      <c r="A150" s="26" t="str">
        <f t="shared" si="21"/>
        <v>8-9</v>
      </c>
      <c r="B150" s="6">
        <f>INDEX($D$141:$M$158,10,$C$141)</f>
        <v>46.52904972774428</v>
      </c>
      <c r="D150" s="6">
        <f t="shared" si="19"/>
        <v>28.9</v>
      </c>
      <c r="E150" s="14">
        <f t="shared" si="20"/>
        <v>46.52904972774428</v>
      </c>
      <c r="F150" s="14">
        <f t="shared" si="20"/>
        <v>32.200034413663865</v>
      </c>
      <c r="G150" s="14">
        <f t="shared" si="20"/>
        <v>48.300051620495793</v>
      </c>
      <c r="H150" s="20">
        <v>30</v>
      </c>
      <c r="N150" s="6">
        <f>'Zafarana 1999'!M44</f>
        <v>1.6100017206831931</v>
      </c>
    </row>
    <row r="151" spans="1:14">
      <c r="A151" s="26" t="str">
        <f t="shared" si="21"/>
        <v>9-10</v>
      </c>
      <c r="B151" s="6">
        <f>INDEX($D$141:$M$158,11,$C$141)</f>
        <v>53.176056831707747</v>
      </c>
      <c r="D151" s="6">
        <f t="shared" si="19"/>
        <v>28.9</v>
      </c>
      <c r="E151" s="14">
        <f t="shared" si="20"/>
        <v>53.176056831707747</v>
      </c>
      <c r="F151" s="14">
        <f t="shared" si="20"/>
        <v>36.800039329901551</v>
      </c>
      <c r="G151" s="14">
        <f t="shared" si="20"/>
        <v>55.200058994852334</v>
      </c>
      <c r="H151" s="20">
        <v>40</v>
      </c>
      <c r="N151" s="6">
        <f>'Zafarana 1999'!M45</f>
        <v>1.8400019664950777</v>
      </c>
    </row>
    <row r="152" spans="1:14">
      <c r="A152" s="26" t="str">
        <f t="shared" si="21"/>
        <v>10-11</v>
      </c>
      <c r="B152" s="6">
        <f>INDEX($D$141:$M$158,12,$C$141)</f>
        <v>0</v>
      </c>
      <c r="D152" s="6">
        <f t="shared" si="19"/>
        <v>28.9</v>
      </c>
      <c r="E152" s="14">
        <f t="shared" si="20"/>
        <v>0</v>
      </c>
      <c r="F152" s="14">
        <f t="shared" si="20"/>
        <v>0</v>
      </c>
      <c r="G152" s="14">
        <f t="shared" si="20"/>
        <v>0</v>
      </c>
      <c r="H152" s="20">
        <v>40</v>
      </c>
      <c r="N152" s="6">
        <f>'Zafarana 1999'!M46</f>
        <v>0</v>
      </c>
    </row>
    <row r="153" spans="1:14">
      <c r="A153" s="9" t="s">
        <v>60</v>
      </c>
      <c r="B153" s="26" t="str">
        <f>INDEX($D$141:$M$158,13,$C$141)</f>
        <v>Gas</v>
      </c>
      <c r="D153" s="33" t="s">
        <v>66</v>
      </c>
      <c r="E153" s="33" t="s">
        <v>66</v>
      </c>
      <c r="F153" s="33" t="s">
        <v>66</v>
      </c>
      <c r="G153" s="33" t="s">
        <v>66</v>
      </c>
      <c r="H153" s="33" t="s">
        <v>66</v>
      </c>
      <c r="N153" s="33" t="s">
        <v>66</v>
      </c>
    </row>
    <row r="154" spans="1:14">
      <c r="A154" s="17" t="s">
        <v>74</v>
      </c>
      <c r="B154" s="6">
        <f>INDEX($D$141:$M$158,14,$C$141)</f>
        <v>0.34044763984306742</v>
      </c>
      <c r="D154" s="14">
        <f>$N$154</f>
        <v>0.34044763984306742</v>
      </c>
      <c r="E154" s="14">
        <f>$N$154</f>
        <v>0.34044763984306742</v>
      </c>
      <c r="F154" s="14">
        <f>$N$154</f>
        <v>0.34044763984306742</v>
      </c>
      <c r="G154" s="14">
        <f>$N$154</f>
        <v>0.34044763984306742</v>
      </c>
      <c r="H154" s="33">
        <v>0.4</v>
      </c>
      <c r="N154" s="14">
        <f>-'Zafarana 1999'!$D$47/'Zafarana 1999'!$F$47</f>
        <v>0.34044763984306742</v>
      </c>
    </row>
    <row r="155" spans="1:14">
      <c r="A155" s="17" t="s">
        <v>64</v>
      </c>
      <c r="B155" s="1">
        <f>INDEX($D$141:$M$158,15,$C$141)</f>
        <v>27126.050878945618</v>
      </c>
      <c r="D155" s="34">
        <f>$N$155</f>
        <v>27126.050878945618</v>
      </c>
      <c r="E155" s="34">
        <f>$N$155</f>
        <v>27126.050878945618</v>
      </c>
      <c r="F155" s="34">
        <f>$N$155</f>
        <v>27126.050878945618</v>
      </c>
      <c r="G155" s="34">
        <f>$N$155</f>
        <v>27126.050878945618</v>
      </c>
      <c r="H155" s="34">
        <f>$B$99/H154*3.6</f>
        <v>23087.5</v>
      </c>
      <c r="N155" s="1">
        <f>'Zafarana 1999'!F47</f>
        <v>27126.050878945618</v>
      </c>
    </row>
    <row r="156" spans="1:14">
      <c r="A156" s="17"/>
      <c r="B156" s="1">
        <f>INDEX($D$141:$M$158,16,$C$141)</f>
        <v>2576.9748334998339</v>
      </c>
      <c r="D156" s="1">
        <f>VLOOKUP(D153,$A$77:$B$78,2)*D155/1000</f>
        <v>2576.9748334998339</v>
      </c>
      <c r="E156" s="1">
        <f>VLOOKUP(E153,$A$77:$B$78,2)*E155/1000</f>
        <v>2576.9748334998339</v>
      </c>
      <c r="F156" s="1">
        <f>VLOOKUP(F153,$A$77:$B$78,2)*F155/1000</f>
        <v>2576.9748334998339</v>
      </c>
      <c r="G156" s="1">
        <f>VLOOKUP(G153,$A$77:$B$78,2)*G155/1000</f>
        <v>2576.9748334998339</v>
      </c>
      <c r="H156" s="1">
        <f>VLOOKUP(H153,$A$77:$B$78,2)*H155/1000</f>
        <v>2193.3125</v>
      </c>
      <c r="N156" s="1">
        <f>VLOOKUP(N153,$A$77:$B$78,2)*N155/1000</f>
        <v>2576.9748334998339</v>
      </c>
    </row>
    <row r="157" spans="1:14">
      <c r="A157" s="17" t="s">
        <v>73</v>
      </c>
      <c r="B157" s="6">
        <f>INDEX($D$141:$M$158,17,$C$141)</f>
        <v>28.9</v>
      </c>
      <c r="D157" s="6">
        <f>Presentation!$C$19</f>
        <v>28.9</v>
      </c>
      <c r="E157" s="6">
        <f>Presentation!$C$19</f>
        <v>28.9</v>
      </c>
      <c r="F157" s="20">
        <v>20</v>
      </c>
      <c r="G157" s="20">
        <v>30</v>
      </c>
      <c r="H157" s="20">
        <v>23</v>
      </c>
      <c r="N157" s="6">
        <v>1</v>
      </c>
    </row>
    <row r="158" spans="1:14">
      <c r="D158" s="6"/>
      <c r="E158" s="6"/>
    </row>
    <row r="160" spans="1:14" ht="39.6">
      <c r="A160" s="43" t="str">
        <f>F28</f>
        <v>Sales price</v>
      </c>
      <c r="B160" s="18" t="str">
        <f>INDEX($D$160:$M$171,1,$C$160)</f>
        <v>Custom flat rate</v>
      </c>
      <c r="C160">
        <v>1</v>
      </c>
      <c r="D160" s="18" t="str">
        <f>$F$29</f>
        <v>Custom flat rate</v>
      </c>
      <c r="E160" s="32" t="str">
        <f>$F$30</f>
        <v>Baseline average</v>
      </c>
      <c r="F160" s="32" t="str">
        <f>$F$31</f>
        <v>Substitution rate</v>
      </c>
      <c r="G160" s="32" t="str">
        <f>$F$32</f>
        <v>Egypt - avg. 30$/MWh</v>
      </c>
      <c r="H160" s="32" t="str">
        <f>$F$33</f>
        <v>Market 10-40 $/MWh</v>
      </c>
      <c r="I160" s="32" t="str">
        <f>$F$34</f>
        <v>Rate5</v>
      </c>
      <c r="J160" s="32" t="str">
        <f>$F$35</f>
        <v>Rate6</v>
      </c>
      <c r="K160" s="32" t="str">
        <f>$F$36</f>
        <v>Rate7</v>
      </c>
      <c r="L160" s="18" t="str">
        <f>F37</f>
        <v>Rate8</v>
      </c>
      <c r="M160" t="str">
        <f>F38</f>
        <v>Rate9</v>
      </c>
    </row>
    <row r="161" spans="1:8">
      <c r="A161" s="26" t="str">
        <f>A44</f>
        <v>0-1</v>
      </c>
      <c r="B161" s="6">
        <f>INDEX($D$160:$M$171,2,$C$160)</f>
        <v>28.9</v>
      </c>
      <c r="D161" s="6">
        <f>Presentation!$C$24</f>
        <v>28.9</v>
      </c>
      <c r="E161" s="6">
        <f>B157</f>
        <v>28.9</v>
      </c>
      <c r="F161" s="6">
        <f>N142*Presentation!$C$24</f>
        <v>27.459767052439247</v>
      </c>
      <c r="G161" s="14">
        <f t="shared" ref="G161:H171" si="22">G142</f>
        <v>28.504948497341779</v>
      </c>
      <c r="H161" s="6">
        <f t="shared" si="22"/>
        <v>10</v>
      </c>
    </row>
    <row r="162" spans="1:8">
      <c r="A162" s="26" t="str">
        <f t="shared" ref="A162:A171" si="23">A45</f>
        <v>1-2</v>
      </c>
      <c r="B162" s="6">
        <f>INDEX($D$160:$M$171,3,$C$160)</f>
        <v>28.9</v>
      </c>
      <c r="D162" s="6">
        <f>D$161</f>
        <v>28.9</v>
      </c>
      <c r="E162" s="6">
        <f t="shared" ref="E162:E171" si="24">E$161</f>
        <v>28.9</v>
      </c>
      <c r="F162" s="6">
        <f>N143*Presentation!$C$24</f>
        <v>27.459767052439247</v>
      </c>
      <c r="G162" s="14">
        <f t="shared" si="22"/>
        <v>28.504948497341779</v>
      </c>
      <c r="H162" s="6">
        <f t="shared" si="22"/>
        <v>10</v>
      </c>
    </row>
    <row r="163" spans="1:8">
      <c r="A163" s="26" t="str">
        <f t="shared" si="23"/>
        <v>2-3</v>
      </c>
      <c r="B163" s="6">
        <f>INDEX($D$160:$M$171,4,$C$160)</f>
        <v>28.9</v>
      </c>
      <c r="D163" s="6">
        <f t="shared" ref="D163:D171" si="25">D$161</f>
        <v>28.9</v>
      </c>
      <c r="E163" s="6">
        <f t="shared" si="24"/>
        <v>28.9</v>
      </c>
      <c r="F163" s="6">
        <f>N144*Presentation!$C$24</f>
        <v>27.459767052439247</v>
      </c>
      <c r="G163" s="14">
        <f t="shared" si="22"/>
        <v>28.504948497341779</v>
      </c>
      <c r="H163" s="6">
        <f t="shared" si="22"/>
        <v>10</v>
      </c>
    </row>
    <row r="164" spans="1:8">
      <c r="A164" s="26" t="str">
        <f t="shared" si="23"/>
        <v>3-4</v>
      </c>
      <c r="B164" s="6">
        <f>INDEX($D$160:$M$171,5,$C$160)</f>
        <v>28.9</v>
      </c>
      <c r="D164" s="6">
        <f t="shared" si="25"/>
        <v>28.9</v>
      </c>
      <c r="E164" s="6">
        <f t="shared" si="24"/>
        <v>28.9</v>
      </c>
      <c r="F164" s="6">
        <f>N145*Presentation!$C$24</f>
        <v>28.633261370919556</v>
      </c>
      <c r="G164" s="14">
        <f t="shared" si="22"/>
        <v>29.723108689535874</v>
      </c>
      <c r="H164" s="6">
        <f t="shared" si="22"/>
        <v>10</v>
      </c>
    </row>
    <row r="165" spans="1:8">
      <c r="A165" s="26" t="str">
        <f t="shared" si="23"/>
        <v>4-5</v>
      </c>
      <c r="B165" s="6">
        <f>INDEX($D$160:$M$171,6,$C$160)</f>
        <v>28.9</v>
      </c>
      <c r="D165" s="6">
        <f t="shared" si="25"/>
        <v>28.9</v>
      </c>
      <c r="E165" s="6">
        <f t="shared" si="24"/>
        <v>28.9</v>
      </c>
      <c r="F165" s="6">
        <f>N146*Presentation!$C$24</f>
        <v>29.38676824910165</v>
      </c>
      <c r="G165" s="14">
        <f t="shared" si="22"/>
        <v>30.505295760313132</v>
      </c>
      <c r="H165" s="6">
        <f t="shared" si="22"/>
        <v>20</v>
      </c>
    </row>
    <row r="166" spans="1:8">
      <c r="A166" s="26" t="str">
        <f t="shared" si="23"/>
        <v>5-6</v>
      </c>
      <c r="B166" s="6">
        <f>INDEX($D$160:$M$171,7,$C$160)</f>
        <v>28.9</v>
      </c>
      <c r="D166" s="6">
        <f t="shared" si="25"/>
        <v>28.9</v>
      </c>
      <c r="E166" s="6">
        <f t="shared" si="24"/>
        <v>28.9</v>
      </c>
      <c r="F166" s="6">
        <f>N147*Presentation!$C$24</f>
        <v>28.633261370919556</v>
      </c>
      <c r="G166" s="14">
        <f t="shared" si="22"/>
        <v>29.723108689535874</v>
      </c>
      <c r="H166" s="6">
        <f t="shared" si="22"/>
        <v>20</v>
      </c>
    </row>
    <row r="167" spans="1:8">
      <c r="A167" s="26" t="str">
        <f t="shared" si="23"/>
        <v>6-7</v>
      </c>
      <c r="B167" s="6">
        <f>INDEX($D$160:$M$171,8,$C$160)</f>
        <v>28.9</v>
      </c>
      <c r="D167" s="6">
        <f t="shared" si="25"/>
        <v>28.9</v>
      </c>
      <c r="E167" s="6">
        <f t="shared" si="24"/>
        <v>28.9</v>
      </c>
      <c r="F167" s="6">
        <f>N148*Presentation!$C$24</f>
        <v>33.839308892904931</v>
      </c>
      <c r="G167" s="14">
        <f t="shared" si="22"/>
        <v>35.127310269451485</v>
      </c>
      <c r="H167" s="6">
        <f t="shared" si="22"/>
        <v>20</v>
      </c>
    </row>
    <row r="168" spans="1:8">
      <c r="A168" s="26" t="str">
        <f t="shared" si="23"/>
        <v>7-8</v>
      </c>
      <c r="B168" s="6">
        <f>INDEX($D$160:$M$171,9,$C$160)</f>
        <v>28.9</v>
      </c>
      <c r="D168" s="6">
        <f t="shared" si="25"/>
        <v>28.9</v>
      </c>
      <c r="E168" s="6">
        <f t="shared" si="24"/>
        <v>28.9</v>
      </c>
      <c r="F168" s="6">
        <f>N149*Presentation!$C$24</f>
        <v>31.905634099024645</v>
      </c>
      <c r="G168" s="14">
        <f t="shared" si="22"/>
        <v>33.120035396911398</v>
      </c>
      <c r="H168" s="6">
        <f t="shared" si="22"/>
        <v>30</v>
      </c>
    </row>
    <row r="169" spans="1:8">
      <c r="A169" s="26" t="str">
        <f t="shared" si="23"/>
        <v>8-9</v>
      </c>
      <c r="B169" s="6">
        <f>INDEX($D$160:$M$171,10,$C$160)</f>
        <v>28.9</v>
      </c>
      <c r="D169" s="6">
        <f t="shared" si="25"/>
        <v>28.9</v>
      </c>
      <c r="E169" s="6">
        <f t="shared" si="24"/>
        <v>28.9</v>
      </c>
      <c r="F169" s="6">
        <f>N150*Presentation!$C$24</f>
        <v>46.52904972774428</v>
      </c>
      <c r="G169" s="14">
        <f t="shared" si="22"/>
        <v>48.300051620495793</v>
      </c>
      <c r="H169" s="6">
        <f t="shared" si="22"/>
        <v>30</v>
      </c>
    </row>
    <row r="170" spans="1:8">
      <c r="A170" s="26" t="str">
        <f t="shared" si="23"/>
        <v>9-10</v>
      </c>
      <c r="B170" s="6">
        <f>INDEX($D$160:$M$171,11,$C$160)</f>
        <v>28.9</v>
      </c>
      <c r="D170" s="6">
        <f t="shared" si="25"/>
        <v>28.9</v>
      </c>
      <c r="E170" s="6">
        <f t="shared" si="24"/>
        <v>28.9</v>
      </c>
      <c r="F170" s="6">
        <f>N151*Presentation!$C$24</f>
        <v>53.176056831707747</v>
      </c>
      <c r="G170" s="14">
        <f t="shared" si="22"/>
        <v>55.200058994852334</v>
      </c>
      <c r="H170" s="6">
        <f t="shared" si="22"/>
        <v>40</v>
      </c>
    </row>
    <row r="171" spans="1:8">
      <c r="A171" s="26" t="str">
        <f t="shared" si="23"/>
        <v>10-11</v>
      </c>
      <c r="B171" s="6">
        <f>INDEX($D$160:$M$171,12,$C$160)</f>
        <v>28.9</v>
      </c>
      <c r="D171" s="6">
        <f t="shared" si="25"/>
        <v>28.9</v>
      </c>
      <c r="E171" s="6">
        <f t="shared" si="24"/>
        <v>28.9</v>
      </c>
      <c r="F171" s="6">
        <f>N152*Presentation!$C$24</f>
        <v>0</v>
      </c>
      <c r="G171" s="14">
        <f t="shared" si="22"/>
        <v>0</v>
      </c>
      <c r="H171" s="6">
        <f t="shared" si="22"/>
        <v>40</v>
      </c>
    </row>
    <row r="172" spans="1:8">
      <c r="A172" s="3"/>
      <c r="B172" s="6"/>
      <c r="D172" s="6"/>
    </row>
    <row r="173" spans="1:8">
      <c r="A173" s="3"/>
      <c r="B173" s="6"/>
      <c r="D173" s="6"/>
    </row>
    <row r="174" spans="1:8">
      <c r="A174" s="3"/>
      <c r="B174" s="6"/>
      <c r="D174" s="6"/>
    </row>
    <row r="175" spans="1:8">
      <c r="A175" s="3"/>
      <c r="B175" s="6"/>
      <c r="D175" s="6"/>
    </row>
    <row r="176" spans="1:8">
      <c r="A176" s="3"/>
      <c r="B176" s="6"/>
      <c r="D176" s="6"/>
    </row>
    <row r="177" spans="1:4">
      <c r="A177" s="3"/>
      <c r="B177" s="6"/>
      <c r="D177" s="6"/>
    </row>
    <row r="178" spans="1:4">
      <c r="A178" s="3"/>
      <c r="B178" s="6"/>
      <c r="D178" s="6"/>
    </row>
    <row r="180" spans="1:4" ht="52.8">
      <c r="A180" s="45" t="str">
        <f>"Revenue, "&amp;$B$81&amp;"/kW"</f>
        <v>Revenue, $/kW</v>
      </c>
      <c r="B180" s="18" t="str">
        <f>$A$141</f>
        <v>Technology substitution</v>
      </c>
      <c r="C180" s="46" t="str">
        <f>$A$160</f>
        <v>Sales price</v>
      </c>
    </row>
    <row r="181" spans="1:4">
      <c r="A181" s="26" t="str">
        <f>A44</f>
        <v>0-1</v>
      </c>
      <c r="B181" s="6">
        <f t="shared" ref="B181:B191" si="26">B88*B142/$B$101</f>
        <v>0</v>
      </c>
      <c r="C181" s="6">
        <f t="shared" ref="C181:C191" si="27">B88*B161/$B$101</f>
        <v>0</v>
      </c>
    </row>
    <row r="182" spans="1:4">
      <c r="A182" s="26" t="str">
        <f t="shared" ref="A182:A191" si="28">A45</f>
        <v>1-2</v>
      </c>
      <c r="B182" s="6">
        <f t="shared" si="26"/>
        <v>0</v>
      </c>
      <c r="C182" s="6">
        <f t="shared" si="27"/>
        <v>0</v>
      </c>
    </row>
    <row r="183" spans="1:4">
      <c r="A183" s="26" t="str">
        <f t="shared" si="28"/>
        <v>2-3</v>
      </c>
      <c r="B183" s="6">
        <f t="shared" si="26"/>
        <v>0</v>
      </c>
      <c r="C183" s="6">
        <f t="shared" si="27"/>
        <v>0</v>
      </c>
    </row>
    <row r="184" spans="1:4">
      <c r="A184" s="26" t="str">
        <f t="shared" si="28"/>
        <v>3-4</v>
      </c>
      <c r="B184" s="6">
        <f t="shared" si="26"/>
        <v>9.2792976665017068E-2</v>
      </c>
      <c r="C184" s="6">
        <f t="shared" si="27"/>
        <v>9.3657407407407411E-2</v>
      </c>
    </row>
    <row r="185" spans="1:4">
      <c r="A185" s="26" t="str">
        <f t="shared" si="28"/>
        <v>4-5</v>
      </c>
      <c r="B185" s="6">
        <f t="shared" si="26"/>
        <v>6.8024926502550107</v>
      </c>
      <c r="C185" s="6">
        <f t="shared" si="27"/>
        <v>6.6898148148148149</v>
      </c>
    </row>
    <row r="186" spans="1:4">
      <c r="A186" s="26" t="str">
        <f t="shared" si="28"/>
        <v>5-6</v>
      </c>
      <c r="B186" s="6">
        <f t="shared" si="26"/>
        <v>35.035976760805731</v>
      </c>
      <c r="C186" s="6">
        <f t="shared" si="27"/>
        <v>35.362361111111106</v>
      </c>
    </row>
    <row r="187" spans="1:4">
      <c r="A187" s="26" t="str">
        <f t="shared" si="28"/>
        <v>6-7</v>
      </c>
      <c r="B187" s="6">
        <f t="shared" si="26"/>
        <v>54.017563454970457</v>
      </c>
      <c r="C187" s="6">
        <f t="shared" si="27"/>
        <v>46.132962962962957</v>
      </c>
    </row>
    <row r="188" spans="1:4">
      <c r="A188" s="26" t="str">
        <f t="shared" si="28"/>
        <v>7-8</v>
      </c>
      <c r="B188" s="6">
        <f t="shared" si="26"/>
        <v>27.444753775920272</v>
      </c>
      <c r="C188" s="6">
        <f t="shared" si="27"/>
        <v>24.859351851851848</v>
      </c>
    </row>
    <row r="189" spans="1:4">
      <c r="A189" s="26" t="str">
        <f t="shared" si="28"/>
        <v>8-9</v>
      </c>
      <c r="B189" s="6">
        <f t="shared" si="26"/>
        <v>16.32824985816211</v>
      </c>
      <c r="C189" s="6">
        <f t="shared" si="27"/>
        <v>10.141759259259258</v>
      </c>
    </row>
    <row r="190" spans="1:4">
      <c r="A190" s="26" t="str">
        <f t="shared" si="28"/>
        <v>9-10</v>
      </c>
      <c r="B190" s="6">
        <f t="shared" si="26"/>
        <v>0.51698944141938086</v>
      </c>
      <c r="C190" s="6">
        <f t="shared" si="27"/>
        <v>0.28097222222222218</v>
      </c>
    </row>
    <row r="191" spans="1:4">
      <c r="A191" s="26" t="str">
        <f t="shared" si="28"/>
        <v>10-11</v>
      </c>
      <c r="B191" s="6">
        <f t="shared" si="26"/>
        <v>0</v>
      </c>
      <c r="C191" s="6">
        <f t="shared" si="27"/>
        <v>0</v>
      </c>
    </row>
    <row r="192" spans="1:4">
      <c r="A192" s="9" t="s">
        <v>31</v>
      </c>
      <c r="B192" s="6">
        <f>SUM(B181:B191)</f>
        <v>140.23881891819798</v>
      </c>
      <c r="C192" s="6">
        <f>SUM(C181:C191)</f>
        <v>123.56087962962961</v>
      </c>
    </row>
    <row r="193" spans="1:3">
      <c r="A193" s="9" t="s">
        <v>108</v>
      </c>
      <c r="B193" s="6">
        <f>B192/B102*1000</f>
        <v>32.800849903985672</v>
      </c>
      <c r="C193" s="6">
        <f>C192/$B$102*1000</f>
        <v>28.9</v>
      </c>
    </row>
    <row r="195" spans="1:3">
      <c r="A195" t="s">
        <v>158</v>
      </c>
      <c r="B195" s="6">
        <f>Presentation!C28*Data!B116/1000</f>
        <v>4.3866250000000004</v>
      </c>
      <c r="C195">
        <f>Presentation!C29*Data!B137/1000</f>
        <v>5.1539496669996678</v>
      </c>
    </row>
    <row r="196" spans="1:3">
      <c r="A196" t="s">
        <v>159</v>
      </c>
      <c r="B196" s="6">
        <f>B192+B195</f>
        <v>144.62544391819799</v>
      </c>
      <c r="C196" s="6">
        <f>C192+C195</f>
        <v>128.71482929662929</v>
      </c>
    </row>
    <row r="197" spans="1:3">
      <c r="A197" t="s">
        <v>167</v>
      </c>
      <c r="B197" s="6">
        <f>B196/$B$102*1000</f>
        <v>33.826849903985668</v>
      </c>
      <c r="C197" s="6">
        <f>C196/$B$102*1000</f>
        <v>30.10547171420891</v>
      </c>
    </row>
  </sheetData>
  <mergeCells count="1">
    <mergeCell ref="P76:AA76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2:Q85"/>
  <sheetViews>
    <sheetView showGridLines="0" zoomScale="75" workbookViewId="0"/>
  </sheetViews>
  <sheetFormatPr defaultRowHeight="13.2"/>
  <cols>
    <col min="1" max="1" width="24.44140625" customWidth="1"/>
  </cols>
  <sheetData>
    <row r="32" spans="1:1" ht="18">
      <c r="A32" s="35" t="s">
        <v>75</v>
      </c>
    </row>
    <row r="33" spans="1:17" ht="64.5" customHeight="1">
      <c r="A33" s="11" t="s">
        <v>24</v>
      </c>
      <c r="B33" s="32" t="s">
        <v>13</v>
      </c>
      <c r="C33" s="32" t="s">
        <v>14</v>
      </c>
      <c r="D33" s="32" t="s">
        <v>15</v>
      </c>
      <c r="E33" s="32" t="s">
        <v>16</v>
      </c>
      <c r="F33" s="32" t="s">
        <v>17</v>
      </c>
      <c r="G33" s="32" t="s">
        <v>18</v>
      </c>
      <c r="H33" s="32" t="s">
        <v>20</v>
      </c>
      <c r="I33" s="32" t="s">
        <v>22</v>
      </c>
      <c r="J33" s="32" t="s">
        <v>25</v>
      </c>
      <c r="K33" s="32" t="s">
        <v>122</v>
      </c>
      <c r="L33" s="32" t="s">
        <v>123</v>
      </c>
      <c r="M33" s="32" t="s">
        <v>124</v>
      </c>
      <c r="N33" s="32" t="s">
        <v>125</v>
      </c>
      <c r="O33" s="101" t="s">
        <v>121</v>
      </c>
      <c r="P33" s="102" t="s">
        <v>118</v>
      </c>
      <c r="Q33" s="103" t="s">
        <v>19</v>
      </c>
    </row>
    <row r="34" spans="1:17">
      <c r="A34" t="s">
        <v>0</v>
      </c>
      <c r="B34">
        <v>52772</v>
      </c>
      <c r="C34">
        <v>62008</v>
      </c>
      <c r="D34">
        <f t="shared" ref="D34:D46" si="0">C34-B34</f>
        <v>9236</v>
      </c>
      <c r="E34">
        <v>85</v>
      </c>
      <c r="O34" s="85"/>
      <c r="P34" s="66"/>
      <c r="Q34" s="86"/>
    </row>
    <row r="35" spans="1:17">
      <c r="A35" t="s">
        <v>1</v>
      </c>
      <c r="D35">
        <f t="shared" si="0"/>
        <v>0</v>
      </c>
      <c r="O35" s="85"/>
      <c r="P35" s="66"/>
      <c r="Q35" s="86"/>
    </row>
    <row r="36" spans="1:17">
      <c r="A36" s="2" t="s">
        <v>2</v>
      </c>
      <c r="B36">
        <v>31534</v>
      </c>
      <c r="C36">
        <v>31534</v>
      </c>
      <c r="D36">
        <f t="shared" si="0"/>
        <v>0</v>
      </c>
      <c r="E36">
        <v>42</v>
      </c>
      <c r="F36" s="1">
        <f t="shared" ref="F36:F46" si="1">-D36/J36*100</f>
        <v>0</v>
      </c>
      <c r="G36" s="79" t="s">
        <v>19</v>
      </c>
      <c r="I36">
        <f t="shared" ref="I36:I45" si="2">B36-B37</f>
        <v>0</v>
      </c>
      <c r="J36" s="8">
        <f>SUM(E36:E38)/3</f>
        <v>40.666666666666664</v>
      </c>
      <c r="K36" s="6">
        <f>VLOOKUP(G36,Data!$A$77:$C$78,3)*$J$36/J36</f>
        <v>2.2868832112149184</v>
      </c>
      <c r="L36" s="10">
        <f t="shared" ref="L36:L46" si="3">K36*B36/$B$47</f>
        <v>0.3415631772806989</v>
      </c>
      <c r="M36" s="6">
        <f t="shared" ref="M36:M46" si="4">K36/$L$47</f>
        <v>0.95016494991139266</v>
      </c>
      <c r="N36" s="6">
        <f t="shared" ref="N36:N46" si="5">M36*D36/$D$47</f>
        <v>0</v>
      </c>
      <c r="O36" s="95">
        <f t="shared" ref="O36:Q46" si="6">IF(O$33=$G36,$F36,0)</f>
        <v>0</v>
      </c>
      <c r="P36" s="96">
        <f t="shared" si="6"/>
        <v>0</v>
      </c>
      <c r="Q36" s="97">
        <f t="shared" si="6"/>
        <v>0</v>
      </c>
    </row>
    <row r="37" spans="1:17">
      <c r="A37" s="3" t="s">
        <v>3</v>
      </c>
      <c r="B37">
        <v>31534</v>
      </c>
      <c r="C37">
        <v>31534</v>
      </c>
      <c r="D37">
        <f t="shared" si="0"/>
        <v>0</v>
      </c>
      <c r="E37">
        <v>41</v>
      </c>
      <c r="F37" s="1">
        <f t="shared" si="1"/>
        <v>0</v>
      </c>
      <c r="G37" s="79" t="s">
        <v>19</v>
      </c>
      <c r="I37">
        <f t="shared" si="2"/>
        <v>0</v>
      </c>
      <c r="J37" s="8">
        <f>J36</f>
        <v>40.666666666666664</v>
      </c>
      <c r="K37" s="6">
        <f>VLOOKUP(G37,Data!$A$77:$C$78,3)*$J$36/J37</f>
        <v>2.2868832112149184</v>
      </c>
      <c r="L37" s="10">
        <f t="shared" si="3"/>
        <v>0.3415631772806989</v>
      </c>
      <c r="M37" s="6">
        <f t="shared" si="4"/>
        <v>0.95016494991139266</v>
      </c>
      <c r="N37" s="6">
        <f t="shared" si="5"/>
        <v>0</v>
      </c>
      <c r="O37" s="95">
        <f t="shared" si="6"/>
        <v>0</v>
      </c>
      <c r="P37" s="96">
        <f t="shared" si="6"/>
        <v>0</v>
      </c>
      <c r="Q37" s="97">
        <f t="shared" si="6"/>
        <v>0</v>
      </c>
    </row>
    <row r="38" spans="1:17">
      <c r="A38" s="4" t="s">
        <v>4</v>
      </c>
      <c r="B38">
        <v>31534</v>
      </c>
      <c r="C38">
        <v>31534</v>
      </c>
      <c r="D38">
        <f t="shared" si="0"/>
        <v>0</v>
      </c>
      <c r="E38">
        <v>39</v>
      </c>
      <c r="F38" s="1">
        <f t="shared" si="1"/>
        <v>0</v>
      </c>
      <c r="G38" s="79" t="s">
        <v>19</v>
      </c>
      <c r="I38">
        <f t="shared" si="2"/>
        <v>0</v>
      </c>
      <c r="J38" s="8">
        <f>J37</f>
        <v>40.666666666666664</v>
      </c>
      <c r="K38" s="6">
        <f>VLOOKUP(G38,Data!$A$77:$C$78,3)*$J$36/J38</f>
        <v>2.2868832112149184</v>
      </c>
      <c r="L38" s="10">
        <f t="shared" si="3"/>
        <v>0.3415631772806989</v>
      </c>
      <c r="M38" s="6">
        <f t="shared" si="4"/>
        <v>0.95016494991139266</v>
      </c>
      <c r="N38" s="6">
        <f t="shared" si="5"/>
        <v>0</v>
      </c>
      <c r="O38" s="95">
        <f t="shared" si="6"/>
        <v>0</v>
      </c>
      <c r="P38" s="96">
        <f t="shared" si="6"/>
        <v>0</v>
      </c>
      <c r="Q38" s="97">
        <f t="shared" si="6"/>
        <v>0</v>
      </c>
    </row>
    <row r="39" spans="1:17">
      <c r="A39" s="4" t="s">
        <v>5</v>
      </c>
      <c r="B39">
        <v>31534</v>
      </c>
      <c r="C39">
        <v>31527</v>
      </c>
      <c r="D39">
        <f t="shared" si="0"/>
        <v>-7</v>
      </c>
      <c r="E39">
        <v>39</v>
      </c>
      <c r="F39" s="1">
        <f t="shared" si="1"/>
        <v>17.948717948717949</v>
      </c>
      <c r="G39" s="2" t="s">
        <v>19</v>
      </c>
      <c r="H39" s="1">
        <f>F39*VLOOKUP(G39,Data!$A$77:$B$78,2)/1000</f>
        <v>1.3282051282051281</v>
      </c>
      <c r="I39">
        <f t="shared" si="2"/>
        <v>218</v>
      </c>
      <c r="J39" s="8">
        <f t="shared" ref="J39:J45" si="7">E39</f>
        <v>39</v>
      </c>
      <c r="K39" s="6">
        <f>VLOOKUP(G39,Data!$A$77:$C$78,3)*$J$36/J39</f>
        <v>2.3846132629762398</v>
      </c>
      <c r="L39" s="10">
        <f t="shared" si="3"/>
        <v>0.35615989425850653</v>
      </c>
      <c r="M39" s="6">
        <f t="shared" si="4"/>
        <v>0.99077028965119573</v>
      </c>
      <c r="N39" s="6">
        <f t="shared" si="5"/>
        <v>7.509899325997152E-4</v>
      </c>
      <c r="O39" s="95">
        <f t="shared" si="6"/>
        <v>0</v>
      </c>
      <c r="P39" s="96">
        <f t="shared" si="6"/>
        <v>0</v>
      </c>
      <c r="Q39" s="97">
        <f t="shared" si="6"/>
        <v>17.948717948717949</v>
      </c>
    </row>
    <row r="40" spans="1:17">
      <c r="A40" s="4" t="s">
        <v>6</v>
      </c>
      <c r="B40">
        <v>31316</v>
      </c>
      <c r="C40">
        <v>30816</v>
      </c>
      <c r="D40">
        <f t="shared" si="0"/>
        <v>-500</v>
      </c>
      <c r="E40">
        <v>38</v>
      </c>
      <c r="F40" s="1">
        <f t="shared" si="1"/>
        <v>1315.7894736842104</v>
      </c>
      <c r="G40" s="2" t="s">
        <v>19</v>
      </c>
      <c r="H40" s="1">
        <f>F40*VLOOKUP(G40,Data!$A$77:$B$78,2)/1000</f>
        <v>97.368421052631575</v>
      </c>
      <c r="I40">
        <f t="shared" si="2"/>
        <v>3390</v>
      </c>
      <c r="J40" s="8">
        <f t="shared" si="7"/>
        <v>38</v>
      </c>
      <c r="K40" s="6">
        <f>VLOOKUP(G40,Data!$A$77:$C$78,3)*$J$36/J40</f>
        <v>2.4473662435808774</v>
      </c>
      <c r="L40" s="10">
        <f t="shared" si="3"/>
        <v>0.36300553345543174</v>
      </c>
      <c r="M40" s="6">
        <f t="shared" si="4"/>
        <v>1.0168431920104377</v>
      </c>
      <c r="N40" s="6">
        <f t="shared" si="5"/>
        <v>5.5053773254490401E-2</v>
      </c>
      <c r="O40" s="95">
        <f t="shared" si="6"/>
        <v>0</v>
      </c>
      <c r="P40" s="96">
        <f t="shared" si="6"/>
        <v>0</v>
      </c>
      <c r="Q40" s="97">
        <f t="shared" si="6"/>
        <v>1315.7894736842104</v>
      </c>
    </row>
    <row r="41" spans="1:17">
      <c r="A41" s="3" t="s">
        <v>7</v>
      </c>
      <c r="B41">
        <v>27926</v>
      </c>
      <c r="C41">
        <v>25283</v>
      </c>
      <c r="D41">
        <f t="shared" si="0"/>
        <v>-2643</v>
      </c>
      <c r="E41">
        <v>39</v>
      </c>
      <c r="F41" s="1">
        <f t="shared" si="1"/>
        <v>6776.9230769230771</v>
      </c>
      <c r="G41" s="2" t="s">
        <v>19</v>
      </c>
      <c r="H41" s="1">
        <f>F41*VLOOKUP(G41,Data!$A$77:$B$78,2)/1000</f>
        <v>501.49230769230769</v>
      </c>
      <c r="I41">
        <f t="shared" si="2"/>
        <v>10821</v>
      </c>
      <c r="J41" s="8">
        <f t="shared" si="7"/>
        <v>39</v>
      </c>
      <c r="K41" s="6">
        <f>VLOOKUP(G41,Data!$A$77:$C$78,3)*$J$36/J41</f>
        <v>2.3846132629762398</v>
      </c>
      <c r="L41" s="10">
        <f t="shared" si="3"/>
        <v>0.31540943765659463</v>
      </c>
      <c r="M41" s="6">
        <f t="shared" si="4"/>
        <v>0.99077028965119573</v>
      </c>
      <c r="N41" s="6">
        <f t="shared" si="5"/>
        <v>0.28355234169443533</v>
      </c>
      <c r="O41" s="95">
        <f t="shared" si="6"/>
        <v>0</v>
      </c>
      <c r="P41" s="96">
        <f t="shared" si="6"/>
        <v>0</v>
      </c>
      <c r="Q41" s="97">
        <f t="shared" si="6"/>
        <v>6776.9230769230771</v>
      </c>
    </row>
    <row r="42" spans="1:17">
      <c r="A42" s="4" t="s">
        <v>8</v>
      </c>
      <c r="B42">
        <v>17105</v>
      </c>
      <c r="C42">
        <v>13657</v>
      </c>
      <c r="D42">
        <f t="shared" si="0"/>
        <v>-3448</v>
      </c>
      <c r="E42">
        <v>33</v>
      </c>
      <c r="F42" s="1">
        <f t="shared" si="1"/>
        <v>10448.484848484848</v>
      </c>
      <c r="G42" s="2" t="s">
        <v>19</v>
      </c>
      <c r="H42" s="1">
        <f>F42*VLOOKUP(G42,Data!$A$77:$B$78,2)/1000</f>
        <v>773.18787878787873</v>
      </c>
      <c r="I42">
        <f t="shared" si="2"/>
        <v>10250</v>
      </c>
      <c r="J42" s="8">
        <f t="shared" si="7"/>
        <v>33</v>
      </c>
      <c r="K42" s="6">
        <f>VLOOKUP(G42,Data!$A$77:$C$78,3)*$J$36/J42</f>
        <v>2.8181793107901014</v>
      </c>
      <c r="L42" s="10">
        <f t="shared" si="3"/>
        <v>0.22831776058970349</v>
      </c>
      <c r="M42" s="6">
        <f t="shared" si="4"/>
        <v>1.1709103423150495</v>
      </c>
      <c r="N42" s="6">
        <f t="shared" si="5"/>
        <v>0.43717367193311218</v>
      </c>
      <c r="O42" s="95">
        <f t="shared" si="6"/>
        <v>0</v>
      </c>
      <c r="P42" s="96">
        <f t="shared" si="6"/>
        <v>0</v>
      </c>
      <c r="Q42" s="97">
        <f t="shared" si="6"/>
        <v>10448.484848484848</v>
      </c>
    </row>
    <row r="43" spans="1:17">
      <c r="A43" s="3" t="s">
        <v>9</v>
      </c>
      <c r="B43">
        <v>6855</v>
      </c>
      <c r="C43">
        <v>4997</v>
      </c>
      <c r="D43">
        <f t="shared" si="0"/>
        <v>-1858</v>
      </c>
      <c r="E43">
        <v>35</v>
      </c>
      <c r="F43" s="1">
        <f t="shared" si="1"/>
        <v>5308.5714285714294</v>
      </c>
      <c r="G43" s="2" t="s">
        <v>19</v>
      </c>
      <c r="H43" s="1">
        <f>F43*VLOOKUP(G43,Data!$A$77:$B$78,2)/1000</f>
        <v>392.83428571428578</v>
      </c>
      <c r="I43">
        <f t="shared" si="2"/>
        <v>5087</v>
      </c>
      <c r="J43" s="8">
        <f t="shared" si="7"/>
        <v>35</v>
      </c>
      <c r="K43" s="6">
        <f>VLOOKUP(G43,Data!$A$77:$C$78,3)*$J$36/J43</f>
        <v>2.657140493030667</v>
      </c>
      <c r="L43" s="10">
        <f t="shared" si="3"/>
        <v>8.6272021066187449E-2</v>
      </c>
      <c r="M43" s="6">
        <f t="shared" si="4"/>
        <v>1.1040011798970466</v>
      </c>
      <c r="N43" s="6">
        <f t="shared" si="5"/>
        <v>0.22211523467771657</v>
      </c>
      <c r="O43" s="95">
        <f t="shared" si="6"/>
        <v>0</v>
      </c>
      <c r="P43" s="96">
        <f t="shared" si="6"/>
        <v>0</v>
      </c>
      <c r="Q43" s="97">
        <f t="shared" si="6"/>
        <v>5308.5714285714294</v>
      </c>
    </row>
    <row r="44" spans="1:17">
      <c r="A44" s="4" t="s">
        <v>10</v>
      </c>
      <c r="B44">
        <v>1768</v>
      </c>
      <c r="C44">
        <v>1010</v>
      </c>
      <c r="D44">
        <f t="shared" si="0"/>
        <v>-758</v>
      </c>
      <c r="E44">
        <v>24</v>
      </c>
      <c r="F44" s="1">
        <f t="shared" si="1"/>
        <v>3158.333333333333</v>
      </c>
      <c r="G44" s="2" t="s">
        <v>19</v>
      </c>
      <c r="H44" s="1">
        <f>F44*VLOOKUP(G44,Data!$A$77:$B$78,2)/1000</f>
        <v>233.71666666666667</v>
      </c>
      <c r="I44">
        <f t="shared" si="2"/>
        <v>1743</v>
      </c>
      <c r="J44" s="8">
        <f t="shared" si="7"/>
        <v>24</v>
      </c>
      <c r="K44" s="6">
        <f>VLOOKUP(G44,Data!$A$77:$C$78,3)*$J$36/J44</f>
        <v>3.8749965523363894</v>
      </c>
      <c r="L44" s="10">
        <f t="shared" si="3"/>
        <v>3.2449019350690979E-2</v>
      </c>
      <c r="M44" s="6">
        <f t="shared" si="4"/>
        <v>1.6100017206831931</v>
      </c>
      <c r="N44" s="6">
        <f t="shared" si="5"/>
        <v>0.13214740706852846</v>
      </c>
      <c r="O44" s="95">
        <f t="shared" si="6"/>
        <v>0</v>
      </c>
      <c r="P44" s="96">
        <f t="shared" si="6"/>
        <v>0</v>
      </c>
      <c r="Q44" s="97">
        <f t="shared" si="6"/>
        <v>3158.333333333333</v>
      </c>
    </row>
    <row r="45" spans="1:17">
      <c r="A45" s="3" t="s">
        <v>11</v>
      </c>
      <c r="B45">
        <v>25</v>
      </c>
      <c r="C45">
        <v>4</v>
      </c>
      <c r="D45">
        <f t="shared" si="0"/>
        <v>-21</v>
      </c>
      <c r="E45">
        <v>21</v>
      </c>
      <c r="F45" s="1">
        <f t="shared" si="1"/>
        <v>100</v>
      </c>
      <c r="G45" s="2" t="s">
        <v>19</v>
      </c>
      <c r="H45" s="1">
        <f>F45*VLOOKUP(G45,Data!$A$77:$B$78,2)/1000</f>
        <v>7.4</v>
      </c>
      <c r="I45">
        <f t="shared" si="2"/>
        <v>25</v>
      </c>
      <c r="J45" s="8">
        <f t="shared" si="7"/>
        <v>21</v>
      </c>
      <c r="K45" s="6">
        <f>VLOOKUP(G45,Data!$A$77:$C$78,3)*$J$36/J45</f>
        <v>4.428567488384445</v>
      </c>
      <c r="L45" s="10">
        <f t="shared" si="3"/>
        <v>5.2438622092260785E-4</v>
      </c>
      <c r="M45" s="6">
        <f t="shared" si="4"/>
        <v>1.8400019664950777</v>
      </c>
      <c r="N45" s="6">
        <f t="shared" si="5"/>
        <v>4.1840867673412704E-3</v>
      </c>
      <c r="O45" s="95">
        <f t="shared" si="6"/>
        <v>0</v>
      </c>
      <c r="P45" s="96">
        <f t="shared" si="6"/>
        <v>0</v>
      </c>
      <c r="Q45" s="97">
        <f t="shared" si="6"/>
        <v>100</v>
      </c>
    </row>
    <row r="46" spans="1:17">
      <c r="A46" s="3" t="s">
        <v>12</v>
      </c>
      <c r="B46">
        <v>0</v>
      </c>
      <c r="C46">
        <v>0</v>
      </c>
      <c r="D46">
        <f t="shared" si="0"/>
        <v>0</v>
      </c>
      <c r="E46" s="5">
        <f>E45</f>
        <v>21</v>
      </c>
      <c r="F46" s="1">
        <f t="shared" si="1"/>
        <v>0</v>
      </c>
      <c r="G46" s="79" t="s">
        <v>19</v>
      </c>
      <c r="I46">
        <f>B46</f>
        <v>0</v>
      </c>
      <c r="J46" s="13">
        <f>J45</f>
        <v>21</v>
      </c>
      <c r="K46" s="6"/>
      <c r="L46" s="10">
        <f t="shared" si="3"/>
        <v>0</v>
      </c>
      <c r="M46" s="6">
        <f t="shared" si="4"/>
        <v>0</v>
      </c>
      <c r="N46" s="6">
        <f t="shared" si="5"/>
        <v>0</v>
      </c>
      <c r="O46" s="95">
        <f t="shared" si="6"/>
        <v>0</v>
      </c>
      <c r="P46" s="96">
        <f t="shared" si="6"/>
        <v>0</v>
      </c>
      <c r="Q46" s="97">
        <f t="shared" si="6"/>
        <v>0</v>
      </c>
    </row>
    <row r="47" spans="1:17">
      <c r="A47" s="9" t="s">
        <v>23</v>
      </c>
      <c r="B47">
        <f>SUM(B36:B46)</f>
        <v>211131</v>
      </c>
      <c r="C47">
        <f>SUM(C36:C46)</f>
        <v>201896</v>
      </c>
      <c r="D47">
        <f>SUM(D36:D46)</f>
        <v>-9235</v>
      </c>
      <c r="F47" s="1">
        <f>SUM(F36:F46)</f>
        <v>27126.050878945618</v>
      </c>
      <c r="H47" s="1">
        <f>SUM(H36:H46)</f>
        <v>2007.3277650419755</v>
      </c>
      <c r="I47">
        <f>SUM(I36:I46)</f>
        <v>31534</v>
      </c>
      <c r="L47" s="10">
        <f>SUM(L36:L46)</f>
        <v>2.4068275844401343</v>
      </c>
      <c r="N47" s="6">
        <f>SUM(N36:N46)</f>
        <v>1.1349775053282238</v>
      </c>
      <c r="O47" s="98">
        <f>SUM(O36:O46)</f>
        <v>0</v>
      </c>
      <c r="P47" s="99">
        <f>SUM(P36:P46)</f>
        <v>0</v>
      </c>
      <c r="Q47" s="100">
        <f>SUM(Q36:Q46)</f>
        <v>27126.050878945618</v>
      </c>
    </row>
    <row r="48" spans="1:17">
      <c r="A48" s="17" t="s">
        <v>53</v>
      </c>
      <c r="B48">
        <f>B34+B47</f>
        <v>263903</v>
      </c>
    </row>
    <row r="49" spans="1:17">
      <c r="J49" s="6"/>
    </row>
    <row r="50" spans="1:17">
      <c r="A50" t="s">
        <v>130</v>
      </c>
    </row>
    <row r="51" spans="1:17">
      <c r="A51" s="82" t="s">
        <v>131</v>
      </c>
    </row>
    <row r="52" spans="1:17">
      <c r="A52" s="82"/>
    </row>
    <row r="55" spans="1:17" ht="39.6">
      <c r="A55" s="11" t="s">
        <v>24</v>
      </c>
      <c r="B55" s="12" t="s">
        <v>13</v>
      </c>
      <c r="C55" s="12" t="s">
        <v>79</v>
      </c>
      <c r="D55" s="12" t="s">
        <v>15</v>
      </c>
      <c r="O55" s="101" t="s">
        <v>121</v>
      </c>
      <c r="P55" s="102" t="s">
        <v>118</v>
      </c>
      <c r="Q55" s="103" t="s">
        <v>19</v>
      </c>
    </row>
    <row r="56" spans="1:17">
      <c r="A56" t="s">
        <v>0</v>
      </c>
      <c r="B56">
        <v>52772</v>
      </c>
      <c r="C56">
        <v>53695</v>
      </c>
      <c r="D56">
        <f t="shared" ref="D56:D68" si="8">C56-B56</f>
        <v>923</v>
      </c>
      <c r="O56" s="85"/>
      <c r="P56" s="66"/>
      <c r="Q56" s="86"/>
    </row>
    <row r="57" spans="1:17">
      <c r="A57" t="s">
        <v>1</v>
      </c>
      <c r="O57" s="85"/>
      <c r="P57" s="66"/>
      <c r="Q57" s="86"/>
    </row>
    <row r="58" spans="1:17">
      <c r="A58" s="2" t="s">
        <v>2</v>
      </c>
      <c r="B58">
        <v>31534</v>
      </c>
      <c r="C58">
        <v>31534</v>
      </c>
      <c r="D58">
        <f t="shared" si="8"/>
        <v>0</v>
      </c>
      <c r="F58" s="1">
        <f t="shared" ref="F58:F68" si="9">-D58/J36*100</f>
        <v>0</v>
      </c>
      <c r="G58" s="79" t="s">
        <v>19</v>
      </c>
      <c r="O58" s="95">
        <f t="shared" ref="O58:Q68" si="10">IF(O$33=$G58,$F58,0)</f>
        <v>0</v>
      </c>
      <c r="P58" s="96">
        <f t="shared" si="10"/>
        <v>0</v>
      </c>
      <c r="Q58" s="97">
        <f t="shared" si="10"/>
        <v>0</v>
      </c>
    </row>
    <row r="59" spans="1:17">
      <c r="A59" s="3" t="s">
        <v>3</v>
      </c>
      <c r="B59">
        <v>31534</v>
      </c>
      <c r="C59">
        <v>31534</v>
      </c>
      <c r="D59">
        <f t="shared" si="8"/>
        <v>0</v>
      </c>
      <c r="F59" s="1">
        <f t="shared" si="9"/>
        <v>0</v>
      </c>
      <c r="G59" s="79" t="s">
        <v>19</v>
      </c>
      <c r="O59" s="95">
        <f t="shared" si="10"/>
        <v>0</v>
      </c>
      <c r="P59" s="96">
        <f t="shared" si="10"/>
        <v>0</v>
      </c>
      <c r="Q59" s="97">
        <f t="shared" si="10"/>
        <v>0</v>
      </c>
    </row>
    <row r="60" spans="1:17">
      <c r="A60" s="4" t="s">
        <v>4</v>
      </c>
      <c r="B60">
        <v>31534</v>
      </c>
      <c r="C60">
        <v>31534</v>
      </c>
      <c r="D60">
        <f t="shared" si="8"/>
        <v>0</v>
      </c>
      <c r="F60" s="1">
        <f t="shared" si="9"/>
        <v>0</v>
      </c>
      <c r="G60" s="79" t="s">
        <v>19</v>
      </c>
      <c r="O60" s="95">
        <f t="shared" si="10"/>
        <v>0</v>
      </c>
      <c r="P60" s="96">
        <f t="shared" si="10"/>
        <v>0</v>
      </c>
      <c r="Q60" s="97">
        <f t="shared" si="10"/>
        <v>0</v>
      </c>
    </row>
    <row r="61" spans="1:17">
      <c r="A61" s="4" t="s">
        <v>5</v>
      </c>
      <c r="B61">
        <v>31534</v>
      </c>
      <c r="C61">
        <v>31534</v>
      </c>
      <c r="D61">
        <f t="shared" si="8"/>
        <v>0</v>
      </c>
      <c r="F61" s="1">
        <f t="shared" si="9"/>
        <v>0</v>
      </c>
      <c r="G61" s="2" t="s">
        <v>19</v>
      </c>
      <c r="O61" s="95">
        <f t="shared" si="10"/>
        <v>0</v>
      </c>
      <c r="P61" s="96">
        <f t="shared" si="10"/>
        <v>0</v>
      </c>
      <c r="Q61" s="97">
        <f t="shared" si="10"/>
        <v>0</v>
      </c>
    </row>
    <row r="62" spans="1:17">
      <c r="A62" s="4" t="s">
        <v>6</v>
      </c>
      <c r="B62">
        <v>31316</v>
      </c>
      <c r="C62">
        <v>31294</v>
      </c>
      <c r="D62">
        <f t="shared" si="8"/>
        <v>-22</v>
      </c>
      <c r="F62" s="1">
        <f t="shared" si="9"/>
        <v>57.894736842105267</v>
      </c>
      <c r="G62" s="2" t="s">
        <v>19</v>
      </c>
      <c r="O62" s="95">
        <f t="shared" si="10"/>
        <v>0</v>
      </c>
      <c r="P62" s="96">
        <f t="shared" si="10"/>
        <v>0</v>
      </c>
      <c r="Q62" s="97">
        <f t="shared" si="10"/>
        <v>57.894736842105267</v>
      </c>
    </row>
    <row r="63" spans="1:17">
      <c r="A63" s="3" t="s">
        <v>7</v>
      </c>
      <c r="B63">
        <v>27926</v>
      </c>
      <c r="C63">
        <v>27703</v>
      </c>
      <c r="D63">
        <f t="shared" si="8"/>
        <v>-223</v>
      </c>
      <c r="F63" s="1">
        <f t="shared" si="9"/>
        <v>571.79487179487182</v>
      </c>
      <c r="G63" s="2" t="s">
        <v>19</v>
      </c>
      <c r="O63" s="95">
        <f t="shared" si="10"/>
        <v>0</v>
      </c>
      <c r="P63" s="96">
        <f t="shared" si="10"/>
        <v>0</v>
      </c>
      <c r="Q63" s="97">
        <f t="shared" si="10"/>
        <v>571.79487179487182</v>
      </c>
    </row>
    <row r="64" spans="1:17">
      <c r="A64" s="4" t="s">
        <v>8</v>
      </c>
      <c r="B64">
        <v>17105</v>
      </c>
      <c r="C64">
        <v>16746</v>
      </c>
      <c r="D64">
        <f t="shared" si="8"/>
        <v>-359</v>
      </c>
      <c r="F64" s="1">
        <f t="shared" si="9"/>
        <v>1087.878787878788</v>
      </c>
      <c r="G64" s="2" t="s">
        <v>19</v>
      </c>
      <c r="O64" s="95">
        <f t="shared" si="10"/>
        <v>0</v>
      </c>
      <c r="P64" s="96">
        <f t="shared" si="10"/>
        <v>0</v>
      </c>
      <c r="Q64" s="97">
        <f t="shared" si="10"/>
        <v>1087.878787878788</v>
      </c>
    </row>
    <row r="65" spans="1:17">
      <c r="A65" s="3" t="s">
        <v>9</v>
      </c>
      <c r="B65">
        <v>6855</v>
      </c>
      <c r="C65">
        <v>6637</v>
      </c>
      <c r="D65">
        <f t="shared" si="8"/>
        <v>-218</v>
      </c>
      <c r="F65" s="1">
        <f t="shared" si="9"/>
        <v>622.85714285714289</v>
      </c>
      <c r="G65" s="2" t="s">
        <v>19</v>
      </c>
      <c r="O65" s="95">
        <f t="shared" si="10"/>
        <v>0</v>
      </c>
      <c r="P65" s="96">
        <f t="shared" si="10"/>
        <v>0</v>
      </c>
      <c r="Q65" s="97">
        <f t="shared" si="10"/>
        <v>622.85714285714289</v>
      </c>
    </row>
    <row r="66" spans="1:17">
      <c r="A66" s="4" t="s">
        <v>10</v>
      </c>
      <c r="B66">
        <v>1768</v>
      </c>
      <c r="C66">
        <v>1672</v>
      </c>
      <c r="D66">
        <f t="shared" si="8"/>
        <v>-96</v>
      </c>
      <c r="F66" s="1">
        <f t="shared" si="9"/>
        <v>400</v>
      </c>
      <c r="G66" s="2" t="s">
        <v>19</v>
      </c>
      <c r="O66" s="95">
        <f t="shared" si="10"/>
        <v>0</v>
      </c>
      <c r="P66" s="96">
        <f t="shared" si="10"/>
        <v>0</v>
      </c>
      <c r="Q66" s="97">
        <f t="shared" si="10"/>
        <v>400</v>
      </c>
    </row>
    <row r="67" spans="1:17">
      <c r="A67" s="3" t="s">
        <v>11</v>
      </c>
      <c r="B67">
        <v>25</v>
      </c>
      <c r="C67">
        <v>20</v>
      </c>
      <c r="D67">
        <f t="shared" si="8"/>
        <v>-5</v>
      </c>
      <c r="F67" s="1">
        <f t="shared" si="9"/>
        <v>23.809523809523807</v>
      </c>
      <c r="G67" s="2" t="s">
        <v>19</v>
      </c>
      <c r="O67" s="95">
        <f t="shared" si="10"/>
        <v>0</v>
      </c>
      <c r="P67" s="96">
        <f t="shared" si="10"/>
        <v>0</v>
      </c>
      <c r="Q67" s="97">
        <f t="shared" si="10"/>
        <v>23.809523809523807</v>
      </c>
    </row>
    <row r="68" spans="1:17">
      <c r="A68" s="3" t="s">
        <v>12</v>
      </c>
      <c r="B68">
        <v>0</v>
      </c>
      <c r="C68">
        <v>0</v>
      </c>
      <c r="D68">
        <f t="shared" si="8"/>
        <v>0</v>
      </c>
      <c r="F68" s="1">
        <f t="shared" si="9"/>
        <v>0</v>
      </c>
      <c r="G68" s="79" t="s">
        <v>19</v>
      </c>
      <c r="O68" s="95">
        <f t="shared" si="10"/>
        <v>0</v>
      </c>
      <c r="P68" s="96">
        <f t="shared" si="10"/>
        <v>0</v>
      </c>
      <c r="Q68" s="97">
        <f t="shared" si="10"/>
        <v>0</v>
      </c>
    </row>
    <row r="69" spans="1:17">
      <c r="A69" s="9" t="s">
        <v>23</v>
      </c>
      <c r="B69">
        <f>SUM(B58:B68)</f>
        <v>211131</v>
      </c>
      <c r="C69">
        <f>SUM(C58:C68)</f>
        <v>210208</v>
      </c>
      <c r="D69">
        <f>SUM(D58:D68)</f>
        <v>-923</v>
      </c>
      <c r="F69" s="1">
        <f>SUM(F58:F68)</f>
        <v>2764.235063182432</v>
      </c>
      <c r="O69" s="98">
        <f>SUM(O58:O68)</f>
        <v>0</v>
      </c>
      <c r="P69" s="99">
        <f>SUM(P58:P68)</f>
        <v>0</v>
      </c>
      <c r="Q69" s="100">
        <f>SUM(Q58:Q68)</f>
        <v>2764.235063182432</v>
      </c>
    </row>
    <row r="70" spans="1:17">
      <c r="A70" s="17" t="s">
        <v>53</v>
      </c>
      <c r="B70">
        <f>B56+B69</f>
        <v>263903</v>
      </c>
      <c r="C70">
        <f>C56+C69</f>
        <v>263903</v>
      </c>
    </row>
    <row r="71" spans="1:17">
      <c r="A71" t="s">
        <v>129</v>
      </c>
    </row>
    <row r="73" spans="1:17">
      <c r="A73" t="s">
        <v>80</v>
      </c>
    </row>
    <row r="74" spans="1:17">
      <c r="A74" t="s">
        <v>1</v>
      </c>
    </row>
    <row r="75" spans="1:17">
      <c r="B75" t="s">
        <v>76</v>
      </c>
      <c r="C75" t="s">
        <v>77</v>
      </c>
      <c r="D75" t="s">
        <v>78</v>
      </c>
    </row>
    <row r="76" spans="1:17">
      <c r="A76" s="2" t="s">
        <v>2</v>
      </c>
      <c r="B76" s="10">
        <f>C36/$C$36</f>
        <v>1</v>
      </c>
      <c r="C76" s="10">
        <f t="shared" ref="C76:C85" si="11">-(D36-D58)/$B$36</f>
        <v>0</v>
      </c>
      <c r="D76" s="10">
        <f>-D58/$B$36</f>
        <v>0</v>
      </c>
    </row>
    <row r="77" spans="1:17">
      <c r="A77" s="3" t="s">
        <v>3</v>
      </c>
      <c r="B77" s="10">
        <f t="shared" ref="B77:B85" si="12">C37/$C$36</f>
        <v>1</v>
      </c>
      <c r="C77" s="10">
        <f t="shared" si="11"/>
        <v>0</v>
      </c>
      <c r="D77" s="10">
        <f t="shared" ref="D77:D85" si="13">-D59/$B$36</f>
        <v>0</v>
      </c>
    </row>
    <row r="78" spans="1:17">
      <c r="A78" s="4" t="s">
        <v>4</v>
      </c>
      <c r="B78" s="10">
        <f t="shared" si="12"/>
        <v>1</v>
      </c>
      <c r="C78" s="10">
        <f t="shared" si="11"/>
        <v>0</v>
      </c>
      <c r="D78" s="10">
        <f t="shared" si="13"/>
        <v>0</v>
      </c>
    </row>
    <row r="79" spans="1:17">
      <c r="A79" s="4" t="s">
        <v>5</v>
      </c>
      <c r="B79" s="10">
        <f t="shared" si="12"/>
        <v>0.99977801737806815</v>
      </c>
      <c r="C79" s="10">
        <f t="shared" si="11"/>
        <v>2.2198262193188305E-4</v>
      </c>
      <c r="D79" s="10">
        <f t="shared" si="13"/>
        <v>0</v>
      </c>
    </row>
    <row r="80" spans="1:17">
      <c r="A80" s="4" t="s">
        <v>6</v>
      </c>
      <c r="B80" s="10">
        <f t="shared" si="12"/>
        <v>0.97723092535041545</v>
      </c>
      <c r="C80" s="10">
        <f t="shared" si="11"/>
        <v>1.51582418976343E-2</v>
      </c>
      <c r="D80" s="10">
        <f t="shared" si="13"/>
        <v>6.9765966892877532E-4</v>
      </c>
    </row>
    <row r="81" spans="1:4">
      <c r="A81" s="3" t="s">
        <v>7</v>
      </c>
      <c r="B81" s="10">
        <f t="shared" si="12"/>
        <v>0.80176951861482848</v>
      </c>
      <c r="C81" s="10">
        <f t="shared" si="11"/>
        <v>7.6742563582165288E-2</v>
      </c>
      <c r="D81" s="10">
        <f t="shared" si="13"/>
        <v>7.0717320986871312E-3</v>
      </c>
    </row>
    <row r="82" spans="1:4">
      <c r="A82" s="4" t="s">
        <v>8</v>
      </c>
      <c r="B82" s="10">
        <f t="shared" si="12"/>
        <v>0.43308809538910381</v>
      </c>
      <c r="C82" s="10">
        <f t="shared" si="11"/>
        <v>9.7957759878226677E-2</v>
      </c>
      <c r="D82" s="10">
        <f t="shared" si="13"/>
        <v>1.1384537324792287E-2</v>
      </c>
    </row>
    <row r="83" spans="1:4">
      <c r="A83" s="3" t="s">
        <v>9</v>
      </c>
      <c r="B83" s="10">
        <f t="shared" si="12"/>
        <v>0.15846388025623137</v>
      </c>
      <c r="C83" s="10">
        <f t="shared" si="11"/>
        <v>5.2007357138326889E-2</v>
      </c>
      <c r="D83" s="10">
        <f t="shared" si="13"/>
        <v>6.913173083021501E-3</v>
      </c>
    </row>
    <row r="84" spans="1:4">
      <c r="A84" s="4" t="s">
        <v>10</v>
      </c>
      <c r="B84" s="10">
        <f t="shared" si="12"/>
        <v>3.2028921164457408E-2</v>
      </c>
      <c r="C84" s="10">
        <f t="shared" si="11"/>
        <v>2.0993213674129509E-2</v>
      </c>
      <c r="D84" s="10">
        <f t="shared" si="13"/>
        <v>3.0443331007801101E-3</v>
      </c>
    </row>
    <row r="85" spans="1:4">
      <c r="A85" s="3" t="s">
        <v>11</v>
      </c>
      <c r="B85" s="10">
        <f t="shared" si="12"/>
        <v>1.2684721253250459E-4</v>
      </c>
      <c r="C85" s="10">
        <f t="shared" si="11"/>
        <v>5.0738885013001836E-4</v>
      </c>
      <c r="D85" s="10">
        <f t="shared" si="13"/>
        <v>1.5855901566563075E-4</v>
      </c>
    </row>
  </sheetData>
  <phoneticPr fontId="0" type="noConversion"/>
  <pageMargins left="0.75" right="0.75" top="1" bottom="1" header="0.5" footer="0.5"/>
  <pageSetup paperSize="9" scale="54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2:Q117"/>
  <sheetViews>
    <sheetView showGridLines="0" zoomScale="75" workbookViewId="0"/>
  </sheetViews>
  <sheetFormatPr defaultRowHeight="13.2"/>
  <cols>
    <col min="1" max="1" width="24.44140625" customWidth="1"/>
  </cols>
  <sheetData>
    <row r="32" spans="1:1" ht="18">
      <c r="A32" s="35" t="s">
        <v>75</v>
      </c>
    </row>
    <row r="33" spans="1:17" ht="64.5" customHeight="1">
      <c r="A33" s="11" t="s">
        <v>24</v>
      </c>
      <c r="B33" s="32" t="s">
        <v>13</v>
      </c>
      <c r="C33" s="32" t="s">
        <v>14</v>
      </c>
      <c r="D33" s="32" t="s">
        <v>15</v>
      </c>
      <c r="E33" s="32" t="s">
        <v>16</v>
      </c>
      <c r="F33" s="32" t="s">
        <v>17</v>
      </c>
      <c r="G33" s="32" t="s">
        <v>18</v>
      </c>
      <c r="H33" s="32" t="s">
        <v>20</v>
      </c>
      <c r="I33" s="32" t="s">
        <v>22</v>
      </c>
      <c r="J33" s="32" t="s">
        <v>25</v>
      </c>
      <c r="K33" s="32" t="s">
        <v>122</v>
      </c>
      <c r="L33" s="32" t="s">
        <v>123</v>
      </c>
      <c r="M33" s="32" t="s">
        <v>124</v>
      </c>
      <c r="N33" s="32" t="s">
        <v>125</v>
      </c>
      <c r="O33" s="92" t="s">
        <v>121</v>
      </c>
      <c r="P33" s="93" t="s">
        <v>118</v>
      </c>
      <c r="Q33" s="94" t="s">
        <v>19</v>
      </c>
    </row>
    <row r="34" spans="1:17">
      <c r="A34" t="s">
        <v>0</v>
      </c>
      <c r="B34">
        <v>52772</v>
      </c>
      <c r="C34">
        <v>62008</v>
      </c>
      <c r="D34">
        <f t="shared" ref="D34:D46" si="0">C34-B34</f>
        <v>9236</v>
      </c>
      <c r="E34">
        <v>85</v>
      </c>
      <c r="O34" s="95"/>
      <c r="P34" s="96"/>
      <c r="Q34" s="97"/>
    </row>
    <row r="35" spans="1:17">
      <c r="A35" t="s">
        <v>1</v>
      </c>
      <c r="D35">
        <f t="shared" si="0"/>
        <v>0</v>
      </c>
      <c r="O35" s="95"/>
      <c r="P35" s="96"/>
      <c r="Q35" s="97"/>
    </row>
    <row r="36" spans="1:17">
      <c r="A36" s="2" t="s">
        <v>117</v>
      </c>
      <c r="B36">
        <v>252269</v>
      </c>
      <c r="C36">
        <v>252269</v>
      </c>
      <c r="D36">
        <f t="shared" si="0"/>
        <v>0</v>
      </c>
      <c r="E36" s="5">
        <v>42</v>
      </c>
      <c r="F36" s="1">
        <f t="shared" ref="F36:F46" si="1">-D36/J36*100</f>
        <v>0</v>
      </c>
      <c r="G36" s="79" t="s">
        <v>118</v>
      </c>
      <c r="H36" s="1">
        <f>F36*VLOOKUP(G36,Data!$A$77:$B$78,2)/1000</f>
        <v>0</v>
      </c>
      <c r="I36" s="1">
        <f>B49-B37</f>
        <v>7.625</v>
      </c>
      <c r="J36" s="8">
        <f>E36</f>
        <v>42</v>
      </c>
      <c r="K36" s="6">
        <f>VLOOKUP(G36,Data!$A$77:$C$78,3)*$J$36/J36</f>
        <v>2.2868832112149184</v>
      </c>
      <c r="L36" s="10">
        <f t="shared" ref="L36:L46" si="2">K36*B36/$B$47</f>
        <v>1.4444373970269886</v>
      </c>
      <c r="M36" s="6">
        <f t="shared" ref="M36:M46" si="3">K36/$L$47</f>
        <v>0.97791926291266307</v>
      </c>
      <c r="N36" s="6">
        <f t="shared" ref="N36:N46" si="4">M36*D36/$D$47</f>
        <v>0</v>
      </c>
      <c r="O36" s="95">
        <f t="shared" ref="O36:Q46" si="5">IF(O$33=$G36,$F36,0)</f>
        <v>0</v>
      </c>
      <c r="P36" s="96">
        <f t="shared" si="5"/>
        <v>0</v>
      </c>
      <c r="Q36" s="97">
        <f t="shared" si="5"/>
        <v>0</v>
      </c>
    </row>
    <row r="37" spans="1:17">
      <c r="A37" s="4" t="s">
        <v>10</v>
      </c>
      <c r="B37">
        <v>31526</v>
      </c>
      <c r="C37">
        <v>31064</v>
      </c>
      <c r="D37">
        <f t="shared" si="0"/>
        <v>-462</v>
      </c>
      <c r="E37">
        <v>42</v>
      </c>
      <c r="F37" s="1">
        <f t="shared" si="1"/>
        <v>1100</v>
      </c>
      <c r="G37" s="2" t="s">
        <v>118</v>
      </c>
      <c r="H37" s="1">
        <f>F37*VLOOKUP(G37,Data!$A$77:$B$78,2)/1000</f>
        <v>81.400000000000006</v>
      </c>
      <c r="I37">
        <f t="shared" ref="I37:I44" si="6">B37-B38</f>
        <v>248</v>
      </c>
      <c r="J37" s="8">
        <f>J36</f>
        <v>42</v>
      </c>
      <c r="K37" s="6">
        <f>VLOOKUP(G37,Data!$A$77:$C$78,3)*$J$36/J37</f>
        <v>2.2868832112149184</v>
      </c>
      <c r="L37" s="10">
        <f t="shared" si="2"/>
        <v>0.18051101553767149</v>
      </c>
      <c r="M37" s="6">
        <f t="shared" si="3"/>
        <v>0.97791926291266307</v>
      </c>
      <c r="N37" s="6">
        <f t="shared" si="4"/>
        <v>1.4708425284554166E-2</v>
      </c>
      <c r="O37" s="95">
        <f t="shared" si="5"/>
        <v>0</v>
      </c>
      <c r="P37" s="96">
        <f t="shared" si="5"/>
        <v>1100</v>
      </c>
      <c r="Q37" s="97">
        <f t="shared" si="5"/>
        <v>0</v>
      </c>
    </row>
    <row r="38" spans="1:17">
      <c r="A38" s="3" t="s">
        <v>11</v>
      </c>
      <c r="B38">
        <v>31278</v>
      </c>
      <c r="C38">
        <v>28548</v>
      </c>
      <c r="D38">
        <f t="shared" si="0"/>
        <v>-2730</v>
      </c>
      <c r="E38">
        <v>41</v>
      </c>
      <c r="F38" s="1">
        <f t="shared" si="1"/>
        <v>6500</v>
      </c>
      <c r="G38" s="2" t="s">
        <v>118</v>
      </c>
      <c r="H38" s="1">
        <f>F38*VLOOKUP(G38,Data!$A$77:$B$78,2)/1000</f>
        <v>481</v>
      </c>
      <c r="I38">
        <f t="shared" si="6"/>
        <v>2224</v>
      </c>
      <c r="J38" s="8">
        <f>J37</f>
        <v>42</v>
      </c>
      <c r="K38" s="6">
        <f>VLOOKUP(G38,Data!$A$77:$C$78,3)*$J$36/J38</f>
        <v>2.2868832112149184</v>
      </c>
      <c r="L38" s="10">
        <f t="shared" si="2"/>
        <v>0.17909102150565526</v>
      </c>
      <c r="M38" s="6">
        <f t="shared" si="3"/>
        <v>0.97791926291266307</v>
      </c>
      <c r="N38" s="6">
        <f t="shared" si="4"/>
        <v>8.6913422136001894E-2</v>
      </c>
      <c r="O38" s="95">
        <f t="shared" si="5"/>
        <v>0</v>
      </c>
      <c r="P38" s="96">
        <f t="shared" si="5"/>
        <v>6500</v>
      </c>
      <c r="Q38" s="97">
        <f t="shared" si="5"/>
        <v>0</v>
      </c>
    </row>
    <row r="39" spans="1:17">
      <c r="A39" s="3" t="s">
        <v>12</v>
      </c>
      <c r="B39">
        <v>29054</v>
      </c>
      <c r="C39">
        <v>22944</v>
      </c>
      <c r="D39">
        <f t="shared" si="0"/>
        <v>-6110</v>
      </c>
      <c r="E39">
        <v>39</v>
      </c>
      <c r="F39" s="1">
        <f t="shared" si="1"/>
        <v>15666.666666666666</v>
      </c>
      <c r="G39" s="2" t="s">
        <v>118</v>
      </c>
      <c r="H39" s="1">
        <f>F39*VLOOKUP(G39,Data!$A$77:$B$78,2)/1000</f>
        <v>1159.3333333333333</v>
      </c>
      <c r="I39">
        <f t="shared" si="6"/>
        <v>6215</v>
      </c>
      <c r="J39" s="8">
        <f t="shared" ref="J39:J45" si="7">E39</f>
        <v>39</v>
      </c>
      <c r="K39" s="6">
        <f>VLOOKUP(G39,Data!$A$77:$C$78,3)*$J$36/J39</f>
        <v>2.4627973043852966</v>
      </c>
      <c r="L39" s="10">
        <f t="shared" si="2"/>
        <v>0.17915356466711502</v>
      </c>
      <c r="M39" s="6">
        <f t="shared" si="3"/>
        <v>1.0531438215982525</v>
      </c>
      <c r="N39" s="6">
        <f t="shared" si="4"/>
        <v>0.20948363284061994</v>
      </c>
      <c r="O39" s="95">
        <f t="shared" si="5"/>
        <v>0</v>
      </c>
      <c r="P39" s="96">
        <f t="shared" si="5"/>
        <v>15666.666666666666</v>
      </c>
      <c r="Q39" s="97">
        <f t="shared" si="5"/>
        <v>0</v>
      </c>
    </row>
    <row r="40" spans="1:17">
      <c r="A40" s="3" t="s">
        <v>110</v>
      </c>
      <c r="B40">
        <v>22839</v>
      </c>
      <c r="C40">
        <v>15028</v>
      </c>
      <c r="D40">
        <f t="shared" si="0"/>
        <v>-7811</v>
      </c>
      <c r="E40">
        <v>39</v>
      </c>
      <c r="F40" s="1">
        <f t="shared" si="1"/>
        <v>20028.205128205125</v>
      </c>
      <c r="G40" s="2" t="s">
        <v>19</v>
      </c>
      <c r="H40" s="1">
        <f>F40*VLOOKUP(G40,Data!$A$77:$B$78,2)/1000</f>
        <v>1482.0871794871794</v>
      </c>
      <c r="I40">
        <f t="shared" si="6"/>
        <v>8187</v>
      </c>
      <c r="J40" s="8">
        <f t="shared" si="7"/>
        <v>39</v>
      </c>
      <c r="K40" s="6">
        <f>VLOOKUP(G40,Data!$A$77:$C$78,3)*$J$36/J40</f>
        <v>2.4627973043852966</v>
      </c>
      <c r="L40" s="10">
        <f t="shared" si="2"/>
        <v>0.14083046270504027</v>
      </c>
      <c r="M40" s="6">
        <f t="shared" si="3"/>
        <v>1.0531438215982525</v>
      </c>
      <c r="N40" s="6">
        <f t="shared" si="4"/>
        <v>0.26780305337448157</v>
      </c>
      <c r="O40" s="95">
        <f t="shared" si="5"/>
        <v>0</v>
      </c>
      <c r="P40" s="96">
        <f t="shared" si="5"/>
        <v>0</v>
      </c>
      <c r="Q40" s="97">
        <f t="shared" si="5"/>
        <v>20028.205128205125</v>
      </c>
    </row>
    <row r="41" spans="1:17">
      <c r="A41" s="3" t="s">
        <v>111</v>
      </c>
      <c r="B41">
        <v>14652</v>
      </c>
      <c r="C41">
        <v>8648</v>
      </c>
      <c r="D41">
        <f t="shared" si="0"/>
        <v>-6004</v>
      </c>
      <c r="E41">
        <v>38</v>
      </c>
      <c r="F41" s="1">
        <f t="shared" si="1"/>
        <v>15800</v>
      </c>
      <c r="G41" s="2" t="s">
        <v>19</v>
      </c>
      <c r="H41" s="1">
        <f>F41*VLOOKUP(G41,Data!$A$77:$B$78,2)/1000</f>
        <v>1169.2</v>
      </c>
      <c r="I41">
        <f t="shared" si="6"/>
        <v>6509</v>
      </c>
      <c r="J41" s="8">
        <f t="shared" si="7"/>
        <v>38</v>
      </c>
      <c r="K41" s="6">
        <f>VLOOKUP(G41,Data!$A$77:$C$78,3)*$J$36/J41</f>
        <v>2.5276077597638569</v>
      </c>
      <c r="L41" s="10">
        <f t="shared" si="2"/>
        <v>9.2725128119509045E-2</v>
      </c>
      <c r="M41" s="6">
        <f t="shared" si="3"/>
        <v>1.0808581326929432</v>
      </c>
      <c r="N41" s="6">
        <f t="shared" si="4"/>
        <v>0.21126647226905071</v>
      </c>
      <c r="O41" s="95">
        <f t="shared" si="5"/>
        <v>0</v>
      </c>
      <c r="P41" s="96">
        <f t="shared" si="5"/>
        <v>0</v>
      </c>
      <c r="Q41" s="97">
        <f t="shared" si="5"/>
        <v>15800</v>
      </c>
    </row>
    <row r="42" spans="1:17">
      <c r="A42" s="4" t="s">
        <v>112</v>
      </c>
      <c r="B42">
        <v>8143</v>
      </c>
      <c r="C42">
        <v>5277</v>
      </c>
      <c r="D42">
        <f t="shared" si="0"/>
        <v>-2866</v>
      </c>
      <c r="E42">
        <v>39</v>
      </c>
      <c r="F42" s="1">
        <f t="shared" si="1"/>
        <v>7348.7179487179492</v>
      </c>
      <c r="G42" s="2" t="s">
        <v>19</v>
      </c>
      <c r="H42" s="1">
        <f>F42*VLOOKUP(G42,Data!$A$77:$B$78,2)/1000</f>
        <v>543.8051282051282</v>
      </c>
      <c r="I42">
        <f t="shared" si="6"/>
        <v>2699</v>
      </c>
      <c r="J42" s="8">
        <f t="shared" si="7"/>
        <v>39</v>
      </c>
      <c r="K42" s="6">
        <f>VLOOKUP(G42,Data!$A$77:$C$78,3)*$J$36/J42</f>
        <v>2.4627973043852966</v>
      </c>
      <c r="L42" s="10">
        <f t="shared" si="2"/>
        <v>5.0211587977019266E-2</v>
      </c>
      <c r="M42" s="6">
        <f t="shared" si="3"/>
        <v>1.0531438215982525</v>
      </c>
      <c r="N42" s="6">
        <f t="shared" si="4"/>
        <v>9.826188080543645E-2</v>
      </c>
      <c r="O42" s="95">
        <f t="shared" si="5"/>
        <v>0</v>
      </c>
      <c r="P42" s="96">
        <f t="shared" si="5"/>
        <v>0</v>
      </c>
      <c r="Q42" s="97">
        <f t="shared" si="5"/>
        <v>7348.7179487179492</v>
      </c>
    </row>
    <row r="43" spans="1:17">
      <c r="A43" s="3" t="s">
        <v>113</v>
      </c>
      <c r="B43">
        <v>5444</v>
      </c>
      <c r="C43">
        <v>3189</v>
      </c>
      <c r="D43">
        <f t="shared" si="0"/>
        <v>-2255</v>
      </c>
      <c r="E43">
        <v>33</v>
      </c>
      <c r="F43" s="1">
        <f t="shared" si="1"/>
        <v>6833.333333333333</v>
      </c>
      <c r="G43" s="2" t="s">
        <v>19</v>
      </c>
      <c r="H43" s="1">
        <f>F43*VLOOKUP(G43,Data!$A$77:$B$78,2)/1000</f>
        <v>505.66666666666663</v>
      </c>
      <c r="I43">
        <f t="shared" si="6"/>
        <v>2209</v>
      </c>
      <c r="J43" s="8">
        <f t="shared" si="7"/>
        <v>33</v>
      </c>
      <c r="K43" s="6">
        <f>VLOOKUP(G43,Data!$A$77:$C$78,3)*$J$36/J43</f>
        <v>2.9105786324553504</v>
      </c>
      <c r="L43" s="10">
        <f t="shared" si="2"/>
        <v>3.9672384583631308E-2</v>
      </c>
      <c r="M43" s="6">
        <f t="shared" si="3"/>
        <v>1.2446245164342982</v>
      </c>
      <c r="N43" s="6">
        <f t="shared" si="4"/>
        <v>9.1370520707078892E-2</v>
      </c>
      <c r="O43" s="95">
        <f t="shared" si="5"/>
        <v>0</v>
      </c>
      <c r="P43" s="96">
        <f t="shared" si="5"/>
        <v>0</v>
      </c>
      <c r="Q43" s="97">
        <f t="shared" si="5"/>
        <v>6833.333333333333</v>
      </c>
    </row>
    <row r="44" spans="1:17">
      <c r="A44" s="4" t="s">
        <v>114</v>
      </c>
      <c r="B44">
        <v>3235</v>
      </c>
      <c r="C44">
        <v>1495</v>
      </c>
      <c r="D44">
        <f t="shared" si="0"/>
        <v>-1740</v>
      </c>
      <c r="E44">
        <v>35</v>
      </c>
      <c r="F44" s="1">
        <f t="shared" si="1"/>
        <v>4971.4285714285716</v>
      </c>
      <c r="G44" s="2" t="s">
        <v>19</v>
      </c>
      <c r="H44" s="1">
        <f>F44*VLOOKUP(G44,Data!$A$77:$B$78,2)/1000</f>
        <v>367.8857142857143</v>
      </c>
      <c r="I44">
        <f t="shared" si="6"/>
        <v>2295</v>
      </c>
      <c r="J44" s="8">
        <f t="shared" si="7"/>
        <v>35</v>
      </c>
      <c r="K44" s="6">
        <f>VLOOKUP(G44,Data!$A$77:$C$78,3)*$J$36/J44</f>
        <v>2.7442598534579021</v>
      </c>
      <c r="L44" s="10">
        <f t="shared" si="2"/>
        <v>2.2227487226963161E-2</v>
      </c>
      <c r="M44" s="6">
        <f t="shared" si="3"/>
        <v>1.1735031154951956</v>
      </c>
      <c r="N44" s="6">
        <f t="shared" si="4"/>
        <v>6.6474441545777266E-2</v>
      </c>
      <c r="O44" s="95">
        <f t="shared" si="5"/>
        <v>0</v>
      </c>
      <c r="P44" s="96">
        <f t="shared" si="5"/>
        <v>0</v>
      </c>
      <c r="Q44" s="97">
        <f t="shared" si="5"/>
        <v>4971.4285714285716</v>
      </c>
    </row>
    <row r="45" spans="1:17">
      <c r="A45" s="3" t="s">
        <v>115</v>
      </c>
      <c r="B45">
        <v>940</v>
      </c>
      <c r="C45">
        <v>220</v>
      </c>
      <c r="D45">
        <f t="shared" si="0"/>
        <v>-720</v>
      </c>
      <c r="E45">
        <v>24</v>
      </c>
      <c r="F45" s="1">
        <f t="shared" si="1"/>
        <v>3000</v>
      </c>
      <c r="G45" s="2" t="s">
        <v>19</v>
      </c>
      <c r="H45" s="1">
        <f>F45*VLOOKUP(G45,Data!$A$77:$B$78,2)/1000</f>
        <v>222</v>
      </c>
      <c r="I45">
        <f>B45-B46</f>
        <v>919</v>
      </c>
      <c r="J45" s="8">
        <f t="shared" si="7"/>
        <v>24</v>
      </c>
      <c r="K45" s="6">
        <f>VLOOKUP(G45,Data!$A$77:$C$78,3)*$J$36/J45</f>
        <v>4.0020456196261067</v>
      </c>
      <c r="L45" s="10">
        <f t="shared" si="2"/>
        <v>9.4189120268816061E-3</v>
      </c>
      <c r="M45" s="6">
        <f t="shared" si="3"/>
        <v>1.7113587100971601</v>
      </c>
      <c r="N45" s="6">
        <f t="shared" si="4"/>
        <v>4.0113887139693175E-2</v>
      </c>
      <c r="O45" s="95">
        <f t="shared" si="5"/>
        <v>0</v>
      </c>
      <c r="P45" s="96">
        <f t="shared" si="5"/>
        <v>0</v>
      </c>
      <c r="Q45" s="97">
        <f t="shared" si="5"/>
        <v>3000</v>
      </c>
    </row>
    <row r="46" spans="1:17">
      <c r="A46" s="3" t="s">
        <v>116</v>
      </c>
      <c r="B46">
        <v>21</v>
      </c>
      <c r="C46">
        <v>2</v>
      </c>
      <c r="D46">
        <f t="shared" si="0"/>
        <v>-19</v>
      </c>
      <c r="E46">
        <v>21</v>
      </c>
      <c r="F46" s="1">
        <f t="shared" si="1"/>
        <v>90.476190476190482</v>
      </c>
      <c r="G46" s="2" t="s">
        <v>19</v>
      </c>
      <c r="H46" s="1">
        <f>F46*VLOOKUP(G46,Data!$A$77:$B$78,2)/1000</f>
        <v>6.6952380952380954</v>
      </c>
      <c r="I46">
        <f>B46</f>
        <v>21</v>
      </c>
      <c r="J46" s="78">
        <v>21</v>
      </c>
      <c r="K46" s="6">
        <f>VLOOKUP(G46,Data!$A$77:$C$78,3)*$J$36/J46</f>
        <v>4.5737664224298369</v>
      </c>
      <c r="L46" s="10">
        <f t="shared" si="2"/>
        <v>2.4048286026080699E-4</v>
      </c>
      <c r="M46" s="6">
        <f t="shared" si="3"/>
        <v>1.9558385258253261</v>
      </c>
      <c r="N46" s="6">
        <f t="shared" si="4"/>
        <v>1.2097838978637628E-3</v>
      </c>
      <c r="O46" s="95">
        <f t="shared" si="5"/>
        <v>0</v>
      </c>
      <c r="P46" s="96">
        <f t="shared" si="5"/>
        <v>0</v>
      </c>
      <c r="Q46" s="97">
        <f t="shared" si="5"/>
        <v>90.476190476190482</v>
      </c>
    </row>
    <row r="47" spans="1:17">
      <c r="A47" s="9" t="s">
        <v>23</v>
      </c>
      <c r="B47">
        <f>SUM(B36:B46)</f>
        <v>399401</v>
      </c>
      <c r="C47">
        <f>SUM(C36:C46)</f>
        <v>368684</v>
      </c>
      <c r="D47">
        <f>SUM(D36:D46)</f>
        <v>-30717</v>
      </c>
      <c r="F47" s="1">
        <f>SUM(F36:F46)</f>
        <v>81338.827838827812</v>
      </c>
      <c r="H47" s="1">
        <f>SUM(H36:H46)</f>
        <v>6019.0732600732599</v>
      </c>
      <c r="I47">
        <f>SUM(I36:I46)</f>
        <v>31533.625</v>
      </c>
      <c r="L47" s="10">
        <f>SUM(L36:L46)</f>
        <v>2.3385194442367352</v>
      </c>
      <c r="N47" s="6">
        <f>SUM(N36:N46)</f>
        <v>1.0876055200005577</v>
      </c>
      <c r="O47" s="98">
        <f>SUM(O36:O46)</f>
        <v>0</v>
      </c>
      <c r="P47" s="99">
        <f>SUM(P36:P46)</f>
        <v>23266.666666666664</v>
      </c>
      <c r="Q47" s="100">
        <f>SUM(Q36:Q46)</f>
        <v>58072.161172161177</v>
      </c>
    </row>
    <row r="48" spans="1:17">
      <c r="A48" s="17" t="s">
        <v>53</v>
      </c>
      <c r="B48">
        <f>B34+B47</f>
        <v>452173</v>
      </c>
      <c r="C48">
        <f>C34+C47</f>
        <v>430692</v>
      </c>
    </row>
    <row r="49" spans="1:17">
      <c r="A49" s="2" t="s">
        <v>126</v>
      </c>
      <c r="B49" s="1">
        <f>B36/8</f>
        <v>31533.625</v>
      </c>
      <c r="C49" s="1">
        <f>C36/8</f>
        <v>31533.625</v>
      </c>
      <c r="D49">
        <f>C49-B49</f>
        <v>0</v>
      </c>
    </row>
    <row r="51" spans="1:17">
      <c r="A51" s="81" t="s">
        <v>132</v>
      </c>
    </row>
    <row r="52" spans="1:17">
      <c r="A52" s="81"/>
    </row>
    <row r="53" spans="1:17">
      <c r="A53" s="16"/>
    </row>
    <row r="55" spans="1:17" ht="39.6">
      <c r="A55" s="11" t="s">
        <v>24</v>
      </c>
      <c r="B55" s="12" t="s">
        <v>13</v>
      </c>
      <c r="C55" s="12" t="s">
        <v>14</v>
      </c>
      <c r="D55" s="12" t="s">
        <v>15</v>
      </c>
      <c r="J55" s="83" t="s">
        <v>135</v>
      </c>
      <c r="K55" s="84"/>
      <c r="O55" s="101" t="s">
        <v>121</v>
      </c>
      <c r="P55" s="102" t="s">
        <v>118</v>
      </c>
      <c r="Q55" s="103" t="s">
        <v>19</v>
      </c>
    </row>
    <row r="56" spans="1:17">
      <c r="A56" t="s">
        <v>0</v>
      </c>
      <c r="B56">
        <v>52772</v>
      </c>
      <c r="C56">
        <v>53695</v>
      </c>
      <c r="D56">
        <f>C56-B56</f>
        <v>923</v>
      </c>
      <c r="J56" s="85"/>
      <c r="K56" s="86"/>
      <c r="O56" s="95"/>
      <c r="P56" s="96"/>
      <c r="Q56" s="97"/>
    </row>
    <row r="57" spans="1:17">
      <c r="A57" t="s">
        <v>1</v>
      </c>
      <c r="J57" s="85"/>
      <c r="K57" s="86"/>
      <c r="O57" s="95"/>
      <c r="P57" s="96"/>
      <c r="Q57" s="97"/>
    </row>
    <row r="58" spans="1:17">
      <c r="A58" s="2" t="s">
        <v>117</v>
      </c>
      <c r="B58">
        <v>252269</v>
      </c>
      <c r="C58">
        <v>252260</v>
      </c>
      <c r="D58">
        <f t="shared" ref="D58:D68" si="8">C58-B58</f>
        <v>-9</v>
      </c>
      <c r="F58" s="1">
        <f t="shared" ref="F58:F68" si="9">-D58/J36*100</f>
        <v>21.428571428571427</v>
      </c>
      <c r="G58" s="79" t="s">
        <v>118</v>
      </c>
      <c r="J58" s="85" t="str">
        <f>'Zafarana 1999'!A36</f>
        <v>0-1</v>
      </c>
      <c r="K58" s="86">
        <f>'Zafarana 1999'!D36</f>
        <v>0</v>
      </c>
      <c r="O58" s="95">
        <f t="shared" ref="O58:Q68" si="10">IF(O$33=$G58,$F58,0)</f>
        <v>0</v>
      </c>
      <c r="P58" s="96">
        <f t="shared" si="10"/>
        <v>21.428571428571427</v>
      </c>
      <c r="Q58" s="97">
        <f t="shared" si="10"/>
        <v>0</v>
      </c>
    </row>
    <row r="59" spans="1:17">
      <c r="A59" s="4" t="s">
        <v>10</v>
      </c>
      <c r="B59">
        <v>31526</v>
      </c>
      <c r="C59">
        <v>31516</v>
      </c>
      <c r="D59">
        <f t="shared" si="8"/>
        <v>-10</v>
      </c>
      <c r="F59" s="1">
        <f t="shared" si="9"/>
        <v>23.809523809523807</v>
      </c>
      <c r="G59" s="2" t="s">
        <v>118</v>
      </c>
      <c r="J59" s="85" t="str">
        <f>'Zafarana 1999'!A37</f>
        <v>1-2</v>
      </c>
      <c r="K59" s="86">
        <f>'Zafarana 1999'!D37</f>
        <v>0</v>
      </c>
      <c r="O59" s="95">
        <f t="shared" si="10"/>
        <v>0</v>
      </c>
      <c r="P59" s="96">
        <f t="shared" si="10"/>
        <v>23.809523809523807</v>
      </c>
      <c r="Q59" s="97">
        <f t="shared" si="10"/>
        <v>0</v>
      </c>
    </row>
    <row r="60" spans="1:17">
      <c r="A60" s="3" t="s">
        <v>11</v>
      </c>
      <c r="B60">
        <v>31278</v>
      </c>
      <c r="C60">
        <v>30971</v>
      </c>
      <c r="D60">
        <f t="shared" si="8"/>
        <v>-307</v>
      </c>
      <c r="F60" s="1">
        <f t="shared" si="9"/>
        <v>730.95238095238096</v>
      </c>
      <c r="G60" s="2" t="s">
        <v>118</v>
      </c>
      <c r="J60" s="85" t="str">
        <f>'Zafarana 1999'!A38</f>
        <v>2-3</v>
      </c>
      <c r="K60" s="86">
        <f>'Zafarana 1999'!D38</f>
        <v>0</v>
      </c>
      <c r="O60" s="95">
        <f t="shared" si="10"/>
        <v>0</v>
      </c>
      <c r="P60" s="96">
        <f t="shared" si="10"/>
        <v>730.95238095238096</v>
      </c>
      <c r="Q60" s="97">
        <f t="shared" si="10"/>
        <v>0</v>
      </c>
    </row>
    <row r="61" spans="1:17">
      <c r="A61" s="3" t="s">
        <v>12</v>
      </c>
      <c r="B61">
        <v>29054</v>
      </c>
      <c r="C61">
        <v>27630</v>
      </c>
      <c r="D61">
        <f t="shared" si="8"/>
        <v>-1424</v>
      </c>
      <c r="F61" s="1">
        <f t="shared" si="9"/>
        <v>3651.2820512820513</v>
      </c>
      <c r="G61" s="2" t="s">
        <v>118</v>
      </c>
      <c r="J61" s="85" t="str">
        <f>'Zafarana 1999'!A39</f>
        <v>3-4</v>
      </c>
      <c r="K61" s="86">
        <f>'Zafarana 1999'!D39</f>
        <v>-7</v>
      </c>
      <c r="O61" s="95">
        <f t="shared" si="10"/>
        <v>0</v>
      </c>
      <c r="P61" s="96">
        <f t="shared" si="10"/>
        <v>3651.2820512820513</v>
      </c>
      <c r="Q61" s="97">
        <f t="shared" si="10"/>
        <v>0</v>
      </c>
    </row>
    <row r="62" spans="1:17">
      <c r="A62" s="3" t="s">
        <v>110</v>
      </c>
      <c r="B62">
        <v>22839</v>
      </c>
      <c r="C62">
        <v>20596</v>
      </c>
      <c r="D62">
        <f t="shared" si="8"/>
        <v>-2243</v>
      </c>
      <c r="F62" s="1">
        <f t="shared" si="9"/>
        <v>5751.2820512820508</v>
      </c>
      <c r="G62" s="2" t="s">
        <v>19</v>
      </c>
      <c r="J62" s="85" t="str">
        <f>'Zafarana 1999'!A40</f>
        <v>4-5</v>
      </c>
      <c r="K62" s="86">
        <f>'Zafarana 1999'!D40</f>
        <v>-500</v>
      </c>
      <c r="O62" s="95">
        <f t="shared" si="10"/>
        <v>0</v>
      </c>
      <c r="P62" s="96">
        <f t="shared" si="10"/>
        <v>0</v>
      </c>
      <c r="Q62" s="97">
        <f t="shared" si="10"/>
        <v>5751.2820512820508</v>
      </c>
    </row>
    <row r="63" spans="1:17">
      <c r="A63" s="3" t="s">
        <v>111</v>
      </c>
      <c r="B63">
        <v>14652</v>
      </c>
      <c r="C63">
        <v>12300</v>
      </c>
      <c r="D63">
        <f t="shared" si="8"/>
        <v>-2352</v>
      </c>
      <c r="F63" s="1">
        <f t="shared" si="9"/>
        <v>6189.4736842105258</v>
      </c>
      <c r="G63" s="2" t="s">
        <v>19</v>
      </c>
      <c r="J63" s="85" t="str">
        <f>'Zafarana 1999'!A41</f>
        <v>5-6</v>
      </c>
      <c r="K63" s="86">
        <f>'Zafarana 1999'!D41</f>
        <v>-2643</v>
      </c>
      <c r="O63" s="95">
        <f t="shared" si="10"/>
        <v>0</v>
      </c>
      <c r="P63" s="96">
        <f t="shared" si="10"/>
        <v>0</v>
      </c>
      <c r="Q63" s="97">
        <f t="shared" si="10"/>
        <v>6189.4736842105258</v>
      </c>
    </row>
    <row r="64" spans="1:17">
      <c r="A64" s="4" t="s">
        <v>112</v>
      </c>
      <c r="B64">
        <v>8143</v>
      </c>
      <c r="C64">
        <v>7052</v>
      </c>
      <c r="D64">
        <f t="shared" si="8"/>
        <v>-1091</v>
      </c>
      <c r="F64" s="1">
        <f t="shared" si="9"/>
        <v>2797.4358974358975</v>
      </c>
      <c r="G64" s="2" t="s">
        <v>19</v>
      </c>
      <c r="J64" s="85" t="str">
        <f>'Zafarana 1999'!A42</f>
        <v>6-7</v>
      </c>
      <c r="K64" s="86">
        <f>'Zafarana 1999'!D42</f>
        <v>-3448</v>
      </c>
      <c r="O64" s="95">
        <f t="shared" si="10"/>
        <v>0</v>
      </c>
      <c r="P64" s="96">
        <f t="shared" si="10"/>
        <v>0</v>
      </c>
      <c r="Q64" s="97">
        <f t="shared" si="10"/>
        <v>2797.4358974358975</v>
      </c>
    </row>
    <row r="65" spans="1:17">
      <c r="A65" s="3" t="s">
        <v>113</v>
      </c>
      <c r="B65">
        <v>5444</v>
      </c>
      <c r="C65">
        <v>4744</v>
      </c>
      <c r="D65">
        <f t="shared" si="8"/>
        <v>-700</v>
      </c>
      <c r="F65" s="1">
        <f t="shared" si="9"/>
        <v>2121.212121212121</v>
      </c>
      <c r="G65" s="2" t="s">
        <v>19</v>
      </c>
      <c r="J65" s="85" t="str">
        <f>'Zafarana 1999'!A43</f>
        <v>7-8</v>
      </c>
      <c r="K65" s="86">
        <f>'Zafarana 1999'!D43</f>
        <v>-1858</v>
      </c>
      <c r="O65" s="95">
        <f t="shared" si="10"/>
        <v>0</v>
      </c>
      <c r="P65" s="96">
        <f t="shared" si="10"/>
        <v>0</v>
      </c>
      <c r="Q65" s="97">
        <f t="shared" si="10"/>
        <v>2121.212121212121</v>
      </c>
    </row>
    <row r="66" spans="1:17">
      <c r="A66" s="4" t="s">
        <v>114</v>
      </c>
      <c r="B66">
        <v>3235</v>
      </c>
      <c r="C66">
        <v>2545</v>
      </c>
      <c r="D66">
        <f t="shared" si="8"/>
        <v>-690</v>
      </c>
      <c r="F66" s="1">
        <f t="shared" si="9"/>
        <v>1971.4285714285716</v>
      </c>
      <c r="G66" s="2" t="s">
        <v>19</v>
      </c>
      <c r="J66" s="85" t="str">
        <f>'Zafarana 1999'!A44</f>
        <v>8-9</v>
      </c>
      <c r="K66" s="86">
        <f>'Zafarana 1999'!D44</f>
        <v>-758</v>
      </c>
      <c r="O66" s="95">
        <f t="shared" si="10"/>
        <v>0</v>
      </c>
      <c r="P66" s="96">
        <f t="shared" si="10"/>
        <v>0</v>
      </c>
      <c r="Q66" s="97">
        <f t="shared" si="10"/>
        <v>1971.4285714285716</v>
      </c>
    </row>
    <row r="67" spans="1:17">
      <c r="A67" s="3" t="s">
        <v>115</v>
      </c>
      <c r="B67">
        <v>940</v>
      </c>
      <c r="C67">
        <v>540</v>
      </c>
      <c r="D67">
        <f t="shared" si="8"/>
        <v>-400</v>
      </c>
      <c r="F67" s="1">
        <f t="shared" si="9"/>
        <v>1666.6666666666667</v>
      </c>
      <c r="G67" s="2" t="s">
        <v>19</v>
      </c>
      <c r="J67" s="85" t="str">
        <f>'Zafarana 1999'!A45</f>
        <v>9-10</v>
      </c>
      <c r="K67" s="86">
        <f>'Zafarana 1999'!D45</f>
        <v>-21</v>
      </c>
      <c r="O67" s="95">
        <f t="shared" si="10"/>
        <v>0</v>
      </c>
      <c r="P67" s="96">
        <f t="shared" si="10"/>
        <v>0</v>
      </c>
      <c r="Q67" s="97">
        <f t="shared" si="10"/>
        <v>1666.6666666666667</v>
      </c>
    </row>
    <row r="68" spans="1:17">
      <c r="A68" s="3" t="s">
        <v>116</v>
      </c>
      <c r="B68">
        <v>21</v>
      </c>
      <c r="C68">
        <v>5</v>
      </c>
      <c r="D68">
        <f t="shared" si="8"/>
        <v>-16</v>
      </c>
      <c r="F68" s="1">
        <f t="shared" si="9"/>
        <v>76.19047619047619</v>
      </c>
      <c r="G68" s="2" t="s">
        <v>19</v>
      </c>
      <c r="J68" s="85" t="str">
        <f>'Zafarana 1999'!A46</f>
        <v>10-11</v>
      </c>
      <c r="K68" s="86">
        <f>'Zafarana 1999'!D46</f>
        <v>0</v>
      </c>
      <c r="O68" s="95">
        <f t="shared" si="10"/>
        <v>0</v>
      </c>
      <c r="P68" s="96">
        <f t="shared" si="10"/>
        <v>0</v>
      </c>
      <c r="Q68" s="97">
        <f t="shared" si="10"/>
        <v>76.19047619047619</v>
      </c>
    </row>
    <row r="69" spans="1:17">
      <c r="A69" s="9" t="s">
        <v>23</v>
      </c>
      <c r="B69">
        <f>SUM(B58:B68)</f>
        <v>399401</v>
      </c>
      <c r="C69">
        <f>SUM(C58:C68)</f>
        <v>390159</v>
      </c>
      <c r="D69">
        <f>SUM(D58:D68)</f>
        <v>-9242</v>
      </c>
      <c r="F69" s="1">
        <f>SUM(F58:F68)</f>
        <v>25001.161995898841</v>
      </c>
      <c r="J69" s="87"/>
      <c r="K69" s="88">
        <f>SUM(K58:K68)</f>
        <v>-9235</v>
      </c>
      <c r="O69" s="98">
        <f>SUM(O58:O68)</f>
        <v>0</v>
      </c>
      <c r="P69" s="99">
        <f>SUM(P58:P68)</f>
        <v>4427.4725274725279</v>
      </c>
      <c r="Q69" s="100">
        <f>SUM(Q58:Q68)</f>
        <v>20573.689468426313</v>
      </c>
    </row>
    <row r="70" spans="1:17">
      <c r="A70" s="17" t="s">
        <v>53</v>
      </c>
      <c r="B70">
        <f>B56+B69</f>
        <v>452173</v>
      </c>
      <c r="C70">
        <f>C56+C69</f>
        <v>443854</v>
      </c>
    </row>
    <row r="71" spans="1:17">
      <c r="A71" s="2" t="s">
        <v>126</v>
      </c>
      <c r="B71" s="1">
        <f>B58/8</f>
        <v>31533.625</v>
      </c>
      <c r="C71" s="1">
        <f>C58/8</f>
        <v>31532.5</v>
      </c>
      <c r="D71" s="1">
        <f>C71-B71</f>
        <v>-1.125</v>
      </c>
    </row>
    <row r="72" spans="1:17">
      <c r="B72" s="1"/>
      <c r="C72" s="1"/>
      <c r="D72" s="1"/>
    </row>
    <row r="73" spans="1:17">
      <c r="A73" s="81" t="s">
        <v>133</v>
      </c>
      <c r="B73" s="1"/>
      <c r="C73" s="1"/>
      <c r="D73" s="1"/>
    </row>
    <row r="74" spans="1:17">
      <c r="A74" s="2"/>
      <c r="B74" s="1"/>
      <c r="C74" s="1"/>
      <c r="D74" s="1"/>
    </row>
    <row r="77" spans="1:17" ht="39.6">
      <c r="A77" s="11" t="s">
        <v>24</v>
      </c>
      <c r="B77" s="12" t="s">
        <v>13</v>
      </c>
      <c r="C77" s="12" t="s">
        <v>79</v>
      </c>
      <c r="D77" s="12" t="s">
        <v>15</v>
      </c>
      <c r="J77" s="83" t="s">
        <v>135</v>
      </c>
      <c r="K77" s="84"/>
      <c r="O77" s="101" t="s">
        <v>121</v>
      </c>
      <c r="P77" s="102" t="s">
        <v>118</v>
      </c>
      <c r="Q77" s="103" t="s">
        <v>19</v>
      </c>
    </row>
    <row r="78" spans="1:17">
      <c r="A78" t="s">
        <v>0</v>
      </c>
      <c r="B78">
        <v>52772</v>
      </c>
      <c r="C78">
        <v>53695</v>
      </c>
      <c r="D78">
        <f>C78-B78</f>
        <v>923</v>
      </c>
      <c r="J78" s="85"/>
      <c r="K78" s="86"/>
      <c r="O78" s="95"/>
      <c r="P78" s="96"/>
      <c r="Q78" s="97"/>
    </row>
    <row r="79" spans="1:17">
      <c r="A79" t="s">
        <v>1</v>
      </c>
      <c r="J79" s="85"/>
      <c r="K79" s="86"/>
      <c r="O79" s="95"/>
      <c r="P79" s="96"/>
      <c r="Q79" s="97"/>
    </row>
    <row r="80" spans="1:17">
      <c r="A80" s="2" t="s">
        <v>117</v>
      </c>
      <c r="B80">
        <v>252269</v>
      </c>
      <c r="C80">
        <v>252269</v>
      </c>
      <c r="D80">
        <f t="shared" ref="D80:D90" si="11">C80-B80</f>
        <v>0</v>
      </c>
      <c r="F80" s="1">
        <f t="shared" ref="F80:F90" si="12">-D80/J36*100</f>
        <v>0</v>
      </c>
      <c r="G80" s="31" t="s">
        <v>118</v>
      </c>
      <c r="J80" s="85" t="str">
        <f>'Zafarana 1999'!A58</f>
        <v>0-1</v>
      </c>
      <c r="K80" s="86">
        <f>'Zafarana 1999'!D58</f>
        <v>0</v>
      </c>
      <c r="O80" s="95">
        <f t="shared" ref="O80:Q90" si="13">IF(O$33=$G80,$F80,0)</f>
        <v>0</v>
      </c>
      <c r="P80" s="96">
        <f t="shared" si="13"/>
        <v>0</v>
      </c>
      <c r="Q80" s="97">
        <f t="shared" si="13"/>
        <v>0</v>
      </c>
    </row>
    <row r="81" spans="1:17">
      <c r="A81" s="4" t="s">
        <v>10</v>
      </c>
      <c r="B81">
        <v>31526</v>
      </c>
      <c r="C81">
        <v>31525</v>
      </c>
      <c r="D81">
        <f t="shared" si="11"/>
        <v>-1</v>
      </c>
      <c r="F81" s="1">
        <f t="shared" si="12"/>
        <v>2.3809523809523809</v>
      </c>
      <c r="G81" s="2" t="s">
        <v>118</v>
      </c>
      <c r="J81" s="85" t="str">
        <f>'Zafarana 1999'!A59</f>
        <v>1-2</v>
      </c>
      <c r="K81" s="86">
        <f>'Zafarana 1999'!D59</f>
        <v>0</v>
      </c>
      <c r="O81" s="95">
        <f t="shared" si="13"/>
        <v>0</v>
      </c>
      <c r="P81" s="96">
        <f t="shared" si="13"/>
        <v>2.3809523809523809</v>
      </c>
      <c r="Q81" s="97">
        <f t="shared" si="13"/>
        <v>0</v>
      </c>
    </row>
    <row r="82" spans="1:17">
      <c r="A82" s="3" t="s">
        <v>11</v>
      </c>
      <c r="B82">
        <v>31278</v>
      </c>
      <c r="C82">
        <v>31262</v>
      </c>
      <c r="D82">
        <f t="shared" si="11"/>
        <v>-16</v>
      </c>
      <c r="F82" s="1">
        <f t="shared" si="12"/>
        <v>38.095238095238095</v>
      </c>
      <c r="G82" s="2" t="s">
        <v>118</v>
      </c>
      <c r="J82" s="85" t="str">
        <f>'Zafarana 1999'!A60</f>
        <v>2-3</v>
      </c>
      <c r="K82" s="86">
        <f>'Zafarana 1999'!D60</f>
        <v>0</v>
      </c>
      <c r="O82" s="95">
        <f t="shared" si="13"/>
        <v>0</v>
      </c>
      <c r="P82" s="96">
        <f t="shared" si="13"/>
        <v>38.095238095238095</v>
      </c>
      <c r="Q82" s="97">
        <f t="shared" si="13"/>
        <v>0</v>
      </c>
    </row>
    <row r="83" spans="1:17">
      <c r="A83" s="3" t="s">
        <v>12</v>
      </c>
      <c r="B83">
        <v>29054</v>
      </c>
      <c r="C83">
        <v>28931</v>
      </c>
      <c r="D83">
        <f t="shared" si="11"/>
        <v>-123</v>
      </c>
      <c r="F83" s="1">
        <f t="shared" si="12"/>
        <v>315.38461538461536</v>
      </c>
      <c r="G83" s="2" t="s">
        <v>118</v>
      </c>
      <c r="J83" s="85" t="str">
        <f>'Zafarana 1999'!A61</f>
        <v>3-4</v>
      </c>
      <c r="K83" s="86">
        <f>'Zafarana 1999'!D61</f>
        <v>0</v>
      </c>
      <c r="O83" s="95">
        <f t="shared" si="13"/>
        <v>0</v>
      </c>
      <c r="P83" s="96">
        <f t="shared" si="13"/>
        <v>315.38461538461536</v>
      </c>
      <c r="Q83" s="97">
        <f t="shared" si="13"/>
        <v>0</v>
      </c>
    </row>
    <row r="84" spans="1:17">
      <c r="A84" s="3" t="s">
        <v>110</v>
      </c>
      <c r="B84">
        <v>22839</v>
      </c>
      <c r="C84">
        <v>22623</v>
      </c>
      <c r="D84">
        <f t="shared" si="11"/>
        <v>-216</v>
      </c>
      <c r="F84" s="1">
        <f t="shared" si="12"/>
        <v>553.84615384615381</v>
      </c>
      <c r="G84" s="2" t="s">
        <v>19</v>
      </c>
      <c r="J84" s="85" t="str">
        <f>'Zafarana 1999'!A62</f>
        <v>4-5</v>
      </c>
      <c r="K84" s="86">
        <f>'Zafarana 1999'!D62</f>
        <v>-22</v>
      </c>
      <c r="O84" s="95">
        <f t="shared" si="13"/>
        <v>0</v>
      </c>
      <c r="P84" s="96">
        <f t="shared" si="13"/>
        <v>0</v>
      </c>
      <c r="Q84" s="97">
        <f t="shared" si="13"/>
        <v>553.84615384615381</v>
      </c>
    </row>
    <row r="85" spans="1:17">
      <c r="A85" s="3" t="s">
        <v>111</v>
      </c>
      <c r="B85">
        <v>14652</v>
      </c>
      <c r="C85">
        <v>14412</v>
      </c>
      <c r="D85">
        <f t="shared" si="11"/>
        <v>-240</v>
      </c>
      <c r="F85" s="1">
        <f t="shared" si="12"/>
        <v>631.57894736842104</v>
      </c>
      <c r="G85" s="2" t="s">
        <v>19</v>
      </c>
      <c r="J85" s="85" t="str">
        <f>'Zafarana 1999'!A63</f>
        <v>5-6</v>
      </c>
      <c r="K85" s="86">
        <f>'Zafarana 1999'!D63</f>
        <v>-223</v>
      </c>
      <c r="O85" s="95">
        <f t="shared" si="13"/>
        <v>0</v>
      </c>
      <c r="P85" s="96">
        <f t="shared" si="13"/>
        <v>0</v>
      </c>
      <c r="Q85" s="97">
        <f t="shared" si="13"/>
        <v>631.57894736842104</v>
      </c>
    </row>
    <row r="86" spans="1:17">
      <c r="A86" s="4" t="s">
        <v>112</v>
      </c>
      <c r="B86">
        <v>8143</v>
      </c>
      <c r="C86">
        <v>8010</v>
      </c>
      <c r="D86">
        <f t="shared" si="11"/>
        <v>-133</v>
      </c>
      <c r="F86" s="1">
        <f t="shared" si="12"/>
        <v>341.02564102564099</v>
      </c>
      <c r="G86" s="2" t="s">
        <v>19</v>
      </c>
      <c r="J86" s="85" t="str">
        <f>'Zafarana 1999'!A64</f>
        <v>6-7</v>
      </c>
      <c r="K86" s="86">
        <f>'Zafarana 1999'!D64</f>
        <v>-359</v>
      </c>
      <c r="O86" s="95">
        <f t="shared" si="13"/>
        <v>0</v>
      </c>
      <c r="P86" s="96">
        <f t="shared" si="13"/>
        <v>0</v>
      </c>
      <c r="Q86" s="97">
        <f t="shared" si="13"/>
        <v>341.02564102564099</v>
      </c>
    </row>
    <row r="87" spans="1:17">
      <c r="A87" s="3" t="s">
        <v>113</v>
      </c>
      <c r="B87">
        <v>5444</v>
      </c>
      <c r="C87">
        <v>5375</v>
      </c>
      <c r="D87">
        <f t="shared" si="11"/>
        <v>-69</v>
      </c>
      <c r="F87" s="1">
        <f t="shared" si="12"/>
        <v>209.09090909090909</v>
      </c>
      <c r="G87" s="2" t="s">
        <v>19</v>
      </c>
      <c r="J87" s="85" t="str">
        <f>'Zafarana 1999'!A65</f>
        <v>7-8</v>
      </c>
      <c r="K87" s="86">
        <f>'Zafarana 1999'!D65</f>
        <v>-218</v>
      </c>
      <c r="O87" s="95">
        <f t="shared" si="13"/>
        <v>0</v>
      </c>
      <c r="P87" s="96">
        <f t="shared" si="13"/>
        <v>0</v>
      </c>
      <c r="Q87" s="97">
        <f t="shared" si="13"/>
        <v>209.09090909090909</v>
      </c>
    </row>
    <row r="88" spans="1:17">
      <c r="A88" s="4" t="s">
        <v>114</v>
      </c>
      <c r="B88">
        <v>3235</v>
      </c>
      <c r="C88">
        <v>3160</v>
      </c>
      <c r="D88">
        <f t="shared" si="11"/>
        <v>-75</v>
      </c>
      <c r="F88" s="1">
        <f t="shared" si="12"/>
        <v>214.28571428571428</v>
      </c>
      <c r="G88" s="2" t="s">
        <v>19</v>
      </c>
      <c r="J88" s="85" t="str">
        <f>'Zafarana 1999'!A66</f>
        <v>8-9</v>
      </c>
      <c r="K88" s="86">
        <f>'Zafarana 1999'!D66</f>
        <v>-96</v>
      </c>
      <c r="O88" s="95">
        <f t="shared" si="13"/>
        <v>0</v>
      </c>
      <c r="P88" s="96">
        <f t="shared" si="13"/>
        <v>0</v>
      </c>
      <c r="Q88" s="97">
        <f t="shared" si="13"/>
        <v>214.28571428571428</v>
      </c>
    </row>
    <row r="89" spans="1:17">
      <c r="A89" s="3" t="s">
        <v>115</v>
      </c>
      <c r="B89">
        <v>940</v>
      </c>
      <c r="C89">
        <v>891</v>
      </c>
      <c r="D89">
        <f t="shared" si="11"/>
        <v>-49</v>
      </c>
      <c r="F89" s="1">
        <f t="shared" si="12"/>
        <v>204.16666666666666</v>
      </c>
      <c r="G89" s="2" t="s">
        <v>19</v>
      </c>
      <c r="J89" s="85" t="str">
        <f>'Zafarana 1999'!A67</f>
        <v>9-10</v>
      </c>
      <c r="K89" s="86">
        <f>'Zafarana 1999'!D67</f>
        <v>-5</v>
      </c>
      <c r="O89" s="95">
        <f t="shared" si="13"/>
        <v>0</v>
      </c>
      <c r="P89" s="96">
        <f t="shared" si="13"/>
        <v>0</v>
      </c>
      <c r="Q89" s="97">
        <f t="shared" si="13"/>
        <v>204.16666666666666</v>
      </c>
    </row>
    <row r="90" spans="1:17">
      <c r="A90" s="3" t="s">
        <v>116</v>
      </c>
      <c r="B90">
        <v>21</v>
      </c>
      <c r="C90">
        <v>18</v>
      </c>
      <c r="D90">
        <f t="shared" si="11"/>
        <v>-3</v>
      </c>
      <c r="F90" s="1">
        <f t="shared" si="12"/>
        <v>14.285714285714285</v>
      </c>
      <c r="G90" s="2" t="s">
        <v>19</v>
      </c>
      <c r="J90" s="85" t="str">
        <f>'Zafarana 1999'!A68</f>
        <v>10-11</v>
      </c>
      <c r="K90" s="86">
        <f>'Zafarana 1999'!D68</f>
        <v>0</v>
      </c>
      <c r="O90" s="95">
        <f t="shared" si="13"/>
        <v>0</v>
      </c>
      <c r="P90" s="96">
        <f t="shared" si="13"/>
        <v>0</v>
      </c>
      <c r="Q90" s="97">
        <f t="shared" si="13"/>
        <v>14.285714285714285</v>
      </c>
    </row>
    <row r="91" spans="1:17">
      <c r="A91" s="9" t="s">
        <v>23</v>
      </c>
      <c r="B91">
        <f>SUM(B80:B90)</f>
        <v>399401</v>
      </c>
      <c r="C91">
        <f>SUM(C80:C90)</f>
        <v>398476</v>
      </c>
      <c r="D91">
        <f>SUM(D80:D90)</f>
        <v>-925</v>
      </c>
      <c r="F91" s="1">
        <f>SUM(F80:F90)</f>
        <v>2524.1405524300258</v>
      </c>
      <c r="J91" s="87"/>
      <c r="K91" s="88">
        <f>SUM(K80:K90)</f>
        <v>-923</v>
      </c>
      <c r="O91" s="98">
        <f>SUM(O80:O90)</f>
        <v>0</v>
      </c>
      <c r="P91" s="99">
        <f>SUM(P80:P90)</f>
        <v>355.86080586080584</v>
      </c>
      <c r="Q91" s="100">
        <f>SUM(Q80:Q90)</f>
        <v>2168.2797465692197</v>
      </c>
    </row>
    <row r="92" spans="1:17">
      <c r="A92" s="17" t="s">
        <v>53</v>
      </c>
      <c r="B92">
        <f>B78+B91</f>
        <v>452173</v>
      </c>
      <c r="C92">
        <f>C78+C91</f>
        <v>452171</v>
      </c>
    </row>
    <row r="93" spans="1:17">
      <c r="A93" s="2" t="s">
        <v>126</v>
      </c>
      <c r="B93" s="1">
        <f>B80/8</f>
        <v>31533.625</v>
      </c>
      <c r="C93" s="1">
        <f>C80/8</f>
        <v>31533.625</v>
      </c>
      <c r="D93">
        <f>C93-B93</f>
        <v>0</v>
      </c>
    </row>
    <row r="95" spans="1:17">
      <c r="A95" s="81" t="s">
        <v>134</v>
      </c>
    </row>
    <row r="97" spans="1:5">
      <c r="A97" t="s">
        <v>80</v>
      </c>
    </row>
    <row r="98" spans="1:5">
      <c r="A98" t="s">
        <v>1</v>
      </c>
    </row>
    <row r="99" spans="1:5">
      <c r="B99" t="s">
        <v>76</v>
      </c>
      <c r="C99" t="s">
        <v>128</v>
      </c>
      <c r="D99" t="s">
        <v>127</v>
      </c>
      <c r="E99" t="s">
        <v>78</v>
      </c>
    </row>
    <row r="100" spans="1:5">
      <c r="A100" s="2" t="s">
        <v>2</v>
      </c>
      <c r="B100" s="10">
        <v>1</v>
      </c>
      <c r="C100" s="10">
        <v>0</v>
      </c>
      <c r="D100" s="10">
        <v>0</v>
      </c>
      <c r="E100" s="10">
        <v>0</v>
      </c>
    </row>
    <row r="101" spans="1:5">
      <c r="A101" s="3" t="s">
        <v>3</v>
      </c>
      <c r="B101" s="10">
        <v>1</v>
      </c>
      <c r="C101" s="10">
        <v>0</v>
      </c>
      <c r="D101" s="10">
        <v>0</v>
      </c>
      <c r="E101" s="10">
        <v>0</v>
      </c>
    </row>
    <row r="102" spans="1:5">
      <c r="A102" s="4" t="s">
        <v>4</v>
      </c>
      <c r="B102" s="10">
        <v>1</v>
      </c>
      <c r="C102" s="10">
        <v>0</v>
      </c>
      <c r="D102" s="10">
        <v>0</v>
      </c>
      <c r="E102" s="10">
        <v>0</v>
      </c>
    </row>
    <row r="103" spans="1:5">
      <c r="A103" s="4" t="s">
        <v>5</v>
      </c>
      <c r="B103" s="10">
        <v>1</v>
      </c>
      <c r="C103" s="10">
        <v>0</v>
      </c>
      <c r="D103" s="10">
        <v>0</v>
      </c>
      <c r="E103" s="10">
        <v>0</v>
      </c>
    </row>
    <row r="104" spans="1:5">
      <c r="A104" s="4" t="s">
        <v>6</v>
      </c>
      <c r="B104" s="10">
        <v>1</v>
      </c>
      <c r="C104" s="10">
        <v>0</v>
      </c>
      <c r="D104" s="10">
        <v>0</v>
      </c>
      <c r="E104" s="10">
        <v>0</v>
      </c>
    </row>
    <row r="105" spans="1:5">
      <c r="A105" s="3" t="s">
        <v>7</v>
      </c>
      <c r="B105" s="10">
        <v>1</v>
      </c>
      <c r="C105" s="10">
        <v>0</v>
      </c>
      <c r="D105" s="10">
        <v>0</v>
      </c>
      <c r="E105" s="10">
        <v>0</v>
      </c>
    </row>
    <row r="106" spans="1:5">
      <c r="A106" s="3" t="s">
        <v>8</v>
      </c>
      <c r="B106" s="10">
        <v>1</v>
      </c>
      <c r="C106" s="10">
        <v>0</v>
      </c>
      <c r="D106" s="10">
        <v>0</v>
      </c>
      <c r="E106" s="10">
        <v>0</v>
      </c>
    </row>
    <row r="107" spans="1:5">
      <c r="A107" s="3" t="s">
        <v>9</v>
      </c>
      <c r="B107" s="10">
        <f>C49/$C$49</f>
        <v>1</v>
      </c>
      <c r="C107" s="10">
        <f>-(D49-D71)/$B$49</f>
        <v>-3.5676202783536621E-5</v>
      </c>
      <c r="D107" s="10">
        <f>-(D71-D93)/$B$49</f>
        <v>3.5676202783536621E-5</v>
      </c>
      <c r="E107" s="10">
        <f>-D93/$B$49</f>
        <v>0</v>
      </c>
    </row>
    <row r="108" spans="1:5">
      <c r="A108" s="3" t="s">
        <v>10</v>
      </c>
      <c r="B108" s="10">
        <f>C37/$C$49</f>
        <v>0.98510716734913917</v>
      </c>
      <c r="C108" s="10">
        <f t="shared" ref="C108:C117" si="14">-(D37-D59)/$B$49</f>
        <v>1.4333905473918714E-2</v>
      </c>
      <c r="D108" s="10">
        <f>-(D59-D81)/$B$49</f>
        <v>2.8540962226829297E-4</v>
      </c>
      <c r="E108" s="10">
        <f>-D81/$B$49</f>
        <v>3.1712180252032556E-5</v>
      </c>
    </row>
    <row r="109" spans="1:5">
      <c r="A109" s="3" t="s">
        <v>11</v>
      </c>
      <c r="B109" s="10">
        <f t="shared" ref="B109:B117" si="15">C38/$C$49</f>
        <v>0.90531932183502528</v>
      </c>
      <c r="C109" s="10">
        <f t="shared" si="14"/>
        <v>7.683861275067487E-2</v>
      </c>
      <c r="D109" s="10">
        <f t="shared" ref="D109:D117" si="16">-(D60-D82)/$B$49</f>
        <v>9.228244453341472E-3</v>
      </c>
      <c r="E109" s="10">
        <f t="shared" ref="E109:E117" si="17">-D82/$B$49</f>
        <v>5.0739488403252089E-4</v>
      </c>
    </row>
    <row r="110" spans="1:5">
      <c r="A110" s="4" t="s">
        <v>12</v>
      </c>
      <c r="B110" s="10">
        <f t="shared" si="15"/>
        <v>0.72760426370263487</v>
      </c>
      <c r="C110" s="10">
        <f t="shared" si="14"/>
        <v>0.14860327666102455</v>
      </c>
      <c r="D110" s="10">
        <f t="shared" si="16"/>
        <v>4.1257546507894351E-2</v>
      </c>
      <c r="E110" s="10">
        <f t="shared" si="17"/>
        <v>3.900598171000004E-3</v>
      </c>
    </row>
    <row r="111" spans="1:5">
      <c r="A111" s="4" t="s">
        <v>110</v>
      </c>
      <c r="B111" s="10">
        <f t="shared" si="15"/>
        <v>0.47657064482754519</v>
      </c>
      <c r="C111" s="10">
        <f t="shared" si="14"/>
        <v>0.17657341964331724</v>
      </c>
      <c r="D111" s="10">
        <f t="shared" si="16"/>
        <v>6.4280589370869987E-2</v>
      </c>
      <c r="E111" s="10">
        <f t="shared" si="17"/>
        <v>6.8498309344390317E-3</v>
      </c>
    </row>
    <row r="112" spans="1:5">
      <c r="A112" s="3" t="s">
        <v>111</v>
      </c>
      <c r="B112" s="10">
        <f t="shared" si="15"/>
        <v>0.27424693481957751</v>
      </c>
      <c r="C112" s="10">
        <f t="shared" si="14"/>
        <v>0.11581288228042289</v>
      </c>
      <c r="D112" s="10">
        <f t="shared" si="16"/>
        <v>6.6976124692292749E-2</v>
      </c>
      <c r="E112" s="10">
        <f t="shared" si="17"/>
        <v>7.6109232604878122E-3</v>
      </c>
    </row>
    <row r="113" spans="1:5">
      <c r="A113" s="4" t="s">
        <v>112</v>
      </c>
      <c r="B113" s="10">
        <f t="shared" si="15"/>
        <v>0.16734517518997577</v>
      </c>
      <c r="C113" s="10">
        <f t="shared" si="14"/>
        <v>5.6289119947357781E-2</v>
      </c>
      <c r="D113" s="10">
        <f t="shared" si="16"/>
        <v>3.0380268681447185E-2</v>
      </c>
      <c r="E113" s="10">
        <f t="shared" si="17"/>
        <v>4.2177199735203294E-3</v>
      </c>
    </row>
    <row r="114" spans="1:5">
      <c r="A114" s="3" t="s">
        <v>113</v>
      </c>
      <c r="B114" s="10">
        <f t="shared" si="15"/>
        <v>0.10113014282373181</v>
      </c>
      <c r="C114" s="10">
        <f t="shared" si="14"/>
        <v>4.931244029191062E-2</v>
      </c>
      <c r="D114" s="10">
        <f t="shared" si="16"/>
        <v>2.0010385739032542E-2</v>
      </c>
      <c r="E114" s="10">
        <f t="shared" si="17"/>
        <v>2.1881404373902463E-3</v>
      </c>
    </row>
    <row r="115" spans="1:5">
      <c r="A115" s="4" t="s">
        <v>114</v>
      </c>
      <c r="B115" s="10">
        <f t="shared" si="15"/>
        <v>4.7409709476788665E-2</v>
      </c>
      <c r="C115" s="10">
        <f t="shared" si="14"/>
        <v>3.3297789264634177E-2</v>
      </c>
      <c r="D115" s="10">
        <f t="shared" si="16"/>
        <v>1.950299085500002E-2</v>
      </c>
      <c r="E115" s="10">
        <f t="shared" si="17"/>
        <v>2.3784135189024416E-3</v>
      </c>
    </row>
    <row r="116" spans="1:5">
      <c r="A116" s="3" t="s">
        <v>115</v>
      </c>
      <c r="B116" s="10">
        <f t="shared" si="15"/>
        <v>6.9766796554471613E-3</v>
      </c>
      <c r="C116" s="10">
        <f t="shared" si="14"/>
        <v>1.0147897680650417E-2</v>
      </c>
      <c r="D116" s="10">
        <f t="shared" si="16"/>
        <v>1.1130975268463426E-2</v>
      </c>
      <c r="E116" s="10">
        <f t="shared" si="17"/>
        <v>1.553896832349595E-3</v>
      </c>
    </row>
    <row r="117" spans="1:5">
      <c r="A117" s="3" t="s">
        <v>116</v>
      </c>
      <c r="B117" s="10">
        <f t="shared" si="15"/>
        <v>6.3424360504065112E-5</v>
      </c>
      <c r="C117" s="10">
        <f t="shared" si="14"/>
        <v>9.5136540756097661E-5</v>
      </c>
      <c r="D117" s="10">
        <f t="shared" si="16"/>
        <v>4.1225834327642317E-4</v>
      </c>
      <c r="E117" s="10">
        <f t="shared" si="17"/>
        <v>9.5136540756097661E-5</v>
      </c>
    </row>
  </sheetData>
  <phoneticPr fontId="0" type="noConversion"/>
  <pageMargins left="0.75" right="0.75" top="1" bottom="1" header="0.5" footer="0.5"/>
  <pageSetup paperSize="9"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Presentation</vt:lpstr>
      <vt:lpstr>Data</vt:lpstr>
      <vt:lpstr>Zafarana 1999</vt:lpstr>
      <vt:lpstr>Zafarana 2010</vt:lpstr>
    </vt:vector>
  </TitlesOfParts>
  <Company>Risø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capability of wind turbines</dc:title>
  <dc:subject>CDM project for a wind farm in Egypt</dc:subject>
  <dc:creator>Poul Erik Grohnheit</dc:creator>
  <cp:keywords>Wind power; fuel substitution; revenue</cp:keywords>
  <dc:description>Dec 2001: Based on Pre-feasibility Study for a Pilot CDM-Project for a Wind Farm in Egypt.Task 2.1.  ENG2-CT1999-0001, CDMED, NREA, Risø National Laboratory. Final version. Draft for comments. June 2001._x000d_
August 2002. Source: Wind power projects in the CDM: Methods and tools for baselines, carbon financing and sustainability analysis. DRAFT 07-08-02._x000d_
October 2002: Updated to the current draft report. Source for the figures in Chapter 6 Appendix III._x000d_
</dc:description>
  <cp:lastModifiedBy>Aniket Gupta</cp:lastModifiedBy>
  <cp:lastPrinted>2001-12-19T15:56:26Z</cp:lastPrinted>
  <dcterms:created xsi:type="dcterms:W3CDTF">2001-08-16T13:01:43Z</dcterms:created>
  <dcterms:modified xsi:type="dcterms:W3CDTF">2024-02-03T22:12:32Z</dcterms:modified>
</cp:coreProperties>
</file>