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DFD42E83-E40D-46BD-B78F-4B511C0F8DDA}" xr6:coauthVersionLast="47" xr6:coauthVersionMax="47" xr10:uidLastSave="{00000000-0000-0000-0000-000000000000}"/>
  <bookViews>
    <workbookView xWindow="3348" yWindow="3348" windowWidth="17280" windowHeight="8880" activeTab="3"/>
  </bookViews>
  <sheets>
    <sheet name="Calendar 2000" sheetId="1" r:id="rId1"/>
    <sheet name="Calendar 2001" sheetId="2" r:id="rId2"/>
    <sheet name="Calendar 2002" sheetId="4" r:id="rId3"/>
    <sheet name="Calendar 2003" sheetId="5" r:id="rId4"/>
  </sheets>
  <definedNames>
    <definedName name="_xlnm.Print_Area" localSheetId="0">'Calendar 2000'!$A$1:$L$34</definedName>
    <definedName name="_xlnm.Print_Area" localSheetId="1">'Calendar 2001'!$A$1:$M$43</definedName>
    <definedName name="_xlnm.Print_Area" localSheetId="2">'Calendar 2002'!$A$1:$M$35</definedName>
    <definedName name="_xlnm.Print_Area" localSheetId="3">'Calendar 2003'!$A$1:$Q$50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H10" i="1"/>
  <c r="J10" i="1"/>
  <c r="L10" i="1"/>
  <c r="L12" i="1" s="1"/>
  <c r="L18" i="1" s="1"/>
  <c r="F11" i="1"/>
  <c r="F12" i="1" s="1"/>
  <c r="F18" i="1" s="1"/>
  <c r="H11" i="1"/>
  <c r="H12" i="1" s="1"/>
  <c r="H18" i="1" s="1"/>
  <c r="J11" i="1"/>
  <c r="J12" i="1" s="1"/>
  <c r="J18" i="1" s="1"/>
  <c r="L11" i="1"/>
  <c r="D12" i="1"/>
  <c r="F14" i="1"/>
  <c r="L14" i="1" s="1"/>
  <c r="H14" i="1"/>
  <c r="J14" i="1"/>
  <c r="F15" i="1"/>
  <c r="L15" i="1"/>
  <c r="L16" i="1"/>
  <c r="L17" i="1"/>
  <c r="D18" i="1"/>
  <c r="D27" i="1" s="1"/>
  <c r="L19" i="1"/>
  <c r="L20" i="1"/>
  <c r="L23" i="1"/>
  <c r="L24" i="1"/>
  <c r="E10" i="2"/>
  <c r="M10" i="2" s="1"/>
  <c r="G10" i="2"/>
  <c r="G12" i="2" s="1"/>
  <c r="G18" i="2" s="1"/>
  <c r="I10" i="2"/>
  <c r="I12" i="2" s="1"/>
  <c r="I18" i="2" s="1"/>
  <c r="K10" i="2"/>
  <c r="E11" i="2"/>
  <c r="G11" i="2"/>
  <c r="I11" i="2"/>
  <c r="K11" i="2"/>
  <c r="K12" i="2" s="1"/>
  <c r="K18" i="2" s="1"/>
  <c r="M11" i="2"/>
  <c r="E12" i="2"/>
  <c r="E14" i="2"/>
  <c r="M14" i="2" s="1"/>
  <c r="G14" i="2"/>
  <c r="I14" i="2"/>
  <c r="K14" i="2"/>
  <c r="K15" i="2"/>
  <c r="M15" i="2"/>
  <c r="M16" i="2"/>
  <c r="M17" i="2"/>
  <c r="M19" i="2"/>
  <c r="M20" i="2"/>
  <c r="M23" i="2"/>
  <c r="M24" i="2"/>
  <c r="M26" i="2"/>
  <c r="E29" i="2"/>
  <c r="D31" i="2"/>
  <c r="D9" i="4"/>
  <c r="F9" i="4"/>
  <c r="F11" i="4" s="1"/>
  <c r="F17" i="4" s="1"/>
  <c r="L9" i="4"/>
  <c r="D10" i="4"/>
  <c r="F10" i="4"/>
  <c r="L10" i="4"/>
  <c r="L11" i="4" s="1"/>
  <c r="L17" i="4" s="1"/>
  <c r="D11" i="4"/>
  <c r="D17" i="4" s="1"/>
  <c r="H11" i="4"/>
  <c r="J11" i="4"/>
  <c r="D13" i="4"/>
  <c r="F13" i="4"/>
  <c r="L13" i="4"/>
  <c r="L14" i="4"/>
  <c r="L15" i="4"/>
  <c r="L16" i="4"/>
  <c r="H17" i="4"/>
  <c r="J17" i="4"/>
  <c r="J21" i="4" s="1"/>
  <c r="J24" i="4" s="1"/>
  <c r="J27" i="4" s="1"/>
  <c r="L18" i="4"/>
  <c r="L19" i="4"/>
  <c r="H21" i="4"/>
  <c r="H24" i="4" s="1"/>
  <c r="H27" i="4" s="1"/>
  <c r="L22" i="4"/>
  <c r="L23" i="4"/>
  <c r="H29" i="4"/>
  <c r="J29" i="4"/>
  <c r="L10" i="5"/>
  <c r="L12" i="5" s="1"/>
  <c r="L19" i="5" s="1"/>
  <c r="L11" i="5"/>
  <c r="D12" i="5"/>
  <c r="F12" i="5"/>
  <c r="F19" i="5" s="1"/>
  <c r="H12" i="5"/>
  <c r="H19" i="5" s="1"/>
  <c r="J12" i="5"/>
  <c r="L14" i="5"/>
  <c r="L15" i="5"/>
  <c r="L16" i="5"/>
  <c r="L17" i="5"/>
  <c r="L18" i="5"/>
  <c r="D19" i="5"/>
  <c r="J19" i="5"/>
  <c r="J38" i="5" s="1"/>
  <c r="L20" i="5"/>
  <c r="L21" i="5"/>
  <c r="L22" i="5"/>
  <c r="D24" i="5"/>
  <c r="D28" i="5" s="1"/>
  <c r="L25" i="5"/>
  <c r="L26" i="5"/>
  <c r="L29" i="5"/>
  <c r="D38" i="5"/>
  <c r="L24" i="5" l="1"/>
  <c r="L28" i="5" s="1"/>
  <c r="L38" i="5"/>
  <c r="H27" i="1"/>
  <c r="H22" i="1"/>
  <c r="H25" i="1" s="1"/>
  <c r="F21" i="4"/>
  <c r="F24" i="4" s="1"/>
  <c r="F27" i="4" s="1"/>
  <c r="F29" i="4"/>
  <c r="K34" i="2"/>
  <c r="K22" i="2"/>
  <c r="K25" i="2" s="1"/>
  <c r="M12" i="2"/>
  <c r="F27" i="1"/>
  <c r="F22" i="1"/>
  <c r="F25" i="1" s="1"/>
  <c r="L29" i="4"/>
  <c r="L21" i="4"/>
  <c r="L24" i="4" s="1"/>
  <c r="L27" i="4" s="1"/>
  <c r="H38" i="5"/>
  <c r="H24" i="5"/>
  <c r="H28" i="5" s="1"/>
  <c r="I22" i="2"/>
  <c r="I25" i="2" s="1"/>
  <c r="I34" i="2"/>
  <c r="D30" i="5"/>
  <c r="D36" i="5" s="1"/>
  <c r="D40" i="5"/>
  <c r="D42" i="5" s="1"/>
  <c r="D34" i="5"/>
  <c r="G22" i="2"/>
  <c r="G25" i="2" s="1"/>
  <c r="G34" i="2"/>
  <c r="J27" i="1"/>
  <c r="J22" i="1"/>
  <c r="J25" i="1" s="1"/>
  <c r="D21" i="4"/>
  <c r="D24" i="4" s="1"/>
  <c r="D27" i="4" s="1"/>
  <c r="D29" i="4"/>
  <c r="L22" i="1"/>
  <c r="L25" i="1" s="1"/>
  <c r="L27" i="1"/>
  <c r="F38" i="5"/>
  <c r="F24" i="5"/>
  <c r="F28" i="5" s="1"/>
  <c r="E18" i="2"/>
  <c r="D22" i="1"/>
  <c r="D25" i="1" s="1"/>
  <c r="J24" i="5"/>
  <c r="J28" i="5" s="1"/>
  <c r="J34" i="5" l="1"/>
  <c r="J30" i="5"/>
  <c r="J36" i="5" s="1"/>
  <c r="J40" i="5"/>
  <c r="J42" i="5" s="1"/>
  <c r="K32" i="2"/>
  <c r="K27" i="2"/>
  <c r="H40" i="5"/>
  <c r="H42" i="5" s="1"/>
  <c r="H30" i="5"/>
  <c r="H36" i="5" s="1"/>
  <c r="H34" i="5"/>
  <c r="F34" i="5"/>
  <c r="F30" i="5"/>
  <c r="F36" i="5" s="1"/>
  <c r="F40" i="5"/>
  <c r="F42" i="5" s="1"/>
  <c r="G32" i="2"/>
  <c r="G27" i="2"/>
  <c r="M18" i="2"/>
  <c r="E22" i="2"/>
  <c r="E34" i="2"/>
  <c r="M34" i="2" s="1"/>
  <c r="I27" i="2"/>
  <c r="I32" i="2"/>
  <c r="L40" i="5"/>
  <c r="L42" i="5" s="1"/>
  <c r="L34" i="5"/>
  <c r="L30" i="5"/>
  <c r="L36" i="5" s="1"/>
  <c r="M22" i="2" l="1"/>
  <c r="E25" i="2"/>
  <c r="E32" i="2" l="1"/>
  <c r="E27" i="2"/>
  <c r="M27" i="2" s="1"/>
  <c r="M25" i="2"/>
</calcChain>
</file>

<file path=xl/sharedStrings.xml><?xml version="1.0" encoding="utf-8"?>
<sst xmlns="http://schemas.openxmlformats.org/spreadsheetml/2006/main" count="158" uniqueCount="75">
  <si>
    <t>PEABODY ENERGY CORPORATION</t>
  </si>
  <si>
    <t>REVENUES</t>
  </si>
  <si>
    <t>OPERATING COSTS AND EXPENSES</t>
  </si>
  <si>
    <t>OPERATING PROFIT</t>
  </si>
  <si>
    <t>Quarter Ended</t>
  </si>
  <si>
    <t>Quarterly Pro Forma Statements of Operations</t>
  </si>
  <si>
    <t>March 31,</t>
  </si>
  <si>
    <t>2000</t>
  </si>
  <si>
    <t>June 30,</t>
  </si>
  <si>
    <t>December 31,</t>
  </si>
  <si>
    <t>September 30,</t>
  </si>
  <si>
    <t>NOTE:</t>
  </si>
  <si>
    <t>(Unaudited; dollars in thousands)</t>
  </si>
  <si>
    <t xml:space="preserve">INCOME (LOSS) BEFORE INCOME TAXES </t>
  </si>
  <si>
    <t xml:space="preserve">  AND MINORITY INTERESTS</t>
  </si>
  <si>
    <t>INCOME (LOSS) BEFORE EXTRAORDINARY ITEM</t>
  </si>
  <si>
    <t>EBITDA</t>
  </si>
  <si>
    <t xml:space="preserve">    Interest income</t>
  </si>
  <si>
    <t xml:space="preserve">    Income tax provision (benefit)</t>
  </si>
  <si>
    <t xml:space="preserve">    Minority interests</t>
  </si>
  <si>
    <t xml:space="preserve">    Extraordinary loss from early extinguishment of debt</t>
  </si>
  <si>
    <t xml:space="preserve">    Interest expense</t>
  </si>
  <si>
    <t xml:space="preserve">    Net gain on property and equipment disposals</t>
  </si>
  <si>
    <t xml:space="preserve">    Selling and administrative expenses</t>
  </si>
  <si>
    <t xml:space="preserve">    Depreciation, depletion and amortization</t>
  </si>
  <si>
    <t xml:space="preserve">    Operating costs and expenses</t>
  </si>
  <si>
    <t xml:space="preserve">    Other revenues</t>
  </si>
  <si>
    <t xml:space="preserve">    Sales</t>
  </si>
  <si>
    <t xml:space="preserve">           Total revenues</t>
  </si>
  <si>
    <t>% of Earnings Applicable to Common</t>
  </si>
  <si>
    <t xml:space="preserve"> </t>
  </si>
  <si>
    <t>Calendar</t>
  </si>
  <si>
    <t>Amounts presented also exclude the $144.0 million tax benefit recorded during the quarter ended March 31, 2000.</t>
  </si>
  <si>
    <t>NET LOSS</t>
  </si>
  <si>
    <t xml:space="preserve">LOSS BEFORE INCOME TAXES </t>
  </si>
  <si>
    <t>NM</t>
  </si>
  <si>
    <t>NET INCOME (LOSS)</t>
  </si>
  <si>
    <t>August 2000 and January 2001, respectively.</t>
  </si>
  <si>
    <t>2000 and January 2001, respectively.</t>
  </si>
  <si>
    <t>in January 2001.</t>
  </si>
  <si>
    <t>December 30,</t>
  </si>
  <si>
    <t>NET INCOME/(LOSS)</t>
  </si>
  <si>
    <t>Sept. 30,</t>
  </si>
  <si>
    <t>Amounts presented also exclude the $171.7 million pretax gain ($124.2 million after-tax) on the sale of Peabody Resouces Limited</t>
  </si>
  <si>
    <t xml:space="preserve">   - Applicable to Common Shares </t>
  </si>
  <si>
    <t>Dec. 31,</t>
  </si>
  <si>
    <t>Quarterly Statements of Operations</t>
  </si>
  <si>
    <t>Diluted Number of Shares (in millions)</t>
  </si>
  <si>
    <t xml:space="preserve">Diluted Earnings Per Share </t>
  </si>
  <si>
    <t xml:space="preserve">Diluted Earnings (Loss) Per Share before Extraordinary Item </t>
  </si>
  <si>
    <t xml:space="preserve">    Asset retirement obligation expense</t>
  </si>
  <si>
    <t xml:space="preserve">    Early debt extinguishment costs</t>
  </si>
  <si>
    <t>INCOME (LOSS) BEFORE CUMULATIVE EFFECT</t>
  </si>
  <si>
    <t xml:space="preserve">  OF ACCOUNTING CHANGES</t>
  </si>
  <si>
    <t xml:space="preserve">    Cumulative effect of accounting changes, net of taxes</t>
  </si>
  <si>
    <t xml:space="preserve">INCOME BEFORE EARLY DEBT EXTINGUISHMENT </t>
  </si>
  <si>
    <t xml:space="preserve">Diluted EPS - Income before early debt extinguishment </t>
  </si>
  <si>
    <t xml:space="preserve">  COSTS AND ACCOUNTING CHANGES*</t>
  </si>
  <si>
    <t xml:space="preserve">  costs and accounting changes*</t>
  </si>
  <si>
    <t xml:space="preserve">For a better comparison with 2002 results, we have presented a pro forma measure of income and EPS </t>
  </si>
  <si>
    <t xml:space="preserve">excluding the charges related to the early debt extinguishment incurred in 2003. Statement of Financial </t>
  </si>
  <si>
    <t>Accounting Standards No. 145, effective Jan. 1, 2003, requires the classification of costs related to</t>
  </si>
  <si>
    <t>early debt extinguishment, which were previously considered extraordinary items, in results from operations.</t>
  </si>
  <si>
    <t>*</t>
  </si>
  <si>
    <t>Audited</t>
  </si>
  <si>
    <t>(Dollars in thousands)</t>
  </si>
  <si>
    <t>Quarters Ended (Unaudited)</t>
  </si>
  <si>
    <t xml:space="preserve">Amounts presented exclude the results of operations of Citizens Power and Peabody Resources Limited, which were sold in  </t>
  </si>
  <si>
    <t xml:space="preserve">Amounts presented exclude the results of operations of Citizens Power and Peabody Resources Limited, which were sold in August   </t>
  </si>
  <si>
    <t>These statements of operations should be reviewed in conjunction with the Company's filings with the Securities and Exchange Commission.</t>
  </si>
  <si>
    <t>EPS - Income (loss) before accounting changes</t>
  </si>
  <si>
    <t>Diluted number of shares (weighted average in millions)</t>
  </si>
  <si>
    <t>Quarterly Consolidated Statements of Operations</t>
  </si>
  <si>
    <t xml:space="preserve">    Income tax benefit</t>
  </si>
  <si>
    <t>EPS - Net income 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</si>
</sst>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8" formatCode="_(* #,##0.0_);_(* \(#,##0.0\);_(* &quot;-&quot;??_);_(@_)"/>
    <numFmt numFmtId="170" formatCode="0.0%"/>
  </numFmts>
  <fonts count="9" x14ac:knownFonts="1">
    <font>
      <sz val="10"/>
      <name val="Arial"/>
    </font>
    <font>
      <sz val="10"/>
      <name val="Arial"/>
    </font>
    <font>
      <sz val="12"/>
      <name val="Times New Roman"/>
    </font>
    <font>
      <b/>
      <sz val="12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3" applyFont="1" applyAlignment="1">
      <alignment horizontal="left"/>
    </xf>
    <xf numFmtId="0" fontId="4" fillId="0" borderId="0" xfId="0" applyFont="1"/>
    <xf numFmtId="0" fontId="4" fillId="0" borderId="0" xfId="3" quotePrefix="1" applyFont="1" applyAlignment="1">
      <alignment horizontal="left"/>
    </xf>
    <xf numFmtId="0" fontId="3" fillId="0" borderId="0" xfId="3" applyFont="1" applyBorder="1" applyAlignment="1">
      <alignment horizontal="center"/>
    </xf>
    <xf numFmtId="0" fontId="4" fillId="0" borderId="0" xfId="3" applyFont="1"/>
    <xf numFmtId="0" fontId="4" fillId="0" borderId="0" xfId="3" applyFont="1" applyBorder="1" applyAlignment="1">
      <alignment horizontal="center"/>
    </xf>
    <xf numFmtId="0" fontId="4" fillId="0" borderId="1" xfId="3" applyFont="1" applyBorder="1" applyAlignment="1">
      <alignment horizontal="centerContinuous"/>
    </xf>
    <xf numFmtId="0" fontId="4" fillId="0" borderId="1" xfId="3" quotePrefix="1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4" fillId="0" borderId="0" xfId="3" applyFont="1" applyAlignment="1">
      <alignment horizontal="center"/>
    </xf>
    <xf numFmtId="16" fontId="4" fillId="0" borderId="0" xfId="3" quotePrefix="1" applyNumberFormat="1" applyFont="1" applyBorder="1" applyAlignment="1">
      <alignment horizontal="center"/>
    </xf>
    <xf numFmtId="16" fontId="4" fillId="0" borderId="0" xfId="0" quotePrefix="1" applyNumberFormat="1" applyFont="1" applyAlignment="1">
      <alignment horizontal="center"/>
    </xf>
    <xf numFmtId="0" fontId="4" fillId="0" borderId="0" xfId="0" applyFont="1" applyAlignment="1">
      <alignment horizontal="center"/>
    </xf>
    <xf numFmtId="15" fontId="4" fillId="0" borderId="1" xfId="3" quotePrefix="1" applyNumberFormat="1" applyFont="1" applyBorder="1" applyAlignment="1">
      <alignment horizontal="center"/>
    </xf>
    <xf numFmtId="15" fontId="4" fillId="0" borderId="0" xfId="3" quotePrefix="1" applyNumberFormat="1" applyFont="1" applyBorder="1" applyAlignment="1">
      <alignment horizontal="center"/>
    </xf>
    <xf numFmtId="164" fontId="4" fillId="0" borderId="0" xfId="2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165" fontId="4" fillId="0" borderId="0" xfId="1" applyNumberFormat="1" applyFont="1"/>
    <xf numFmtId="0" fontId="4" fillId="0" borderId="0" xfId="3" applyFont="1" applyAlignment="1">
      <alignment horizontal="left"/>
    </xf>
    <xf numFmtId="165" fontId="4" fillId="0" borderId="0" xfId="1" applyNumberFormat="1" applyFont="1" applyAlignment="1">
      <alignment horizontal="left"/>
    </xf>
    <xf numFmtId="0" fontId="4" fillId="0" borderId="0" xfId="3" applyFont="1" applyBorder="1"/>
    <xf numFmtId="0" fontId="4" fillId="0" borderId="0" xfId="3" applyFont="1" applyAlignment="1">
      <alignment wrapText="1"/>
    </xf>
    <xf numFmtId="0" fontId="4" fillId="0" borderId="0" xfId="1" applyNumberFormat="1" applyFont="1" applyBorder="1" applyAlignment="1">
      <alignment horizontal="left"/>
    </xf>
    <xf numFmtId="164" fontId="4" fillId="0" borderId="2" xfId="2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3" applyFont="1" applyAlignment="1"/>
    <xf numFmtId="164" fontId="4" fillId="0" borderId="3" xfId="2" applyNumberFormat="1" applyFont="1" applyBorder="1"/>
    <xf numFmtId="0" fontId="4" fillId="0" borderId="0" xfId="0" applyFont="1" applyBorder="1" applyAlignment="1">
      <alignment horizontal="center"/>
    </xf>
    <xf numFmtId="168" fontId="4" fillId="0" borderId="0" xfId="1" applyNumberFormat="1" applyFont="1"/>
    <xf numFmtId="164" fontId="4" fillId="0" borderId="0" xfId="2" applyNumberFormat="1" applyFont="1" applyBorder="1"/>
    <xf numFmtId="2" fontId="4" fillId="0" borderId="0" xfId="2" applyNumberFormat="1" applyFont="1" applyBorder="1"/>
    <xf numFmtId="2" fontId="4" fillId="0" borderId="0" xfId="0" applyNumberFormat="1" applyFont="1"/>
    <xf numFmtId="170" fontId="4" fillId="0" borderId="0" xfId="4" applyNumberFormat="1" applyFont="1"/>
    <xf numFmtId="170" fontId="4" fillId="0" borderId="0" xfId="4" applyNumberFormat="1" applyFont="1" applyBorder="1"/>
    <xf numFmtId="44" fontId="4" fillId="0" borderId="0" xfId="2" applyFont="1"/>
    <xf numFmtId="44" fontId="4" fillId="0" borderId="0" xfId="2" applyFont="1" applyBorder="1"/>
    <xf numFmtId="0" fontId="4" fillId="0" borderId="0" xfId="0" applyFont="1" applyBorder="1" applyAlignment="1">
      <alignment horizontal="centerContinuous"/>
    </xf>
    <xf numFmtId="16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4" fillId="0" borderId="0" xfId="1" applyNumberFormat="1" applyFont="1" applyBorder="1" applyAlignment="1">
      <alignment horizontal="center"/>
    </xf>
    <xf numFmtId="2" fontId="4" fillId="0" borderId="0" xfId="2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0" fontId="4" fillId="0" borderId="0" xfId="0" applyFont="1" applyBorder="1"/>
    <xf numFmtId="43" fontId="4" fillId="0" borderId="0" xfId="1" applyFont="1"/>
    <xf numFmtId="0" fontId="5" fillId="0" borderId="0" xfId="0" applyFont="1"/>
    <xf numFmtId="0" fontId="6" fillId="0" borderId="0" xfId="0" applyFont="1"/>
    <xf numFmtId="0" fontId="3" fillId="0" borderId="0" xfId="3" quotePrefix="1" applyFont="1" applyAlignment="1">
      <alignment horizontal="left"/>
    </xf>
    <xf numFmtId="165" fontId="4" fillId="0" borderId="0" xfId="0" applyNumberFormat="1" applyFont="1"/>
    <xf numFmtId="44" fontId="4" fillId="0" borderId="3" xfId="2" applyFont="1" applyBorder="1"/>
    <xf numFmtId="168" fontId="7" fillId="0" borderId="0" xfId="1" applyNumberFormat="1" applyFont="1" applyAlignment="1">
      <alignment vertical="top"/>
    </xf>
    <xf numFmtId="0" fontId="4" fillId="0" borderId="0" xfId="0" applyFont="1" applyFill="1"/>
    <xf numFmtId="0" fontId="8" fillId="0" borderId="0" xfId="0" applyFont="1"/>
    <xf numFmtId="0" fontId="0" fillId="0" borderId="0" xfId="0" applyBorder="1"/>
    <xf numFmtId="2" fontId="4" fillId="0" borderId="0" xfId="0" applyNumberFormat="1" applyFont="1" applyFill="1"/>
    <xf numFmtId="44" fontId="4" fillId="0" borderId="0" xfId="2" applyFont="1" applyFill="1" applyBorder="1"/>
    <xf numFmtId="0" fontId="0" fillId="0" borderId="0" xfId="0" applyFill="1" applyBorder="1"/>
    <xf numFmtId="2" fontId="4" fillId="0" borderId="0" xfId="2" applyNumberFormat="1" applyFont="1" applyFill="1" applyBorder="1"/>
    <xf numFmtId="44" fontId="4" fillId="0" borderId="3" xfId="2" applyFont="1" applyFill="1" applyBorder="1"/>
    <xf numFmtId="44" fontId="4" fillId="0" borderId="0" xfId="2" applyFont="1" applyFill="1"/>
    <xf numFmtId="164" fontId="4" fillId="0" borderId="3" xfId="2" applyNumberFormat="1" applyFont="1" applyFill="1" applyBorder="1"/>
    <xf numFmtId="164" fontId="4" fillId="0" borderId="0" xfId="2" applyNumberFormat="1" applyFont="1" applyFill="1" applyBorder="1"/>
    <xf numFmtId="0" fontId="4" fillId="0" borderId="1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zoomScale="75" zoomScaleNormal="75" workbookViewId="0">
      <selection activeCell="C7" sqref="C7"/>
    </sheetView>
  </sheetViews>
  <sheetFormatPr defaultColWidth="9.109375" defaultRowHeight="15" x14ac:dyDescent="0.25"/>
  <cols>
    <col min="1" max="1" width="9.44140625" style="2" customWidth="1"/>
    <col min="2" max="2" width="2.44140625" style="2" customWidth="1"/>
    <col min="3" max="3" width="47.44140625" style="2" customWidth="1"/>
    <col min="4" max="4" width="16.88671875" style="2" customWidth="1"/>
    <col min="5" max="5" width="1.88671875" style="2" customWidth="1"/>
    <col min="6" max="6" width="16.88671875" style="2" customWidth="1"/>
    <col min="7" max="7" width="2" style="2" customWidth="1"/>
    <col min="8" max="8" width="16.88671875" style="2" customWidth="1"/>
    <col min="9" max="9" width="2.33203125" style="2" customWidth="1"/>
    <col min="10" max="10" width="16.88671875" style="2" customWidth="1"/>
    <col min="11" max="11" width="1.44140625" style="2" customWidth="1"/>
    <col min="12" max="12" width="16.88671875" style="2" customWidth="1"/>
    <col min="13" max="16384" width="9.109375" style="2"/>
  </cols>
  <sheetData>
    <row r="1" spans="1:12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2" ht="15.6" x14ac:dyDescent="0.3">
      <c r="A2" s="1" t="s">
        <v>5</v>
      </c>
      <c r="B2" s="1"/>
      <c r="C2" s="1"/>
      <c r="D2" s="1"/>
      <c r="E2" s="1"/>
      <c r="F2" s="1"/>
      <c r="G2" s="1"/>
      <c r="H2" s="1"/>
      <c r="I2" s="1"/>
    </row>
    <row r="3" spans="1:12" ht="15.6" x14ac:dyDescent="0.3">
      <c r="A3" s="50" t="s">
        <v>12</v>
      </c>
      <c r="B3" s="3"/>
      <c r="C3" s="3"/>
      <c r="D3" s="1"/>
      <c r="E3" s="1"/>
      <c r="F3" s="1"/>
      <c r="G3" s="3"/>
      <c r="H3" s="1"/>
      <c r="I3" s="1"/>
    </row>
    <row r="4" spans="1:12" ht="15.6" x14ac:dyDescent="0.3">
      <c r="A4" s="3"/>
      <c r="B4" s="3"/>
      <c r="C4" s="3"/>
      <c r="D4" s="1"/>
      <c r="E4" s="1"/>
      <c r="F4" s="1"/>
      <c r="G4" s="3"/>
      <c r="H4" s="4"/>
      <c r="I4" s="4"/>
    </row>
    <row r="5" spans="1:12" x14ac:dyDescent="0.25">
      <c r="A5" s="5"/>
      <c r="B5" s="5"/>
      <c r="C5" s="5"/>
      <c r="D5" s="3"/>
      <c r="E5" s="3"/>
      <c r="F5" s="3"/>
      <c r="G5" s="5"/>
      <c r="H5" s="6"/>
      <c r="I5" s="6"/>
    </row>
    <row r="6" spans="1:12" x14ac:dyDescent="0.25">
      <c r="A6" s="3"/>
      <c r="B6" s="3"/>
      <c r="C6" s="3"/>
      <c r="D6" s="7" t="s">
        <v>4</v>
      </c>
      <c r="E6" s="8"/>
      <c r="F6" s="8"/>
      <c r="G6" s="8"/>
      <c r="H6" s="7"/>
      <c r="I6" s="7"/>
      <c r="J6" s="9"/>
      <c r="K6" s="38" t="s">
        <v>30</v>
      </c>
      <c r="L6" s="38" t="s">
        <v>30</v>
      </c>
    </row>
    <row r="7" spans="1:12" x14ac:dyDescent="0.25">
      <c r="A7" s="5"/>
      <c r="B7" s="5"/>
      <c r="C7" s="5"/>
      <c r="D7" s="6" t="s">
        <v>6</v>
      </c>
      <c r="E7" s="6"/>
      <c r="F7" s="6" t="s">
        <v>8</v>
      </c>
      <c r="G7" s="10"/>
      <c r="H7" s="11" t="s">
        <v>10</v>
      </c>
      <c r="I7" s="6"/>
      <c r="J7" s="12" t="s">
        <v>9</v>
      </c>
      <c r="K7" s="13"/>
      <c r="L7" s="39" t="s">
        <v>31</v>
      </c>
    </row>
    <row r="8" spans="1:12" x14ac:dyDescent="0.25">
      <c r="A8" s="5"/>
      <c r="B8" s="5"/>
      <c r="C8" s="5"/>
      <c r="D8" s="14" t="s">
        <v>7</v>
      </c>
      <c r="E8" s="15"/>
      <c r="F8" s="14" t="s">
        <v>7</v>
      </c>
      <c r="G8" s="5"/>
      <c r="H8" s="14" t="s">
        <v>7</v>
      </c>
      <c r="I8" s="6"/>
      <c r="J8" s="14" t="s">
        <v>7</v>
      </c>
      <c r="L8" s="14" t="s">
        <v>7</v>
      </c>
    </row>
    <row r="9" spans="1:12" ht="24" customHeight="1" x14ac:dyDescent="0.25">
      <c r="A9" s="5" t="s">
        <v>1</v>
      </c>
      <c r="B9" s="5"/>
      <c r="C9" s="5"/>
      <c r="D9" s="30"/>
      <c r="E9" s="30"/>
      <c r="F9" s="30"/>
      <c r="G9" s="30"/>
      <c r="H9" s="30"/>
      <c r="I9" s="30"/>
      <c r="J9" s="30"/>
      <c r="K9" s="30"/>
      <c r="L9" s="30"/>
    </row>
    <row r="10" spans="1:12" ht="15" customHeight="1" x14ac:dyDescent="0.25">
      <c r="A10" s="5" t="s">
        <v>27</v>
      </c>
      <c r="B10" s="5"/>
      <c r="C10" s="5"/>
      <c r="D10" s="16">
        <v>567120</v>
      </c>
      <c r="E10" s="16"/>
      <c r="F10" s="16">
        <f>598135-4475</f>
        <v>593660</v>
      </c>
      <c r="G10" s="5"/>
      <c r="H10" s="16">
        <f>597825-16823</f>
        <v>581002</v>
      </c>
      <c r="I10" s="16"/>
      <c r="J10" s="16">
        <f>548226-7348</f>
        <v>540878</v>
      </c>
      <c r="L10" s="16">
        <f>SUM(D10:J10)</f>
        <v>2282660</v>
      </c>
    </row>
    <row r="11" spans="1:12" ht="15" customHeight="1" x14ac:dyDescent="0.25">
      <c r="A11" s="5" t="s">
        <v>26</v>
      </c>
      <c r="B11" s="5"/>
      <c r="C11" s="5"/>
      <c r="D11" s="17">
        <v>16775</v>
      </c>
      <c r="E11" s="18"/>
      <c r="F11" s="17">
        <f>5574+2</f>
        <v>5576</v>
      </c>
      <c r="G11" s="5"/>
      <c r="H11" s="17">
        <f>7051+658</f>
        <v>7709</v>
      </c>
      <c r="I11" s="18"/>
      <c r="J11" s="17">
        <f>9913+188</f>
        <v>10101</v>
      </c>
      <c r="L11" s="17">
        <f>SUM(D11:J11)</f>
        <v>40161</v>
      </c>
    </row>
    <row r="12" spans="1:12" x14ac:dyDescent="0.25">
      <c r="A12" s="5" t="s">
        <v>28</v>
      </c>
      <c r="B12" s="5"/>
      <c r="C12" s="5"/>
      <c r="D12" s="19">
        <f>SUM(D10:D11)</f>
        <v>583895</v>
      </c>
      <c r="E12" s="19"/>
      <c r="F12" s="19">
        <f>SUM(F10:F11)</f>
        <v>599236</v>
      </c>
      <c r="G12" s="5"/>
      <c r="H12" s="19">
        <f>SUM(H10:H11)</f>
        <v>588711</v>
      </c>
      <c r="I12" s="19"/>
      <c r="J12" s="19">
        <f>SUM(J10:J11)</f>
        <v>550979</v>
      </c>
      <c r="L12" s="19">
        <f>SUM(L10:L11)</f>
        <v>2322821</v>
      </c>
    </row>
    <row r="13" spans="1:12" ht="24" customHeight="1" x14ac:dyDescent="0.25">
      <c r="A13" s="5" t="s">
        <v>2</v>
      </c>
      <c r="B13" s="5"/>
      <c r="C13" s="5"/>
      <c r="D13" s="19"/>
      <c r="E13" s="19"/>
      <c r="F13" s="19"/>
      <c r="G13" s="5"/>
      <c r="H13" s="19"/>
      <c r="I13" s="19"/>
      <c r="J13" s="19"/>
      <c r="L13" s="19"/>
    </row>
    <row r="14" spans="1:12" ht="15" customHeight="1" x14ac:dyDescent="0.25">
      <c r="A14" s="20" t="s">
        <v>25</v>
      </c>
      <c r="B14" s="20"/>
      <c r="C14" s="20"/>
      <c r="D14" s="18">
        <v>469625</v>
      </c>
      <c r="E14" s="21"/>
      <c r="F14" s="18">
        <f>502639-4473</f>
        <v>498166</v>
      </c>
      <c r="G14" s="20"/>
      <c r="H14" s="18">
        <f>505954-16165</f>
        <v>489789</v>
      </c>
      <c r="I14" s="21"/>
      <c r="J14" s="18">
        <f>456108-7160</f>
        <v>448948</v>
      </c>
      <c r="L14" s="18">
        <f>SUM(D14:J14)</f>
        <v>1906528</v>
      </c>
    </row>
    <row r="15" spans="1:12" ht="15" customHeight="1" x14ac:dyDescent="0.25">
      <c r="A15" s="5" t="s">
        <v>24</v>
      </c>
      <c r="B15" s="5"/>
      <c r="C15" s="5"/>
      <c r="D15" s="18">
        <v>49243</v>
      </c>
      <c r="E15" s="21"/>
      <c r="F15" s="18">
        <f>52315</f>
        <v>52315</v>
      </c>
      <c r="G15" s="5"/>
      <c r="H15" s="18">
        <v>52991</v>
      </c>
      <c r="I15" s="21"/>
      <c r="J15" s="18">
        <v>51579</v>
      </c>
      <c r="L15" s="18">
        <f>SUM(D15:J15)</f>
        <v>206128</v>
      </c>
    </row>
    <row r="16" spans="1:12" ht="15" customHeight="1" x14ac:dyDescent="0.25">
      <c r="A16" s="5" t="s">
        <v>23</v>
      </c>
      <c r="B16" s="5"/>
      <c r="C16" s="5"/>
      <c r="D16" s="18">
        <v>26446</v>
      </c>
      <c r="E16" s="18"/>
      <c r="F16" s="18">
        <v>21734</v>
      </c>
      <c r="G16" s="22"/>
      <c r="H16" s="18">
        <v>21011</v>
      </c>
      <c r="I16" s="18"/>
      <c r="J16" s="18">
        <v>23008</v>
      </c>
      <c r="L16" s="18">
        <f>SUM(D16:J16)</f>
        <v>92199</v>
      </c>
    </row>
    <row r="17" spans="1:12" ht="15" customHeight="1" x14ac:dyDescent="0.25">
      <c r="A17" s="5" t="s">
        <v>22</v>
      </c>
      <c r="B17" s="5"/>
      <c r="C17" s="5"/>
      <c r="D17" s="17">
        <v>-2361</v>
      </c>
      <c r="E17" s="18"/>
      <c r="F17" s="17">
        <v>-1287</v>
      </c>
      <c r="G17" s="5"/>
      <c r="H17" s="17">
        <v>-1613</v>
      </c>
      <c r="I17" s="18"/>
      <c r="J17" s="17">
        <v>-1704</v>
      </c>
      <c r="L17" s="17">
        <f>SUM(D17:J17)</f>
        <v>-6965</v>
      </c>
    </row>
    <row r="18" spans="1:12" ht="24" customHeight="1" x14ac:dyDescent="0.25">
      <c r="A18" s="5" t="s">
        <v>3</v>
      </c>
      <c r="B18" s="5"/>
      <c r="C18" s="5"/>
      <c r="D18" s="19">
        <f>D12-SUM(D14:D17)</f>
        <v>40942</v>
      </c>
      <c r="E18" s="19"/>
      <c r="F18" s="19">
        <f>F12-SUM(F14:F17)</f>
        <v>28308</v>
      </c>
      <c r="G18" s="5"/>
      <c r="H18" s="19">
        <f>H12-SUM(H14:H17)</f>
        <v>26533</v>
      </c>
      <c r="I18" s="19"/>
      <c r="J18" s="19">
        <f>J12-SUM(J14:J17)</f>
        <v>29148</v>
      </c>
      <c r="L18" s="19">
        <f>L12-SUM(L14:L17)</f>
        <v>124931</v>
      </c>
    </row>
    <row r="19" spans="1:12" ht="15" customHeight="1" x14ac:dyDescent="0.25">
      <c r="A19" s="5" t="s">
        <v>21</v>
      </c>
      <c r="B19" s="5"/>
      <c r="C19" s="5"/>
      <c r="D19" s="18">
        <v>49242</v>
      </c>
      <c r="E19" s="21"/>
      <c r="F19" s="18">
        <v>49917</v>
      </c>
      <c r="G19" s="5"/>
      <c r="H19" s="18">
        <v>49210</v>
      </c>
      <c r="I19" s="21"/>
      <c r="J19" s="18">
        <v>48489</v>
      </c>
      <c r="L19" s="18">
        <f>SUM(D19:J19)</f>
        <v>196858</v>
      </c>
    </row>
    <row r="20" spans="1:12" ht="15" customHeight="1" x14ac:dyDescent="0.25">
      <c r="A20" s="5" t="s">
        <v>17</v>
      </c>
      <c r="B20" s="5"/>
      <c r="C20" s="5"/>
      <c r="D20" s="17">
        <v>-1284</v>
      </c>
      <c r="E20" s="18"/>
      <c r="F20" s="17">
        <v>-4432</v>
      </c>
      <c r="G20" s="5"/>
      <c r="H20" s="17">
        <v>-1081</v>
      </c>
      <c r="I20" s="18"/>
      <c r="J20" s="17">
        <v>-712</v>
      </c>
      <c r="L20" s="17">
        <f>SUM(D20:J20)</f>
        <v>-7509</v>
      </c>
    </row>
    <row r="21" spans="1:12" ht="24" customHeight="1" x14ac:dyDescent="0.25">
      <c r="A21" s="27" t="s">
        <v>34</v>
      </c>
      <c r="B21" s="23"/>
      <c r="C21" s="23"/>
    </row>
    <row r="22" spans="1:12" ht="15.75" customHeight="1" x14ac:dyDescent="0.25">
      <c r="A22" s="27" t="s">
        <v>14</v>
      </c>
      <c r="B22" s="23"/>
      <c r="C22" s="23"/>
      <c r="D22" s="19">
        <f>D18-SUM(D19:D20)</f>
        <v>-7016</v>
      </c>
      <c r="E22" s="19"/>
      <c r="F22" s="19">
        <f>F18-SUM(F19:F20)</f>
        <v>-17177</v>
      </c>
      <c r="G22" s="23"/>
      <c r="H22" s="19">
        <f>H18-SUM(H19:H20)</f>
        <v>-21596</v>
      </c>
      <c r="I22" s="19"/>
      <c r="J22" s="19">
        <f>J18-SUM(J19:J20)</f>
        <v>-18629</v>
      </c>
      <c r="L22" s="19">
        <f>L18-SUM(L19:L20)</f>
        <v>-64418</v>
      </c>
    </row>
    <row r="23" spans="1:12" ht="15" customHeight="1" x14ac:dyDescent="0.25">
      <c r="A23" s="22" t="s">
        <v>18</v>
      </c>
      <c r="B23" s="22"/>
      <c r="C23" s="22"/>
      <c r="D23" s="18">
        <v>2213</v>
      </c>
      <c r="E23" s="18"/>
      <c r="F23" s="18">
        <v>-4311</v>
      </c>
      <c r="G23" s="22"/>
      <c r="H23" s="18">
        <v>-5395</v>
      </c>
      <c r="I23" s="18"/>
      <c r="J23" s="18">
        <v>-4083</v>
      </c>
      <c r="L23" s="18">
        <f>SUM(D23:J23)</f>
        <v>-11576</v>
      </c>
    </row>
    <row r="24" spans="1:12" ht="15" customHeight="1" x14ac:dyDescent="0.25">
      <c r="A24" s="5" t="s">
        <v>19</v>
      </c>
      <c r="B24" s="5"/>
      <c r="C24" s="5"/>
      <c r="D24" s="17">
        <v>3656</v>
      </c>
      <c r="E24" s="18"/>
      <c r="F24" s="17">
        <v>2181</v>
      </c>
      <c r="G24" s="5"/>
      <c r="H24" s="17">
        <v>1444</v>
      </c>
      <c r="I24" s="18"/>
      <c r="J24" s="17">
        <v>1016</v>
      </c>
      <c r="L24" s="17">
        <f>SUM(D24:J24)</f>
        <v>8297</v>
      </c>
    </row>
    <row r="25" spans="1:12" ht="24" customHeight="1" thickBot="1" x14ac:dyDescent="0.3">
      <c r="A25" s="24" t="s">
        <v>33</v>
      </c>
      <c r="B25" s="23"/>
      <c r="C25" s="23"/>
      <c r="D25" s="25">
        <f>D22-SUM(D23:D24)</f>
        <v>-12885</v>
      </c>
      <c r="E25" s="19"/>
      <c r="F25" s="25">
        <f>F22-SUM(F23:F24)</f>
        <v>-15047</v>
      </c>
      <c r="G25" s="23"/>
      <c r="H25" s="25">
        <f>H22-SUM(H23:H24)</f>
        <v>-17645</v>
      </c>
      <c r="I25" s="19"/>
      <c r="J25" s="25">
        <f>J22-SUM(J23:J24)</f>
        <v>-15562</v>
      </c>
      <c r="L25" s="25">
        <f>L22-SUM(L23:L24)</f>
        <v>-61139</v>
      </c>
    </row>
    <row r="26" spans="1:12" ht="24" customHeight="1" thickTop="1" x14ac:dyDescent="0.25">
      <c r="D26" s="31"/>
      <c r="F26" s="31"/>
      <c r="H26" s="31"/>
      <c r="J26" s="31"/>
      <c r="L26" s="31"/>
    </row>
    <row r="27" spans="1:12" ht="15.6" thickBot="1" x14ac:dyDescent="0.3">
      <c r="A27" s="2" t="s">
        <v>16</v>
      </c>
      <c r="D27" s="28">
        <f>D18+D15</f>
        <v>90185</v>
      </c>
      <c r="F27" s="28">
        <f>F18+F15</f>
        <v>80623</v>
      </c>
      <c r="H27" s="28">
        <f>H18+H15</f>
        <v>79524</v>
      </c>
      <c r="J27" s="28">
        <f>J18+J15</f>
        <v>80727</v>
      </c>
      <c r="L27" s="28">
        <f>L18+L15</f>
        <v>331059</v>
      </c>
    </row>
    <row r="28" spans="1:12" ht="15.6" thickTop="1" x14ac:dyDescent="0.25"/>
    <row r="29" spans="1:12" x14ac:dyDescent="0.25">
      <c r="A29" s="48" t="s">
        <v>11</v>
      </c>
      <c r="B29" s="49" t="s">
        <v>67</v>
      </c>
      <c r="C29" s="49"/>
    </row>
    <row r="30" spans="1:12" x14ac:dyDescent="0.25">
      <c r="A30" s="48"/>
      <c r="B30" s="49" t="s">
        <v>37</v>
      </c>
      <c r="C30" s="49"/>
    </row>
    <row r="31" spans="1:12" ht="12" customHeight="1" x14ac:dyDescent="0.25">
      <c r="A31" s="48"/>
      <c r="B31" s="49"/>
      <c r="C31" s="49"/>
    </row>
    <row r="32" spans="1:12" x14ac:dyDescent="0.25">
      <c r="A32" s="49"/>
      <c r="B32" s="49" t="s">
        <v>32</v>
      </c>
      <c r="C32" s="49"/>
    </row>
    <row r="33" spans="1:12" ht="12" customHeight="1" x14ac:dyDescent="0.25"/>
    <row r="34" spans="1:12" ht="15.6" x14ac:dyDescent="0.3">
      <c r="A34" s="55" t="s">
        <v>69</v>
      </c>
      <c r="L34" s="33"/>
    </row>
  </sheetData>
  <phoneticPr fontId="0" type="noConversion"/>
  <pageMargins left="0.39" right="0.75" top="0.68" bottom="1" header="0.5" footer="0.5"/>
  <pageSetup scale="84" orientation="landscape" r:id="rId1"/>
  <headerFooter alignWithMargins="0">
    <oddFooter>&amp;R&amp;"Times New Roman,Regular"&amp;9&amp;D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6"/>
  <sheetViews>
    <sheetView zoomScale="75" zoomScaleNormal="75" workbookViewId="0">
      <selection activeCell="A43" sqref="A1:M43"/>
    </sheetView>
  </sheetViews>
  <sheetFormatPr defaultColWidth="9.109375" defaultRowHeight="15" x14ac:dyDescent="0.25"/>
  <cols>
    <col min="1" max="1" width="9.44140625" style="2" customWidth="1"/>
    <col min="2" max="2" width="2.44140625" style="2" customWidth="1"/>
    <col min="3" max="3" width="53.109375" style="2" customWidth="1"/>
    <col min="4" max="4" width="1.44140625" style="2" customWidth="1"/>
    <col min="5" max="5" width="16.88671875" style="2" customWidth="1"/>
    <col min="6" max="6" width="1.88671875" style="2" customWidth="1"/>
    <col min="7" max="7" width="16.88671875" style="2" customWidth="1"/>
    <col min="8" max="8" width="1.88671875" style="2" customWidth="1"/>
    <col min="9" max="9" width="16.88671875" style="2" customWidth="1"/>
    <col min="10" max="10" width="1.88671875" style="2" customWidth="1"/>
    <col min="11" max="11" width="17" style="2" customWidth="1"/>
    <col min="12" max="12" width="2.109375" style="2" customWidth="1"/>
    <col min="13" max="13" width="17.109375" style="2" bestFit="1" customWidth="1"/>
    <col min="14" max="14" width="9.109375" style="2"/>
    <col min="15" max="15" width="10" style="2" bestFit="1" customWidth="1"/>
    <col min="16" max="16384" width="9.109375" style="2"/>
  </cols>
  <sheetData>
    <row r="1" spans="1:15" ht="15.6" x14ac:dyDescent="0.3">
      <c r="A1" s="1" t="s">
        <v>0</v>
      </c>
      <c r="B1" s="1"/>
      <c r="C1" s="1"/>
    </row>
    <row r="2" spans="1:15" ht="15.6" x14ac:dyDescent="0.3">
      <c r="A2" s="1" t="s">
        <v>5</v>
      </c>
      <c r="B2" s="1"/>
      <c r="C2" s="1"/>
    </row>
    <row r="3" spans="1:15" ht="15.6" x14ac:dyDescent="0.3">
      <c r="A3" s="50" t="s">
        <v>12</v>
      </c>
      <c r="B3" s="3"/>
      <c r="C3" s="3"/>
    </row>
    <row r="4" spans="1:15" x14ac:dyDescent="0.25">
      <c r="A4" s="3"/>
      <c r="B4" s="3"/>
      <c r="C4" s="3"/>
    </row>
    <row r="5" spans="1:15" x14ac:dyDescent="0.25">
      <c r="A5" s="5"/>
      <c r="B5" s="5"/>
      <c r="C5" s="5"/>
    </row>
    <row r="6" spans="1:15" x14ac:dyDescent="0.25">
      <c r="A6" s="3"/>
      <c r="B6" s="3"/>
      <c r="C6" s="3"/>
      <c r="D6" s="38"/>
      <c r="E6" s="9" t="s">
        <v>4</v>
      </c>
      <c r="F6" s="9"/>
      <c r="G6" s="9"/>
      <c r="H6" s="9"/>
      <c r="I6" s="9"/>
      <c r="J6" s="9"/>
      <c r="K6" s="9"/>
      <c r="M6" s="13"/>
    </row>
    <row r="7" spans="1:15" x14ac:dyDescent="0.25">
      <c r="A7" s="5"/>
      <c r="B7" s="5"/>
      <c r="C7" s="5"/>
      <c r="D7" s="13"/>
      <c r="E7" s="13" t="s">
        <v>6</v>
      </c>
      <c r="F7" s="13"/>
      <c r="G7" s="13" t="s">
        <v>8</v>
      </c>
      <c r="I7" s="13" t="s">
        <v>10</v>
      </c>
      <c r="K7" s="13" t="s">
        <v>40</v>
      </c>
      <c r="M7" s="13" t="s">
        <v>31</v>
      </c>
    </row>
    <row r="8" spans="1:15" x14ac:dyDescent="0.25">
      <c r="A8" s="5"/>
      <c r="B8" s="5"/>
      <c r="C8" s="5"/>
      <c r="E8" s="26">
        <v>2001</v>
      </c>
      <c r="G8" s="26">
        <v>2001</v>
      </c>
      <c r="I8" s="26">
        <v>2001</v>
      </c>
      <c r="K8" s="26">
        <v>2001</v>
      </c>
      <c r="M8" s="26">
        <v>2001</v>
      </c>
    </row>
    <row r="9" spans="1:15" ht="24" customHeight="1" x14ac:dyDescent="0.25">
      <c r="A9" s="5" t="s">
        <v>1</v>
      </c>
      <c r="B9" s="5"/>
      <c r="C9" s="5"/>
      <c r="D9" s="30"/>
      <c r="E9" s="30"/>
      <c r="F9" s="30"/>
      <c r="G9" s="30"/>
      <c r="I9" s="30"/>
      <c r="K9" s="30"/>
      <c r="M9" s="30"/>
    </row>
    <row r="10" spans="1:15" ht="15" customHeight="1" x14ac:dyDescent="0.25">
      <c r="A10" s="5" t="s">
        <v>27</v>
      </c>
      <c r="B10" s="5"/>
      <c r="C10" s="5"/>
      <c r="E10" s="16">
        <f>644716-15495</f>
        <v>629221</v>
      </c>
      <c r="G10" s="16">
        <f>625890-21344</f>
        <v>604546</v>
      </c>
      <c r="I10" s="16">
        <f>658699-27711</f>
        <v>630988</v>
      </c>
      <c r="K10" s="16">
        <f>678684-44897</f>
        <v>633787</v>
      </c>
      <c r="M10" s="41">
        <f>SUM(E10:L10)</f>
        <v>2498542</v>
      </c>
    </row>
    <row r="11" spans="1:15" ht="15" customHeight="1" x14ac:dyDescent="0.25">
      <c r="A11" s="5" t="s">
        <v>26</v>
      </c>
      <c r="B11" s="5"/>
      <c r="C11" s="5"/>
      <c r="E11" s="17">
        <f>19754+1727</f>
        <v>21481</v>
      </c>
      <c r="G11" s="17">
        <f>31372+373</f>
        <v>31745</v>
      </c>
      <c r="I11" s="17">
        <f>23605+976</f>
        <v>24581</v>
      </c>
      <c r="K11" s="17">
        <f>8520+3775</f>
        <v>12295</v>
      </c>
      <c r="M11" s="43">
        <f>SUM(E11:L11)</f>
        <v>90102</v>
      </c>
    </row>
    <row r="12" spans="1:15" x14ac:dyDescent="0.25">
      <c r="A12" s="5" t="s">
        <v>28</v>
      </c>
      <c r="B12" s="5"/>
      <c r="C12" s="5"/>
      <c r="E12" s="19">
        <f>SUM(E10:E11)</f>
        <v>650702</v>
      </c>
      <c r="G12" s="19">
        <f>SUM(G10:G11)</f>
        <v>636291</v>
      </c>
      <c r="I12" s="19">
        <f>SUM(I10:I11)</f>
        <v>655569</v>
      </c>
      <c r="K12" s="19">
        <f>SUM(K10:K11)</f>
        <v>646082</v>
      </c>
      <c r="M12" s="44">
        <f>SUM(E12:L12)</f>
        <v>2588644</v>
      </c>
    </row>
    <row r="13" spans="1:15" ht="24" customHeight="1" x14ac:dyDescent="0.25">
      <c r="A13" s="5" t="s">
        <v>2</v>
      </c>
      <c r="B13" s="5"/>
      <c r="C13" s="5"/>
      <c r="E13" s="19"/>
      <c r="G13" s="19"/>
      <c r="I13" s="19"/>
      <c r="K13" s="19"/>
      <c r="M13" s="19"/>
    </row>
    <row r="14" spans="1:15" ht="15" customHeight="1" x14ac:dyDescent="0.25">
      <c r="A14" s="20" t="s">
        <v>25</v>
      </c>
      <c r="B14" s="20"/>
      <c r="C14" s="20"/>
      <c r="E14" s="18">
        <f>541289-13768</f>
        <v>527521</v>
      </c>
      <c r="G14" s="18">
        <f>532446-20971</f>
        <v>511475</v>
      </c>
      <c r="I14" s="18">
        <f>565517-26735</f>
        <v>538782</v>
      </c>
      <c r="K14" s="18">
        <f>579463-41124+4</f>
        <v>538343</v>
      </c>
      <c r="M14" s="44">
        <f t="shared" ref="M14:M27" si="0">SUM(E14:L14)</f>
        <v>2116121</v>
      </c>
    </row>
    <row r="15" spans="1:15" ht="15" customHeight="1" x14ac:dyDescent="0.25">
      <c r="A15" s="5" t="s">
        <v>24</v>
      </c>
      <c r="B15" s="5"/>
      <c r="C15" s="5"/>
      <c r="E15" s="18">
        <v>58565</v>
      </c>
      <c r="G15" s="18">
        <v>59324</v>
      </c>
      <c r="I15" s="18">
        <v>56748</v>
      </c>
      <c r="K15" s="18">
        <f>58515-1</f>
        <v>58514</v>
      </c>
      <c r="M15" s="44">
        <f t="shared" si="0"/>
        <v>233151</v>
      </c>
    </row>
    <row r="16" spans="1:15" ht="15" customHeight="1" x14ac:dyDescent="0.25">
      <c r="A16" s="5" t="s">
        <v>23</v>
      </c>
      <c r="B16" s="5"/>
      <c r="C16" s="5"/>
      <c r="E16" s="18">
        <v>32056</v>
      </c>
      <c r="G16" s="18">
        <v>22526</v>
      </c>
      <c r="I16" s="18">
        <v>25579</v>
      </c>
      <c r="K16" s="18">
        <v>25448</v>
      </c>
      <c r="M16" s="44">
        <f t="shared" si="0"/>
        <v>105609</v>
      </c>
      <c r="O16" s="36"/>
    </row>
    <row r="17" spans="1:13" ht="15" customHeight="1" x14ac:dyDescent="0.25">
      <c r="A17" s="5" t="s">
        <v>22</v>
      </c>
      <c r="B17" s="5"/>
      <c r="C17" s="5"/>
      <c r="E17" s="17">
        <v>-178</v>
      </c>
      <c r="G17" s="17">
        <v>-7061</v>
      </c>
      <c r="I17" s="17">
        <v>-1846</v>
      </c>
      <c r="K17" s="17">
        <v>-5421</v>
      </c>
      <c r="M17" s="43">
        <f t="shared" si="0"/>
        <v>-14506</v>
      </c>
    </row>
    <row r="18" spans="1:13" ht="24" customHeight="1" x14ac:dyDescent="0.25">
      <c r="A18" s="5" t="s">
        <v>3</v>
      </c>
      <c r="B18" s="5"/>
      <c r="C18" s="5"/>
      <c r="E18" s="19">
        <f>E12-SUM(E14:E17)</f>
        <v>32738</v>
      </c>
      <c r="G18" s="19">
        <f>G12-SUM(G14:G17)</f>
        <v>50027</v>
      </c>
      <c r="I18" s="19">
        <f>I12-SUM(I14:I17)</f>
        <v>36306</v>
      </c>
      <c r="K18" s="19">
        <f>K12-SUM(K14:K17)</f>
        <v>29198</v>
      </c>
      <c r="M18" s="44">
        <f t="shared" si="0"/>
        <v>148269</v>
      </c>
    </row>
    <row r="19" spans="1:13" ht="15" customHeight="1" x14ac:dyDescent="0.25">
      <c r="A19" s="5" t="s">
        <v>21</v>
      </c>
      <c r="B19" s="5"/>
      <c r="C19" s="5"/>
      <c r="E19" s="18">
        <v>43624</v>
      </c>
      <c r="G19" s="18">
        <v>34533</v>
      </c>
      <c r="I19" s="18">
        <v>28853</v>
      </c>
      <c r="K19" s="18">
        <v>25301</v>
      </c>
      <c r="M19" s="44">
        <f t="shared" si="0"/>
        <v>132311</v>
      </c>
    </row>
    <row r="20" spans="1:13" ht="15" customHeight="1" x14ac:dyDescent="0.25">
      <c r="A20" s="5" t="s">
        <v>17</v>
      </c>
      <c r="B20" s="5"/>
      <c r="C20" s="5"/>
      <c r="E20" s="17">
        <v>-1737</v>
      </c>
      <c r="G20" s="17">
        <v>-1342</v>
      </c>
      <c r="I20" s="17">
        <v>-179</v>
      </c>
      <c r="K20" s="17">
        <v>-634</v>
      </c>
      <c r="M20" s="43">
        <f t="shared" si="0"/>
        <v>-3892</v>
      </c>
    </row>
    <row r="21" spans="1:13" ht="24" customHeight="1" x14ac:dyDescent="0.25">
      <c r="A21" s="27" t="s">
        <v>13</v>
      </c>
      <c r="B21" s="23"/>
      <c r="C21" s="23"/>
      <c r="M21" s="44"/>
    </row>
    <row r="22" spans="1:13" ht="15.75" customHeight="1" x14ac:dyDescent="0.25">
      <c r="A22" s="27" t="s">
        <v>14</v>
      </c>
      <c r="B22" s="23"/>
      <c r="C22" s="23"/>
      <c r="E22" s="19">
        <f>E18-SUM(E19:E20)</f>
        <v>-9149</v>
      </c>
      <c r="G22" s="19">
        <f>G18-SUM(G19:G20)</f>
        <v>16836</v>
      </c>
      <c r="I22" s="19">
        <f>I18-SUM(I19:I20)</f>
        <v>7632</v>
      </c>
      <c r="K22" s="19">
        <f>K18-SUM(K19:K20)</f>
        <v>4531</v>
      </c>
      <c r="M22" s="44">
        <f t="shared" si="0"/>
        <v>19850</v>
      </c>
    </row>
    <row r="23" spans="1:13" ht="15" customHeight="1" x14ac:dyDescent="0.25">
      <c r="A23" s="22" t="s">
        <v>18</v>
      </c>
      <c r="B23" s="22"/>
      <c r="C23" s="22"/>
      <c r="E23" s="18">
        <v>-9123</v>
      </c>
      <c r="G23" s="18">
        <v>4264</v>
      </c>
      <c r="I23" s="18">
        <v>997</v>
      </c>
      <c r="K23" s="18">
        <v>-2800</v>
      </c>
      <c r="M23" s="44">
        <f t="shared" si="0"/>
        <v>-6662</v>
      </c>
    </row>
    <row r="24" spans="1:13" ht="15" customHeight="1" x14ac:dyDescent="0.25">
      <c r="A24" s="5" t="s">
        <v>19</v>
      </c>
      <c r="B24" s="5"/>
      <c r="C24" s="5"/>
      <c r="E24" s="17">
        <v>2883</v>
      </c>
      <c r="G24" s="17">
        <v>2666</v>
      </c>
      <c r="I24" s="17">
        <v>2575</v>
      </c>
      <c r="K24" s="17">
        <v>2007</v>
      </c>
      <c r="M24" s="43">
        <f t="shared" si="0"/>
        <v>10131</v>
      </c>
    </row>
    <row r="25" spans="1:13" ht="24" customHeight="1" x14ac:dyDescent="0.25">
      <c r="A25" s="24" t="s">
        <v>15</v>
      </c>
      <c r="B25" s="23"/>
      <c r="C25" s="23"/>
      <c r="E25" s="19">
        <f>E22-SUM(E23:E24)</f>
        <v>-2909</v>
      </c>
      <c r="G25" s="19">
        <f>G22-SUM(G23:G24)</f>
        <v>9906</v>
      </c>
      <c r="I25" s="19">
        <f>I22-SUM(I23:I24)</f>
        <v>4060</v>
      </c>
      <c r="K25" s="19">
        <f>K22-SUM(K23:K24)</f>
        <v>5324</v>
      </c>
      <c r="M25" s="44">
        <f t="shared" si="0"/>
        <v>16381</v>
      </c>
    </row>
    <row r="26" spans="1:13" ht="15" customHeight="1" x14ac:dyDescent="0.25">
      <c r="A26" s="5" t="s">
        <v>20</v>
      </c>
      <c r="B26" s="5"/>
      <c r="C26" s="5"/>
      <c r="E26" s="17">
        <v>8545</v>
      </c>
      <c r="G26" s="17">
        <v>27604</v>
      </c>
      <c r="I26" s="17">
        <v>0</v>
      </c>
      <c r="K26" s="17">
        <v>1366</v>
      </c>
      <c r="M26" s="43">
        <f t="shared" si="0"/>
        <v>37515</v>
      </c>
    </row>
    <row r="27" spans="1:13" ht="24" customHeight="1" thickBot="1" x14ac:dyDescent="0.3">
      <c r="A27" s="2" t="s">
        <v>36</v>
      </c>
      <c r="E27" s="25">
        <f>E25-E26</f>
        <v>-11454</v>
      </c>
      <c r="G27" s="25">
        <f>G25-G26</f>
        <v>-17698</v>
      </c>
      <c r="I27" s="25">
        <f>I25-I26</f>
        <v>4060</v>
      </c>
      <c r="K27" s="25">
        <f>K25-K26</f>
        <v>3958</v>
      </c>
      <c r="M27" s="45">
        <f t="shared" si="0"/>
        <v>-21134</v>
      </c>
    </row>
    <row r="28" spans="1:13" ht="24" customHeight="1" thickTop="1" x14ac:dyDescent="0.25">
      <c r="E28" s="31"/>
      <c r="G28" s="31"/>
      <c r="K28" s="31"/>
      <c r="M28" s="31"/>
    </row>
    <row r="29" spans="1:13" s="33" customFormat="1" ht="24" customHeight="1" x14ac:dyDescent="0.25">
      <c r="A29" s="33" t="s">
        <v>47</v>
      </c>
      <c r="E29" s="32">
        <f>26.6+0.941242</f>
        <v>27.541242</v>
      </c>
      <c r="G29" s="32">
        <v>44.213000000000001</v>
      </c>
      <c r="I29" s="32">
        <v>53.654000000000003</v>
      </c>
      <c r="K29" s="32">
        <v>53.75</v>
      </c>
      <c r="M29" s="42" t="s">
        <v>35</v>
      </c>
    </row>
    <row r="30" spans="1:13" s="34" customFormat="1" ht="24" customHeight="1" x14ac:dyDescent="0.25">
      <c r="A30" s="34" t="s">
        <v>29</v>
      </c>
      <c r="E30" s="35">
        <v>0.79700000000000004</v>
      </c>
      <c r="G30" s="35">
        <v>1</v>
      </c>
      <c r="I30" s="35">
        <v>1</v>
      </c>
      <c r="K30" s="35">
        <v>1</v>
      </c>
      <c r="M30" s="42" t="s">
        <v>35</v>
      </c>
    </row>
    <row r="31" spans="1:13" s="36" customFormat="1" ht="24" customHeight="1" x14ac:dyDescent="0.25">
      <c r="A31" s="33" t="s">
        <v>49</v>
      </c>
      <c r="D31" s="37" t="e">
        <f>(D25*D30)/(D29*1000)</f>
        <v>#DIV/0!</v>
      </c>
    </row>
    <row r="32" spans="1:13" s="36" customFormat="1" ht="18" customHeight="1" x14ac:dyDescent="0.25">
      <c r="A32" s="33" t="s">
        <v>44</v>
      </c>
      <c r="D32" s="37"/>
      <c r="E32" s="37">
        <f>(E25*E30)/(E29*1000)</f>
        <v>-8.4181860788994187E-2</v>
      </c>
      <c r="G32" s="37">
        <f>(G25*G30)/(G29*1000)</f>
        <v>0.22405174948544546</v>
      </c>
      <c r="I32" s="37">
        <f>(I25*I30)/(I29*1000)</f>
        <v>7.5670033921049693E-2</v>
      </c>
      <c r="K32" s="37">
        <f>(K25*K30)/(K29*1000)</f>
        <v>9.9051162790697672E-2</v>
      </c>
      <c r="M32" s="42" t="s">
        <v>35</v>
      </c>
    </row>
    <row r="34" spans="1:13" x14ac:dyDescent="0.25">
      <c r="A34" s="2" t="s">
        <v>16</v>
      </c>
      <c r="E34" s="31">
        <f>E18+E15</f>
        <v>91303</v>
      </c>
      <c r="G34" s="31">
        <f>G18+G15</f>
        <v>109351</v>
      </c>
      <c r="I34" s="31">
        <f>I18+I15</f>
        <v>93054</v>
      </c>
      <c r="K34" s="31">
        <f>K18+K15</f>
        <v>87712</v>
      </c>
      <c r="L34" s="40"/>
      <c r="M34" s="41">
        <f>SUM(E34:L34)</f>
        <v>381420</v>
      </c>
    </row>
    <row r="36" spans="1:13" x14ac:dyDescent="0.25">
      <c r="A36" s="48" t="s">
        <v>11</v>
      </c>
      <c r="B36" s="49" t="s">
        <v>68</v>
      </c>
      <c r="C36" s="49"/>
      <c r="M36" s="51"/>
    </row>
    <row r="37" spans="1:13" x14ac:dyDescent="0.25">
      <c r="A37" s="48"/>
      <c r="B37" s="49" t="s">
        <v>38</v>
      </c>
      <c r="C37" s="49"/>
    </row>
    <row r="38" spans="1:13" ht="9.75" customHeight="1" x14ac:dyDescent="0.25">
      <c r="A38" s="48"/>
      <c r="B38" s="49"/>
      <c r="C38" s="49"/>
    </row>
    <row r="39" spans="1:13" x14ac:dyDescent="0.25">
      <c r="A39" s="49"/>
      <c r="B39" s="49" t="s">
        <v>43</v>
      </c>
      <c r="C39" s="49"/>
    </row>
    <row r="40" spans="1:13" x14ac:dyDescent="0.25">
      <c r="A40" s="49"/>
      <c r="B40" s="49" t="s">
        <v>39</v>
      </c>
      <c r="C40" s="49"/>
    </row>
    <row r="41" spans="1:13" ht="11.25" customHeight="1" x14ac:dyDescent="0.25"/>
    <row r="42" spans="1:13" ht="15.6" x14ac:dyDescent="0.3">
      <c r="A42" s="55" t="s">
        <v>69</v>
      </c>
    </row>
    <row r="44" spans="1:13" x14ac:dyDescent="0.25">
      <c r="M44" s="47"/>
    </row>
    <row r="46" spans="1:13" x14ac:dyDescent="0.25">
      <c r="M46" s="33"/>
    </row>
  </sheetData>
  <phoneticPr fontId="0" type="noConversion"/>
  <pageMargins left="0.39" right="0.75" top="0.51" bottom="0.73" header="0.5" footer="0.5"/>
  <pageSetup scale="73" orientation="landscape" r:id="rId1"/>
  <headerFooter alignWithMargins="0">
    <oddFooter>&amp;R&amp;"Times New Roman,Regular"&amp;9&amp;D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="80" workbookViewId="0">
      <selection activeCell="D5" sqref="D5:J5"/>
    </sheetView>
  </sheetViews>
  <sheetFormatPr defaultColWidth="9.109375" defaultRowHeight="15" x14ac:dyDescent="0.25"/>
  <cols>
    <col min="1" max="1" width="9.44140625" style="2" customWidth="1"/>
    <col min="2" max="2" width="2.44140625" style="2" customWidth="1"/>
    <col min="3" max="3" width="52.5546875" style="2" customWidth="1"/>
    <col min="4" max="4" width="15" style="2" customWidth="1"/>
    <col min="5" max="5" width="3.5546875" style="2" customWidth="1"/>
    <col min="6" max="6" width="13.5546875" style="2" customWidth="1"/>
    <col min="7" max="7" width="3.5546875" style="2" customWidth="1"/>
    <col min="8" max="8" width="13.5546875" style="2" customWidth="1"/>
    <col min="9" max="9" width="3.5546875" style="2" customWidth="1"/>
    <col min="10" max="10" width="12.5546875" style="2" customWidth="1"/>
    <col min="11" max="11" width="3.5546875" style="2" customWidth="1"/>
    <col min="12" max="12" width="14.33203125" style="2" bestFit="1" customWidth="1"/>
    <col min="13" max="13" width="9.109375" style="2"/>
    <col min="14" max="14" width="13.5546875" style="2" customWidth="1"/>
    <col min="15" max="16384" width="9.109375" style="2"/>
  </cols>
  <sheetData>
    <row r="1" spans="1:14" ht="15.6" x14ac:dyDescent="0.3">
      <c r="A1" s="1" t="s">
        <v>0</v>
      </c>
      <c r="B1" s="1"/>
      <c r="C1" s="1"/>
    </row>
    <row r="2" spans="1:14" ht="15.6" x14ac:dyDescent="0.3">
      <c r="A2" s="1" t="s">
        <v>46</v>
      </c>
      <c r="B2" s="1"/>
      <c r="C2" s="1"/>
    </row>
    <row r="3" spans="1:14" ht="15.6" x14ac:dyDescent="0.3">
      <c r="A3" s="50" t="s">
        <v>65</v>
      </c>
      <c r="B3" s="3"/>
      <c r="C3" s="3"/>
      <c r="L3" s="46"/>
    </row>
    <row r="4" spans="1:14" x14ac:dyDescent="0.25">
      <c r="A4" s="3"/>
      <c r="B4" s="3"/>
      <c r="C4" s="3"/>
      <c r="L4" s="13"/>
    </row>
    <row r="5" spans="1:14" x14ac:dyDescent="0.25">
      <c r="A5" s="3"/>
      <c r="B5" s="3"/>
      <c r="C5" s="3"/>
      <c r="D5" s="65" t="s">
        <v>66</v>
      </c>
      <c r="E5" s="65"/>
      <c r="F5" s="65"/>
      <c r="G5" s="65"/>
      <c r="H5" s="65"/>
      <c r="I5" s="65"/>
      <c r="J5" s="65"/>
      <c r="L5" s="13" t="s">
        <v>64</v>
      </c>
    </row>
    <row r="6" spans="1:14" x14ac:dyDescent="0.25">
      <c r="A6" s="5"/>
      <c r="B6" s="5"/>
      <c r="C6" s="5"/>
      <c r="D6" s="13" t="s">
        <v>6</v>
      </c>
      <c r="F6" s="13" t="s">
        <v>8</v>
      </c>
      <c r="G6" s="13"/>
      <c r="H6" s="13" t="s">
        <v>42</v>
      </c>
      <c r="J6" s="13" t="s">
        <v>45</v>
      </c>
      <c r="L6" s="13" t="s">
        <v>31</v>
      </c>
    </row>
    <row r="7" spans="1:14" x14ac:dyDescent="0.25">
      <c r="A7" s="5"/>
      <c r="B7" s="5"/>
      <c r="C7" s="5"/>
      <c r="D7" s="26">
        <v>2002</v>
      </c>
      <c r="F7" s="26">
        <v>2002</v>
      </c>
      <c r="G7" s="29"/>
      <c r="H7" s="26">
        <v>2002</v>
      </c>
      <c r="J7" s="26">
        <v>2002</v>
      </c>
      <c r="L7" s="26">
        <v>2002</v>
      </c>
    </row>
    <row r="8" spans="1:14" ht="24" customHeight="1" x14ac:dyDescent="0.25">
      <c r="A8" s="5" t="s">
        <v>1</v>
      </c>
      <c r="B8" s="5"/>
      <c r="C8" s="5"/>
      <c r="D8" s="30"/>
      <c r="F8" s="30"/>
      <c r="G8" s="30"/>
      <c r="H8" s="30"/>
    </row>
    <row r="9" spans="1:14" ht="15" customHeight="1" x14ac:dyDescent="0.25">
      <c r="A9" s="5" t="s">
        <v>27</v>
      </c>
      <c r="B9" s="5"/>
      <c r="C9" s="5"/>
      <c r="D9" s="16">
        <f>688411-36129</f>
        <v>652282</v>
      </c>
      <c r="F9" s="16">
        <f>672295-46000</f>
        <v>626295</v>
      </c>
      <c r="G9" s="16"/>
      <c r="H9" s="16">
        <v>688967</v>
      </c>
      <c r="J9" s="16">
        <v>662827</v>
      </c>
      <c r="L9" s="16">
        <f>H9+F9+D9+J9</f>
        <v>2630371</v>
      </c>
    </row>
    <row r="10" spans="1:14" ht="15" customHeight="1" x14ac:dyDescent="0.25">
      <c r="A10" s="5" t="s">
        <v>26</v>
      </c>
      <c r="B10" s="5"/>
      <c r="C10" s="5"/>
      <c r="D10" s="17">
        <f>22218+1266</f>
        <v>23484</v>
      </c>
      <c r="F10" s="17">
        <f>30543+102</f>
        <v>30645</v>
      </c>
      <c r="G10" s="18"/>
      <c r="H10" s="17">
        <v>25644</v>
      </c>
      <c r="J10" s="17">
        <v>6954</v>
      </c>
      <c r="L10" s="17">
        <f>H10+F10+D10+J10</f>
        <v>86727</v>
      </c>
    </row>
    <row r="11" spans="1:14" x14ac:dyDescent="0.25">
      <c r="A11" s="5" t="s">
        <v>28</v>
      </c>
      <c r="B11" s="5"/>
      <c r="C11" s="5"/>
      <c r="D11" s="19">
        <f>SUM(D9:D10)</f>
        <v>675766</v>
      </c>
      <c r="F11" s="19">
        <f>SUM(F9:F10)</f>
        <v>656940</v>
      </c>
      <c r="G11" s="19"/>
      <c r="H11" s="19">
        <f>SUM(H9:H10)</f>
        <v>714611</v>
      </c>
      <c r="J11" s="19">
        <f>SUM(J9:J10)</f>
        <v>669781</v>
      </c>
      <c r="L11" s="19">
        <f>SUM(L9:L10)</f>
        <v>2717098</v>
      </c>
    </row>
    <row r="12" spans="1:14" ht="24" customHeight="1" x14ac:dyDescent="0.25">
      <c r="A12" s="5" t="s">
        <v>2</v>
      </c>
      <c r="B12" s="5"/>
      <c r="C12" s="5"/>
      <c r="D12" s="19"/>
      <c r="F12" s="19"/>
      <c r="G12" s="19"/>
      <c r="H12" s="19"/>
      <c r="J12" s="19"/>
      <c r="L12" s="19"/>
    </row>
    <row r="13" spans="1:14" ht="15" customHeight="1" x14ac:dyDescent="0.25">
      <c r="A13" s="20" t="s">
        <v>25</v>
      </c>
      <c r="B13" s="20"/>
      <c r="C13" s="20"/>
      <c r="D13" s="18">
        <f>571024-34863</f>
        <v>536161</v>
      </c>
      <c r="F13" s="18">
        <f>570957-45898</f>
        <v>525059</v>
      </c>
      <c r="G13" s="18"/>
      <c r="H13" s="18">
        <v>579449</v>
      </c>
      <c r="J13" s="18">
        <v>584675</v>
      </c>
      <c r="L13" s="18">
        <f>H13+F13+D13+J13</f>
        <v>2225344</v>
      </c>
      <c r="N13" s="18"/>
    </row>
    <row r="14" spans="1:14" ht="15" customHeight="1" x14ac:dyDescent="0.25">
      <c r="A14" s="5" t="s">
        <v>24</v>
      </c>
      <c r="B14" s="5"/>
      <c r="C14" s="5"/>
      <c r="D14" s="18">
        <v>58677</v>
      </c>
      <c r="F14" s="18">
        <v>58640</v>
      </c>
      <c r="G14" s="18"/>
      <c r="H14" s="18">
        <v>59099</v>
      </c>
      <c r="J14" s="18">
        <v>55997</v>
      </c>
      <c r="L14" s="18">
        <f>H14+F14+D14+J14</f>
        <v>232413</v>
      </c>
    </row>
    <row r="15" spans="1:14" ht="15" customHeight="1" x14ac:dyDescent="0.25">
      <c r="A15" s="5" t="s">
        <v>23</v>
      </c>
      <c r="B15" s="5"/>
      <c r="C15" s="5"/>
      <c r="D15" s="18">
        <v>26283</v>
      </c>
      <c r="F15" s="18">
        <v>20777</v>
      </c>
      <c r="G15" s="18"/>
      <c r="H15" s="18">
        <v>25132</v>
      </c>
      <c r="J15" s="18">
        <v>29224</v>
      </c>
      <c r="L15" s="18">
        <f>H15+F15+D15+J15</f>
        <v>101416</v>
      </c>
      <c r="N15" s="36"/>
    </row>
    <row r="16" spans="1:14" ht="15" customHeight="1" x14ac:dyDescent="0.25">
      <c r="A16" s="5" t="s">
        <v>22</v>
      </c>
      <c r="B16" s="5"/>
      <c r="C16" s="5"/>
      <c r="D16" s="17">
        <v>-305</v>
      </c>
      <c r="F16" s="17">
        <v>-2781</v>
      </c>
      <c r="G16" s="18"/>
      <c r="H16" s="17">
        <v>-389</v>
      </c>
      <c r="J16" s="17">
        <v>-12288</v>
      </c>
      <c r="L16" s="17">
        <f>H16+F16+D16+J16</f>
        <v>-15763</v>
      </c>
    </row>
    <row r="17" spans="1:12" ht="24" customHeight="1" x14ac:dyDescent="0.25">
      <c r="A17" s="5" t="s">
        <v>3</v>
      </c>
      <c r="B17" s="5"/>
      <c r="C17" s="5"/>
      <c r="D17" s="19">
        <f>D11-SUM(D13:D16)</f>
        <v>54950</v>
      </c>
      <c r="F17" s="19">
        <f>F11-SUM(F13:F16)</f>
        <v>55245</v>
      </c>
      <c r="G17" s="19"/>
      <c r="H17" s="19">
        <f>H11-SUM(H13:H16)</f>
        <v>51320</v>
      </c>
      <c r="J17" s="19">
        <f>J11-SUM(J13:J16)</f>
        <v>12173</v>
      </c>
      <c r="L17" s="19">
        <f>L11-SUM(L13:L16)</f>
        <v>173688</v>
      </c>
    </row>
    <row r="18" spans="1:12" ht="15" customHeight="1" x14ac:dyDescent="0.25">
      <c r="A18" s="5" t="s">
        <v>21</v>
      </c>
      <c r="B18" s="5"/>
      <c r="C18" s="5"/>
      <c r="D18" s="18">
        <v>24903</v>
      </c>
      <c r="F18" s="18">
        <v>26038</v>
      </c>
      <c r="G18" s="18"/>
      <c r="H18" s="18">
        <v>25813</v>
      </c>
      <c r="J18" s="18">
        <v>25704</v>
      </c>
      <c r="L18" s="18">
        <f>H18+F18+D18+J18</f>
        <v>102458</v>
      </c>
    </row>
    <row r="19" spans="1:12" ht="15" customHeight="1" x14ac:dyDescent="0.25">
      <c r="A19" s="5" t="s">
        <v>17</v>
      </c>
      <c r="B19" s="5"/>
      <c r="C19" s="5"/>
      <c r="D19" s="17">
        <v>-519</v>
      </c>
      <c r="F19" s="17">
        <v>-549</v>
      </c>
      <c r="G19" s="18"/>
      <c r="H19" s="17">
        <v>-5535</v>
      </c>
      <c r="J19" s="17">
        <v>-971</v>
      </c>
      <c r="L19" s="17">
        <f>H19+F19+D19+J19</f>
        <v>-7574</v>
      </c>
    </row>
    <row r="20" spans="1:12" ht="24" customHeight="1" x14ac:dyDescent="0.25">
      <c r="A20" s="27" t="s">
        <v>13</v>
      </c>
      <c r="B20" s="23"/>
      <c r="C20" s="23"/>
    </row>
    <row r="21" spans="1:12" ht="15.75" customHeight="1" x14ac:dyDescent="0.25">
      <c r="A21" s="27" t="s">
        <v>14</v>
      </c>
      <c r="B21" s="23"/>
      <c r="C21" s="23"/>
      <c r="D21" s="19">
        <f>D17-SUM(D18:D19)</f>
        <v>30566</v>
      </c>
      <c r="F21" s="19">
        <f>F17-SUM(F18:F19)</f>
        <v>29756</v>
      </c>
      <c r="G21" s="19"/>
      <c r="H21" s="19">
        <f>H17-SUM(H18:H19)</f>
        <v>31042</v>
      </c>
      <c r="J21" s="19">
        <f>J17-SUM(J18:J19)</f>
        <v>-12560</v>
      </c>
      <c r="L21" s="19">
        <f>L17-SUM(L18:L19)</f>
        <v>78804</v>
      </c>
    </row>
    <row r="22" spans="1:12" ht="15" customHeight="1" x14ac:dyDescent="0.25">
      <c r="A22" s="22" t="s">
        <v>18</v>
      </c>
      <c r="B22" s="22"/>
      <c r="C22" s="22"/>
      <c r="D22" s="18">
        <v>4585</v>
      </c>
      <c r="F22" s="18">
        <v>1448</v>
      </c>
      <c r="G22" s="18"/>
      <c r="H22" s="18">
        <v>-1465</v>
      </c>
      <c r="J22" s="18">
        <v>-44575</v>
      </c>
      <c r="L22" s="18">
        <f>H22+F22+D22+J22</f>
        <v>-40007</v>
      </c>
    </row>
    <row r="23" spans="1:12" ht="15" customHeight="1" x14ac:dyDescent="0.25">
      <c r="A23" s="5" t="s">
        <v>19</v>
      </c>
      <c r="B23" s="5"/>
      <c r="C23" s="5"/>
      <c r="D23" s="17">
        <v>3666</v>
      </c>
      <c r="F23" s="17">
        <v>3811</v>
      </c>
      <c r="G23" s="18"/>
      <c r="H23" s="17">
        <v>3471</v>
      </c>
      <c r="J23" s="17">
        <v>2344</v>
      </c>
      <c r="L23" s="17">
        <f>H23+F23+D23+J23</f>
        <v>13292</v>
      </c>
    </row>
    <row r="24" spans="1:12" ht="24" customHeight="1" x14ac:dyDescent="0.25">
      <c r="A24" s="2" t="s">
        <v>41</v>
      </c>
      <c r="B24" s="23"/>
      <c r="C24" s="23"/>
      <c r="D24" s="19">
        <f>D21-SUM(D22:D23)</f>
        <v>22315</v>
      </c>
      <c r="F24" s="19">
        <f>F21-SUM(F22:F23)</f>
        <v>24497</v>
      </c>
      <c r="G24" s="19"/>
      <c r="H24" s="19">
        <f>H21-SUM(H22:H23)</f>
        <v>29036</v>
      </c>
      <c r="J24" s="19">
        <f>J21-SUM(J22:J23)</f>
        <v>29671</v>
      </c>
      <c r="L24" s="19">
        <f>L21-SUM(L22:L23)</f>
        <v>105519</v>
      </c>
    </row>
    <row r="25" spans="1:12" ht="24" customHeight="1" x14ac:dyDescent="0.25">
      <c r="D25" s="31"/>
      <c r="F25" s="31"/>
      <c r="G25" s="31"/>
      <c r="H25" s="31"/>
      <c r="J25" s="31"/>
    </row>
    <row r="26" spans="1:12" s="33" customFormat="1" ht="24" customHeight="1" x14ac:dyDescent="0.25">
      <c r="A26" s="33" t="s">
        <v>47</v>
      </c>
      <c r="D26" s="32">
        <v>53.73</v>
      </c>
      <c r="F26" s="32">
        <v>53.859000000000002</v>
      </c>
      <c r="G26" s="32"/>
      <c r="H26" s="32">
        <v>53.649000000000001</v>
      </c>
      <c r="J26" s="32">
        <v>53.878999999999998</v>
      </c>
      <c r="L26" s="33">
        <v>53.822000000000003</v>
      </c>
    </row>
    <row r="27" spans="1:12" s="36" customFormat="1" ht="24" customHeight="1" x14ac:dyDescent="0.25">
      <c r="A27" s="33" t="s">
        <v>48</v>
      </c>
      <c r="D27" s="37">
        <f>(D24)/(D26*1000)</f>
        <v>0.41531732737762889</v>
      </c>
      <c r="F27" s="37">
        <f>(F24)/(F26*1000)</f>
        <v>0.45483577489370391</v>
      </c>
      <c r="G27" s="37"/>
      <c r="H27" s="37">
        <f>(H24)/(H26*1000)</f>
        <v>0.5412216443922534</v>
      </c>
      <c r="I27" s="37"/>
      <c r="J27" s="37">
        <f>(J24)/(J26*1000)</f>
        <v>0.55069693201432846</v>
      </c>
      <c r="K27" s="37"/>
      <c r="L27" s="37">
        <f>(L24)/(L26*1000)</f>
        <v>1.9605180037902716</v>
      </c>
    </row>
    <row r="29" spans="1:12" ht="15.6" thickBot="1" x14ac:dyDescent="0.3">
      <c r="A29" s="2" t="s">
        <v>16</v>
      </c>
      <c r="D29" s="28">
        <f>D17+D14</f>
        <v>113627</v>
      </c>
      <c r="F29" s="28">
        <f>F17+F14</f>
        <v>113885</v>
      </c>
      <c r="G29" s="31"/>
      <c r="H29" s="28">
        <f>H17+H14</f>
        <v>110419</v>
      </c>
      <c r="J29" s="28">
        <f>J17+J14</f>
        <v>68170</v>
      </c>
      <c r="L29" s="28">
        <f>L17+L14</f>
        <v>406101</v>
      </c>
    </row>
    <row r="30" spans="1:12" ht="22.5" customHeight="1" thickTop="1" x14ac:dyDescent="0.25">
      <c r="D30" s="31"/>
    </row>
    <row r="32" spans="1:12" ht="15.6" x14ac:dyDescent="0.3">
      <c r="A32" s="55" t="s">
        <v>69</v>
      </c>
    </row>
  </sheetData>
  <mergeCells count="1">
    <mergeCell ref="D5:J5"/>
  </mergeCells>
  <phoneticPr fontId="0" type="noConversion"/>
  <pageMargins left="0.5" right="0.5" top="0.5" bottom="0.5" header="0.5" footer="0.5"/>
  <pageSetup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abSelected="1" zoomScale="80" workbookViewId="0">
      <selection activeCell="A37" sqref="A37"/>
    </sheetView>
  </sheetViews>
  <sheetFormatPr defaultColWidth="9.109375" defaultRowHeight="15" x14ac:dyDescent="0.25"/>
  <cols>
    <col min="1" max="2" width="2.44140625" style="2" customWidth="1"/>
    <col min="3" max="3" width="58.44140625" style="2" customWidth="1"/>
    <col min="4" max="4" width="15" style="2" customWidth="1"/>
    <col min="5" max="5" width="3.5546875" style="2" customWidth="1"/>
    <col min="6" max="6" width="15.33203125" style="2" customWidth="1"/>
    <col min="7" max="7" width="3.44140625" style="2" customWidth="1"/>
    <col min="8" max="8" width="15.33203125" style="2" customWidth="1"/>
    <col min="9" max="9" width="2.6640625" style="2" customWidth="1"/>
    <col min="10" max="10" width="15.44140625" style="2" customWidth="1"/>
    <col min="11" max="11" width="2.6640625" style="2" customWidth="1"/>
    <col min="12" max="12" width="15" style="2" customWidth="1"/>
    <col min="13" max="13" width="14.109375" style="2" customWidth="1"/>
    <col min="14" max="16384" width="9.109375" style="2"/>
  </cols>
  <sheetData>
    <row r="1" spans="1:12" ht="15.6" x14ac:dyDescent="0.3">
      <c r="A1" s="1" t="s">
        <v>0</v>
      </c>
      <c r="B1" s="1"/>
      <c r="C1" s="1"/>
    </row>
    <row r="2" spans="1:12" ht="15.6" x14ac:dyDescent="0.3">
      <c r="A2" s="1" t="s">
        <v>72</v>
      </c>
      <c r="B2" s="1"/>
      <c r="C2" s="1"/>
    </row>
    <row r="3" spans="1:12" ht="15.6" x14ac:dyDescent="0.3">
      <c r="A3" s="50" t="s">
        <v>65</v>
      </c>
      <c r="B3" s="3"/>
      <c r="C3" s="3"/>
    </row>
    <row r="4" spans="1:12" ht="15.6" x14ac:dyDescent="0.3">
      <c r="A4" s="50"/>
      <c r="B4" s="3"/>
      <c r="C4" s="3"/>
    </row>
    <row r="5" spans="1:12" x14ac:dyDescent="0.25">
      <c r="A5" s="3"/>
      <c r="B5" s="3"/>
      <c r="C5" s="3"/>
      <c r="L5" s="13"/>
    </row>
    <row r="6" spans="1:12" x14ac:dyDescent="0.25">
      <c r="A6" s="3"/>
      <c r="B6" s="3"/>
      <c r="C6" s="3"/>
      <c r="D6" s="65" t="s">
        <v>66</v>
      </c>
      <c r="E6" s="65"/>
      <c r="F6" s="65"/>
      <c r="G6" s="65"/>
      <c r="H6" s="65"/>
      <c r="I6" s="65"/>
      <c r="J6" s="65"/>
      <c r="L6" s="13" t="s">
        <v>64</v>
      </c>
    </row>
    <row r="7" spans="1:12" x14ac:dyDescent="0.25">
      <c r="A7" s="5"/>
      <c r="B7" s="5"/>
      <c r="C7" s="5"/>
      <c r="D7" s="13" t="s">
        <v>6</v>
      </c>
      <c r="F7" s="13" t="s">
        <v>8</v>
      </c>
      <c r="G7" s="13"/>
      <c r="H7" s="13" t="s">
        <v>42</v>
      </c>
      <c r="J7" s="13" t="s">
        <v>45</v>
      </c>
      <c r="L7" s="13" t="s">
        <v>31</v>
      </c>
    </row>
    <row r="8" spans="1:12" x14ac:dyDescent="0.25">
      <c r="A8" s="5"/>
      <c r="B8" s="5"/>
      <c r="C8" s="5"/>
      <c r="D8" s="26">
        <v>2003</v>
      </c>
      <c r="F8" s="26">
        <v>2003</v>
      </c>
      <c r="G8" s="29"/>
      <c r="H8" s="26">
        <v>2003</v>
      </c>
      <c r="J8" s="26">
        <v>2003</v>
      </c>
      <c r="L8" s="26">
        <v>2003</v>
      </c>
    </row>
    <row r="9" spans="1:12" ht="24" customHeight="1" x14ac:dyDescent="0.25">
      <c r="A9" s="5" t="s">
        <v>1</v>
      </c>
      <c r="B9" s="5"/>
      <c r="C9" s="5"/>
      <c r="D9" s="30"/>
    </row>
    <row r="10" spans="1:12" ht="15" customHeight="1" x14ac:dyDescent="0.25">
      <c r="A10" s="5" t="s">
        <v>27</v>
      </c>
      <c r="B10" s="5"/>
      <c r="C10" s="5"/>
      <c r="D10" s="16">
        <v>657829</v>
      </c>
      <c r="F10" s="16">
        <v>670962</v>
      </c>
      <c r="G10" s="16"/>
      <c r="H10" s="16">
        <v>682034</v>
      </c>
      <c r="J10" s="16">
        <v>718498</v>
      </c>
      <c r="L10" s="16">
        <f>SUM(D10:J10)</f>
        <v>2729323</v>
      </c>
    </row>
    <row r="11" spans="1:12" ht="15" customHeight="1" x14ac:dyDescent="0.25">
      <c r="A11" s="5" t="s">
        <v>26</v>
      </c>
      <c r="B11" s="5"/>
      <c r="C11" s="5"/>
      <c r="D11" s="17">
        <v>23465</v>
      </c>
      <c r="F11" s="17">
        <v>22283</v>
      </c>
      <c r="G11" s="18"/>
      <c r="H11" s="17">
        <v>19921</v>
      </c>
      <c r="J11" s="17">
        <v>34488</v>
      </c>
      <c r="L11" s="17">
        <f>SUM(D11:J11)</f>
        <v>100157</v>
      </c>
    </row>
    <row r="12" spans="1:12" x14ac:dyDescent="0.25">
      <c r="A12" s="5" t="s">
        <v>28</v>
      </c>
      <c r="B12" s="5"/>
      <c r="C12" s="5"/>
      <c r="D12" s="19">
        <f>SUM(D10:D11)</f>
        <v>681294</v>
      </c>
      <c r="F12" s="19">
        <f>SUM(F10:F11)</f>
        <v>693245</v>
      </c>
      <c r="G12" s="19"/>
      <c r="H12" s="19">
        <f>SUM(H10:H11)</f>
        <v>701955</v>
      </c>
      <c r="J12" s="19">
        <f>SUM(J10:J11)</f>
        <v>752986</v>
      </c>
      <c r="L12" s="19">
        <f>SUM(L10:L11)</f>
        <v>2829480</v>
      </c>
    </row>
    <row r="13" spans="1:12" ht="24" customHeight="1" x14ac:dyDescent="0.25">
      <c r="A13" s="5" t="s">
        <v>2</v>
      </c>
      <c r="B13" s="5"/>
      <c r="C13" s="5"/>
      <c r="D13" s="19"/>
      <c r="F13" s="19"/>
      <c r="G13" s="19"/>
      <c r="H13" s="19"/>
      <c r="J13" s="19"/>
      <c r="L13" s="19"/>
    </row>
    <row r="14" spans="1:12" ht="15" customHeight="1" x14ac:dyDescent="0.25">
      <c r="A14" s="20" t="s">
        <v>25</v>
      </c>
      <c r="B14" s="20"/>
      <c r="C14" s="20"/>
      <c r="D14" s="18">
        <v>566620</v>
      </c>
      <c r="F14" s="18">
        <v>580003</v>
      </c>
      <c r="G14" s="18"/>
      <c r="H14" s="18">
        <v>578997</v>
      </c>
      <c r="I14" s="18"/>
      <c r="J14" s="18">
        <v>610180</v>
      </c>
      <c r="K14" s="18"/>
      <c r="L14" s="18">
        <f t="shared" ref="L14:L22" si="0">SUM(D14:J14)</f>
        <v>2335800</v>
      </c>
    </row>
    <row r="15" spans="1:12" ht="15" customHeight="1" x14ac:dyDescent="0.25">
      <c r="A15" s="5" t="s">
        <v>24</v>
      </c>
      <c r="B15" s="5"/>
      <c r="C15" s="5"/>
      <c r="D15" s="18">
        <v>56047</v>
      </c>
      <c r="F15" s="18">
        <v>59518</v>
      </c>
      <c r="G15" s="18"/>
      <c r="H15" s="18">
        <v>61224</v>
      </c>
      <c r="J15" s="18">
        <v>57547</v>
      </c>
      <c r="L15" s="18">
        <f t="shared" si="0"/>
        <v>234336</v>
      </c>
    </row>
    <row r="16" spans="1:12" ht="15" customHeight="1" x14ac:dyDescent="0.25">
      <c r="A16" s="5" t="s">
        <v>50</v>
      </c>
      <c r="B16" s="5"/>
      <c r="C16" s="5"/>
      <c r="D16" s="18">
        <v>6490</v>
      </c>
      <c r="F16" s="18">
        <v>6601</v>
      </c>
      <c r="G16" s="18"/>
      <c r="H16" s="18">
        <v>7542</v>
      </c>
      <c r="J16" s="18">
        <v>10523</v>
      </c>
      <c r="L16" s="18">
        <f t="shared" si="0"/>
        <v>31156</v>
      </c>
    </row>
    <row r="17" spans="1:12" ht="15" customHeight="1" x14ac:dyDescent="0.25">
      <c r="A17" s="5" t="s">
        <v>23</v>
      </c>
      <c r="B17" s="5"/>
      <c r="C17" s="5"/>
      <c r="D17" s="18">
        <v>25324</v>
      </c>
      <c r="F17" s="18">
        <v>28502</v>
      </c>
      <c r="G17" s="18"/>
      <c r="H17" s="18">
        <v>22590</v>
      </c>
      <c r="I17" s="36"/>
      <c r="J17" s="18">
        <v>32109</v>
      </c>
      <c r="K17" s="36"/>
      <c r="L17" s="18">
        <f t="shared" si="0"/>
        <v>108525</v>
      </c>
    </row>
    <row r="18" spans="1:12" ht="15" customHeight="1" x14ac:dyDescent="0.25">
      <c r="A18" s="5" t="s">
        <v>22</v>
      </c>
      <c r="B18" s="5"/>
      <c r="C18" s="5"/>
      <c r="D18" s="17">
        <v>-7718</v>
      </c>
      <c r="F18" s="17">
        <v>-11671</v>
      </c>
      <c r="G18" s="18"/>
      <c r="H18" s="17">
        <v>-3987</v>
      </c>
      <c r="J18" s="17">
        <v>-1747</v>
      </c>
      <c r="L18" s="17">
        <f t="shared" si="0"/>
        <v>-25123</v>
      </c>
    </row>
    <row r="19" spans="1:12" ht="24" customHeight="1" x14ac:dyDescent="0.25">
      <c r="A19" s="5" t="s">
        <v>3</v>
      </c>
      <c r="B19" s="5"/>
      <c r="C19" s="5"/>
      <c r="D19" s="19">
        <f>D12-SUM(D14:D18)</f>
        <v>34531</v>
      </c>
      <c r="F19" s="19">
        <f>F12-SUM(F14:F18)</f>
        <v>30292</v>
      </c>
      <c r="G19" s="19"/>
      <c r="H19" s="19">
        <f>H12-SUM(H14:H18)</f>
        <v>35589</v>
      </c>
      <c r="J19" s="19">
        <f>J12-SUM(J14:J18)</f>
        <v>44374</v>
      </c>
      <c r="L19" s="19">
        <f>L12-SUM(L14:L18)</f>
        <v>144786</v>
      </c>
    </row>
    <row r="20" spans="1:12" ht="15" customHeight="1" x14ac:dyDescent="0.25">
      <c r="A20" s="5" t="s">
        <v>21</v>
      </c>
      <c r="B20" s="5"/>
      <c r="C20" s="5"/>
      <c r="D20" s="18">
        <v>26152</v>
      </c>
      <c r="F20" s="18">
        <v>28892</v>
      </c>
      <c r="G20" s="18"/>
      <c r="H20" s="18">
        <v>22347</v>
      </c>
      <c r="J20" s="18">
        <v>21149</v>
      </c>
      <c r="L20" s="18">
        <f t="shared" si="0"/>
        <v>98540</v>
      </c>
    </row>
    <row r="21" spans="1:12" ht="15" customHeight="1" x14ac:dyDescent="0.25">
      <c r="A21" s="5" t="s">
        <v>51</v>
      </c>
      <c r="B21" s="5"/>
      <c r="C21" s="5"/>
      <c r="D21" s="18">
        <v>21184</v>
      </c>
      <c r="F21" s="18">
        <v>32329</v>
      </c>
      <c r="G21" s="18"/>
      <c r="H21" s="18">
        <v>0</v>
      </c>
      <c r="J21" s="18">
        <v>0</v>
      </c>
      <c r="L21" s="18">
        <f t="shared" si="0"/>
        <v>53513</v>
      </c>
    </row>
    <row r="22" spans="1:12" ht="15" customHeight="1" x14ac:dyDescent="0.25">
      <c r="A22" s="5" t="s">
        <v>17</v>
      </c>
      <c r="B22" s="5"/>
      <c r="C22" s="5"/>
      <c r="D22" s="17">
        <v>-672</v>
      </c>
      <c r="F22" s="17">
        <v>-1506</v>
      </c>
      <c r="G22" s="18"/>
      <c r="H22" s="17">
        <v>-371</v>
      </c>
      <c r="J22" s="17">
        <v>-1537</v>
      </c>
      <c r="L22" s="17">
        <f t="shared" si="0"/>
        <v>-4086</v>
      </c>
    </row>
    <row r="23" spans="1:12" ht="24" customHeight="1" x14ac:dyDescent="0.25">
      <c r="A23" s="27" t="s">
        <v>13</v>
      </c>
      <c r="B23" s="23"/>
      <c r="C23" s="23"/>
    </row>
    <row r="24" spans="1:12" ht="15.75" customHeight="1" x14ac:dyDescent="0.25">
      <c r="A24" s="27" t="s">
        <v>14</v>
      </c>
      <c r="B24" s="23"/>
      <c r="C24" s="23"/>
      <c r="D24" s="19">
        <f>D19-SUM(D20:D22)</f>
        <v>-12133</v>
      </c>
      <c r="F24" s="19">
        <f>F19-SUM(F20:F22)</f>
        <v>-29423</v>
      </c>
      <c r="G24" s="19"/>
      <c r="H24" s="19">
        <f>H19-SUM(H20:H22)</f>
        <v>13613</v>
      </c>
      <c r="J24" s="19">
        <f>J19-SUM(J20:J22)</f>
        <v>24762</v>
      </c>
      <c r="L24" s="19">
        <f>L19-SUM(L20:L22)</f>
        <v>-3181</v>
      </c>
    </row>
    <row r="25" spans="1:12" ht="15" customHeight="1" x14ac:dyDescent="0.25">
      <c r="A25" s="22" t="s">
        <v>73</v>
      </c>
      <c r="B25" s="22"/>
      <c r="C25" s="22"/>
      <c r="D25" s="18">
        <v>-12246</v>
      </c>
      <c r="F25" s="18">
        <v>-28777</v>
      </c>
      <c r="G25" s="18"/>
      <c r="H25" s="18">
        <v>-8598</v>
      </c>
      <c r="J25" s="18">
        <v>1913</v>
      </c>
      <c r="L25" s="18">
        <f>SUM(D25:J25)</f>
        <v>-47708</v>
      </c>
    </row>
    <row r="26" spans="1:12" ht="15" customHeight="1" x14ac:dyDescent="0.25">
      <c r="A26" s="5" t="s">
        <v>19</v>
      </c>
      <c r="B26" s="5"/>
      <c r="C26" s="5"/>
      <c r="D26" s="17">
        <v>1050</v>
      </c>
      <c r="F26" s="17">
        <v>658</v>
      </c>
      <c r="G26" s="18"/>
      <c r="H26" s="17">
        <v>693</v>
      </c>
      <c r="J26" s="17">
        <v>634</v>
      </c>
      <c r="L26" s="17">
        <f>SUM(D26:J26)</f>
        <v>3035</v>
      </c>
    </row>
    <row r="27" spans="1:12" ht="15" customHeight="1" x14ac:dyDescent="0.25">
      <c r="A27" s="27" t="s">
        <v>52</v>
      </c>
      <c r="B27" s="5"/>
      <c r="C27" s="5"/>
      <c r="D27" s="18"/>
      <c r="F27" s="18"/>
      <c r="G27" s="18"/>
      <c r="H27" s="18"/>
      <c r="J27" s="18"/>
      <c r="L27" s="18"/>
    </row>
    <row r="28" spans="1:12" ht="15" customHeight="1" x14ac:dyDescent="0.25">
      <c r="A28" s="5" t="s">
        <v>53</v>
      </c>
      <c r="B28" s="5"/>
      <c r="C28" s="5"/>
      <c r="D28" s="18">
        <f>D24-D25-D26</f>
        <v>-937</v>
      </c>
      <c r="F28" s="18">
        <f>F24-F25-F26</f>
        <v>-1304</v>
      </c>
      <c r="G28" s="18"/>
      <c r="H28" s="18">
        <f>H24-H25-H26</f>
        <v>21518</v>
      </c>
      <c r="J28" s="18">
        <f>J24-J25-J26</f>
        <v>22215</v>
      </c>
      <c r="L28" s="18">
        <f>L24-L25-L26</f>
        <v>41492</v>
      </c>
    </row>
    <row r="29" spans="1:12" ht="15" customHeight="1" x14ac:dyDescent="0.25">
      <c r="A29" s="5" t="s">
        <v>54</v>
      </c>
      <c r="B29" s="5"/>
      <c r="C29" s="5"/>
      <c r="D29" s="18">
        <v>-10144</v>
      </c>
      <c r="F29" s="18">
        <v>0</v>
      </c>
      <c r="G29" s="18"/>
      <c r="H29" s="18">
        <v>0</v>
      </c>
      <c r="J29" s="18">
        <v>0</v>
      </c>
      <c r="L29" s="18">
        <f>SUM(D29:J29)</f>
        <v>-10144</v>
      </c>
    </row>
    <row r="30" spans="1:12" ht="24" customHeight="1" thickBot="1" x14ac:dyDescent="0.3">
      <c r="A30" s="2" t="s">
        <v>36</v>
      </c>
      <c r="B30" s="23"/>
      <c r="C30" s="23"/>
      <c r="D30" s="25">
        <f>D28+D29</f>
        <v>-11081</v>
      </c>
      <c r="F30" s="25">
        <f>F28+F29</f>
        <v>-1304</v>
      </c>
      <c r="G30" s="31"/>
      <c r="H30" s="25">
        <f>H28+H29</f>
        <v>21518</v>
      </c>
      <c r="J30" s="25">
        <f>J28+J29</f>
        <v>22215</v>
      </c>
      <c r="L30" s="25">
        <f>L28+L29</f>
        <v>31348</v>
      </c>
    </row>
    <row r="31" spans="1:12" ht="16.5" customHeight="1" thickTop="1" x14ac:dyDescent="0.25">
      <c r="D31" s="31"/>
      <c r="F31" s="31"/>
      <c r="G31" s="31"/>
      <c r="H31" s="31"/>
      <c r="J31" s="31"/>
      <c r="L31" s="31"/>
    </row>
    <row r="32" spans="1:12" s="33" customFormat="1" ht="24" customHeight="1" x14ac:dyDescent="0.25">
      <c r="A32" s="33" t="s">
        <v>71</v>
      </c>
      <c r="D32" s="32">
        <v>52.41</v>
      </c>
      <c r="F32" s="32">
        <v>52.752000000000002</v>
      </c>
      <c r="G32" s="32"/>
      <c r="H32" s="32">
        <v>55.225999999999999</v>
      </c>
      <c r="J32" s="60">
        <v>55.685000000000002</v>
      </c>
      <c r="K32" s="57"/>
      <c r="L32" s="60">
        <v>54.835000000000001</v>
      </c>
    </row>
    <row r="33" spans="1:12" s="33" customFormat="1" ht="8.25" customHeight="1" x14ac:dyDescent="0.25">
      <c r="D33" s="32"/>
      <c r="F33" s="32"/>
      <c r="G33" s="32"/>
      <c r="H33" s="32"/>
      <c r="J33" s="60"/>
      <c r="K33" s="57"/>
      <c r="L33" s="60"/>
    </row>
    <row r="34" spans="1:12" s="33" customFormat="1" ht="24" customHeight="1" thickBot="1" x14ac:dyDescent="0.3">
      <c r="A34" s="33" t="s">
        <v>70</v>
      </c>
      <c r="D34" s="52">
        <f>ROUND((D28)/(D32*1000),2)</f>
        <v>-0.02</v>
      </c>
      <c r="E34" s="37"/>
      <c r="F34" s="52">
        <f>(F28)/(F32*1000)</f>
        <v>-2.4719441916894146E-2</v>
      </c>
      <c r="G34" s="37"/>
      <c r="H34" s="52">
        <f>(H28)/(H32*1000)</f>
        <v>0.38963531669865642</v>
      </c>
      <c r="I34" s="37"/>
      <c r="J34" s="61">
        <f>(J28)/(J32*1000)</f>
        <v>0.39894046870791056</v>
      </c>
      <c r="K34" s="58"/>
      <c r="L34" s="61">
        <f>ROUND((L28)/(L32*1000),2)</f>
        <v>0.76</v>
      </c>
    </row>
    <row r="35" spans="1:12" customFormat="1" ht="4.5" customHeight="1" thickTop="1" x14ac:dyDescent="0.25">
      <c r="D35" s="56"/>
      <c r="E35" s="56"/>
      <c r="F35" s="56"/>
      <c r="G35" s="56"/>
      <c r="H35" s="56"/>
      <c r="I35" s="56"/>
      <c r="J35" s="59"/>
      <c r="K35" s="59"/>
      <c r="L35" s="59"/>
    </row>
    <row r="36" spans="1:12" s="36" customFormat="1" ht="24" customHeight="1" thickBot="1" x14ac:dyDescent="0.3">
      <c r="A36" s="33" t="s">
        <v>74</v>
      </c>
      <c r="D36" s="52">
        <f>ROUND((D30)/(D32*1000),2)</f>
        <v>-0.21</v>
      </c>
      <c r="E36" s="37"/>
      <c r="F36" s="52">
        <f>(F30)/(F32*1000)</f>
        <v>-2.4719441916894146E-2</v>
      </c>
      <c r="G36" s="37"/>
      <c r="H36" s="52">
        <f>(H30)/(H32*1000)</f>
        <v>0.38963531669865642</v>
      </c>
      <c r="I36" s="37"/>
      <c r="J36" s="61">
        <f>(J30)/(J32*1000)</f>
        <v>0.39894046870791056</v>
      </c>
      <c r="K36" s="58"/>
      <c r="L36" s="61">
        <f>ROUND((L30)/(L32*1000),2)</f>
        <v>0.56999999999999995</v>
      </c>
    </row>
    <row r="37" spans="1:12" s="36" customFormat="1" ht="17.25" customHeight="1" thickTop="1" x14ac:dyDescent="0.25">
      <c r="E37" s="37"/>
      <c r="I37" s="37"/>
      <c r="J37" s="62"/>
      <c r="K37" s="58"/>
      <c r="L37" s="62"/>
    </row>
    <row r="38" spans="1:12" ht="15.6" thickBot="1" x14ac:dyDescent="0.3">
      <c r="A38" s="2" t="s">
        <v>16</v>
      </c>
      <c r="D38" s="28">
        <f>D19+D15+D16</f>
        <v>97068</v>
      </c>
      <c r="F38" s="28">
        <f>F19+F15+F16</f>
        <v>96411</v>
      </c>
      <c r="G38" s="31"/>
      <c r="H38" s="28">
        <f>H19+H15+H16</f>
        <v>104355</v>
      </c>
      <c r="J38" s="28">
        <f>J19+J15+J16</f>
        <v>112444</v>
      </c>
      <c r="K38" s="54"/>
      <c r="L38" s="63">
        <f>L19+L15+L16</f>
        <v>410278</v>
      </c>
    </row>
    <row r="39" spans="1:12" ht="22.5" customHeight="1" thickTop="1" x14ac:dyDescent="0.25">
      <c r="A39" s="2" t="s">
        <v>55</v>
      </c>
      <c r="D39" s="31"/>
      <c r="F39" s="31"/>
      <c r="G39" s="31"/>
      <c r="H39" s="31"/>
      <c r="J39" s="64"/>
      <c r="K39" s="54"/>
      <c r="L39" s="64"/>
    </row>
    <row r="40" spans="1:12" ht="15.6" thickBot="1" x14ac:dyDescent="0.3">
      <c r="A40" s="2" t="s">
        <v>57</v>
      </c>
      <c r="D40" s="28">
        <f>D28+D21</f>
        <v>20247</v>
      </c>
      <c r="F40" s="28">
        <f>F28+F21</f>
        <v>31025</v>
      </c>
      <c r="G40" s="31"/>
      <c r="H40" s="28">
        <f>H28+H21</f>
        <v>21518</v>
      </c>
      <c r="J40" s="28">
        <f>J28+J21</f>
        <v>22215</v>
      </c>
      <c r="K40" s="54"/>
      <c r="L40" s="63">
        <f>L28+L21</f>
        <v>95005</v>
      </c>
    </row>
    <row r="41" spans="1:12" ht="21.75" customHeight="1" thickTop="1" x14ac:dyDescent="0.25">
      <c r="A41" s="33" t="s">
        <v>56</v>
      </c>
      <c r="B41" s="36"/>
      <c r="C41" s="36"/>
      <c r="D41" s="37"/>
      <c r="J41" s="54"/>
      <c r="K41" s="54"/>
      <c r="L41" s="58"/>
    </row>
    <row r="42" spans="1:12" ht="15.6" thickBot="1" x14ac:dyDescent="0.3">
      <c r="A42" s="2" t="s">
        <v>58</v>
      </c>
      <c r="D42" s="52">
        <f>D40/52414</f>
        <v>0.38628992253977945</v>
      </c>
      <c r="F42" s="52">
        <f>F40/(F32*1000)</f>
        <v>0.58812936002426452</v>
      </c>
      <c r="G42" s="37"/>
      <c r="H42" s="52">
        <f>H40/(H32*1000)</f>
        <v>0.38963531669865642</v>
      </c>
      <c r="J42" s="52">
        <f>J40/(J32*1000)</f>
        <v>0.39894046870791056</v>
      </c>
      <c r="K42" s="54"/>
      <c r="L42" s="61">
        <f>L40/(L32*1000)</f>
        <v>1.7325613203246102</v>
      </c>
    </row>
    <row r="43" spans="1:12" ht="15.6" thickTop="1" x14ac:dyDescent="0.25">
      <c r="D43" s="37"/>
      <c r="F43" s="37"/>
      <c r="G43" s="37"/>
      <c r="H43" s="37"/>
      <c r="K43" s="54"/>
      <c r="L43" s="37"/>
    </row>
    <row r="45" spans="1:12" ht="17.399999999999999" x14ac:dyDescent="0.25">
      <c r="A45" s="53" t="s">
        <v>63</v>
      </c>
      <c r="B45" s="54" t="s">
        <v>59</v>
      </c>
    </row>
    <row r="46" spans="1:12" x14ac:dyDescent="0.25">
      <c r="B46" s="54" t="s">
        <v>60</v>
      </c>
    </row>
    <row r="47" spans="1:12" x14ac:dyDescent="0.25">
      <c r="B47" s="54" t="s">
        <v>61</v>
      </c>
    </row>
    <row r="48" spans="1:12" x14ac:dyDescent="0.25">
      <c r="B48" s="54" t="s">
        <v>62</v>
      </c>
    </row>
    <row r="50" spans="1:1" ht="15.6" x14ac:dyDescent="0.3">
      <c r="A50" s="55" t="s">
        <v>69</v>
      </c>
    </row>
  </sheetData>
  <mergeCells count="1">
    <mergeCell ref="D6:J6"/>
  </mergeCells>
  <phoneticPr fontId="0" type="noConversion"/>
  <pageMargins left="0.5" right="0.5" top="0.5" bottom="0.5" header="0.5" footer="0.5"/>
  <pageSetup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Calendar 2000</vt:lpstr>
      <vt:lpstr>Calendar 2001</vt:lpstr>
      <vt:lpstr>Calendar 2002</vt:lpstr>
      <vt:lpstr>Calendar 2003</vt:lpstr>
      <vt:lpstr>'Calendar 2000'!Print_Area</vt:lpstr>
      <vt:lpstr>'Calendar 2001'!Print_Area</vt:lpstr>
      <vt:lpstr>'Calendar 2002'!Print_Area</vt:lpstr>
      <vt:lpstr>'Calendar 2003'!Print_Area</vt:lpstr>
    </vt:vector>
  </TitlesOfParts>
  <Company>Peabody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Crews</dc:creator>
  <cp:lastModifiedBy>Aniket Gupta</cp:lastModifiedBy>
  <cp:lastPrinted>2004-01-28T21:10:07Z</cp:lastPrinted>
  <dcterms:created xsi:type="dcterms:W3CDTF">2001-07-31T20:19:24Z</dcterms:created>
  <dcterms:modified xsi:type="dcterms:W3CDTF">2024-02-03T22:12:34Z</dcterms:modified>
</cp:coreProperties>
</file>