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D81FB18-3F04-483C-879E-D27A81761FC5}" xr6:coauthVersionLast="47" xr6:coauthVersionMax="47" xr10:uidLastSave="{00000000-0000-0000-0000-000000000000}"/>
  <bookViews>
    <workbookView xWindow="3348" yWindow="3348" windowWidth="17280" windowHeight="8880"/>
  </bookViews>
  <sheets>
    <sheet name="IS" sheetId="1" r:id="rId1"/>
    <sheet name="BS" sheetId="2" r:id="rId2"/>
    <sheet name="Ratios" sheetId="4" r:id="rId3"/>
    <sheet name="CF" sheetId="3" r:id="rId4"/>
    <sheet name="Sheet5" sheetId="5" r:id="rId5"/>
  </sheets>
  <definedNames>
    <definedName name="_xlnm.Print_Area" localSheetId="0">IS!$A$1:$N$30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0" i="3" s="1"/>
  <c r="G11" i="2"/>
  <c r="H11" i="2"/>
  <c r="E12" i="2"/>
  <c r="E13" i="4" s="1"/>
  <c r="G12" i="2"/>
  <c r="H12" i="2"/>
  <c r="B13" i="2"/>
  <c r="B18" i="4" s="1"/>
  <c r="G16" i="2"/>
  <c r="H16" i="2"/>
  <c r="B17" i="2"/>
  <c r="C17" i="2" s="1"/>
  <c r="B18" i="2"/>
  <c r="B20" i="2" s="1"/>
  <c r="G25" i="2"/>
  <c r="H25" i="2"/>
  <c r="K25" i="2"/>
  <c r="M25" i="2"/>
  <c r="G26" i="2"/>
  <c r="H26" i="2"/>
  <c r="K26" i="2"/>
  <c r="L26" i="2"/>
  <c r="B27" i="2"/>
  <c r="C27" i="2"/>
  <c r="G27" i="2" s="1"/>
  <c r="D27" i="2"/>
  <c r="M26" i="2" s="1"/>
  <c r="H27" i="2"/>
  <c r="G29" i="2"/>
  <c r="H29" i="2"/>
  <c r="I29" i="2"/>
  <c r="C30" i="2"/>
  <c r="D30" i="2"/>
  <c r="H30" i="2" s="1"/>
  <c r="G33" i="2"/>
  <c r="H33" i="2"/>
  <c r="I33" i="2"/>
  <c r="B34" i="2"/>
  <c r="B10" i="3"/>
  <c r="C10" i="3"/>
  <c r="B11" i="3"/>
  <c r="C11" i="3"/>
  <c r="B12" i="3"/>
  <c r="C12" i="3"/>
  <c r="B13" i="3"/>
  <c r="C13" i="3"/>
  <c r="B18" i="3"/>
  <c r="C18" i="3"/>
  <c r="B22" i="3"/>
  <c r="C22" i="3"/>
  <c r="D22" i="3"/>
  <c r="D25" i="3" s="1"/>
  <c r="B23" i="3"/>
  <c r="C23" i="3"/>
  <c r="D23" i="3"/>
  <c r="B24" i="3"/>
  <c r="C24" i="3"/>
  <c r="D24" i="3"/>
  <c r="B25" i="3"/>
  <c r="C25" i="3"/>
  <c r="B27" i="3"/>
  <c r="E7" i="1"/>
  <c r="E16" i="2" s="1"/>
  <c r="G7" i="1"/>
  <c r="H7" i="1"/>
  <c r="I7" i="1"/>
  <c r="K7" i="1"/>
  <c r="L7" i="1"/>
  <c r="M7" i="1"/>
  <c r="N7" i="1"/>
  <c r="E8" i="1"/>
  <c r="I8" i="1" s="1"/>
  <c r="G8" i="1"/>
  <c r="H8" i="1"/>
  <c r="K8" i="1"/>
  <c r="L8" i="1"/>
  <c r="M8" i="1"/>
  <c r="B9" i="1"/>
  <c r="K9" i="1" s="1"/>
  <c r="C9" i="1"/>
  <c r="G9" i="1" s="1"/>
  <c r="D9" i="1"/>
  <c r="E9" i="1"/>
  <c r="N9" i="1" s="1"/>
  <c r="H9" i="1"/>
  <c r="I9" i="1"/>
  <c r="L9" i="1"/>
  <c r="M9" i="1"/>
  <c r="E10" i="1"/>
  <c r="G10" i="1"/>
  <c r="H10" i="1"/>
  <c r="I10" i="1"/>
  <c r="K10" i="1"/>
  <c r="L10" i="1"/>
  <c r="M10" i="1"/>
  <c r="G11" i="1"/>
  <c r="H11" i="1"/>
  <c r="K11" i="1"/>
  <c r="L11" i="1"/>
  <c r="M11" i="1"/>
  <c r="K12" i="1"/>
  <c r="B13" i="1"/>
  <c r="B15" i="1" s="1"/>
  <c r="D14" i="1"/>
  <c r="H14" i="1" s="1"/>
  <c r="E14" i="1"/>
  <c r="G14" i="1"/>
  <c r="K14" i="1"/>
  <c r="L14" i="1"/>
  <c r="N14" i="1"/>
  <c r="E19" i="1"/>
  <c r="E22" i="1" s="1"/>
  <c r="G19" i="1"/>
  <c r="H19" i="1"/>
  <c r="I19" i="1"/>
  <c r="G21" i="1"/>
  <c r="H21" i="1"/>
  <c r="I21" i="1"/>
  <c r="B22" i="1"/>
  <c r="B30" i="1" s="1"/>
  <c r="C22" i="1"/>
  <c r="D22" i="1"/>
  <c r="H22" i="1"/>
  <c r="C26" i="1"/>
  <c r="D26" i="1"/>
  <c r="C30" i="1"/>
  <c r="D30" i="1"/>
  <c r="C6" i="4"/>
  <c r="D6" i="4"/>
  <c r="B10" i="4"/>
  <c r="C10" i="4"/>
  <c r="D10" i="4"/>
  <c r="B12" i="4"/>
  <c r="C12" i="4"/>
  <c r="D12" i="4"/>
  <c r="B13" i="4"/>
  <c r="C13" i="4"/>
  <c r="D13" i="4"/>
  <c r="B14" i="4"/>
  <c r="C14" i="4"/>
  <c r="D14" i="4"/>
  <c r="B19" i="4"/>
  <c r="C19" i="4"/>
  <c r="D19" i="4"/>
  <c r="B21" i="4"/>
  <c r="B26" i="4"/>
  <c r="B34" i="4"/>
  <c r="C34" i="4"/>
  <c r="I16" i="2" l="1"/>
  <c r="D18" i="3"/>
  <c r="K16" i="2"/>
  <c r="B27" i="4"/>
  <c r="K20" i="2"/>
  <c r="K17" i="2"/>
  <c r="B11" i="4"/>
  <c r="K18" i="2"/>
  <c r="B20" i="4"/>
  <c r="B30" i="4"/>
  <c r="K15" i="1"/>
  <c r="B16" i="1"/>
  <c r="K16" i="1" s="1"/>
  <c r="B28" i="4"/>
  <c r="G17" i="2"/>
  <c r="C18" i="2"/>
  <c r="B8" i="3"/>
  <c r="D17" i="2"/>
  <c r="E17" i="2" s="1"/>
  <c r="I22" i="1"/>
  <c r="E30" i="1"/>
  <c r="M14" i="1"/>
  <c r="E27" i="2"/>
  <c r="E6" i="4"/>
  <c r="G22" i="1"/>
  <c r="I14" i="1"/>
  <c r="K13" i="1"/>
  <c r="E11" i="1"/>
  <c r="B30" i="2"/>
  <c r="K12" i="2"/>
  <c r="K11" i="2"/>
  <c r="K10" i="2"/>
  <c r="I12" i="2"/>
  <c r="I11" i="2"/>
  <c r="B6" i="4"/>
  <c r="D11" i="3"/>
  <c r="L25" i="2"/>
  <c r="K13" i="2"/>
  <c r="I17" i="2" l="1"/>
  <c r="D8" i="3"/>
  <c r="E12" i="1" s="1"/>
  <c r="E18" i="2"/>
  <c r="I11" i="1"/>
  <c r="E13" i="1"/>
  <c r="B17" i="1"/>
  <c r="E30" i="2"/>
  <c r="I27" i="2"/>
  <c r="E26" i="2"/>
  <c r="E25" i="2"/>
  <c r="H17" i="2"/>
  <c r="D18" i="2"/>
  <c r="C8" i="3"/>
  <c r="E15" i="4"/>
  <c r="G30" i="2"/>
  <c r="B36" i="2"/>
  <c r="K30" i="2" s="1"/>
  <c r="C12" i="1"/>
  <c r="C15" i="4"/>
  <c r="G18" i="2"/>
  <c r="N13" i="1" l="1"/>
  <c r="E26" i="4"/>
  <c r="E15" i="1"/>
  <c r="I25" i="2"/>
  <c r="D12" i="3"/>
  <c r="I18" i="2"/>
  <c r="D12" i="1"/>
  <c r="D15" i="4"/>
  <c r="G12" i="1"/>
  <c r="L12" i="1"/>
  <c r="C13" i="1"/>
  <c r="H18" i="2"/>
  <c r="K29" i="2"/>
  <c r="K36" i="2"/>
  <c r="K33" i="2"/>
  <c r="K32" i="2"/>
  <c r="K34" i="2"/>
  <c r="K27" i="2"/>
  <c r="I12" i="1"/>
  <c r="N12" i="1"/>
  <c r="K17" i="1"/>
  <c r="B20" i="1"/>
  <c r="B28" i="1" s="1"/>
  <c r="B29" i="4"/>
  <c r="B31" i="4" s="1"/>
  <c r="B7" i="4"/>
  <c r="I26" i="2"/>
  <c r="D13" i="3"/>
  <c r="E14" i="4"/>
  <c r="I30" i="2"/>
  <c r="E16" i="1" l="1"/>
  <c r="E17" i="1"/>
  <c r="E28" i="4"/>
  <c r="N15" i="1"/>
  <c r="C26" i="4"/>
  <c r="G13" i="1"/>
  <c r="C15" i="1"/>
  <c r="L13" i="1"/>
  <c r="H12" i="1"/>
  <c r="D13" i="1"/>
  <c r="M12" i="1"/>
  <c r="C28" i="4" l="1"/>
  <c r="L15" i="1"/>
  <c r="G15" i="1"/>
  <c r="C16" i="1"/>
  <c r="C17" i="1" s="1"/>
  <c r="E7" i="4"/>
  <c r="N17" i="1"/>
  <c r="E20" i="1"/>
  <c r="D7" i="3"/>
  <c r="D14" i="3" s="1"/>
  <c r="D28" i="3" s="1"/>
  <c r="E29" i="4"/>
  <c r="M13" i="1"/>
  <c r="H13" i="1"/>
  <c r="D26" i="4"/>
  <c r="D15" i="1"/>
  <c r="I13" i="1"/>
  <c r="N16" i="1"/>
  <c r="B7" i="3" l="1"/>
  <c r="B14" i="3" s="1"/>
  <c r="B28" i="3" s="1"/>
  <c r="B29" i="3" s="1"/>
  <c r="C7" i="4"/>
  <c r="C32" i="2"/>
  <c r="C20" i="1"/>
  <c r="C29" i="4"/>
  <c r="G17" i="1"/>
  <c r="L17" i="1"/>
  <c r="E28" i="1"/>
  <c r="H15" i="1"/>
  <c r="D16" i="1"/>
  <c r="D17" i="1"/>
  <c r="M15" i="1"/>
  <c r="D28" i="4"/>
  <c r="I15" i="1"/>
  <c r="G16" i="1"/>
  <c r="L16" i="1"/>
  <c r="C7" i="3" l="1"/>
  <c r="C14" i="3" s="1"/>
  <c r="C28" i="3" s="1"/>
  <c r="D7" i="4"/>
  <c r="M17" i="1"/>
  <c r="D29" i="4"/>
  <c r="D20" i="1"/>
  <c r="H17" i="1"/>
  <c r="I17" i="1"/>
  <c r="H16" i="1"/>
  <c r="M16" i="1"/>
  <c r="I16" i="1"/>
  <c r="G20" i="1"/>
  <c r="C28" i="1"/>
  <c r="C34" i="2"/>
  <c r="D32" i="2"/>
  <c r="G32" i="2"/>
  <c r="C10" i="2"/>
  <c r="C27" i="3"/>
  <c r="C29" i="3" s="1"/>
  <c r="G34" i="2" l="1"/>
  <c r="C36" i="2"/>
  <c r="H20" i="1"/>
  <c r="D28" i="1"/>
  <c r="I20" i="1"/>
  <c r="D10" i="2"/>
  <c r="D27" i="3"/>
  <c r="D29" i="3" s="1"/>
  <c r="E10" i="2" s="1"/>
  <c r="E32" i="2"/>
  <c r="D34" i="2"/>
  <c r="H32" i="2"/>
  <c r="G10" i="2"/>
  <c r="C13" i="2"/>
  <c r="C21" i="4"/>
  <c r="L10" i="2"/>
  <c r="I10" i="2" l="1"/>
  <c r="E13" i="2"/>
  <c r="E21" i="4"/>
  <c r="L13" i="2"/>
  <c r="C18" i="4"/>
  <c r="G13" i="2"/>
  <c r="L11" i="2"/>
  <c r="L12" i="2"/>
  <c r="C20" i="2"/>
  <c r="D21" i="4"/>
  <c r="H10" i="2"/>
  <c r="D13" i="2"/>
  <c r="M34" i="2"/>
  <c r="H34" i="2"/>
  <c r="D36" i="2"/>
  <c r="G36" i="2"/>
  <c r="L29" i="2"/>
  <c r="L27" i="2"/>
  <c r="L36" i="2"/>
  <c r="L33" i="2"/>
  <c r="L30" i="2"/>
  <c r="L32" i="2"/>
  <c r="E34" i="2"/>
  <c r="I32" i="2"/>
  <c r="L34" i="2"/>
  <c r="M11" i="2" l="1"/>
  <c r="M12" i="2"/>
  <c r="D18" i="4"/>
  <c r="H13" i="2"/>
  <c r="D20" i="2"/>
  <c r="I34" i="2"/>
  <c r="E36" i="2"/>
  <c r="M10" i="2"/>
  <c r="I13" i="2"/>
  <c r="E18" i="4"/>
  <c r="N12" i="2"/>
  <c r="N11" i="2"/>
  <c r="E20" i="2"/>
  <c r="N13" i="2" s="1"/>
  <c r="C20" i="4"/>
  <c r="C30" i="4"/>
  <c r="L20" i="2"/>
  <c r="C27" i="4"/>
  <c r="C31" i="4" s="1"/>
  <c r="L16" i="2"/>
  <c r="C11" i="4"/>
  <c r="G20" i="2"/>
  <c r="L17" i="2"/>
  <c r="L18" i="2"/>
  <c r="M33" i="2"/>
  <c r="M30" i="2"/>
  <c r="H36" i="2"/>
  <c r="M29" i="2"/>
  <c r="M27" i="2"/>
  <c r="M36" i="2"/>
  <c r="M32" i="2"/>
  <c r="N10" i="2"/>
  <c r="N33" i="2" l="1"/>
  <c r="I36" i="2"/>
  <c r="N29" i="2"/>
  <c r="N36" i="2"/>
  <c r="N27" i="2"/>
  <c r="N30" i="2"/>
  <c r="N32" i="2"/>
  <c r="H20" i="2"/>
  <c r="D11" i="4"/>
  <c r="M16" i="2"/>
  <c r="D20" i="4"/>
  <c r="D30" i="4"/>
  <c r="M20" i="2"/>
  <c r="D27" i="4"/>
  <c r="D31" i="4" s="1"/>
  <c r="M17" i="2"/>
  <c r="M18" i="2"/>
  <c r="I20" i="2"/>
  <c r="E20" i="4"/>
  <c r="E30" i="4"/>
  <c r="N20" i="2"/>
  <c r="E27" i="4"/>
  <c r="E11" i="4"/>
  <c r="N16" i="2"/>
  <c r="N17" i="2"/>
  <c r="N18" i="2"/>
  <c r="M13" i="2"/>
  <c r="N34" i="2"/>
  <c r="E31" i="4" l="1"/>
</calcChain>
</file>

<file path=xl/sharedStrings.xml><?xml version="1.0" encoding="utf-8"?>
<sst xmlns="http://schemas.openxmlformats.org/spreadsheetml/2006/main" count="152" uniqueCount="109">
  <si>
    <t>Income Statement</t>
  </si>
  <si>
    <t>Balance Sheet</t>
  </si>
  <si>
    <t>Cash Flow Statement</t>
  </si>
  <si>
    <t>Item</t>
  </si>
  <si>
    <t>Year 1</t>
  </si>
  <si>
    <t>Year 2</t>
  </si>
  <si>
    <t>Year 3</t>
  </si>
  <si>
    <t>Sales</t>
  </si>
  <si>
    <t>COGS</t>
  </si>
  <si>
    <t>Gross Margin</t>
  </si>
  <si>
    <t>SG&amp;A</t>
  </si>
  <si>
    <t>Depreciation</t>
  </si>
  <si>
    <t>EBIT</t>
  </si>
  <si>
    <t>Interest</t>
  </si>
  <si>
    <t>EBT</t>
  </si>
  <si>
    <t>Taxes</t>
  </si>
  <si>
    <t>Earnings</t>
  </si>
  <si>
    <t>Shares</t>
  </si>
  <si>
    <t>EPS</t>
  </si>
  <si>
    <t>Assets</t>
  </si>
  <si>
    <t>Current Assets</t>
  </si>
  <si>
    <t>Cash</t>
  </si>
  <si>
    <t>Inventory</t>
  </si>
  <si>
    <t>Accounts Receivable</t>
  </si>
  <si>
    <t>Long-Term Assets</t>
  </si>
  <si>
    <t>Liabilities/Equity</t>
  </si>
  <si>
    <t>Dividends</t>
  </si>
  <si>
    <t>DPS</t>
  </si>
  <si>
    <t>PP&amp;E</t>
  </si>
  <si>
    <t>Accumulated Depr'n</t>
  </si>
  <si>
    <t>Total Assets</t>
  </si>
  <si>
    <t>Current Liabilities</t>
  </si>
  <si>
    <t>Wages Payable</t>
  </si>
  <si>
    <t>Accounts Payable</t>
  </si>
  <si>
    <t xml:space="preserve">    Total</t>
  </si>
  <si>
    <t xml:space="preserve">    Net PP&amp;E</t>
  </si>
  <si>
    <t>Long-Term Debt</t>
  </si>
  <si>
    <t>Total Liabilities</t>
  </si>
  <si>
    <t>Retained Earnings</t>
  </si>
  <si>
    <t>Common Stock</t>
  </si>
  <si>
    <t>Total Liabilities/Equity</t>
  </si>
  <si>
    <t>Total Equity</t>
  </si>
  <si>
    <t>Actual</t>
  </si>
  <si>
    <t>Changes</t>
  </si>
  <si>
    <t>Common Size</t>
  </si>
  <si>
    <t>Ratios</t>
  </si>
  <si>
    <t>Profitability</t>
  </si>
  <si>
    <t>Activity</t>
  </si>
  <si>
    <t>Credit</t>
  </si>
  <si>
    <t>DuPondt</t>
  </si>
  <si>
    <t>EBIT/Sales</t>
  </si>
  <si>
    <t>Sales/Assets</t>
  </si>
  <si>
    <t>EBT/EBIT</t>
  </si>
  <si>
    <t>E/EBT (1-Tax Rate)</t>
  </si>
  <si>
    <t>Assets/Equity</t>
  </si>
  <si>
    <t>Forecast</t>
  </si>
  <si>
    <t>Growth (see financial statements)</t>
  </si>
  <si>
    <t>Net Margin</t>
  </si>
  <si>
    <t>CA/CL</t>
  </si>
  <si>
    <t>Quick Ratio</t>
  </si>
  <si>
    <t>Inventory Turns (using sales)</t>
  </si>
  <si>
    <t>Asset Turns</t>
  </si>
  <si>
    <t>ROE</t>
  </si>
  <si>
    <t>Operating</t>
  </si>
  <si>
    <t>Net Income</t>
  </si>
  <si>
    <t>Life of Assets</t>
  </si>
  <si>
    <t>Working Capital</t>
  </si>
  <si>
    <t xml:space="preserve">    Inventory</t>
  </si>
  <si>
    <t xml:space="preserve">    Accounts Receivable</t>
  </si>
  <si>
    <t xml:space="preserve">    Wages Payable</t>
  </si>
  <si>
    <t xml:space="preserve">    Accounts Payable</t>
  </si>
  <si>
    <t>Total</t>
  </si>
  <si>
    <t>Investing</t>
  </si>
  <si>
    <t>Financing</t>
  </si>
  <si>
    <t>Beginning Cash</t>
  </si>
  <si>
    <t>Change in Cash</t>
  </si>
  <si>
    <t>Ending Cash</t>
  </si>
  <si>
    <t>Rate on Debt</t>
  </si>
  <si>
    <t>Tax Rate</t>
  </si>
  <si>
    <t>Cap Ex (PP&amp;E)</t>
  </si>
  <si>
    <t>GDP</t>
  </si>
  <si>
    <t>Sales G/GDP G</t>
  </si>
  <si>
    <t>%</t>
  </si>
  <si>
    <t>Years/BS</t>
  </si>
  <si>
    <t>Rate/BS</t>
  </si>
  <si>
    <t>Rate</t>
  </si>
  <si>
    <t>Sales G</t>
  </si>
  <si>
    <t>A/R Turns</t>
  </si>
  <si>
    <t>A/P Turns</t>
  </si>
  <si>
    <t>Years</t>
  </si>
  <si>
    <t>CA (ex CSH)/CL</t>
  </si>
  <si>
    <t>CA(ex CSH)/CL</t>
  </si>
  <si>
    <t>L-T D/A</t>
  </si>
  <si>
    <t>Plug</t>
  </si>
  <si>
    <t>From CS</t>
  </si>
  <si>
    <t>Share Price</t>
  </si>
  <si>
    <t>P/E</t>
  </si>
  <si>
    <t>Rf Rate</t>
  </si>
  <si>
    <t>NA</t>
  </si>
  <si>
    <t>Implied RP</t>
  </si>
  <si>
    <t>L-T G</t>
  </si>
  <si>
    <t>Items</t>
  </si>
  <si>
    <t>GDP Ratio</t>
  </si>
  <si>
    <t>PP&amp;E Turns</t>
  </si>
  <si>
    <t>Inv Turns</t>
  </si>
  <si>
    <t>% of Total</t>
  </si>
  <si>
    <t>IV. COMPANY ANALYSIS: Financial Statement Analysis (Supplemental)</t>
  </si>
  <si>
    <t>Cap Ex/Depreciation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</si>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</sst>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&quot;$&quot;#,##0"/>
    <numFmt numFmtId="166" formatCode="0.0%"/>
    <numFmt numFmtId="168" formatCode="#,##0.0"/>
    <numFmt numFmtId="169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5" fontId="0" fillId="0" borderId="2" xfId="0" applyNumberFormat="1" applyBorder="1"/>
    <xf numFmtId="0" fontId="1" fillId="0" borderId="0" xfId="0" applyFont="1" applyBorder="1"/>
    <xf numFmtId="166" fontId="0" fillId="0" borderId="0" xfId="0" applyNumberFormat="1" applyBorder="1"/>
    <xf numFmtId="3" fontId="0" fillId="0" borderId="0" xfId="0" applyNumberFormat="1" applyBorder="1"/>
    <xf numFmtId="165" fontId="0" fillId="0" borderId="1" xfId="0" applyNumberFormat="1" applyBorder="1"/>
    <xf numFmtId="9" fontId="0" fillId="0" borderId="0" xfId="0" applyNumberFormat="1"/>
    <xf numFmtId="0" fontId="0" fillId="2" borderId="0" xfId="0" applyFill="1"/>
    <xf numFmtId="166" fontId="0" fillId="2" borderId="0" xfId="0" applyNumberFormat="1" applyFill="1"/>
    <xf numFmtId="9" fontId="0" fillId="2" borderId="0" xfId="0" applyNumberFormat="1" applyFill="1"/>
    <xf numFmtId="2" fontId="0" fillId="0" borderId="0" xfId="0" applyNumberFormat="1"/>
    <xf numFmtId="169" fontId="0" fillId="0" borderId="0" xfId="0" applyNumberFormat="1"/>
    <xf numFmtId="169" fontId="0" fillId="2" borderId="0" xfId="0" applyNumberFormat="1" applyFill="1"/>
    <xf numFmtId="166" fontId="0" fillId="2" borderId="1" xfId="0" applyNumberFormat="1" applyFill="1" applyBorder="1"/>
    <xf numFmtId="2" fontId="0" fillId="2" borderId="0" xfId="0" applyNumberFormat="1" applyFill="1"/>
    <xf numFmtId="3" fontId="0" fillId="2" borderId="1" xfId="0" applyNumberFormat="1" applyFill="1" applyBorder="1"/>
    <xf numFmtId="3" fontId="0" fillId="2" borderId="0" xfId="0" applyNumberFormat="1" applyFill="1"/>
    <xf numFmtId="3" fontId="0" fillId="0" borderId="0" xfId="0" applyNumberFormat="1" applyFill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workbookViewId="0">
      <selection activeCell="E19" sqref="E19"/>
    </sheetView>
  </sheetViews>
  <sheetFormatPr defaultRowHeight="13.2" x14ac:dyDescent="0.25"/>
  <cols>
    <col min="1" max="1" width="16" style="1" customWidth="1"/>
    <col min="6" max="6" width="14.88671875" customWidth="1"/>
    <col min="7" max="7" width="10.44140625" customWidth="1"/>
    <col min="8" max="8" width="8.5546875" bestFit="1" customWidth="1"/>
    <col min="10" max="10" width="7.5546875" customWidth="1"/>
  </cols>
  <sheetData>
    <row r="1" spans="1:14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x14ac:dyDescent="0.25">
      <c r="A3" s="4" t="s">
        <v>42</v>
      </c>
      <c r="B3" s="3"/>
      <c r="C3" s="3"/>
      <c r="D3" s="3"/>
      <c r="E3" s="3"/>
      <c r="G3" s="4" t="s">
        <v>43</v>
      </c>
      <c r="H3" s="3"/>
      <c r="I3" s="3"/>
      <c r="K3" s="4" t="s">
        <v>44</v>
      </c>
      <c r="L3" s="3"/>
      <c r="M3" s="3"/>
      <c r="N3" s="3"/>
    </row>
    <row r="5" spans="1:14" x14ac:dyDescent="0.25">
      <c r="A5" s="4" t="s">
        <v>3</v>
      </c>
      <c r="B5" s="33" t="s">
        <v>4</v>
      </c>
      <c r="C5" s="33" t="s">
        <v>5</v>
      </c>
      <c r="D5" s="33" t="s">
        <v>6</v>
      </c>
      <c r="E5" s="33" t="s">
        <v>55</v>
      </c>
      <c r="F5" s="35"/>
      <c r="G5" s="33" t="s">
        <v>5</v>
      </c>
      <c r="H5" s="33" t="s">
        <v>6</v>
      </c>
      <c r="I5" s="33" t="s">
        <v>55</v>
      </c>
      <c r="J5" s="35"/>
      <c r="K5" s="33" t="s">
        <v>4</v>
      </c>
      <c r="L5" s="33" t="s">
        <v>5</v>
      </c>
      <c r="M5" s="33" t="s">
        <v>6</v>
      </c>
      <c r="N5" s="33" t="s">
        <v>55</v>
      </c>
    </row>
    <row r="7" spans="1:14" x14ac:dyDescent="0.25">
      <c r="A7" s="1" t="s">
        <v>7</v>
      </c>
      <c r="B7" s="10">
        <v>100</v>
      </c>
      <c r="C7" s="10">
        <v>110</v>
      </c>
      <c r="D7" s="10">
        <v>115</v>
      </c>
      <c r="E7" s="10">
        <f>D7*(1+I7)</f>
        <v>123.05000000000001</v>
      </c>
      <c r="F7" s="1" t="s">
        <v>102</v>
      </c>
      <c r="G7" s="11">
        <f t="shared" ref="G7:G17" si="0">C7/B7-1</f>
        <v>0.10000000000000009</v>
      </c>
      <c r="H7" s="11">
        <f t="shared" ref="H7:H17" si="1">D7/C7-1</f>
        <v>4.5454545454545414E-2</v>
      </c>
      <c r="I7" s="11">
        <f>E25*E26</f>
        <v>7.0000000000000007E-2</v>
      </c>
      <c r="K7" s="11">
        <f>B7/B$7</f>
        <v>1</v>
      </c>
      <c r="L7" s="11">
        <f>C7/C$7</f>
        <v>1</v>
      </c>
      <c r="M7" s="11">
        <f>D7/D$7</f>
        <v>1</v>
      </c>
      <c r="N7" s="11">
        <f>E7/E$7</f>
        <v>1</v>
      </c>
    </row>
    <row r="8" spans="1:14" x14ac:dyDescent="0.25">
      <c r="A8" s="1" t="s">
        <v>8</v>
      </c>
      <c r="B8" s="7">
        <v>20</v>
      </c>
      <c r="C8" s="7">
        <v>25</v>
      </c>
      <c r="D8" s="7">
        <v>25</v>
      </c>
      <c r="E8" s="7">
        <f>E7*N8</f>
        <v>27.071000000000002</v>
      </c>
      <c r="F8" s="1" t="s">
        <v>82</v>
      </c>
      <c r="G8" s="12">
        <f t="shared" si="0"/>
        <v>0.25</v>
      </c>
      <c r="H8" s="12">
        <f t="shared" si="1"/>
        <v>0</v>
      </c>
      <c r="I8" s="12">
        <f t="shared" ref="I8:I17" si="2">E8/D8-1</f>
        <v>8.2840000000000025E-2</v>
      </c>
      <c r="K8" s="12">
        <f t="shared" ref="K8:K17" si="3">B8/B$7</f>
        <v>0.2</v>
      </c>
      <c r="L8" s="12">
        <f t="shared" ref="L8:L17" si="4">C8/C$7</f>
        <v>0.22727272727272727</v>
      </c>
      <c r="M8" s="12">
        <f t="shared" ref="M8:M17" si="5">D8/D$7</f>
        <v>0.21739130434782608</v>
      </c>
      <c r="N8" s="28">
        <v>0.22</v>
      </c>
    </row>
    <row r="9" spans="1:14" x14ac:dyDescent="0.25">
      <c r="A9" s="1" t="s">
        <v>9</v>
      </c>
      <c r="B9" s="6">
        <f>B7-B8</f>
        <v>80</v>
      </c>
      <c r="C9" s="6">
        <f>C7-C8</f>
        <v>85</v>
      </c>
      <c r="D9" s="6">
        <f>D7-D8</f>
        <v>90</v>
      </c>
      <c r="E9" s="6">
        <f>E7-E8</f>
        <v>95.979000000000013</v>
      </c>
      <c r="F9" s="1"/>
      <c r="G9" s="11">
        <f t="shared" si="0"/>
        <v>6.25E-2</v>
      </c>
      <c r="H9" s="11">
        <f t="shared" si="1"/>
        <v>5.8823529411764719E-2</v>
      </c>
      <c r="I9" s="11">
        <f t="shared" si="2"/>
        <v>6.6433333333333566E-2</v>
      </c>
      <c r="K9" s="11">
        <f t="shared" si="3"/>
        <v>0.8</v>
      </c>
      <c r="L9" s="11">
        <f t="shared" si="4"/>
        <v>0.77272727272727271</v>
      </c>
      <c r="M9" s="11">
        <f t="shared" si="5"/>
        <v>0.78260869565217395</v>
      </c>
      <c r="N9" s="11">
        <f t="shared" ref="N9:N17" si="6">E9/E$7</f>
        <v>0.78</v>
      </c>
    </row>
    <row r="10" spans="1:14" x14ac:dyDescent="0.25">
      <c r="A10" s="1" t="s">
        <v>108</v>
      </c>
      <c r="B10" s="6">
        <v>2</v>
      </c>
      <c r="C10" s="6">
        <v>4</v>
      </c>
      <c r="D10" s="6">
        <v>5</v>
      </c>
      <c r="E10" s="6">
        <f>E7*N10</f>
        <v>6.1525000000000007</v>
      </c>
      <c r="F10" s="1" t="s">
        <v>82</v>
      </c>
      <c r="G10" s="11">
        <f>C10/B10-1</f>
        <v>1</v>
      </c>
      <c r="H10" s="11">
        <f>D10/C10-1</f>
        <v>0.25</v>
      </c>
      <c r="I10" s="11">
        <f>E10/D10-1</f>
        <v>0.23050000000000015</v>
      </c>
      <c r="K10" s="11">
        <f>B10/B$7</f>
        <v>0.02</v>
      </c>
      <c r="L10" s="11">
        <f>C10/C$7</f>
        <v>3.6363636363636362E-2</v>
      </c>
      <c r="M10" s="11">
        <f>D10/D$7</f>
        <v>4.3478260869565216E-2</v>
      </c>
      <c r="N10" s="23">
        <v>0.05</v>
      </c>
    </row>
    <row r="11" spans="1:14" x14ac:dyDescent="0.25">
      <c r="A11" s="1" t="s">
        <v>10</v>
      </c>
      <c r="B11" s="6">
        <v>10</v>
      </c>
      <c r="C11" s="6">
        <v>11</v>
      </c>
      <c r="D11" s="6">
        <v>11</v>
      </c>
      <c r="E11" s="6">
        <f>E7*N11</f>
        <v>12.305000000000001</v>
      </c>
      <c r="F11" s="1" t="s">
        <v>82</v>
      </c>
      <c r="G11" s="11">
        <f t="shared" si="0"/>
        <v>0.10000000000000009</v>
      </c>
      <c r="H11" s="11">
        <f t="shared" si="1"/>
        <v>0</v>
      </c>
      <c r="I11" s="11">
        <f t="shared" si="2"/>
        <v>0.11863636363636387</v>
      </c>
      <c r="K11" s="11">
        <f t="shared" si="3"/>
        <v>0.1</v>
      </c>
      <c r="L11" s="11">
        <f t="shared" si="4"/>
        <v>0.1</v>
      </c>
      <c r="M11" s="11">
        <f t="shared" si="5"/>
        <v>9.5652173913043481E-2</v>
      </c>
      <c r="N11" s="23">
        <v>0.1</v>
      </c>
    </row>
    <row r="12" spans="1:14" x14ac:dyDescent="0.25">
      <c r="A12" s="1" t="s">
        <v>11</v>
      </c>
      <c r="B12" s="7">
        <v>16</v>
      </c>
      <c r="C12" s="7">
        <f>CF!B8</f>
        <v>17</v>
      </c>
      <c r="D12" s="7">
        <f>CF!C8</f>
        <v>18</v>
      </c>
      <c r="E12" s="7">
        <f>CF!D8</f>
        <v>18.930769230769229</v>
      </c>
      <c r="F12" s="1" t="s">
        <v>83</v>
      </c>
      <c r="G12" s="12">
        <f t="shared" si="0"/>
        <v>6.25E-2</v>
      </c>
      <c r="H12" s="12">
        <f t="shared" si="1"/>
        <v>5.8823529411764719E-2</v>
      </c>
      <c r="I12" s="12">
        <f t="shared" si="2"/>
        <v>5.1709401709401526E-2</v>
      </c>
      <c r="K12" s="12">
        <f t="shared" si="3"/>
        <v>0.16</v>
      </c>
      <c r="L12" s="12">
        <f t="shared" si="4"/>
        <v>0.15454545454545454</v>
      </c>
      <c r="M12" s="12">
        <f t="shared" si="5"/>
        <v>0.15652173913043479</v>
      </c>
      <c r="N12" s="12">
        <f t="shared" si="6"/>
        <v>0.15384615384615383</v>
      </c>
    </row>
    <row r="13" spans="1:14" x14ac:dyDescent="0.25">
      <c r="A13" s="1" t="s">
        <v>12</v>
      </c>
      <c r="B13" s="6">
        <f>B9-B11-B12-B10</f>
        <v>52</v>
      </c>
      <c r="C13" s="6">
        <f>C9-C11-C12-C10</f>
        <v>53</v>
      </c>
      <c r="D13" s="6">
        <f>D9-D11-D12-D10</f>
        <v>56</v>
      </c>
      <c r="E13" s="6">
        <f>E9-E11-E12-E10</f>
        <v>58.590730769230774</v>
      </c>
      <c r="F13" s="1"/>
      <c r="G13" s="11">
        <f t="shared" si="0"/>
        <v>1.9230769230769162E-2</v>
      </c>
      <c r="H13" s="11">
        <f t="shared" si="1"/>
        <v>5.6603773584905648E-2</v>
      </c>
      <c r="I13" s="11">
        <f t="shared" si="2"/>
        <v>4.6263049450549598E-2</v>
      </c>
      <c r="K13" s="11">
        <f t="shared" si="3"/>
        <v>0.52</v>
      </c>
      <c r="L13" s="11">
        <f t="shared" si="4"/>
        <v>0.48181818181818181</v>
      </c>
      <c r="M13" s="11">
        <f t="shared" si="5"/>
        <v>0.48695652173913045</v>
      </c>
      <c r="N13" s="11">
        <f t="shared" si="6"/>
        <v>0.47615384615384615</v>
      </c>
    </row>
    <row r="14" spans="1:14" x14ac:dyDescent="0.25">
      <c r="A14" s="1" t="s">
        <v>13</v>
      </c>
      <c r="B14" s="7">
        <v>5</v>
      </c>
      <c r="C14" s="7">
        <v>3</v>
      </c>
      <c r="D14" s="7">
        <f>Ratios!D34*BS!D29</f>
        <v>2.5</v>
      </c>
      <c r="E14" s="7">
        <f>Ratios!E34*BS!E29</f>
        <v>2</v>
      </c>
      <c r="F14" s="1" t="s">
        <v>84</v>
      </c>
      <c r="G14" s="12">
        <f t="shared" si="0"/>
        <v>-0.4</v>
      </c>
      <c r="H14" s="12">
        <f t="shared" si="1"/>
        <v>-0.16666666666666663</v>
      </c>
      <c r="I14" s="12">
        <f t="shared" si="2"/>
        <v>-0.19999999999999996</v>
      </c>
      <c r="K14" s="12">
        <f t="shared" si="3"/>
        <v>0.05</v>
      </c>
      <c r="L14" s="12">
        <f t="shared" si="4"/>
        <v>2.7272727272727271E-2</v>
      </c>
      <c r="M14" s="12">
        <f t="shared" si="5"/>
        <v>2.1739130434782608E-2</v>
      </c>
      <c r="N14" s="12">
        <f t="shared" si="6"/>
        <v>1.6253555465258022E-2</v>
      </c>
    </row>
    <row r="15" spans="1:14" x14ac:dyDescent="0.25">
      <c r="A15" s="1" t="s">
        <v>14</v>
      </c>
      <c r="B15" s="6">
        <f>B13-B14</f>
        <v>47</v>
      </c>
      <c r="C15" s="6">
        <f>C13-C14</f>
        <v>50</v>
      </c>
      <c r="D15" s="6">
        <f>D13-D14</f>
        <v>53.5</v>
      </c>
      <c r="E15" s="6">
        <f>E13-E14</f>
        <v>56.590730769230774</v>
      </c>
      <c r="F15" s="1"/>
      <c r="G15" s="11">
        <f t="shared" si="0"/>
        <v>6.3829787234042534E-2</v>
      </c>
      <c r="H15" s="11">
        <f t="shared" si="1"/>
        <v>7.0000000000000062E-2</v>
      </c>
      <c r="I15" s="11">
        <f t="shared" si="2"/>
        <v>5.7770668583752682E-2</v>
      </c>
      <c r="K15" s="11">
        <f t="shared" si="3"/>
        <v>0.47</v>
      </c>
      <c r="L15" s="11">
        <f t="shared" si="4"/>
        <v>0.45454545454545453</v>
      </c>
      <c r="M15" s="11">
        <f t="shared" si="5"/>
        <v>0.4652173913043478</v>
      </c>
      <c r="N15" s="11">
        <f t="shared" si="6"/>
        <v>0.45990029068858812</v>
      </c>
    </row>
    <row r="16" spans="1:14" x14ac:dyDescent="0.25">
      <c r="A16" s="1" t="s">
        <v>15</v>
      </c>
      <c r="B16" s="7">
        <f>Ratios!B35*IS!B15</f>
        <v>18.8</v>
      </c>
      <c r="C16" s="7">
        <f>Ratios!C35*IS!C15</f>
        <v>20</v>
      </c>
      <c r="D16" s="7">
        <f>Ratios!D35*IS!D15</f>
        <v>21.400000000000002</v>
      </c>
      <c r="E16" s="7">
        <f>Ratios!E35*IS!E15</f>
        <v>22.636292307692312</v>
      </c>
      <c r="F16" s="1" t="s">
        <v>85</v>
      </c>
      <c r="G16" s="12">
        <f t="shared" si="0"/>
        <v>6.3829787234042534E-2</v>
      </c>
      <c r="H16" s="12">
        <f t="shared" si="1"/>
        <v>7.0000000000000062E-2</v>
      </c>
      <c r="I16" s="12">
        <f t="shared" si="2"/>
        <v>5.7770668583752682E-2</v>
      </c>
      <c r="K16" s="12">
        <f t="shared" si="3"/>
        <v>0.188</v>
      </c>
      <c r="L16" s="12">
        <f t="shared" si="4"/>
        <v>0.18181818181818182</v>
      </c>
      <c r="M16" s="12">
        <f t="shared" si="5"/>
        <v>0.18608695652173915</v>
      </c>
      <c r="N16" s="12">
        <f t="shared" si="6"/>
        <v>0.18396011627543526</v>
      </c>
    </row>
    <row r="17" spans="1:14" ht="13.8" thickBot="1" x14ac:dyDescent="0.3">
      <c r="A17" s="1" t="s">
        <v>16</v>
      </c>
      <c r="B17" s="8">
        <f>B15-B16</f>
        <v>28.2</v>
      </c>
      <c r="C17" s="8">
        <f>C15-C16</f>
        <v>30</v>
      </c>
      <c r="D17" s="8">
        <f>D15-D16</f>
        <v>32.099999999999994</v>
      </c>
      <c r="E17" s="8">
        <f>E15-E16</f>
        <v>33.954438461538459</v>
      </c>
      <c r="F17" s="1"/>
      <c r="G17" s="13">
        <f t="shared" si="0"/>
        <v>6.3829787234042534E-2</v>
      </c>
      <c r="H17" s="13">
        <f t="shared" si="1"/>
        <v>6.999999999999984E-2</v>
      </c>
      <c r="I17" s="13">
        <f t="shared" si="2"/>
        <v>5.7770668583752904E-2</v>
      </c>
      <c r="K17" s="13">
        <f t="shared" si="3"/>
        <v>0.28199999999999997</v>
      </c>
      <c r="L17" s="13">
        <f t="shared" si="4"/>
        <v>0.27272727272727271</v>
      </c>
      <c r="M17" s="13">
        <f t="shared" si="5"/>
        <v>0.27913043478260863</v>
      </c>
      <c r="N17" s="13">
        <f t="shared" si="6"/>
        <v>0.27594017441315283</v>
      </c>
    </row>
    <row r="18" spans="1:14" ht="13.8" thickTop="1" x14ac:dyDescent="0.25">
      <c r="B18" s="19"/>
      <c r="C18" s="19"/>
      <c r="D18" s="19"/>
      <c r="E18" s="19"/>
      <c r="F18" s="1"/>
      <c r="G18" s="18"/>
      <c r="H18" s="18"/>
      <c r="I18" s="18"/>
      <c r="K18" s="18"/>
      <c r="L18" s="18"/>
      <c r="M18" s="18"/>
      <c r="N18" s="18"/>
    </row>
    <row r="19" spans="1:14" x14ac:dyDescent="0.25">
      <c r="A19" s="1" t="s">
        <v>17</v>
      </c>
      <c r="B19" s="6">
        <v>10</v>
      </c>
      <c r="C19" s="6">
        <v>10</v>
      </c>
      <c r="D19" s="6">
        <v>10</v>
      </c>
      <c r="E19" s="32">
        <f>D19+(BS!E33-BS!D33)/E27</f>
        <v>10</v>
      </c>
      <c r="F19" s="1" t="s">
        <v>94</v>
      </c>
      <c r="G19" s="11">
        <f t="shared" ref="G19:I22" si="7">C19/B19-1</f>
        <v>0</v>
      </c>
      <c r="H19" s="11">
        <f t="shared" si="7"/>
        <v>0</v>
      </c>
      <c r="I19" s="11">
        <f t="shared" si="7"/>
        <v>0</v>
      </c>
      <c r="K19" s="6"/>
      <c r="L19" s="6"/>
      <c r="M19" s="6"/>
      <c r="N19" s="6"/>
    </row>
    <row r="20" spans="1:14" x14ac:dyDescent="0.25">
      <c r="A20" s="1" t="s">
        <v>18</v>
      </c>
      <c r="B20" s="9">
        <f>B17/B19</f>
        <v>2.82</v>
      </c>
      <c r="C20" s="9">
        <f>C17/C19</f>
        <v>3</v>
      </c>
      <c r="D20" s="9">
        <f>D17/D19</f>
        <v>3.2099999999999995</v>
      </c>
      <c r="E20" s="9">
        <f>E17/E19</f>
        <v>3.3954438461538459</v>
      </c>
      <c r="F20" s="1"/>
      <c r="G20" s="11">
        <f t="shared" si="7"/>
        <v>6.3829787234042534E-2</v>
      </c>
      <c r="H20" s="11">
        <f t="shared" si="7"/>
        <v>6.999999999999984E-2</v>
      </c>
      <c r="I20" s="11">
        <f t="shared" si="7"/>
        <v>5.7770668583752682E-2</v>
      </c>
      <c r="K20" s="9"/>
      <c r="L20" s="9"/>
      <c r="M20" s="9"/>
      <c r="N20" s="9"/>
    </row>
    <row r="21" spans="1:14" x14ac:dyDescent="0.25">
      <c r="A21" s="1" t="s">
        <v>26</v>
      </c>
      <c r="B21" s="6">
        <v>10</v>
      </c>
      <c r="C21" s="6">
        <v>10</v>
      </c>
      <c r="D21" s="6">
        <v>10</v>
      </c>
      <c r="E21" s="31">
        <v>10</v>
      </c>
      <c r="F21" s="1" t="s">
        <v>93</v>
      </c>
      <c r="G21" s="11">
        <f t="shared" si="7"/>
        <v>0</v>
      </c>
      <c r="H21" s="11">
        <f t="shared" si="7"/>
        <v>0</v>
      </c>
      <c r="I21" s="11">
        <f t="shared" si="7"/>
        <v>0</v>
      </c>
      <c r="K21" s="6"/>
      <c r="L21" s="6"/>
      <c r="M21" s="6"/>
      <c r="N21" s="6"/>
    </row>
    <row r="22" spans="1:14" x14ac:dyDescent="0.25">
      <c r="A22" s="1" t="s">
        <v>27</v>
      </c>
      <c r="B22" s="9">
        <f>B21/B19</f>
        <v>1</v>
      </c>
      <c r="C22" s="9">
        <f>C21/C19</f>
        <v>1</v>
      </c>
      <c r="D22" s="9">
        <f>D21/D19</f>
        <v>1</v>
      </c>
      <c r="E22" s="9">
        <f>E21/E19</f>
        <v>1</v>
      </c>
      <c r="G22" s="11">
        <f t="shared" si="7"/>
        <v>0</v>
      </c>
      <c r="H22" s="11">
        <f t="shared" si="7"/>
        <v>0</v>
      </c>
      <c r="I22" s="11">
        <f t="shared" si="7"/>
        <v>0</v>
      </c>
      <c r="K22" s="9"/>
      <c r="L22" s="9"/>
      <c r="M22" s="9"/>
      <c r="N22" s="9"/>
    </row>
    <row r="24" spans="1:14" x14ac:dyDescent="0.25">
      <c r="A24" s="1" t="s">
        <v>97</v>
      </c>
      <c r="B24" s="11">
        <v>0.04</v>
      </c>
      <c r="C24" s="11">
        <v>0.04</v>
      </c>
      <c r="D24" s="11">
        <v>0.04</v>
      </c>
      <c r="E24" s="11">
        <v>0.04</v>
      </c>
    </row>
    <row r="25" spans="1:14" x14ac:dyDescent="0.25">
      <c r="A25" s="1" t="s">
        <v>80</v>
      </c>
      <c r="B25" s="11">
        <v>0.04</v>
      </c>
      <c r="C25" s="11">
        <v>0.05</v>
      </c>
      <c r="D25" s="11">
        <v>0.02</v>
      </c>
      <c r="E25" s="23">
        <v>3.5000000000000003E-2</v>
      </c>
    </row>
    <row r="26" spans="1:14" x14ac:dyDescent="0.25">
      <c r="A26" s="1" t="s">
        <v>81</v>
      </c>
      <c r="B26" s="35" t="s">
        <v>98</v>
      </c>
      <c r="C26" s="26">
        <f>G7/C25</f>
        <v>2.0000000000000018</v>
      </c>
      <c r="D26" s="26">
        <f>H7/D25</f>
        <v>2.2727272727272707</v>
      </c>
      <c r="E26" s="27">
        <v>2</v>
      </c>
    </row>
    <row r="27" spans="1:14" x14ac:dyDescent="0.25">
      <c r="A27" s="1" t="s">
        <v>95</v>
      </c>
      <c r="B27" s="9">
        <v>30</v>
      </c>
      <c r="C27" s="9">
        <v>35</v>
      </c>
      <c r="D27" s="9">
        <v>40</v>
      </c>
      <c r="E27" s="9">
        <v>40</v>
      </c>
    </row>
    <row r="28" spans="1:14" x14ac:dyDescent="0.25">
      <c r="A28" s="1" t="s">
        <v>96</v>
      </c>
      <c r="B28" s="36">
        <f>B27/B20</f>
        <v>10.638297872340425</v>
      </c>
      <c r="C28" s="36">
        <f>C27/C20</f>
        <v>11.666666666666666</v>
      </c>
      <c r="D28" s="36">
        <f>D27/D20</f>
        <v>12.461059190031154</v>
      </c>
      <c r="E28" s="36">
        <f>E27/E20</f>
        <v>11.780492275055465</v>
      </c>
    </row>
    <row r="29" spans="1:14" x14ac:dyDescent="0.25">
      <c r="A29" s="1" t="s">
        <v>100</v>
      </c>
      <c r="B29" s="23">
        <v>7.0000000000000007E-2</v>
      </c>
      <c r="C29" s="23">
        <v>7.0000000000000007E-2</v>
      </c>
      <c r="D29" s="23">
        <v>7.0000000000000007E-2</v>
      </c>
      <c r="E29" s="23">
        <v>7.0000000000000007E-2</v>
      </c>
    </row>
    <row r="30" spans="1:14" x14ac:dyDescent="0.25">
      <c r="A30" s="1" t="s">
        <v>99</v>
      </c>
      <c r="B30" s="11">
        <f>((B22*(1+B29))/B27)+B29-B24</f>
        <v>6.5666666666666679E-2</v>
      </c>
      <c r="C30" s="11">
        <f>((C22*(1+C29))/C27)+C29-C24</f>
        <v>6.0571428571428575E-2</v>
      </c>
      <c r="D30" s="11">
        <f>((D22*(1+D29))/D27)+D29-D24</f>
        <v>5.6750000000000002E-2</v>
      </c>
      <c r="E30" s="11">
        <f>((E22*(1+E29))/E27)+E29-E24</f>
        <v>5.6750000000000002E-2</v>
      </c>
    </row>
  </sheetData>
  <mergeCells count="1">
    <mergeCell ref="A1:N1"/>
  </mergeCells>
  <phoneticPr fontId="0" type="noConversion"/>
  <printOptions horizontalCentered="1"/>
  <pageMargins left="0.75" right="0.75" top="1" bottom="1" header="0.5" footer="0.5"/>
  <pageSetup scale="87" orientation="landscape" r:id="rId1"/>
  <headerFooter alignWithMargins="0">
    <oddHeader>&amp;RBusiness Finance 824</oddHeader>
    <oddFooter>&amp;RCOMPANY ANALYSIS: Financial Statement Analysis (Supplemental)
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A2" workbookViewId="0">
      <selection activeCell="E34" sqref="E34"/>
    </sheetView>
  </sheetViews>
  <sheetFormatPr defaultRowHeight="13.2" x14ac:dyDescent="0.25"/>
  <cols>
    <col min="1" max="1" width="21" customWidth="1"/>
    <col min="4" max="5" width="9.44140625" customWidth="1"/>
    <col min="6" max="6" width="13.44140625" bestFit="1" customWidth="1"/>
    <col min="10" max="10" width="4.33203125" customWidth="1"/>
  </cols>
  <sheetData>
    <row r="1" spans="1:14" x14ac:dyDescent="0.25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x14ac:dyDescent="0.25">
      <c r="A3" s="4" t="s">
        <v>42</v>
      </c>
      <c r="B3" s="3"/>
      <c r="C3" s="3"/>
      <c r="D3" s="3"/>
      <c r="E3" s="3"/>
      <c r="G3" s="4" t="s">
        <v>43</v>
      </c>
      <c r="H3" s="3"/>
      <c r="I3" s="3"/>
      <c r="K3" s="4" t="s">
        <v>44</v>
      </c>
      <c r="L3" s="3"/>
      <c r="M3" s="3"/>
      <c r="N3" s="3"/>
    </row>
    <row r="5" spans="1:14" s="1" customFormat="1" x14ac:dyDescent="0.25">
      <c r="A5" s="4" t="s">
        <v>3</v>
      </c>
      <c r="B5" s="33" t="s">
        <v>4</v>
      </c>
      <c r="C5" s="33" t="s">
        <v>5</v>
      </c>
      <c r="D5" s="33" t="s">
        <v>6</v>
      </c>
      <c r="E5" s="33" t="s">
        <v>55</v>
      </c>
      <c r="F5" s="34"/>
      <c r="G5" s="33" t="s">
        <v>5</v>
      </c>
      <c r="H5" s="33" t="s">
        <v>6</v>
      </c>
      <c r="I5" s="33" t="s">
        <v>55</v>
      </c>
      <c r="J5" s="34"/>
      <c r="K5" s="33" t="s">
        <v>4</v>
      </c>
      <c r="L5" s="33" t="s">
        <v>5</v>
      </c>
      <c r="M5" s="33" t="s">
        <v>6</v>
      </c>
      <c r="N5" s="33" t="s">
        <v>55</v>
      </c>
    </row>
    <row r="7" spans="1:14" x14ac:dyDescent="0.25">
      <c r="A7" s="14" t="s">
        <v>19</v>
      </c>
      <c r="B7" s="14"/>
      <c r="C7" s="14"/>
      <c r="D7" s="14"/>
      <c r="E7" s="14"/>
      <c r="G7" s="14"/>
      <c r="H7" s="14"/>
      <c r="I7" s="14"/>
      <c r="K7" s="14"/>
      <c r="L7" s="14"/>
      <c r="M7" s="14"/>
      <c r="N7" s="14"/>
    </row>
    <row r="9" spans="1:14" x14ac:dyDescent="0.25">
      <c r="A9" s="17" t="s">
        <v>20</v>
      </c>
    </row>
    <row r="10" spans="1:14" x14ac:dyDescent="0.25">
      <c r="A10" t="s">
        <v>21</v>
      </c>
      <c r="B10" s="10">
        <v>10</v>
      </c>
      <c r="C10" s="10">
        <f>CF!B29</f>
        <v>8</v>
      </c>
      <c r="D10" s="10">
        <f>CF!C29</f>
        <v>38.099999999999994</v>
      </c>
      <c r="E10" s="10">
        <f>CF!D29</f>
        <v>66.677515384615361</v>
      </c>
      <c r="G10" s="11">
        <f>C10/B10-1</f>
        <v>-0.19999999999999996</v>
      </c>
      <c r="H10" s="11">
        <f>D10/C10-1</f>
        <v>3.7624999999999993</v>
      </c>
      <c r="I10" s="11">
        <f>E10/D10-1</f>
        <v>0.75006602059357941</v>
      </c>
      <c r="K10" s="11">
        <f t="shared" ref="K10:N12" si="0">B10/B$13</f>
        <v>0.2</v>
      </c>
      <c r="L10" s="11">
        <f t="shared" si="0"/>
        <v>0.13793103448275862</v>
      </c>
      <c r="M10" s="11">
        <f t="shared" si="0"/>
        <v>0.4324631101021566</v>
      </c>
      <c r="N10" s="11">
        <f t="shared" si="0"/>
        <v>0.55482521144842334</v>
      </c>
    </row>
    <row r="11" spans="1:14" x14ac:dyDescent="0.25">
      <c r="A11" s="2" t="s">
        <v>22</v>
      </c>
      <c r="B11" s="6">
        <v>20</v>
      </c>
      <c r="C11" s="6">
        <v>25</v>
      </c>
      <c r="D11" s="6">
        <v>25</v>
      </c>
      <c r="E11" s="6">
        <f>IS!E7/Ratios!E10</f>
        <v>26.750000000000004</v>
      </c>
      <c r="F11" s="1" t="s">
        <v>104</v>
      </c>
      <c r="G11" s="11">
        <f>C11/B11-1</f>
        <v>0.25</v>
      </c>
      <c r="H11" s="11">
        <f t="shared" ref="H11:I13" si="1">D11/C11-1</f>
        <v>0</v>
      </c>
      <c r="I11" s="11">
        <f t="shared" si="1"/>
        <v>7.0000000000000062E-2</v>
      </c>
      <c r="K11" s="11">
        <f t="shared" si="0"/>
        <v>0.4</v>
      </c>
      <c r="L11" s="11">
        <f t="shared" si="0"/>
        <v>0.43103448275862066</v>
      </c>
      <c r="M11" s="11">
        <f t="shared" si="0"/>
        <v>0.28376844494892167</v>
      </c>
      <c r="N11" s="11">
        <f t="shared" si="0"/>
        <v>0.22258739427578839</v>
      </c>
    </row>
    <row r="12" spans="1:14" x14ac:dyDescent="0.25">
      <c r="A12" t="s">
        <v>23</v>
      </c>
      <c r="B12" s="7">
        <v>20</v>
      </c>
      <c r="C12" s="7">
        <v>25</v>
      </c>
      <c r="D12" s="7">
        <v>25</v>
      </c>
      <c r="E12" s="7">
        <f>D12*(1+IS!I7)</f>
        <v>26.75</v>
      </c>
      <c r="F12" s="1" t="s">
        <v>86</v>
      </c>
      <c r="G12" s="12">
        <f>C12/B12-1</f>
        <v>0.25</v>
      </c>
      <c r="H12" s="12">
        <f t="shared" si="1"/>
        <v>0</v>
      </c>
      <c r="I12" s="12">
        <f t="shared" si="1"/>
        <v>7.0000000000000062E-2</v>
      </c>
      <c r="K12" s="12">
        <f t="shared" si="0"/>
        <v>0.4</v>
      </c>
      <c r="L12" s="12">
        <f t="shared" si="0"/>
        <v>0.43103448275862066</v>
      </c>
      <c r="M12" s="12">
        <f t="shared" si="0"/>
        <v>0.28376844494892167</v>
      </c>
      <c r="N12" s="12">
        <f t="shared" si="0"/>
        <v>0.22258739427578836</v>
      </c>
    </row>
    <row r="13" spans="1:14" x14ac:dyDescent="0.25">
      <c r="A13" t="s">
        <v>34</v>
      </c>
      <c r="B13" s="6">
        <f>SUM(B10:B12)</f>
        <v>50</v>
      </c>
      <c r="C13" s="6">
        <f>SUM(C10:C12)</f>
        <v>58</v>
      </c>
      <c r="D13" s="6">
        <f>SUM(D10:D12)</f>
        <v>88.1</v>
      </c>
      <c r="E13" s="6">
        <f>SUM(E10:E12)</f>
        <v>120.17751538461536</v>
      </c>
      <c r="F13" s="1"/>
      <c r="G13" s="11">
        <f>C13/B13-1</f>
        <v>0.15999999999999992</v>
      </c>
      <c r="H13" s="11">
        <f t="shared" si="1"/>
        <v>0.51896551724137918</v>
      </c>
      <c r="I13" s="11">
        <f t="shared" si="1"/>
        <v>0.36410346634069657</v>
      </c>
      <c r="K13" s="11">
        <f>B13/B$20</f>
        <v>0.25773195876288657</v>
      </c>
      <c r="L13" s="11">
        <f>C13/C$20</f>
        <v>0.29743589743589743</v>
      </c>
      <c r="M13" s="11">
        <f>D13/D$20</f>
        <v>0.40580377706126208</v>
      </c>
      <c r="N13" s="11">
        <f>E13/E$20</f>
        <v>0.50167100286856259</v>
      </c>
    </row>
    <row r="14" spans="1:14" x14ac:dyDescent="0.25">
      <c r="B14" s="6"/>
      <c r="C14" s="6"/>
      <c r="D14" s="6"/>
      <c r="E14" s="6"/>
      <c r="F14" s="1"/>
      <c r="G14" s="11"/>
      <c r="H14" s="11"/>
      <c r="I14" s="11"/>
      <c r="K14" s="11"/>
      <c r="L14" s="11"/>
      <c r="M14" s="11"/>
      <c r="N14" s="11"/>
    </row>
    <row r="15" spans="1:14" x14ac:dyDescent="0.25">
      <c r="A15" s="17" t="s">
        <v>24</v>
      </c>
      <c r="B15" s="6"/>
      <c r="C15" s="6"/>
      <c r="D15" s="6"/>
      <c r="E15" s="6"/>
      <c r="F15" s="1"/>
      <c r="G15" s="11"/>
      <c r="H15" s="11"/>
      <c r="I15" s="11"/>
      <c r="K15" s="11"/>
      <c r="L15" s="11"/>
      <c r="M15" s="11"/>
      <c r="N15" s="11"/>
    </row>
    <row r="16" spans="1:14" x14ac:dyDescent="0.25">
      <c r="A16" t="s">
        <v>28</v>
      </c>
      <c r="B16" s="6">
        <v>160</v>
      </c>
      <c r="C16" s="6">
        <v>170</v>
      </c>
      <c r="D16" s="6">
        <v>180</v>
      </c>
      <c r="E16" s="6">
        <f>IS!E7/Ratios!E12</f>
        <v>189.30769230769232</v>
      </c>
      <c r="F16" s="1" t="s">
        <v>103</v>
      </c>
      <c r="G16" s="11">
        <f>C16/B16-1</f>
        <v>6.25E-2</v>
      </c>
      <c r="H16" s="11">
        <f t="shared" ref="H16:I18" si="2">D16/C16-1</f>
        <v>5.8823529411764719E-2</v>
      </c>
      <c r="I16" s="11">
        <f t="shared" si="2"/>
        <v>5.1709401709401748E-2</v>
      </c>
      <c r="K16" s="11">
        <f t="shared" ref="K16:L18" si="3">B16/B$20</f>
        <v>0.82474226804123707</v>
      </c>
      <c r="L16" s="11">
        <f t="shared" si="3"/>
        <v>0.87179487179487181</v>
      </c>
      <c r="M16" s="11">
        <f t="shared" ref="M16:N18" si="4">D16/D$20</f>
        <v>0.82911100875172739</v>
      </c>
      <c r="N16" s="11">
        <f t="shared" si="4"/>
        <v>0.79024915390197015</v>
      </c>
    </row>
    <row r="17" spans="1:14" x14ac:dyDescent="0.25">
      <c r="A17" t="s">
        <v>29</v>
      </c>
      <c r="B17" s="7">
        <f>B16/Ratios!B33</f>
        <v>16</v>
      </c>
      <c r="C17" s="7">
        <f>C16/Ratios!C33+B17</f>
        <v>33</v>
      </c>
      <c r="D17" s="7">
        <f>D16/Ratios!D33+C17</f>
        <v>51</v>
      </c>
      <c r="E17" s="7">
        <f>E16/Ratios!E33+D17</f>
        <v>69.930769230769229</v>
      </c>
      <c r="F17" s="1" t="s">
        <v>89</v>
      </c>
      <c r="G17" s="12">
        <f>C17/B17-1</f>
        <v>1.0625</v>
      </c>
      <c r="H17" s="12">
        <f t="shared" si="2"/>
        <v>0.54545454545454541</v>
      </c>
      <c r="I17" s="12">
        <f t="shared" si="2"/>
        <v>0.37119155354449473</v>
      </c>
      <c r="K17" s="12">
        <f t="shared" si="3"/>
        <v>8.247422680412371E-2</v>
      </c>
      <c r="L17" s="12">
        <f t="shared" si="3"/>
        <v>0.16923076923076924</v>
      </c>
      <c r="M17" s="12">
        <f t="shared" si="4"/>
        <v>0.23491478581298941</v>
      </c>
      <c r="N17" s="12">
        <f t="shared" si="4"/>
        <v>0.29192015677053268</v>
      </c>
    </row>
    <row r="18" spans="1:14" x14ac:dyDescent="0.25">
      <c r="A18" t="s">
        <v>35</v>
      </c>
      <c r="B18" s="6">
        <f>B16-B17</f>
        <v>144</v>
      </c>
      <c r="C18" s="6">
        <f>C16-C17</f>
        <v>137</v>
      </c>
      <c r="D18" s="6">
        <f>D16-D17</f>
        <v>129</v>
      </c>
      <c r="E18" s="6">
        <f>E16-E17</f>
        <v>119.37692307692309</v>
      </c>
      <c r="F18" s="1"/>
      <c r="G18" s="11">
        <f>C18/B18-1</f>
        <v>-4.861111111111116E-2</v>
      </c>
      <c r="H18" s="11">
        <f t="shared" si="2"/>
        <v>-5.8394160583941646E-2</v>
      </c>
      <c r="I18" s="11">
        <f t="shared" si="2"/>
        <v>-7.4597495527727986E-2</v>
      </c>
      <c r="K18" s="11">
        <f t="shared" si="3"/>
        <v>0.74226804123711343</v>
      </c>
      <c r="L18" s="11">
        <f t="shared" si="3"/>
        <v>0.70256410256410251</v>
      </c>
      <c r="M18" s="11">
        <f t="shared" si="4"/>
        <v>0.59419622293873797</v>
      </c>
      <c r="N18" s="11">
        <f t="shared" si="4"/>
        <v>0.49832899713143741</v>
      </c>
    </row>
    <row r="19" spans="1:14" x14ac:dyDescent="0.25">
      <c r="B19" s="3"/>
      <c r="C19" s="3"/>
      <c r="D19" s="3"/>
      <c r="E19" s="3"/>
      <c r="F19" s="1"/>
      <c r="G19" s="12"/>
      <c r="H19" s="12"/>
      <c r="I19" s="12"/>
      <c r="K19" s="12"/>
      <c r="L19" s="12"/>
      <c r="M19" s="12"/>
      <c r="N19" s="12"/>
    </row>
    <row r="20" spans="1:14" ht="13.8" thickBot="1" x14ac:dyDescent="0.3">
      <c r="A20" s="1" t="s">
        <v>30</v>
      </c>
      <c r="B20" s="16">
        <f>B18+B13</f>
        <v>194</v>
      </c>
      <c r="C20" s="16">
        <f>C18+C13</f>
        <v>195</v>
      </c>
      <c r="D20" s="16">
        <f>D18+D13</f>
        <v>217.1</v>
      </c>
      <c r="E20" s="16">
        <f>E18+E13</f>
        <v>239.55443846153844</v>
      </c>
      <c r="F20" s="1"/>
      <c r="G20" s="13">
        <f>C20/B20-1</f>
        <v>5.1546391752577136E-3</v>
      </c>
      <c r="H20" s="13">
        <f>D20/C20-1</f>
        <v>0.11333333333333329</v>
      </c>
      <c r="I20" s="13">
        <f>E20/D20-1</f>
        <v>0.10342901179888742</v>
      </c>
      <c r="K20" s="13">
        <f>B20/B$20</f>
        <v>1</v>
      </c>
      <c r="L20" s="13">
        <f>C20/C$20</f>
        <v>1</v>
      </c>
      <c r="M20" s="13">
        <f>D20/D$20</f>
        <v>1</v>
      </c>
      <c r="N20" s="13">
        <f>E20/E$20</f>
        <v>1</v>
      </c>
    </row>
    <row r="21" spans="1:14" ht="13.8" thickTop="1" x14ac:dyDescent="0.25">
      <c r="F21" s="1"/>
      <c r="G21" s="11"/>
      <c r="H21" s="11"/>
      <c r="I21" s="11"/>
      <c r="K21" s="11"/>
      <c r="L21" s="11"/>
      <c r="M21" s="11"/>
      <c r="N21" s="11"/>
    </row>
    <row r="22" spans="1:14" x14ac:dyDescent="0.25">
      <c r="A22" s="14" t="s">
        <v>25</v>
      </c>
      <c r="B22" s="14"/>
      <c r="C22" s="14"/>
      <c r="D22" s="14"/>
      <c r="E22" s="14"/>
      <c r="F22" s="1"/>
      <c r="G22" s="15"/>
      <c r="H22" s="15"/>
      <c r="I22" s="15"/>
      <c r="K22" s="15"/>
      <c r="L22" s="15"/>
      <c r="M22" s="15"/>
      <c r="N22" s="15"/>
    </row>
    <row r="23" spans="1:14" x14ac:dyDescent="0.25">
      <c r="F23" s="1"/>
      <c r="G23" s="11"/>
      <c r="H23" s="11"/>
      <c r="I23" s="11"/>
      <c r="K23" s="11"/>
      <c r="L23" s="11"/>
      <c r="M23" s="11"/>
      <c r="N23" s="11"/>
    </row>
    <row r="24" spans="1:14" x14ac:dyDescent="0.25">
      <c r="A24" s="17" t="s">
        <v>31</v>
      </c>
      <c r="F24" s="1"/>
      <c r="G24" s="11"/>
      <c r="H24" s="11"/>
      <c r="I24" s="11"/>
      <c r="K24" s="11"/>
      <c r="L24" s="11"/>
      <c r="M24" s="11"/>
      <c r="N24" s="11"/>
    </row>
    <row r="25" spans="1:14" x14ac:dyDescent="0.25">
      <c r="A25" t="s">
        <v>32</v>
      </c>
      <c r="B25" s="10">
        <v>20</v>
      </c>
      <c r="C25" s="10">
        <v>25</v>
      </c>
      <c r="D25" s="10">
        <v>25</v>
      </c>
      <c r="E25" s="10">
        <f>N25*E27</f>
        <v>26.75</v>
      </c>
      <c r="F25" s="1" t="s">
        <v>105</v>
      </c>
      <c r="G25" s="11">
        <f>C25/B25-1</f>
        <v>0.25</v>
      </c>
      <c r="H25" s="11">
        <f t="shared" ref="H25:I27" si="5">D25/C25-1</f>
        <v>0</v>
      </c>
      <c r="I25" s="11">
        <f t="shared" si="5"/>
        <v>7.0000000000000062E-2</v>
      </c>
      <c r="K25" s="11">
        <f>B25/B27</f>
        <v>0.5</v>
      </c>
      <c r="L25" s="11">
        <f>C25/C27</f>
        <v>0.5</v>
      </c>
      <c r="M25" s="11">
        <f>D25/D27</f>
        <v>0.5</v>
      </c>
      <c r="N25" s="23">
        <v>0.5</v>
      </c>
    </row>
    <row r="26" spans="1:14" x14ac:dyDescent="0.25">
      <c r="A26" s="5" t="s">
        <v>33</v>
      </c>
      <c r="B26" s="7">
        <v>20</v>
      </c>
      <c r="C26" s="7">
        <v>25</v>
      </c>
      <c r="D26" s="7">
        <v>25</v>
      </c>
      <c r="E26" s="7">
        <f>N26*E27</f>
        <v>26.75</v>
      </c>
      <c r="F26" s="1" t="s">
        <v>105</v>
      </c>
      <c r="G26" s="12">
        <f>C26/B26-1</f>
        <v>0.25</v>
      </c>
      <c r="H26" s="12">
        <f t="shared" si="5"/>
        <v>0</v>
      </c>
      <c r="I26" s="12">
        <f t="shared" si="5"/>
        <v>7.0000000000000062E-2</v>
      </c>
      <c r="K26" s="12">
        <f>B26/B27</f>
        <v>0.5</v>
      </c>
      <c r="L26" s="12">
        <f>C26/C27</f>
        <v>0.5</v>
      </c>
      <c r="M26" s="12">
        <f>D26/D27</f>
        <v>0.5</v>
      </c>
      <c r="N26" s="28">
        <v>0.5</v>
      </c>
    </row>
    <row r="27" spans="1:14" x14ac:dyDescent="0.25">
      <c r="A27" s="5" t="s">
        <v>34</v>
      </c>
      <c r="B27" s="6">
        <f>SUM(B25:B26)</f>
        <v>40</v>
      </c>
      <c r="C27" s="6">
        <f>SUM(C25:C26)</f>
        <v>50</v>
      </c>
      <c r="D27" s="6">
        <f>SUM(D25:D26)</f>
        <v>50</v>
      </c>
      <c r="E27" s="6">
        <f>(E11+E12)/Ratios!E19</f>
        <v>53.5</v>
      </c>
      <c r="F27" s="1" t="s">
        <v>91</v>
      </c>
      <c r="G27" s="11">
        <f>C27/B27-1</f>
        <v>0.25</v>
      </c>
      <c r="H27" s="11">
        <f t="shared" si="5"/>
        <v>0</v>
      </c>
      <c r="I27" s="11">
        <f t="shared" si="5"/>
        <v>7.0000000000000062E-2</v>
      </c>
      <c r="K27" s="11">
        <f>B27/B$36</f>
        <v>0.20618556701030927</v>
      </c>
      <c r="L27" s="11">
        <f>C27/C$36</f>
        <v>0.25641025641025639</v>
      </c>
      <c r="M27" s="11">
        <f>D27/D$36</f>
        <v>0.23030861354214649</v>
      </c>
      <c r="N27" s="11">
        <f>E27/E$36</f>
        <v>0.2233312826244698</v>
      </c>
    </row>
    <row r="28" spans="1:14" x14ac:dyDescent="0.25">
      <c r="B28" s="6"/>
      <c r="C28" s="6"/>
      <c r="D28" s="6"/>
      <c r="E28" s="6"/>
      <c r="F28" s="1"/>
      <c r="G28" s="11"/>
      <c r="H28" s="11"/>
      <c r="I28" s="11"/>
      <c r="K28" s="11"/>
      <c r="L28" s="11"/>
      <c r="M28" s="11"/>
      <c r="N28" s="11"/>
    </row>
    <row r="29" spans="1:14" x14ac:dyDescent="0.25">
      <c r="A29" s="1" t="s">
        <v>36</v>
      </c>
      <c r="B29" s="7">
        <v>54</v>
      </c>
      <c r="C29" s="7">
        <v>25</v>
      </c>
      <c r="D29" s="7">
        <v>25</v>
      </c>
      <c r="E29" s="30">
        <v>20</v>
      </c>
      <c r="F29" s="1" t="s">
        <v>93</v>
      </c>
      <c r="G29" s="12">
        <f t="shared" ref="G29:I30" si="6">C29/B29-1</f>
        <v>-0.53703703703703698</v>
      </c>
      <c r="H29" s="12">
        <f t="shared" si="6"/>
        <v>0</v>
      </c>
      <c r="I29" s="12">
        <f t="shared" si="6"/>
        <v>-0.19999999999999996</v>
      </c>
      <c r="K29" s="12">
        <f t="shared" ref="K29:N30" si="7">B29/B$36</f>
        <v>0.27835051546391754</v>
      </c>
      <c r="L29" s="12">
        <f t="shared" si="7"/>
        <v>0.12820512820512819</v>
      </c>
      <c r="M29" s="12">
        <f t="shared" si="7"/>
        <v>0.11515430677107324</v>
      </c>
      <c r="N29" s="12">
        <f t="shared" si="7"/>
        <v>8.3488329953072829E-2</v>
      </c>
    </row>
    <row r="30" spans="1:14" x14ac:dyDescent="0.25">
      <c r="A30" s="1" t="s">
        <v>37</v>
      </c>
      <c r="B30" s="6">
        <f>B29+B27</f>
        <v>94</v>
      </c>
      <c r="C30" s="6">
        <f>C29+C27</f>
        <v>75</v>
      </c>
      <c r="D30" s="6">
        <f>D29+D27</f>
        <v>75</v>
      </c>
      <c r="E30" s="6">
        <f>E29+E27</f>
        <v>73.5</v>
      </c>
      <c r="F30" s="1"/>
      <c r="G30" s="11">
        <f t="shared" si="6"/>
        <v>-0.2021276595744681</v>
      </c>
      <c r="H30" s="11">
        <f t="shared" si="6"/>
        <v>0</v>
      </c>
      <c r="I30" s="11">
        <f t="shared" si="6"/>
        <v>-2.0000000000000018E-2</v>
      </c>
      <c r="K30" s="11">
        <f t="shared" si="7"/>
        <v>0.4845360824742268</v>
      </c>
      <c r="L30" s="11">
        <f t="shared" si="7"/>
        <v>0.38461538461538464</v>
      </c>
      <c r="M30" s="11">
        <f t="shared" si="7"/>
        <v>0.34546292031321973</v>
      </c>
      <c r="N30" s="11">
        <f t="shared" si="7"/>
        <v>0.30681961257754264</v>
      </c>
    </row>
    <row r="31" spans="1:14" x14ac:dyDescent="0.25">
      <c r="B31" s="6"/>
      <c r="C31" s="6"/>
      <c r="D31" s="6"/>
      <c r="E31" s="6"/>
      <c r="F31" s="1"/>
      <c r="G31" s="11"/>
      <c r="H31" s="11"/>
      <c r="I31" s="11"/>
      <c r="K31" s="11"/>
      <c r="L31" s="11"/>
      <c r="M31" s="11"/>
      <c r="N31" s="11"/>
    </row>
    <row r="32" spans="1:14" x14ac:dyDescent="0.25">
      <c r="A32" s="1" t="s">
        <v>38</v>
      </c>
      <c r="B32" s="6">
        <v>50</v>
      </c>
      <c r="C32" s="6">
        <f>B32+IS!C17-IS!C21</f>
        <v>70</v>
      </c>
      <c r="D32" s="6">
        <f>C32+IS!D17-IS!D21</f>
        <v>92.1</v>
      </c>
      <c r="E32" s="6">
        <f>D32+IS!E17-IS!E21</f>
        <v>116.05443846153845</v>
      </c>
      <c r="F32" s="1"/>
      <c r="G32" s="11">
        <f>C32/B32-1</f>
        <v>0.39999999999999991</v>
      </c>
      <c r="H32" s="11">
        <f t="shared" ref="H32:I34" si="8">D32/C32-1</f>
        <v>0.31571428571428561</v>
      </c>
      <c r="I32" s="11">
        <f t="shared" si="8"/>
        <v>0.26009162281800724</v>
      </c>
      <c r="K32" s="11">
        <f t="shared" ref="K32:L34" si="9">B32/B$36</f>
        <v>0.25773195876288657</v>
      </c>
      <c r="L32" s="11">
        <f t="shared" si="9"/>
        <v>0.35897435897435898</v>
      </c>
      <c r="M32" s="11">
        <f t="shared" ref="M32:N34" si="10">D32/D$36</f>
        <v>0.42422846614463378</v>
      </c>
      <c r="N32" s="11">
        <f t="shared" si="10"/>
        <v>0.4844595625397754</v>
      </c>
    </row>
    <row r="33" spans="1:14" x14ac:dyDescent="0.25">
      <c r="A33" s="1" t="s">
        <v>39</v>
      </c>
      <c r="B33" s="7">
        <v>50</v>
      </c>
      <c r="C33" s="7">
        <v>50</v>
      </c>
      <c r="D33" s="7">
        <v>50</v>
      </c>
      <c r="E33" s="30">
        <v>50</v>
      </c>
      <c r="F33" s="1" t="s">
        <v>93</v>
      </c>
      <c r="G33" s="12">
        <f>C33/B33-1</f>
        <v>0</v>
      </c>
      <c r="H33" s="12">
        <f t="shared" si="8"/>
        <v>0</v>
      </c>
      <c r="I33" s="12">
        <f t="shared" si="8"/>
        <v>0</v>
      </c>
      <c r="K33" s="12">
        <f t="shared" si="9"/>
        <v>0.25773195876288657</v>
      </c>
      <c r="L33" s="12">
        <f t="shared" si="9"/>
        <v>0.25641025641025639</v>
      </c>
      <c r="M33" s="12">
        <f t="shared" si="10"/>
        <v>0.23030861354214649</v>
      </c>
      <c r="N33" s="12">
        <f t="shared" si="10"/>
        <v>0.20872082488268207</v>
      </c>
    </row>
    <row r="34" spans="1:14" x14ac:dyDescent="0.25">
      <c r="A34" s="1" t="s">
        <v>41</v>
      </c>
      <c r="B34" s="6">
        <f>SUM(B32:B33)</f>
        <v>100</v>
      </c>
      <c r="C34" s="6">
        <f>SUM(C32:C33)</f>
        <v>120</v>
      </c>
      <c r="D34" s="6">
        <f>SUM(D32:D33)</f>
        <v>142.1</v>
      </c>
      <c r="E34" s="6">
        <f>SUM(E32:E33)</f>
        <v>166.05443846153844</v>
      </c>
      <c r="G34" s="11">
        <f>C34/B34-1</f>
        <v>0.19999999999999996</v>
      </c>
      <c r="H34" s="11">
        <f t="shared" si="8"/>
        <v>0.18416666666666659</v>
      </c>
      <c r="I34" s="11">
        <f t="shared" si="8"/>
        <v>0.16857451415579483</v>
      </c>
      <c r="K34" s="11">
        <f t="shared" si="9"/>
        <v>0.51546391752577314</v>
      </c>
      <c r="L34" s="11">
        <f t="shared" si="9"/>
        <v>0.61538461538461542</v>
      </c>
      <c r="M34" s="11">
        <f t="shared" si="10"/>
        <v>0.65453707968678032</v>
      </c>
      <c r="N34" s="11">
        <f t="shared" si="10"/>
        <v>0.69318038742245736</v>
      </c>
    </row>
    <row r="35" spans="1:14" x14ac:dyDescent="0.25">
      <c r="G35" s="11"/>
      <c r="H35" s="11"/>
      <c r="I35" s="11"/>
      <c r="K35" s="11"/>
      <c r="L35" s="11"/>
      <c r="M35" s="11"/>
      <c r="N35" s="11"/>
    </row>
    <row r="36" spans="1:14" ht="13.8" thickBot="1" x14ac:dyDescent="0.3">
      <c r="A36" s="1" t="s">
        <v>40</v>
      </c>
      <c r="B36" s="16">
        <f>B34+B30</f>
        <v>194</v>
      </c>
      <c r="C36" s="16">
        <f>C34+C30</f>
        <v>195</v>
      </c>
      <c r="D36" s="16">
        <f>D34+D30</f>
        <v>217.1</v>
      </c>
      <c r="E36" s="16">
        <f>E34+E30</f>
        <v>239.55443846153844</v>
      </c>
      <c r="G36" s="13">
        <f>C36/B36-1</f>
        <v>5.1546391752577136E-3</v>
      </c>
      <c r="H36" s="13">
        <f>D36/C36-1</f>
        <v>0.11333333333333329</v>
      </c>
      <c r="I36" s="13">
        <f>E36/D36-1</f>
        <v>0.10342901179888742</v>
      </c>
      <c r="K36" s="13">
        <f>B36/B$36</f>
        <v>1</v>
      </c>
      <c r="L36" s="13">
        <f>C36/C$36</f>
        <v>1</v>
      </c>
      <c r="M36" s="13">
        <f>D36/D$36</f>
        <v>1</v>
      </c>
      <c r="N36" s="13">
        <f>E36/E$36</f>
        <v>1</v>
      </c>
    </row>
    <row r="37" spans="1:14" ht="13.8" thickTop="1" x14ac:dyDescent="0.25"/>
  </sheetData>
  <mergeCells count="1">
    <mergeCell ref="A1:N1"/>
  </mergeCells>
  <phoneticPr fontId="0" type="noConversion"/>
  <printOptions horizontalCentered="1"/>
  <pageMargins left="0.75" right="0.75" top="1" bottom="1" header="0.5" footer="0.5"/>
  <pageSetup scale="88" orientation="landscape" r:id="rId1"/>
  <headerFooter alignWithMargins="0">
    <oddHeader>&amp;RBusiness Finance 824</oddHeader>
    <oddFooter>&amp;RCOMPANY ANALYSIS: Financial Statement Analysis (Supplemental)
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3" workbookViewId="0">
      <selection activeCell="C20" sqref="C20"/>
    </sheetView>
  </sheetViews>
  <sheetFormatPr defaultRowHeight="13.2" x14ac:dyDescent="0.25"/>
  <cols>
    <col min="1" max="1" width="27" customWidth="1"/>
  </cols>
  <sheetData>
    <row r="1" spans="1:5" x14ac:dyDescent="0.25">
      <c r="A1" s="39" t="s">
        <v>45</v>
      </c>
      <c r="B1" s="39"/>
      <c r="C1" s="39"/>
      <c r="D1" s="39"/>
      <c r="E1" s="39"/>
    </row>
    <row r="3" spans="1:5" x14ac:dyDescent="0.25">
      <c r="A3" s="4" t="s">
        <v>101</v>
      </c>
      <c r="B3" s="33" t="s">
        <v>4</v>
      </c>
      <c r="C3" s="33" t="s">
        <v>5</v>
      </c>
      <c r="D3" s="33" t="s">
        <v>6</v>
      </c>
      <c r="E3" s="33" t="s">
        <v>55</v>
      </c>
    </row>
    <row r="5" spans="1:5" x14ac:dyDescent="0.25">
      <c r="A5" s="1" t="s">
        <v>46</v>
      </c>
    </row>
    <row r="6" spans="1:5" x14ac:dyDescent="0.25">
      <c r="A6" s="2" t="s">
        <v>9</v>
      </c>
      <c r="B6" s="11">
        <f>IS!B9/IS!B7</f>
        <v>0.8</v>
      </c>
      <c r="C6" s="11">
        <f>IS!C9/IS!C7</f>
        <v>0.77272727272727271</v>
      </c>
      <c r="D6" s="11">
        <f>IS!D9/IS!D7</f>
        <v>0.78260869565217395</v>
      </c>
      <c r="E6" s="11">
        <f>IS!E9/IS!E7</f>
        <v>0.78</v>
      </c>
    </row>
    <row r="7" spans="1:5" x14ac:dyDescent="0.25">
      <c r="A7" s="2" t="s">
        <v>57</v>
      </c>
      <c r="B7" s="11">
        <f>IS!B17/IS!B7</f>
        <v>0.28199999999999997</v>
      </c>
      <c r="C7" s="11">
        <f>IS!C17/IS!C7</f>
        <v>0.27272727272727271</v>
      </c>
      <c r="D7" s="11">
        <f>IS!D17/IS!D7</f>
        <v>0.27913043478260863</v>
      </c>
      <c r="E7" s="11">
        <f>IS!E17/IS!E7</f>
        <v>0.27594017441315283</v>
      </c>
    </row>
    <row r="8" spans="1:5" x14ac:dyDescent="0.25">
      <c r="A8" s="2"/>
      <c r="B8" s="11"/>
      <c r="C8" s="11"/>
      <c r="D8" s="11"/>
      <c r="E8" s="11"/>
    </row>
    <row r="9" spans="1:5" x14ac:dyDescent="0.25">
      <c r="A9" s="1" t="s">
        <v>47</v>
      </c>
      <c r="B9" s="11"/>
      <c r="C9" s="11"/>
      <c r="D9" s="11"/>
      <c r="E9" s="11"/>
    </row>
    <row r="10" spans="1:5" x14ac:dyDescent="0.25">
      <c r="A10" s="2" t="s">
        <v>60</v>
      </c>
      <c r="B10" s="25">
        <f>IS!B7/BS!B11</f>
        <v>5</v>
      </c>
      <c r="C10" s="25">
        <f>IS!C7/BS!C11</f>
        <v>4.4000000000000004</v>
      </c>
      <c r="D10" s="25">
        <f>IS!D7/BS!D11</f>
        <v>4.5999999999999996</v>
      </c>
      <c r="E10" s="29">
        <v>4.5999999999999996</v>
      </c>
    </row>
    <row r="11" spans="1:5" x14ac:dyDescent="0.25">
      <c r="A11" s="2" t="s">
        <v>61</v>
      </c>
      <c r="B11" s="25">
        <f>IS!B7/BS!B20</f>
        <v>0.51546391752577314</v>
      </c>
      <c r="C11" s="25">
        <f>IS!C7/BS!C20</f>
        <v>0.5641025641025641</v>
      </c>
      <c r="D11" s="25">
        <f>IS!D7/BS!D20</f>
        <v>0.52970981114693694</v>
      </c>
      <c r="E11" s="25">
        <f>IS!E7/BS!E20</f>
        <v>0.51366195003628057</v>
      </c>
    </row>
    <row r="12" spans="1:5" x14ac:dyDescent="0.25">
      <c r="A12" s="2" t="s">
        <v>103</v>
      </c>
      <c r="B12" s="25">
        <f>IS!B7/BS!B16</f>
        <v>0.625</v>
      </c>
      <c r="C12" s="25">
        <f>IS!C7/BS!C16</f>
        <v>0.6470588235294118</v>
      </c>
      <c r="D12" s="25">
        <f>IS!D7/BS!D16</f>
        <v>0.63888888888888884</v>
      </c>
      <c r="E12" s="29">
        <v>0.65</v>
      </c>
    </row>
    <row r="13" spans="1:5" x14ac:dyDescent="0.25">
      <c r="A13" s="2" t="s">
        <v>87</v>
      </c>
      <c r="B13" s="25">
        <f>IS!B7/BS!B12</f>
        <v>5</v>
      </c>
      <c r="C13" s="25">
        <f>IS!C7/BS!C12</f>
        <v>4.4000000000000004</v>
      </c>
      <c r="D13" s="25">
        <f>IS!D7/BS!D12</f>
        <v>4.5999999999999996</v>
      </c>
      <c r="E13" s="25">
        <f>IS!E7/BS!E12</f>
        <v>4.6000000000000005</v>
      </c>
    </row>
    <row r="14" spans="1:5" x14ac:dyDescent="0.25">
      <c r="A14" s="2" t="s">
        <v>88</v>
      </c>
      <c r="B14" s="25">
        <f>IS!B7/BS!B26</f>
        <v>5</v>
      </c>
      <c r="C14" s="25">
        <f>IS!C7/BS!C26</f>
        <v>4.4000000000000004</v>
      </c>
      <c r="D14" s="25">
        <f>IS!D7/BS!D26</f>
        <v>4.5999999999999996</v>
      </c>
      <c r="E14" s="25">
        <f>IS!E7/BS!E26</f>
        <v>4.6000000000000005</v>
      </c>
    </row>
    <row r="15" spans="1:5" x14ac:dyDescent="0.25">
      <c r="A15" s="2" t="s">
        <v>107</v>
      </c>
      <c r="C15" s="25">
        <f>-CF!B18/CF!B8</f>
        <v>0.58823529411764708</v>
      </c>
      <c r="D15" s="25">
        <f>-CF!C18/CF!C8</f>
        <v>0.55555555555555558</v>
      </c>
      <c r="E15" s="25">
        <f>-CF!D18/CF!D8</f>
        <v>0.49167005282405601</v>
      </c>
    </row>
    <row r="16" spans="1:5" x14ac:dyDescent="0.25">
      <c r="A16" s="2"/>
      <c r="B16" s="11"/>
      <c r="C16" s="11"/>
      <c r="D16" s="11"/>
      <c r="E16" s="11"/>
    </row>
    <row r="17" spans="1:5" x14ac:dyDescent="0.25">
      <c r="A17" s="1" t="s">
        <v>48</v>
      </c>
      <c r="B17" s="11"/>
      <c r="C17" s="11"/>
      <c r="D17" s="11"/>
      <c r="E17" s="11"/>
    </row>
    <row r="18" spans="1:5" x14ac:dyDescent="0.25">
      <c r="A18" s="2" t="s">
        <v>58</v>
      </c>
      <c r="B18" s="25">
        <f>BS!B13/BS!B27</f>
        <v>1.25</v>
      </c>
      <c r="C18" s="25">
        <f>BS!C13/BS!C27</f>
        <v>1.1599999999999999</v>
      </c>
      <c r="D18" s="25">
        <f>BS!D13/BS!D27</f>
        <v>1.7619999999999998</v>
      </c>
      <c r="E18" s="25">
        <f>BS!E13/BS!E27</f>
        <v>2.2463086987778573</v>
      </c>
    </row>
    <row r="19" spans="1:5" x14ac:dyDescent="0.25">
      <c r="A19" s="2" t="s">
        <v>90</v>
      </c>
      <c r="B19" s="25">
        <f>(BS!B11+BS!B12)/BS!B27</f>
        <v>1</v>
      </c>
      <c r="C19" s="25">
        <f>(BS!C11+BS!C12)/BS!C27</f>
        <v>1</v>
      </c>
      <c r="D19" s="25">
        <f>(BS!D11+BS!D12)/BS!D27</f>
        <v>1</v>
      </c>
      <c r="E19" s="29">
        <v>1</v>
      </c>
    </row>
    <row r="20" spans="1:5" x14ac:dyDescent="0.25">
      <c r="A20" s="2" t="s">
        <v>92</v>
      </c>
      <c r="B20" s="11">
        <f>BS!B29/BS!B20</f>
        <v>0.27835051546391754</v>
      </c>
      <c r="C20" s="11">
        <f>BS!C29/BS!C20</f>
        <v>0.12820512820512819</v>
      </c>
      <c r="D20" s="11">
        <f>BS!D29/BS!D20</f>
        <v>0.11515430677107324</v>
      </c>
      <c r="E20" s="11">
        <f>BS!E29/BS!E20</f>
        <v>8.3488329953072829E-2</v>
      </c>
    </row>
    <row r="21" spans="1:5" x14ac:dyDescent="0.25">
      <c r="A21" s="2" t="s">
        <v>59</v>
      </c>
      <c r="B21" s="25">
        <f>(BS!B10+BS!B12)/BS!B27</f>
        <v>0.75</v>
      </c>
      <c r="C21" s="25">
        <f>(BS!C10+BS!C12)/BS!C27</f>
        <v>0.66</v>
      </c>
      <c r="D21" s="25">
        <f>(BS!D10+BS!D12)/BS!D27</f>
        <v>1.2619999999999998</v>
      </c>
      <c r="E21" s="25">
        <f>(BS!E10+BS!E12)/BS!E27</f>
        <v>1.7463086987778573</v>
      </c>
    </row>
    <row r="22" spans="1:5" x14ac:dyDescent="0.25">
      <c r="A22" s="2"/>
      <c r="B22" s="11"/>
      <c r="C22" s="11"/>
      <c r="D22" s="11"/>
      <c r="E22" s="11"/>
    </row>
    <row r="23" spans="1:5" x14ac:dyDescent="0.25">
      <c r="A23" s="1" t="s">
        <v>56</v>
      </c>
      <c r="B23" s="11"/>
      <c r="C23" s="11"/>
      <c r="D23" s="11"/>
      <c r="E23" s="11"/>
    </row>
    <row r="24" spans="1:5" x14ac:dyDescent="0.25">
      <c r="B24" s="11"/>
      <c r="C24" s="11"/>
      <c r="D24" s="11"/>
      <c r="E24" s="11"/>
    </row>
    <row r="25" spans="1:5" x14ac:dyDescent="0.25">
      <c r="A25" s="4" t="s">
        <v>49</v>
      </c>
      <c r="B25" s="12"/>
      <c r="C25" s="12"/>
      <c r="D25" s="12"/>
      <c r="E25" s="12"/>
    </row>
    <row r="26" spans="1:5" x14ac:dyDescent="0.25">
      <c r="A26" s="2" t="s">
        <v>50</v>
      </c>
      <c r="B26" s="11">
        <f>IS!B13/IS!B7</f>
        <v>0.52</v>
      </c>
      <c r="C26" s="11">
        <f>IS!C13/IS!C7</f>
        <v>0.48181818181818181</v>
      </c>
      <c r="D26" s="11">
        <f>IS!D13/IS!D7</f>
        <v>0.48695652173913045</v>
      </c>
      <c r="E26" s="11">
        <f>IS!E13/IS!E7</f>
        <v>0.47615384615384615</v>
      </c>
    </row>
    <row r="27" spans="1:5" x14ac:dyDescent="0.25">
      <c r="A27" s="2" t="s">
        <v>51</v>
      </c>
      <c r="B27" s="11">
        <f>IS!B7/BS!B20</f>
        <v>0.51546391752577314</v>
      </c>
      <c r="C27" s="11">
        <f>IS!C7/BS!C20</f>
        <v>0.5641025641025641</v>
      </c>
      <c r="D27" s="11">
        <f>IS!D7/BS!D20</f>
        <v>0.52970981114693694</v>
      </c>
      <c r="E27" s="11">
        <f>IS!E7/BS!E20</f>
        <v>0.51366195003628057</v>
      </c>
    </row>
    <row r="28" spans="1:5" x14ac:dyDescent="0.25">
      <c r="A28" s="2" t="s">
        <v>52</v>
      </c>
      <c r="B28" s="11">
        <f>IS!B15/IS!B13</f>
        <v>0.90384615384615385</v>
      </c>
      <c r="C28" s="11">
        <f>IS!C15/IS!C13</f>
        <v>0.94339622641509435</v>
      </c>
      <c r="D28" s="11">
        <f>IS!D15/IS!D13</f>
        <v>0.9553571428571429</v>
      </c>
      <c r="E28" s="11">
        <f>IS!E15/IS!E13</f>
        <v>0.96586490774663092</v>
      </c>
    </row>
    <row r="29" spans="1:5" x14ac:dyDescent="0.25">
      <c r="A29" s="2" t="s">
        <v>53</v>
      </c>
      <c r="B29" s="11">
        <f>IS!B17/IS!B15</f>
        <v>0.6</v>
      </c>
      <c r="C29" s="11">
        <f>IS!C17/IS!C15</f>
        <v>0.6</v>
      </c>
      <c r="D29" s="11">
        <f>IS!D17/IS!D15</f>
        <v>0.59999999999999987</v>
      </c>
      <c r="E29" s="11">
        <f>IS!E17/IS!E15</f>
        <v>0.59999999999999987</v>
      </c>
    </row>
    <row r="30" spans="1:5" x14ac:dyDescent="0.25">
      <c r="A30" s="2" t="s">
        <v>54</v>
      </c>
      <c r="B30" s="11">
        <f>BS!B20/BS!B34</f>
        <v>1.94</v>
      </c>
      <c r="C30" s="11">
        <f>BS!C20/BS!C34</f>
        <v>1.625</v>
      </c>
      <c r="D30" s="11">
        <f>BS!D20/BS!D34</f>
        <v>1.5277973258268824</v>
      </c>
      <c r="E30" s="11">
        <f>BS!E20/BS!E34</f>
        <v>1.4426259284663692</v>
      </c>
    </row>
    <row r="31" spans="1:5" x14ac:dyDescent="0.25">
      <c r="A31" s="2" t="s">
        <v>62</v>
      </c>
      <c r="B31" s="11">
        <f>B26*B27*B28*B29*B30</f>
        <v>0.28199999999999997</v>
      </c>
      <c r="C31" s="11">
        <f>C26*C27*C28*C29*C30</f>
        <v>0.24999999999999997</v>
      </c>
      <c r="D31" s="11">
        <f>D26*D27*D28*D29*D30</f>
        <v>0.22589725545390568</v>
      </c>
      <c r="E31" s="11">
        <f>E26*E27*E28*E29*E30</f>
        <v>0.20447775305568233</v>
      </c>
    </row>
    <row r="33" spans="1:5" x14ac:dyDescent="0.25">
      <c r="A33" s="1" t="s">
        <v>65</v>
      </c>
      <c r="B33">
        <v>10</v>
      </c>
      <c r="C33">
        <v>10</v>
      </c>
      <c r="D33">
        <v>10</v>
      </c>
      <c r="E33" s="22">
        <v>10</v>
      </c>
    </row>
    <row r="34" spans="1:5" x14ac:dyDescent="0.25">
      <c r="A34" s="1" t="s">
        <v>77</v>
      </c>
      <c r="B34" s="11">
        <f>IS!B14/BS!B29</f>
        <v>9.2592592592592587E-2</v>
      </c>
      <c r="C34" s="11">
        <f>IS!C14/BS!C29</f>
        <v>0.12</v>
      </c>
      <c r="D34" s="11">
        <v>0.1</v>
      </c>
      <c r="E34" s="23">
        <v>0.1</v>
      </c>
    </row>
    <row r="35" spans="1:5" x14ac:dyDescent="0.25">
      <c r="A35" s="1" t="s">
        <v>78</v>
      </c>
      <c r="B35" s="21">
        <v>0.4</v>
      </c>
      <c r="C35" s="21">
        <v>0.4</v>
      </c>
      <c r="D35" s="21">
        <v>0.4</v>
      </c>
      <c r="E35" s="24">
        <v>0.4</v>
      </c>
    </row>
  </sheetData>
  <mergeCells count="1">
    <mergeCell ref="A1:E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&amp;RBusiness Finance 824</oddHeader>
    <oddFooter>&amp;RCOMPANY ANALYSIS: Financial Statement Analysis (Supplemental)
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2" sqref="D12"/>
    </sheetView>
  </sheetViews>
  <sheetFormatPr defaultRowHeight="13.2" x14ac:dyDescent="0.25"/>
  <cols>
    <col min="1" max="1" width="20.88671875" bestFit="1" customWidth="1"/>
  </cols>
  <sheetData>
    <row r="1" spans="1:4" x14ac:dyDescent="0.25">
      <c r="A1" s="39" t="s">
        <v>2</v>
      </c>
      <c r="B1" s="39"/>
      <c r="C1" s="39"/>
      <c r="D1" s="39"/>
    </row>
    <row r="3" spans="1:4" x14ac:dyDescent="0.25">
      <c r="A3" s="4" t="s">
        <v>3</v>
      </c>
      <c r="B3" s="33" t="s">
        <v>5</v>
      </c>
      <c r="C3" s="33" t="s">
        <v>6</v>
      </c>
      <c r="D3" s="33" t="s">
        <v>55</v>
      </c>
    </row>
    <row r="5" spans="1:4" x14ac:dyDescent="0.25">
      <c r="A5" s="1" t="s">
        <v>63</v>
      </c>
    </row>
    <row r="7" spans="1:4" x14ac:dyDescent="0.25">
      <c r="A7" t="s">
        <v>64</v>
      </c>
      <c r="B7" s="10">
        <f>IS!C17</f>
        <v>30</v>
      </c>
      <c r="C7" s="10">
        <f>IS!D17</f>
        <v>32.099999999999994</v>
      </c>
      <c r="D7" s="10">
        <f>IS!E17</f>
        <v>33.954438461538459</v>
      </c>
    </row>
    <row r="8" spans="1:4" x14ac:dyDescent="0.25">
      <c r="A8" t="s">
        <v>11</v>
      </c>
      <c r="B8" s="6">
        <f>BS!C17-BS!B17</f>
        <v>17</v>
      </c>
      <c r="C8" s="6">
        <f>BS!D17-BS!C17</f>
        <v>18</v>
      </c>
      <c r="D8" s="6">
        <f>BS!E17-BS!D17</f>
        <v>18.930769230769229</v>
      </c>
    </row>
    <row r="9" spans="1:4" x14ac:dyDescent="0.25">
      <c r="A9" t="s">
        <v>66</v>
      </c>
      <c r="B9" s="6"/>
      <c r="C9" s="6"/>
      <c r="D9" s="6"/>
    </row>
    <row r="10" spans="1:4" x14ac:dyDescent="0.25">
      <c r="A10" t="s">
        <v>67</v>
      </c>
      <c r="B10" s="6">
        <f>-(BS!C11-BS!B11)</f>
        <v>-5</v>
      </c>
      <c r="C10" s="6">
        <f>-(BS!D11-BS!C11)</f>
        <v>0</v>
      </c>
      <c r="D10" s="6">
        <f>-(BS!E11-BS!D11)</f>
        <v>-1.7500000000000036</v>
      </c>
    </row>
    <row r="11" spans="1:4" x14ac:dyDescent="0.25">
      <c r="A11" t="s">
        <v>68</v>
      </c>
      <c r="B11" s="6">
        <f>-(BS!C12-BS!B12)</f>
        <v>-5</v>
      </c>
      <c r="C11" s="6">
        <f>-(BS!D12-BS!C12)</f>
        <v>0</v>
      </c>
      <c r="D11" s="6">
        <f>-(BS!E12-BS!D12)</f>
        <v>-1.75</v>
      </c>
    </row>
    <row r="12" spans="1:4" x14ac:dyDescent="0.25">
      <c r="A12" t="s">
        <v>69</v>
      </c>
      <c r="B12" s="6">
        <f>BS!C25-BS!B25</f>
        <v>5</v>
      </c>
      <c r="C12" s="6">
        <f>BS!D25-BS!C25</f>
        <v>0</v>
      </c>
      <c r="D12" s="6">
        <f>BS!E25-BS!D25</f>
        <v>1.75</v>
      </c>
    </row>
    <row r="13" spans="1:4" x14ac:dyDescent="0.25">
      <c r="A13" t="s">
        <v>70</v>
      </c>
      <c r="B13" s="7">
        <f>BS!C26-BS!B26</f>
        <v>5</v>
      </c>
      <c r="C13" s="7">
        <f>BS!D26-BS!C26</f>
        <v>0</v>
      </c>
      <c r="D13" s="7">
        <f>BS!E26-BS!D26</f>
        <v>1.75</v>
      </c>
    </row>
    <row r="14" spans="1:4" x14ac:dyDescent="0.25">
      <c r="A14" t="s">
        <v>71</v>
      </c>
      <c r="B14" s="10">
        <f>SUM(B7:B13)</f>
        <v>47</v>
      </c>
      <c r="C14" s="10">
        <f>SUM(C7:C13)</f>
        <v>50.099999999999994</v>
      </c>
      <c r="D14" s="10">
        <f>SUM(D7:D13)</f>
        <v>52.885207692307688</v>
      </c>
    </row>
    <row r="16" spans="1:4" x14ac:dyDescent="0.25">
      <c r="A16" s="1" t="s">
        <v>72</v>
      </c>
    </row>
    <row r="18" spans="1:4" x14ac:dyDescent="0.25">
      <c r="A18" t="s">
        <v>79</v>
      </c>
      <c r="B18" s="10">
        <f>-(BS!C16-BS!B16)</f>
        <v>-10</v>
      </c>
      <c r="C18" s="10">
        <f>-(BS!D16-BS!C16)</f>
        <v>-10</v>
      </c>
      <c r="D18" s="10">
        <f>-(BS!E16-BS!D16)</f>
        <v>-9.3076923076923208</v>
      </c>
    </row>
    <row r="20" spans="1:4" x14ac:dyDescent="0.25">
      <c r="A20" s="1" t="s">
        <v>73</v>
      </c>
    </row>
    <row r="22" spans="1:4" x14ac:dyDescent="0.25">
      <c r="A22" t="s">
        <v>36</v>
      </c>
      <c r="B22" s="10">
        <f>BS!C29-BS!B29</f>
        <v>-29</v>
      </c>
      <c r="C22" s="10">
        <f>BS!D29-BS!C29</f>
        <v>0</v>
      </c>
      <c r="D22" s="10">
        <f>BS!E29-BS!D29</f>
        <v>-5</v>
      </c>
    </row>
    <row r="23" spans="1:4" x14ac:dyDescent="0.25">
      <c r="A23" t="s">
        <v>39</v>
      </c>
      <c r="B23" s="6">
        <f>BS!C33-BS!B33</f>
        <v>0</v>
      </c>
      <c r="C23" s="6">
        <f>BS!D33-BS!C33</f>
        <v>0</v>
      </c>
      <c r="D23" s="6">
        <f>BS!E33-BS!D33</f>
        <v>0</v>
      </c>
    </row>
    <row r="24" spans="1:4" x14ac:dyDescent="0.25">
      <c r="A24" t="s">
        <v>26</v>
      </c>
      <c r="B24" s="7">
        <f>-IS!C21</f>
        <v>-10</v>
      </c>
      <c r="C24" s="7">
        <f>-IS!D21</f>
        <v>-10</v>
      </c>
      <c r="D24" s="7">
        <f>-IS!E21</f>
        <v>-10</v>
      </c>
    </row>
    <row r="25" spans="1:4" x14ac:dyDescent="0.25">
      <c r="A25" t="s">
        <v>71</v>
      </c>
      <c r="B25" s="10">
        <f>SUM(B22:B24)</f>
        <v>-39</v>
      </c>
      <c r="C25" s="10">
        <f>SUM(C22:C24)</f>
        <v>-10</v>
      </c>
      <c r="D25" s="10">
        <f>SUM(D22:D24)</f>
        <v>-15</v>
      </c>
    </row>
    <row r="27" spans="1:4" x14ac:dyDescent="0.25">
      <c r="A27" s="1" t="s">
        <v>74</v>
      </c>
      <c r="B27" s="10">
        <f>BS!B10</f>
        <v>10</v>
      </c>
      <c r="C27" s="10">
        <f>B29</f>
        <v>8</v>
      </c>
      <c r="D27" s="10">
        <f>C29</f>
        <v>38.099999999999994</v>
      </c>
    </row>
    <row r="28" spans="1:4" x14ac:dyDescent="0.25">
      <c r="A28" s="1" t="s">
        <v>75</v>
      </c>
      <c r="B28" s="20">
        <f>B25+B18+B14</f>
        <v>-2</v>
      </c>
      <c r="C28" s="20">
        <f>C25+C18+C14</f>
        <v>30.099999999999994</v>
      </c>
      <c r="D28" s="20">
        <f>D25+D18+D14</f>
        <v>28.577515384615367</v>
      </c>
    </row>
    <row r="29" spans="1:4" ht="13.8" thickBot="1" x14ac:dyDescent="0.3">
      <c r="A29" s="1" t="s">
        <v>76</v>
      </c>
      <c r="B29" s="16">
        <f>B27+B28</f>
        <v>8</v>
      </c>
      <c r="C29" s="16">
        <f>C27+C28</f>
        <v>38.099999999999994</v>
      </c>
      <c r="D29" s="16">
        <f>D27+D28</f>
        <v>66.677515384615361</v>
      </c>
    </row>
    <row r="30" spans="1:4" ht="13.8" thickTop="1" x14ac:dyDescent="0.25"/>
  </sheetData>
  <mergeCells count="1">
    <mergeCell ref="A1:D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&amp;RBusiness Finance 824</oddHeader>
    <oddFooter>&amp;RCOMPANY ANALYSIS: Financial Statement Analysis (Supplemental)
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4" sqref="A4"/>
    </sheetView>
  </sheetViews>
  <sheetFormatPr defaultRowHeight="13.2" x14ac:dyDescent="0.25"/>
  <sheetData>
    <row r="1" spans="1:9" ht="15" x14ac:dyDescent="0.25">
      <c r="A1" s="38" t="s">
        <v>106</v>
      </c>
      <c r="B1" s="37"/>
      <c r="C1" s="37"/>
      <c r="D1" s="37"/>
      <c r="E1" s="37"/>
      <c r="F1" s="37"/>
      <c r="G1" s="37"/>
      <c r="H1" s="37"/>
      <c r="I1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</vt:lpstr>
      <vt:lpstr>BS</vt:lpstr>
      <vt:lpstr>Ratios</vt:lpstr>
      <vt:lpstr>CF</vt:lpstr>
      <vt:lpstr>Sheet5</vt:lpstr>
      <vt:lpstr>IS!Print_Area</vt:lpstr>
    </vt:vector>
  </TitlesOfParts>
  <Company>STRS Ohio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Spellmak</dc:creator>
  <cp:lastModifiedBy>Aniket Gupta</cp:lastModifiedBy>
  <cp:lastPrinted>2002-01-29T16:41:05Z</cp:lastPrinted>
  <dcterms:created xsi:type="dcterms:W3CDTF">2002-01-29T13:10:50Z</dcterms:created>
  <dcterms:modified xsi:type="dcterms:W3CDTF">2024-02-03T22:14:20Z</dcterms:modified>
</cp:coreProperties>
</file>