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3D69EE75-9B31-4443-86F2-F85B650232FB}" xr6:coauthVersionLast="47" xr6:coauthVersionMax="47" xr10:uidLastSave="{00000000-0000-0000-0000-000000000000}"/>
  <bookViews>
    <workbookView xWindow="3348" yWindow="3348" windowWidth="17280" windowHeight="8880"/>
  </bookViews>
  <sheets>
    <sheet name="Data Entry" sheetId="1" r:id="rId1"/>
    <sheet name="APR (treasuries)" sheetId="6" r:id="rId2"/>
    <sheet name="APR (swap)" sheetId="7" r:id="rId3"/>
    <sheet name="FVR (treasuries)" sheetId="17" r:id="rId4"/>
    <sheet name="FVR (swap)" sheetId="18" r:id="rId5"/>
    <sheet name="data" sheetId="2" state="hidden" r:id="rId6"/>
  </sheets>
  <definedNames>
    <definedName name="solver_adj" localSheetId="5" hidden="1">data!$I$22</definedName>
    <definedName name="solver_cvg" localSheetId="5" hidden="1">0.0000001</definedName>
    <definedName name="solver_drv" localSheetId="5" hidden="1">1</definedName>
    <definedName name="solver_est" localSheetId="5" hidden="1">1</definedName>
    <definedName name="solver_itr" localSheetId="5" hidden="1">100</definedName>
    <definedName name="solver_lin" localSheetId="5" hidden="1">2</definedName>
    <definedName name="solver_neg" localSheetId="5" hidden="1">2</definedName>
    <definedName name="solver_num" localSheetId="5" hidden="1">0</definedName>
    <definedName name="solver_nwt" localSheetId="5" hidden="1">1</definedName>
    <definedName name="solver_opt" localSheetId="5" hidden="1">data!$Q$96</definedName>
    <definedName name="solver_pre" localSheetId="5" hidden="1">0.000000001</definedName>
    <definedName name="solver_scl" localSheetId="5" hidden="1">2</definedName>
    <definedName name="solver_sho" localSheetId="5" hidden="1">2</definedName>
    <definedName name="solver_tim" localSheetId="5" hidden="1">100</definedName>
    <definedName name="solver_tol" localSheetId="5" hidden="1">0.01</definedName>
    <definedName name="solver_typ" localSheetId="5" hidden="1">2</definedName>
    <definedName name="solver_val" localSheetId="5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C10" i="2" s="1"/>
  <c r="V11" i="2"/>
  <c r="A24" i="2"/>
  <c r="C24" i="2" s="1"/>
  <c r="C33" i="2"/>
  <c r="D33" i="2"/>
  <c r="H33" i="2"/>
  <c r="I33" i="2"/>
  <c r="C34" i="2"/>
  <c r="D34" i="2"/>
  <c r="H34" i="2"/>
  <c r="I34" i="2"/>
  <c r="C35" i="2"/>
  <c r="D35" i="2"/>
  <c r="H35" i="2"/>
  <c r="I35" i="2"/>
  <c r="C36" i="2"/>
  <c r="D36" i="2"/>
  <c r="H36" i="2"/>
  <c r="AK9" i="2" s="1"/>
  <c r="I36" i="2"/>
  <c r="C37" i="2"/>
  <c r="D37" i="2"/>
  <c r="H37" i="2"/>
  <c r="I37" i="2"/>
  <c r="C38" i="2"/>
  <c r="D38" i="2"/>
  <c r="H38" i="2"/>
  <c r="I38" i="2"/>
  <c r="C39" i="2"/>
  <c r="D39" i="2"/>
  <c r="H39" i="2"/>
  <c r="I39" i="2"/>
  <c r="C40" i="2"/>
  <c r="D40" i="2"/>
  <c r="H40" i="2"/>
  <c r="I40" i="2"/>
  <c r="C41" i="2"/>
  <c r="D41" i="2"/>
  <c r="H41" i="2"/>
  <c r="I41" i="2"/>
  <c r="C42" i="2"/>
  <c r="D42" i="2"/>
  <c r="H42" i="2"/>
  <c r="I42" i="2"/>
  <c r="C43" i="2"/>
  <c r="D43" i="2"/>
  <c r="H43" i="2"/>
  <c r="I43" i="2"/>
  <c r="C44" i="2"/>
  <c r="D44" i="2"/>
  <c r="H44" i="2"/>
  <c r="I44" i="2"/>
  <c r="C45" i="2"/>
  <c r="D45" i="2"/>
  <c r="H45" i="2"/>
  <c r="I45" i="2"/>
  <c r="C46" i="2"/>
  <c r="D46" i="2"/>
  <c r="H46" i="2"/>
  <c r="I46" i="2"/>
  <c r="C47" i="2"/>
  <c r="D47" i="2"/>
  <c r="H47" i="2"/>
  <c r="I47" i="2"/>
  <c r="C48" i="2"/>
  <c r="D48" i="2"/>
  <c r="H48" i="2"/>
  <c r="I48" i="2"/>
  <c r="C49" i="2"/>
  <c r="D49" i="2"/>
  <c r="H49" i="2"/>
  <c r="I49" i="2"/>
  <c r="C50" i="2"/>
  <c r="D50" i="2"/>
  <c r="H50" i="2"/>
  <c r="I50" i="2"/>
  <c r="C51" i="2"/>
  <c r="D51" i="2"/>
  <c r="H51" i="2"/>
  <c r="I51" i="2"/>
  <c r="C52" i="2"/>
  <c r="D52" i="2"/>
  <c r="H52" i="2"/>
  <c r="I52" i="2"/>
  <c r="C53" i="2"/>
  <c r="D53" i="2"/>
  <c r="H53" i="2"/>
  <c r="I53" i="2"/>
  <c r="C54" i="2"/>
  <c r="D54" i="2"/>
  <c r="H54" i="2"/>
  <c r="I54" i="2"/>
  <c r="C55" i="2"/>
  <c r="D55" i="2"/>
  <c r="H55" i="2"/>
  <c r="I55" i="2"/>
  <c r="C56" i="2"/>
  <c r="D56" i="2"/>
  <c r="H56" i="2"/>
  <c r="I56" i="2"/>
  <c r="C57" i="2"/>
  <c r="D57" i="2"/>
  <c r="H57" i="2"/>
  <c r="I57" i="2"/>
  <c r="C58" i="2"/>
  <c r="D58" i="2"/>
  <c r="H58" i="2"/>
  <c r="I58" i="2"/>
  <c r="C59" i="2"/>
  <c r="D59" i="2"/>
  <c r="H59" i="2"/>
  <c r="I59" i="2"/>
  <c r="C60" i="2"/>
  <c r="D60" i="2"/>
  <c r="H60" i="2"/>
  <c r="I60" i="2"/>
  <c r="C61" i="2"/>
  <c r="D61" i="2"/>
  <c r="H61" i="2"/>
  <c r="I61" i="2"/>
  <c r="C62" i="2"/>
  <c r="D62" i="2"/>
  <c r="H62" i="2"/>
  <c r="I62" i="2"/>
  <c r="C63" i="2"/>
  <c r="D63" i="2"/>
  <c r="H63" i="2"/>
  <c r="I63" i="2"/>
  <c r="C64" i="2"/>
  <c r="D64" i="2"/>
  <c r="H64" i="2"/>
  <c r="I64" i="2"/>
  <c r="C65" i="2"/>
  <c r="D65" i="2"/>
  <c r="H65" i="2"/>
  <c r="I65" i="2"/>
  <c r="C66" i="2"/>
  <c r="D66" i="2"/>
  <c r="H66" i="2"/>
  <c r="I66" i="2"/>
  <c r="C67" i="2"/>
  <c r="D67" i="2"/>
  <c r="H67" i="2"/>
  <c r="I67" i="2"/>
  <c r="C68" i="2"/>
  <c r="D68" i="2"/>
  <c r="H68" i="2"/>
  <c r="I68" i="2"/>
  <c r="C69" i="2"/>
  <c r="D69" i="2"/>
  <c r="H69" i="2"/>
  <c r="I69" i="2"/>
  <c r="C70" i="2"/>
  <c r="D70" i="2"/>
  <c r="H70" i="2"/>
  <c r="I70" i="2"/>
  <c r="C71" i="2"/>
  <c r="D71" i="2"/>
  <c r="H71" i="2"/>
  <c r="I71" i="2"/>
  <c r="C72" i="2"/>
  <c r="D72" i="2"/>
  <c r="H72" i="2"/>
  <c r="I72" i="2"/>
  <c r="C73" i="2"/>
  <c r="D73" i="2"/>
  <c r="H73" i="2"/>
  <c r="I73" i="2"/>
  <c r="C74" i="2"/>
  <c r="D74" i="2"/>
  <c r="H74" i="2"/>
  <c r="I74" i="2"/>
  <c r="C75" i="2"/>
  <c r="D75" i="2"/>
  <c r="H75" i="2"/>
  <c r="I75" i="2"/>
  <c r="C76" i="2"/>
  <c r="D76" i="2"/>
  <c r="H76" i="2"/>
  <c r="I76" i="2"/>
  <c r="C77" i="2"/>
  <c r="D77" i="2"/>
  <c r="H77" i="2"/>
  <c r="I77" i="2"/>
  <c r="C78" i="2"/>
  <c r="D78" i="2"/>
  <c r="H78" i="2"/>
  <c r="I78" i="2"/>
  <c r="C79" i="2"/>
  <c r="D79" i="2"/>
  <c r="H79" i="2"/>
  <c r="I79" i="2"/>
  <c r="C80" i="2"/>
  <c r="D80" i="2"/>
  <c r="H80" i="2"/>
  <c r="I80" i="2"/>
  <c r="C81" i="2"/>
  <c r="D81" i="2"/>
  <c r="H81" i="2"/>
  <c r="I81" i="2"/>
  <c r="C82" i="2"/>
  <c r="D82" i="2"/>
  <c r="H82" i="2"/>
  <c r="I82" i="2"/>
  <c r="C83" i="2"/>
  <c r="D83" i="2"/>
  <c r="H83" i="2"/>
  <c r="I83" i="2"/>
  <c r="C84" i="2"/>
  <c r="D84" i="2"/>
  <c r="H84" i="2"/>
  <c r="I84" i="2"/>
  <c r="C85" i="2"/>
  <c r="D85" i="2"/>
  <c r="H85" i="2"/>
  <c r="I85" i="2"/>
  <c r="C86" i="2"/>
  <c r="D86" i="2"/>
  <c r="H86" i="2"/>
  <c r="I86" i="2"/>
  <c r="C87" i="2"/>
  <c r="D87" i="2"/>
  <c r="H87" i="2"/>
  <c r="I87" i="2"/>
  <c r="C88" i="2"/>
  <c r="D88" i="2"/>
  <c r="H88" i="2"/>
  <c r="I88" i="2"/>
  <c r="C89" i="2"/>
  <c r="D89" i="2"/>
  <c r="H89" i="2"/>
  <c r="I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J7" i="1"/>
  <c r="E10" i="1"/>
  <c r="J20" i="1"/>
  <c r="D30" i="1"/>
  <c r="D31" i="1"/>
  <c r="K20" i="1"/>
  <c r="K7" i="1"/>
  <c r="E13" i="1"/>
  <c r="E17" i="1" l="1"/>
  <c r="M55" i="2" s="1"/>
  <c r="E15" i="1"/>
  <c r="B10" i="2" s="1"/>
  <c r="E14" i="1"/>
  <c r="W11" i="2" s="1"/>
  <c r="D10" i="2"/>
  <c r="E10" i="2" s="1"/>
  <c r="E16" i="1"/>
  <c r="N55" i="2" l="1"/>
  <c r="L55" i="2" s="1"/>
  <c r="B24" i="2"/>
  <c r="D24" i="2" s="1"/>
  <c r="E24" i="2" s="1"/>
  <c r="K4" i="2"/>
  <c r="K10" i="2"/>
  <c r="F10" i="2"/>
  <c r="M54" i="2"/>
  <c r="O54" i="2" s="1"/>
  <c r="K55" i="2"/>
  <c r="M60" i="2"/>
  <c r="N60" i="2"/>
  <c r="F24" i="2"/>
  <c r="K25" i="2"/>
  <c r="K19" i="2" s="1"/>
  <c r="L54" i="2"/>
  <c r="K60" i="2" l="1"/>
  <c r="M59" i="2"/>
  <c r="O59" i="2" s="1"/>
  <c r="P54" i="2"/>
  <c r="K42" i="2"/>
  <c r="K36" i="2" s="1"/>
  <c r="L59" i="2"/>
  <c r="L60" i="2"/>
  <c r="K49" i="2" l="1"/>
  <c r="K43" i="2" s="1"/>
  <c r="P59" i="2"/>
</calcChain>
</file>

<file path=xl/comments1.xml><?xml version="1.0" encoding="utf-8"?>
<comments xmlns="http://schemas.openxmlformats.org/spreadsheetml/2006/main">
  <authors>
    <author>John A. Shonder</author>
  </authors>
  <commentList>
    <comment ref="A4" authorId="0" shapeId="0">
      <text>
        <r>
          <rPr>
            <sz val="8"/>
            <color indexed="81"/>
            <rFont val="Tahoma"/>
          </rPr>
          <t xml:space="preserve">Enter the information in blue for your project.
</t>
        </r>
      </text>
    </comment>
    <comment ref="G4" authorId="0" shapeId="0">
      <text>
        <r>
          <rPr>
            <sz val="8"/>
            <color indexed="81"/>
            <rFont val="Tahoma"/>
          </rPr>
          <t>Enter the current yields for 1, 2, 3, 5, 7, 10, 20 and 30-year Treasury constant maturities. Clicking on the first link below will open your web browser to a page containing current information on these rates. This page also contains the swap rate information.
Note, however, that that page does not contain a 30-year rate for Treasury bills. The 30-year rate is the sum of the "Treasury long-term average" and an extrapolation factor. This extrapolation factor also changes daily. Clicking on the second link below will open your browser to a page containing current information.</t>
        </r>
      </text>
    </comment>
    <comment ref="G17" authorId="0" shapeId="0">
      <text>
        <r>
          <rPr>
            <sz val="8"/>
            <color indexed="81"/>
            <rFont val="Tahoma"/>
          </rPr>
          <t>Enter the current swap rates for 1, 2, 3, 4, 5, 7, 20 and 30-year swaps.
Clicking on the first link below will open your web browser to a page containing current information on these rates.</t>
        </r>
      </text>
    </comment>
  </commentList>
</comments>
</file>

<file path=xl/sharedStrings.xml><?xml version="1.0" encoding="utf-8"?>
<sst xmlns="http://schemas.openxmlformats.org/spreadsheetml/2006/main" count="39" uniqueCount="32">
  <si>
    <t>rate</t>
  </si>
  <si>
    <t>Swap Rate</t>
  </si>
  <si>
    <t>Implementation Price</t>
  </si>
  <si>
    <t>Financing Procurement Price</t>
  </si>
  <si>
    <t>Pre-Performance Period Payment</t>
  </si>
  <si>
    <t>Project Interest Rate (%)</t>
  </si>
  <si>
    <t>Project Term (months)</t>
  </si>
  <si>
    <t>Financed Amount</t>
  </si>
  <si>
    <t>YOUR PROJECT</t>
  </si>
  <si>
    <t>APR minus like-term T-bill</t>
  </si>
  <si>
    <t>APR minus like-term swap rate</t>
  </si>
  <si>
    <t>swap</t>
  </si>
  <si>
    <t>yield</t>
  </si>
  <si>
    <t>term (yrs)</t>
  </si>
  <si>
    <t>period (yrs)</t>
  </si>
  <si>
    <t>Treasury Bill Yields</t>
  </si>
  <si>
    <t>Annual percentage rate</t>
  </si>
  <si>
    <t>APR-tbill</t>
  </si>
  <si>
    <t>APR-swap</t>
  </si>
  <si>
    <t>slope</t>
  </si>
  <si>
    <t>intercept</t>
  </si>
  <si>
    <t>sigma</t>
  </si>
  <si>
    <t>Financing value ratio (indexed to like-term swap rate)</t>
  </si>
  <si>
    <t>Financing value ratio (indexed to like-term T-bill rate)</t>
  </si>
  <si>
    <t>FVR using swap rate</t>
  </si>
  <si>
    <t>FVR using T-bill rate</t>
  </si>
  <si>
    <t>FINANCIAL INDICES</t>
  </si>
  <si>
    <t>Like-term swap rate for the term of your project</t>
  </si>
  <si>
    <t>FVR/swap</t>
  </si>
  <si>
    <t>FVR/Tbill</t>
  </si>
  <si>
    <t>t-bill</t>
  </si>
  <si>
    <t>Like-term Treasuries rate for this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</si>
</sst>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&quot;$&quot;#,##0"/>
    <numFmt numFmtId="167" formatCode="0.0"/>
  </numFmts>
  <fonts count="18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6"/>
      <name val="Arial"/>
      <family val="2"/>
    </font>
    <font>
      <sz val="16.25"/>
      <name val="Arial"/>
      <family val="2"/>
    </font>
    <font>
      <sz val="16"/>
      <name val="Arial"/>
      <family val="2"/>
    </font>
    <font>
      <sz val="16.25"/>
      <name val="Arial"/>
      <family val="2"/>
    </font>
    <font>
      <sz val="8"/>
      <color indexed="81"/>
      <name val="Tahoma"/>
    </font>
    <font>
      <sz val="16"/>
      <name val="Arial"/>
      <family val="2"/>
    </font>
    <font>
      <sz val="16"/>
      <name val="Arial"/>
      <family val="2"/>
    </font>
    <font>
      <u/>
      <sz val="10"/>
      <color indexed="12"/>
      <name val="Arial"/>
    </font>
    <font>
      <b/>
      <sz val="13"/>
      <name val="Arial"/>
      <family val="2"/>
    </font>
    <font>
      <sz val="16"/>
      <name val="Arial"/>
      <family val="2"/>
    </font>
    <font>
      <sz val="16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89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6" xfId="2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NumberFormat="1"/>
    <xf numFmtId="165" fontId="5" fillId="0" borderId="7" xfId="0" applyNumberFormat="1" applyFont="1" applyBorder="1"/>
    <xf numFmtId="164" fontId="0" fillId="0" borderId="0" xfId="2" applyNumberFormat="1" applyFont="1"/>
    <xf numFmtId="0" fontId="4" fillId="0" borderId="0" xfId="0" applyFont="1"/>
    <xf numFmtId="9" fontId="0" fillId="0" borderId="0" xfId="0" applyNumberFormat="1"/>
    <xf numFmtId="9" fontId="0" fillId="0" borderId="0" xfId="2" applyFont="1"/>
    <xf numFmtId="9" fontId="0" fillId="0" borderId="0" xfId="2" applyNumberFormat="1" applyFont="1"/>
    <xf numFmtId="0" fontId="4" fillId="0" borderId="0" xfId="0" applyFont="1" applyBorder="1" applyAlignment="1">
      <alignment horizontal="center"/>
    </xf>
    <xf numFmtId="165" fontId="2" fillId="0" borderId="0" xfId="0" applyNumberFormat="1" applyFont="1" applyBorder="1"/>
    <xf numFmtId="10" fontId="2" fillId="0" borderId="0" xfId="0" applyNumberFormat="1" applyFont="1" applyBorder="1"/>
    <xf numFmtId="0" fontId="2" fillId="0" borderId="0" xfId="0" applyFont="1" applyBorder="1"/>
    <xf numFmtId="165" fontId="5" fillId="0" borderId="0" xfId="0" applyNumberFormat="1" applyFont="1" applyBorder="1"/>
    <xf numFmtId="165" fontId="2" fillId="0" borderId="5" xfId="0" applyNumberFormat="1" applyFont="1" applyBorder="1" applyProtection="1">
      <protection locked="0"/>
    </xf>
    <xf numFmtId="165" fontId="2" fillId="0" borderId="8" xfId="0" applyNumberFormat="1" applyFont="1" applyBorder="1" applyProtection="1">
      <protection locked="0"/>
    </xf>
    <xf numFmtId="10" fontId="2" fillId="0" borderId="8" xfId="0" applyNumberFormat="1" applyFont="1" applyBorder="1" applyProtection="1">
      <protection locked="0"/>
    </xf>
    <xf numFmtId="0" fontId="2" fillId="0" borderId="6" xfId="0" applyFont="1" applyBorder="1" applyProtection="1">
      <protection locked="0"/>
    </xf>
    <xf numFmtId="10" fontId="2" fillId="0" borderId="9" xfId="2" applyNumberFormat="1" applyFont="1" applyBorder="1" applyAlignment="1" applyProtection="1">
      <alignment horizontal="center"/>
      <protection locked="0"/>
    </xf>
    <xf numFmtId="10" fontId="2" fillId="0" borderId="10" xfId="2" applyNumberFormat="1" applyFont="1" applyBorder="1" applyAlignment="1" applyProtection="1">
      <alignment horizontal="center"/>
      <protection locked="0"/>
    </xf>
    <xf numFmtId="4" fontId="0" fillId="0" borderId="0" xfId="0" applyNumberFormat="1"/>
    <xf numFmtId="11" fontId="0" fillId="0" borderId="0" xfId="0" applyNumberFormat="1"/>
    <xf numFmtId="167" fontId="0" fillId="0" borderId="0" xfId="0" applyNumberFormat="1"/>
    <xf numFmtId="0" fontId="0" fillId="0" borderId="0" xfId="0" applyBorder="1" applyAlignment="1">
      <alignment horizontal="center"/>
    </xf>
    <xf numFmtId="2" fontId="0" fillId="0" borderId="0" xfId="0" applyNumberFormat="1" applyBorder="1"/>
    <xf numFmtId="2" fontId="1" fillId="0" borderId="0" xfId="2" applyNumberFormat="1" applyFont="1" applyBorder="1"/>
    <xf numFmtId="0" fontId="0" fillId="0" borderId="0" xfId="0" applyBorder="1"/>
    <xf numFmtId="2" fontId="0" fillId="0" borderId="8" xfId="0" applyNumberFormat="1" applyBorder="1"/>
    <xf numFmtId="0" fontId="17" fillId="0" borderId="0" xfId="0" applyFont="1"/>
    <xf numFmtId="0" fontId="4" fillId="0" borderId="3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/>
    <xf numFmtId="0" fontId="0" fillId="0" borderId="13" xfId="0" applyBorder="1"/>
    <xf numFmtId="164" fontId="0" fillId="0" borderId="5" xfId="2" applyNumberFormat="1" applyFont="1" applyBorder="1"/>
    <xf numFmtId="4" fontId="0" fillId="0" borderId="8" xfId="0" applyNumberFormat="1" applyBorder="1"/>
    <xf numFmtId="1" fontId="0" fillId="0" borderId="8" xfId="0" applyNumberFormat="1" applyBorder="1"/>
    <xf numFmtId="1" fontId="0" fillId="0" borderId="6" xfId="0" applyNumberFormat="1" applyBorder="1"/>
    <xf numFmtId="1" fontId="0" fillId="0" borderId="0" xfId="2" applyNumberFormat="1" applyFont="1"/>
    <xf numFmtId="1" fontId="0" fillId="0" borderId="0" xfId="0" applyNumberFormat="1"/>
    <xf numFmtId="2" fontId="0" fillId="0" borderId="0" xfId="0" applyNumberFormat="1" applyFill="1" applyBorder="1"/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5" fillId="0" borderId="0" xfId="0" applyFont="1"/>
    <xf numFmtId="2" fontId="0" fillId="0" borderId="0" xfId="2" applyNumberFormat="1" applyFont="1"/>
    <xf numFmtId="10" fontId="2" fillId="0" borderId="9" xfId="0" applyNumberFormat="1" applyFont="1" applyBorder="1" applyAlignment="1" applyProtection="1">
      <alignment horizontal="center"/>
      <protection locked="0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0" borderId="3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3" fillId="0" borderId="0" xfId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13" fillId="0" borderId="0" xfId="1" applyAlignment="1" applyProtection="1">
      <alignment wrapText="1"/>
      <protection locked="0"/>
    </xf>
    <xf numFmtId="11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autoTitleDeleted val="0"/>
    <c:plotArea>
      <c:layout>
        <c:manualLayout>
          <c:layoutTarget val="inner"/>
          <c:xMode val="edge"/>
          <c:yMode val="edge"/>
          <c:x val="0.11120996441281138"/>
          <c:y val="3.0104712041884821E-2"/>
          <c:w val="0.85498220640569367"/>
          <c:h val="0.7617801047120419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data!$A$33:$A$121</c:f>
              <c:numCache>
                <c:formatCode>0.00</c:formatCode>
                <c:ptCount val="89"/>
                <c:pt idx="0">
                  <c:v>0.9887640449438202</c:v>
                </c:pt>
                <c:pt idx="1">
                  <c:v>0.97752808988764039</c:v>
                </c:pt>
                <c:pt idx="2">
                  <c:v>0.9662921348314607</c:v>
                </c:pt>
                <c:pt idx="3">
                  <c:v>0.9550561797752809</c:v>
                </c:pt>
                <c:pt idx="4">
                  <c:v>0.9438202247191011</c:v>
                </c:pt>
                <c:pt idx="5">
                  <c:v>0.93258426966292141</c:v>
                </c:pt>
                <c:pt idx="6">
                  <c:v>0.9213483146067416</c:v>
                </c:pt>
                <c:pt idx="7">
                  <c:v>0.9101123595505618</c:v>
                </c:pt>
                <c:pt idx="8">
                  <c:v>0.898876404494382</c:v>
                </c:pt>
                <c:pt idx="9">
                  <c:v>0.88764044943820219</c:v>
                </c:pt>
                <c:pt idx="10">
                  <c:v>0.8764044943820225</c:v>
                </c:pt>
                <c:pt idx="11">
                  <c:v>0.8651685393258427</c:v>
                </c:pt>
                <c:pt idx="12">
                  <c:v>0.8539325842696629</c:v>
                </c:pt>
                <c:pt idx="13">
                  <c:v>0.84269662921348321</c:v>
                </c:pt>
                <c:pt idx="14">
                  <c:v>0.8314606741573034</c:v>
                </c:pt>
                <c:pt idx="15">
                  <c:v>0.8202247191011236</c:v>
                </c:pt>
                <c:pt idx="16">
                  <c:v>0.8089887640449438</c:v>
                </c:pt>
                <c:pt idx="17">
                  <c:v>0.797752808988764</c:v>
                </c:pt>
                <c:pt idx="18">
                  <c:v>0.7865168539325843</c:v>
                </c:pt>
                <c:pt idx="19">
                  <c:v>0.7752808988764045</c:v>
                </c:pt>
                <c:pt idx="20">
                  <c:v>0.7640449438202247</c:v>
                </c:pt>
                <c:pt idx="21">
                  <c:v>0.75280898876404501</c:v>
                </c:pt>
                <c:pt idx="22">
                  <c:v>0.7415730337078652</c:v>
                </c:pt>
                <c:pt idx="23">
                  <c:v>0.7303370786516854</c:v>
                </c:pt>
                <c:pt idx="24">
                  <c:v>0.7191011235955056</c:v>
                </c:pt>
                <c:pt idx="25">
                  <c:v>0.7078651685393258</c:v>
                </c:pt>
                <c:pt idx="26">
                  <c:v>0.69662921348314599</c:v>
                </c:pt>
                <c:pt idx="27">
                  <c:v>0.6853932584269663</c:v>
                </c:pt>
                <c:pt idx="28">
                  <c:v>0.6741573033707865</c:v>
                </c:pt>
                <c:pt idx="29">
                  <c:v>0.66292134831460681</c:v>
                </c:pt>
                <c:pt idx="30">
                  <c:v>0.651685393258427</c:v>
                </c:pt>
                <c:pt idx="31">
                  <c:v>0.6404494382022472</c:v>
                </c:pt>
                <c:pt idx="32">
                  <c:v>0.6292134831460674</c:v>
                </c:pt>
                <c:pt idx="33">
                  <c:v>0.6179775280898876</c:v>
                </c:pt>
                <c:pt idx="34">
                  <c:v>0.60674157303370779</c:v>
                </c:pt>
                <c:pt idx="35">
                  <c:v>0.5955056179775281</c:v>
                </c:pt>
                <c:pt idx="36">
                  <c:v>0.5842696629213483</c:v>
                </c:pt>
                <c:pt idx="37">
                  <c:v>0.57303370786516861</c:v>
                </c:pt>
                <c:pt idx="38">
                  <c:v>0.5617977528089888</c:v>
                </c:pt>
                <c:pt idx="39">
                  <c:v>0.550561797752809</c:v>
                </c:pt>
                <c:pt idx="40">
                  <c:v>0.5393258426966292</c:v>
                </c:pt>
                <c:pt idx="41">
                  <c:v>0.5280898876404494</c:v>
                </c:pt>
                <c:pt idx="42">
                  <c:v>0.51685393258426959</c:v>
                </c:pt>
                <c:pt idx="43">
                  <c:v>0.5056179775280899</c:v>
                </c:pt>
                <c:pt idx="44">
                  <c:v>0.4943820224719101</c:v>
                </c:pt>
                <c:pt idx="45">
                  <c:v>0.4831460674157303</c:v>
                </c:pt>
                <c:pt idx="46">
                  <c:v>0.4719101123595506</c:v>
                </c:pt>
                <c:pt idx="47">
                  <c:v>0.4606741573033708</c:v>
                </c:pt>
                <c:pt idx="48">
                  <c:v>0.449438202247191</c:v>
                </c:pt>
                <c:pt idx="49">
                  <c:v>0.4382022471910112</c:v>
                </c:pt>
                <c:pt idx="50">
                  <c:v>0.4269662921348315</c:v>
                </c:pt>
                <c:pt idx="51">
                  <c:v>0.4157303370786517</c:v>
                </c:pt>
                <c:pt idx="52">
                  <c:v>0.4044943820224719</c:v>
                </c:pt>
                <c:pt idx="53">
                  <c:v>0.3932584269662921</c:v>
                </c:pt>
                <c:pt idx="54">
                  <c:v>0.3820224719101124</c:v>
                </c:pt>
                <c:pt idx="55">
                  <c:v>0.3707865168539326</c:v>
                </c:pt>
                <c:pt idx="56">
                  <c:v>0.3595505617977528</c:v>
                </c:pt>
                <c:pt idx="57">
                  <c:v>0.348314606741573</c:v>
                </c:pt>
                <c:pt idx="58">
                  <c:v>0.3370786516853933</c:v>
                </c:pt>
                <c:pt idx="59">
                  <c:v>0.3258426966292135</c:v>
                </c:pt>
                <c:pt idx="60">
                  <c:v>0.3146067415730337</c:v>
                </c:pt>
                <c:pt idx="61">
                  <c:v>0.3033707865168539</c:v>
                </c:pt>
                <c:pt idx="62">
                  <c:v>0.2921348314606742</c:v>
                </c:pt>
                <c:pt idx="63">
                  <c:v>0.2808988764044944</c:v>
                </c:pt>
                <c:pt idx="64">
                  <c:v>0.2696629213483146</c:v>
                </c:pt>
                <c:pt idx="65">
                  <c:v>0.2584269662921348</c:v>
                </c:pt>
                <c:pt idx="66">
                  <c:v>0.2471910112359551</c:v>
                </c:pt>
                <c:pt idx="67">
                  <c:v>0.2359550561797753</c:v>
                </c:pt>
                <c:pt idx="68">
                  <c:v>0.2247191011235955</c:v>
                </c:pt>
                <c:pt idx="69">
                  <c:v>0.2134831460674157</c:v>
                </c:pt>
                <c:pt idx="70">
                  <c:v>0.202247191011236</c:v>
                </c:pt>
                <c:pt idx="71">
                  <c:v>0.1910112359550562</c:v>
                </c:pt>
                <c:pt idx="72">
                  <c:v>0.1797752808988764</c:v>
                </c:pt>
                <c:pt idx="73">
                  <c:v>0.1685393258426966</c:v>
                </c:pt>
                <c:pt idx="74">
                  <c:v>0.15730337078651691</c:v>
                </c:pt>
                <c:pt idx="75">
                  <c:v>0.1460674157303371</c:v>
                </c:pt>
                <c:pt idx="76">
                  <c:v>0.1348314606741573</c:v>
                </c:pt>
                <c:pt idx="77">
                  <c:v>0.1235955056179775</c:v>
                </c:pt>
                <c:pt idx="78">
                  <c:v>0.11235955056179781</c:v>
                </c:pt>
                <c:pt idx="79">
                  <c:v>0.101123595505618</c:v>
                </c:pt>
                <c:pt idx="80">
                  <c:v>8.98876404494382E-2</c:v>
                </c:pt>
                <c:pt idx="81">
                  <c:v>7.8651685393258397E-2</c:v>
                </c:pt>
                <c:pt idx="82">
                  <c:v>6.7415730337078705E-2</c:v>
                </c:pt>
                <c:pt idx="83">
                  <c:v>5.6179775280898903E-2</c:v>
                </c:pt>
                <c:pt idx="84">
                  <c:v>4.49438202247191E-2</c:v>
                </c:pt>
                <c:pt idx="85">
                  <c:v>3.3707865168539297E-2</c:v>
                </c:pt>
                <c:pt idx="86">
                  <c:v>2.2471910112359605E-2</c:v>
                </c:pt>
                <c:pt idx="87">
                  <c:v>1.1235955056179803E-2</c:v>
                </c:pt>
                <c:pt idx="88">
                  <c:v>0</c:v>
                </c:pt>
              </c:numCache>
            </c:numRef>
          </c:xVal>
          <c:yVal>
            <c:numRef>
              <c:f>data!$B$33:$B$121</c:f>
              <c:numCache>
                <c:formatCode>0.00</c:formatCode>
                <c:ptCount val="89"/>
                <c:pt idx="0">
                  <c:v>128.38590512438589</c:v>
                </c:pt>
                <c:pt idx="1">
                  <c:v>189</c:v>
                </c:pt>
                <c:pt idx="2">
                  <c:v>206.53462043915147</c:v>
                </c:pt>
                <c:pt idx="3">
                  <c:v>216.85035208454869</c:v>
                </c:pt>
                <c:pt idx="4">
                  <c:v>228.96048089114211</c:v>
                </c:pt>
                <c:pt idx="5">
                  <c:v>231.5091516919486</c:v>
                </c:pt>
                <c:pt idx="6">
                  <c:v>232.21314873485562</c:v>
                </c:pt>
                <c:pt idx="7">
                  <c:v>232.35876758887565</c:v>
                </c:pt>
                <c:pt idx="8">
                  <c:v>247.20425069356079</c:v>
                </c:pt>
                <c:pt idx="9">
                  <c:v>257.02768133421364</c:v>
                </c:pt>
                <c:pt idx="10">
                  <c:v>259.4571327409638</c:v>
                </c:pt>
                <c:pt idx="11">
                  <c:v>260.57501213836417</c:v>
                </c:pt>
                <c:pt idx="12">
                  <c:v>273.82443855230503</c:v>
                </c:pt>
                <c:pt idx="13">
                  <c:v>274.75941159945961</c:v>
                </c:pt>
                <c:pt idx="14">
                  <c:v>275.52941352805743</c:v>
                </c:pt>
                <c:pt idx="15">
                  <c:v>277.7404875913769</c:v>
                </c:pt>
                <c:pt idx="16">
                  <c:v>278.14070478413072</c:v>
                </c:pt>
                <c:pt idx="17">
                  <c:v>282.17410052899288</c:v>
                </c:pt>
                <c:pt idx="18">
                  <c:v>288.92755682179831</c:v>
                </c:pt>
                <c:pt idx="19">
                  <c:v>290.67144997373703</c:v>
                </c:pt>
                <c:pt idx="20">
                  <c:v>293.97584317667776</c:v>
                </c:pt>
                <c:pt idx="21">
                  <c:v>296.97850738015057</c:v>
                </c:pt>
                <c:pt idx="22">
                  <c:v>301.53206884510371</c:v>
                </c:pt>
                <c:pt idx="23">
                  <c:v>303.45251000895774</c:v>
                </c:pt>
                <c:pt idx="24">
                  <c:v>305.57944961323744</c:v>
                </c:pt>
                <c:pt idx="25">
                  <c:v>310.08535911457682</c:v>
                </c:pt>
                <c:pt idx="26">
                  <c:v>312.60756893398059</c:v>
                </c:pt>
                <c:pt idx="27">
                  <c:v>313.28300155734337</c:v>
                </c:pt>
                <c:pt idx="28">
                  <c:v>316.08834043746168</c:v>
                </c:pt>
                <c:pt idx="29">
                  <c:v>320.59128285605385</c:v>
                </c:pt>
                <c:pt idx="30">
                  <c:v>320.93215596684195</c:v>
                </c:pt>
                <c:pt idx="31">
                  <c:v>324.02761428729985</c:v>
                </c:pt>
                <c:pt idx="32">
                  <c:v>329.15599115748205</c:v>
                </c:pt>
                <c:pt idx="33">
                  <c:v>342.48725466244662</c:v>
                </c:pt>
                <c:pt idx="34">
                  <c:v>344.81445645052776</c:v>
                </c:pt>
                <c:pt idx="35">
                  <c:v>353.14840846512158</c:v>
                </c:pt>
                <c:pt idx="36">
                  <c:v>353.97438698477464</c:v>
                </c:pt>
                <c:pt idx="37">
                  <c:v>355.4832110334371</c:v>
                </c:pt>
                <c:pt idx="38">
                  <c:v>355.97582484316882</c:v>
                </c:pt>
                <c:pt idx="39">
                  <c:v>359.87510592148118</c:v>
                </c:pt>
                <c:pt idx="40">
                  <c:v>360.83786877838264</c:v>
                </c:pt>
                <c:pt idx="41">
                  <c:v>362.77957835515366</c:v>
                </c:pt>
                <c:pt idx="42">
                  <c:v>366.8107598360827</c:v>
                </c:pt>
                <c:pt idx="43">
                  <c:v>368.76396024332251</c:v>
                </c:pt>
                <c:pt idx="44">
                  <c:v>370.24619562264354</c:v>
                </c:pt>
                <c:pt idx="45">
                  <c:v>372.61242317739192</c:v>
                </c:pt>
                <c:pt idx="46">
                  <c:v>373.32823311668659</c:v>
                </c:pt>
                <c:pt idx="47">
                  <c:v>379.65626856254841</c:v>
                </c:pt>
                <c:pt idx="48">
                  <c:v>379.8068816554524</c:v>
                </c:pt>
                <c:pt idx="49">
                  <c:v>383.87209711529215</c:v>
                </c:pt>
                <c:pt idx="50">
                  <c:v>386.61259432068181</c:v>
                </c:pt>
                <c:pt idx="51">
                  <c:v>387.28301972424293</c:v>
                </c:pt>
                <c:pt idx="52">
                  <c:v>389.16798890874634</c:v>
                </c:pt>
                <c:pt idx="53">
                  <c:v>394.21320496648792</c:v>
                </c:pt>
                <c:pt idx="54">
                  <c:v>396.66704731897158</c:v>
                </c:pt>
                <c:pt idx="55">
                  <c:v>397.14809415351971</c:v>
                </c:pt>
                <c:pt idx="56">
                  <c:v>397.26131385375544</c:v>
                </c:pt>
                <c:pt idx="57">
                  <c:v>400.05869216133743</c:v>
                </c:pt>
                <c:pt idx="58">
                  <c:v>400.08802326460057</c:v>
                </c:pt>
                <c:pt idx="59">
                  <c:v>400.20620372299032</c:v>
                </c:pt>
                <c:pt idx="60">
                  <c:v>408.14338283870586</c:v>
                </c:pt>
                <c:pt idx="61">
                  <c:v>408.33745855200033</c:v>
                </c:pt>
                <c:pt idx="62">
                  <c:v>414.55659339800098</c:v>
                </c:pt>
                <c:pt idx="63">
                  <c:v>418.46844200826911</c:v>
                </c:pt>
                <c:pt idx="64">
                  <c:v>421.07555865459432</c:v>
                </c:pt>
                <c:pt idx="65">
                  <c:v>423.40652746988468</c:v>
                </c:pt>
                <c:pt idx="66">
                  <c:v>424.1718610422019</c:v>
                </c:pt>
                <c:pt idx="67">
                  <c:v>431.79414983910453</c:v>
                </c:pt>
                <c:pt idx="68">
                  <c:v>432.83782646857128</c:v>
                </c:pt>
                <c:pt idx="69">
                  <c:v>446.25522512884481</c:v>
                </c:pt>
                <c:pt idx="70">
                  <c:v>448.47977174675191</c:v>
                </c:pt>
                <c:pt idx="71">
                  <c:v>456.67767721226414</c:v>
                </c:pt>
                <c:pt idx="72">
                  <c:v>457.17242105323197</c:v>
                </c:pt>
                <c:pt idx="73">
                  <c:v>458.27917104008338</c:v>
                </c:pt>
                <c:pt idx="74">
                  <c:v>458.8493327222227</c:v>
                </c:pt>
                <c:pt idx="75">
                  <c:v>460.00920636686993</c:v>
                </c:pt>
                <c:pt idx="76">
                  <c:v>463.72039931030298</c:v>
                </c:pt>
                <c:pt idx="77">
                  <c:v>466.05528820228534</c:v>
                </c:pt>
                <c:pt idx="78">
                  <c:v>472.07580089639777</c:v>
                </c:pt>
                <c:pt idx="79">
                  <c:v>475.45163327523949</c:v>
                </c:pt>
                <c:pt idx="80">
                  <c:v>477.27088223495167</c:v>
                </c:pt>
                <c:pt idx="81">
                  <c:v>490.71530605927666</c:v>
                </c:pt>
                <c:pt idx="82">
                  <c:v>514.49012883381442</c:v>
                </c:pt>
                <c:pt idx="83">
                  <c:v>517.70956742717237</c:v>
                </c:pt>
                <c:pt idx="84">
                  <c:v>525.17260078377205</c:v>
                </c:pt>
                <c:pt idx="85">
                  <c:v>551.68882601603104</c:v>
                </c:pt>
                <c:pt idx="86">
                  <c:v>568.03525823371206</c:v>
                </c:pt>
                <c:pt idx="87">
                  <c:v>602.49697317210905</c:v>
                </c:pt>
                <c:pt idx="88">
                  <c:v>729.93823206672801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6-414F-932C-EABC0011B0C0}"/>
            </c:ext>
          </c:extLst>
        </c:ser>
        <c:ser>
          <c:idx val="1"/>
          <c:order val="1"/>
          <c:tx>
            <c:v>Your project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data!$M$59:$M$60</c:f>
              <c:numCache>
                <c:formatCode>0%</c:formatCode>
                <c:ptCount val="2"/>
                <c:pt idx="0">
                  <c:v>0.14351535349325206</c:v>
                </c:pt>
                <c:pt idx="1">
                  <c:v>0.14351535349325206</c:v>
                </c:pt>
              </c:numCache>
            </c:numRef>
          </c:xVal>
          <c:yVal>
            <c:numRef>
              <c:f>data!$N$59:$N$60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460.85214275439694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36-414F-932C-EABC0011B0C0}"/>
            </c:ext>
          </c:extLst>
        </c:ser>
        <c:ser>
          <c:idx val="2"/>
          <c:order val="2"/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data!$K$59:$K$60</c:f>
              <c:numCache>
                <c:formatCode>0%</c:formatCode>
                <c:ptCount val="2"/>
                <c:pt idx="0" formatCode="General">
                  <c:v>1</c:v>
                </c:pt>
                <c:pt idx="1">
                  <c:v>0.14351535349325206</c:v>
                </c:pt>
              </c:numCache>
            </c:numRef>
          </c:xVal>
          <c:yVal>
            <c:numRef>
              <c:f>data!$L$59:$L$60</c:f>
              <c:numCache>
                <c:formatCode>0.00</c:formatCode>
                <c:ptCount val="2"/>
                <c:pt idx="0">
                  <c:v>460.85214275439694</c:v>
                </c:pt>
                <c:pt idx="1">
                  <c:v>460.85214275439694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36-414F-932C-EABC0011B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178720"/>
        <c:axId val="1"/>
      </c:scatterChart>
      <c:valAx>
        <c:axId val="1669178720"/>
        <c:scaling>
          <c:orientation val="maxMin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Project percentile ranking (percent of projects with less favorable APR difference)</a:t>
                </a:r>
              </a:p>
            </c:rich>
          </c:tx>
          <c:layout>
            <c:manualLayout>
              <c:xMode val="edge"/>
              <c:yMode val="edge"/>
              <c:x val="0.14946619217081847"/>
              <c:y val="0.8756544502617802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0.1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APR minus like-term Treasuries </a:t>
                </a:r>
              </a:p>
            </c:rich>
          </c:tx>
          <c:layout>
            <c:manualLayout>
              <c:xMode val="edge"/>
              <c:yMode val="edge"/>
              <c:x val="9.7864768683274001E-3"/>
              <c:y val="0.170157068062827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9178720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4056939501779356"/>
          <c:y val="9.4240837696335081E-2"/>
          <c:w val="0.18505338078291814"/>
          <c:h val="5.10471204188481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autoTitleDeleted val="0"/>
    <c:plotArea>
      <c:layout>
        <c:manualLayout>
          <c:layoutTarget val="inner"/>
          <c:xMode val="edge"/>
          <c:yMode val="edge"/>
          <c:x val="0.14501779359430605"/>
          <c:y val="3.0104712041884821E-2"/>
          <c:w val="0.82117437722419906"/>
          <c:h val="0.7617801047120419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data!$F$33:$F$90</c:f>
              <c:numCache>
                <c:formatCode>0.00</c:formatCode>
                <c:ptCount val="58"/>
                <c:pt idx="0">
                  <c:v>0.98275862068965514</c:v>
                </c:pt>
                <c:pt idx="1">
                  <c:v>0.96551724137931039</c:v>
                </c:pt>
                <c:pt idx="2">
                  <c:v>0.94827586206896552</c:v>
                </c:pt>
                <c:pt idx="3">
                  <c:v>0.93103448275862066</c:v>
                </c:pt>
                <c:pt idx="4">
                  <c:v>0.91379310344827591</c:v>
                </c:pt>
                <c:pt idx="5">
                  <c:v>0.89655172413793105</c:v>
                </c:pt>
                <c:pt idx="6">
                  <c:v>0.87931034482758597</c:v>
                </c:pt>
                <c:pt idx="7">
                  <c:v>0.86206896551724099</c:v>
                </c:pt>
                <c:pt idx="8">
                  <c:v>0.84482758620689602</c:v>
                </c:pt>
                <c:pt idx="9">
                  <c:v>0.82758620689655205</c:v>
                </c:pt>
                <c:pt idx="10">
                  <c:v>0.81034482758620696</c:v>
                </c:pt>
                <c:pt idx="11">
                  <c:v>0.79310344827586199</c:v>
                </c:pt>
                <c:pt idx="12">
                  <c:v>0.77586206896551702</c:v>
                </c:pt>
                <c:pt idx="13">
                  <c:v>0.75862068965517193</c:v>
                </c:pt>
                <c:pt idx="14">
                  <c:v>0.74137931034482696</c:v>
                </c:pt>
                <c:pt idx="15">
                  <c:v>0.72413793103448298</c:v>
                </c:pt>
                <c:pt idx="16">
                  <c:v>0.70689655172413801</c:v>
                </c:pt>
                <c:pt idx="17">
                  <c:v>0.68965517241379293</c:v>
                </c:pt>
                <c:pt idx="18">
                  <c:v>0.67241379310344795</c:v>
                </c:pt>
                <c:pt idx="19">
                  <c:v>0.65517241379310298</c:v>
                </c:pt>
                <c:pt idx="20">
                  <c:v>0.63793103448275801</c:v>
                </c:pt>
                <c:pt idx="21">
                  <c:v>0.62068965517241392</c:v>
                </c:pt>
                <c:pt idx="22">
                  <c:v>0.60344827586206895</c:v>
                </c:pt>
                <c:pt idx="23">
                  <c:v>0.58620689655172398</c:v>
                </c:pt>
                <c:pt idx="24">
                  <c:v>0.568965517241379</c:v>
                </c:pt>
                <c:pt idx="25">
                  <c:v>0.55172413793103403</c:v>
                </c:pt>
                <c:pt idx="26">
                  <c:v>0.53448275862068906</c:v>
                </c:pt>
                <c:pt idx="27">
                  <c:v>0.51724137931034497</c:v>
                </c:pt>
                <c:pt idx="28">
                  <c:v>0.5</c:v>
                </c:pt>
                <c:pt idx="29">
                  <c:v>0.48275862068965503</c:v>
                </c:pt>
                <c:pt idx="30">
                  <c:v>0.46551724137931005</c:v>
                </c:pt>
                <c:pt idx="31">
                  <c:v>0.44827586206896497</c:v>
                </c:pt>
                <c:pt idx="32">
                  <c:v>0.431034482758621</c:v>
                </c:pt>
                <c:pt idx="33">
                  <c:v>0.41379310344827602</c:v>
                </c:pt>
                <c:pt idx="34">
                  <c:v>0.39655172413793105</c:v>
                </c:pt>
                <c:pt idx="35">
                  <c:v>0.37931034482758597</c:v>
                </c:pt>
                <c:pt idx="36">
                  <c:v>0.36206896551724099</c:v>
                </c:pt>
                <c:pt idx="37">
                  <c:v>0.34482758620689602</c:v>
                </c:pt>
                <c:pt idx="38">
                  <c:v>0.32758620689655205</c:v>
                </c:pt>
                <c:pt idx="39">
                  <c:v>0.31034482758620696</c:v>
                </c:pt>
                <c:pt idx="40">
                  <c:v>0.29310344827586199</c:v>
                </c:pt>
                <c:pt idx="41">
                  <c:v>0.27586206896551702</c:v>
                </c:pt>
                <c:pt idx="42">
                  <c:v>0.25862068965517204</c:v>
                </c:pt>
                <c:pt idx="43">
                  <c:v>0.24137931034482696</c:v>
                </c:pt>
                <c:pt idx="44">
                  <c:v>0.22413793103448298</c:v>
                </c:pt>
                <c:pt idx="45">
                  <c:v>0.20689655172413801</c:v>
                </c:pt>
                <c:pt idx="46">
                  <c:v>0.18965517241379304</c:v>
                </c:pt>
                <c:pt idx="47">
                  <c:v>0.17241379310344795</c:v>
                </c:pt>
                <c:pt idx="48">
                  <c:v>0.15517241379310298</c:v>
                </c:pt>
                <c:pt idx="49">
                  <c:v>0.13793103448275801</c:v>
                </c:pt>
                <c:pt idx="50">
                  <c:v>0.12068965517241403</c:v>
                </c:pt>
                <c:pt idx="51">
                  <c:v>0.10344827586206895</c:v>
                </c:pt>
                <c:pt idx="52">
                  <c:v>8.6206896551723977E-2</c:v>
                </c:pt>
                <c:pt idx="53">
                  <c:v>6.8965517241379004E-2</c:v>
                </c:pt>
                <c:pt idx="54">
                  <c:v>5.1724137931034031E-2</c:v>
                </c:pt>
                <c:pt idx="55">
                  <c:v>3.4482758620688947E-2</c:v>
                </c:pt>
                <c:pt idx="56">
                  <c:v>1.7241379310344973E-2</c:v>
                </c:pt>
                <c:pt idx="57">
                  <c:v>0</c:v>
                </c:pt>
              </c:numCache>
            </c:numRef>
          </c:xVal>
          <c:yVal>
            <c:numRef>
              <c:f>data!$G$33:$G$90</c:f>
              <c:numCache>
                <c:formatCode>0.00</c:formatCode>
                <c:ptCount val="58"/>
                <c:pt idx="0">
                  <c:v>180.74048759137679</c:v>
                </c:pt>
                <c:pt idx="1">
                  <c:v>182.53671925631932</c:v>
                </c:pt>
                <c:pt idx="2">
                  <c:v>216.2291875064854</c:v>
                </c:pt>
                <c:pt idx="3">
                  <c:v>218.18774151891859</c:v>
                </c:pt>
                <c:pt idx="4">
                  <c:v>230.32548787540776</c:v>
                </c:pt>
                <c:pt idx="5">
                  <c:v>238.63332257014474</c:v>
                </c:pt>
                <c:pt idx="6">
                  <c:v>251.9929360443389</c:v>
                </c:pt>
                <c:pt idx="7">
                  <c:v>257.75486513625088</c:v>
                </c:pt>
                <c:pt idx="8">
                  <c:v>259.94445989445421</c:v>
                </c:pt>
                <c:pt idx="9">
                  <c:v>260.80985097308621</c:v>
                </c:pt>
                <c:pt idx="10">
                  <c:v>278.44180783913578</c:v>
                </c:pt>
                <c:pt idx="11">
                  <c:v>279.56335426585446</c:v>
                </c:pt>
                <c:pt idx="12">
                  <c:v>283.98627433502458</c:v>
                </c:pt>
                <c:pt idx="13">
                  <c:v>287.61520906224081</c:v>
                </c:pt>
                <c:pt idx="14">
                  <c:v>288.81260958662364</c:v>
                </c:pt>
                <c:pt idx="15">
                  <c:v>295.17838734945627</c:v>
                </c:pt>
                <c:pt idx="16">
                  <c:v>295.44529139061274</c:v>
                </c:pt>
                <c:pt idx="17">
                  <c:v>298.22056637242105</c:v>
                </c:pt>
                <c:pt idx="18">
                  <c:v>299.24733064930194</c:v>
                </c:pt>
                <c:pt idx="19">
                  <c:v>301.9693247952178</c:v>
                </c:pt>
                <c:pt idx="20">
                  <c:v>310.38202467212972</c:v>
                </c:pt>
                <c:pt idx="21">
                  <c:v>320.49697191189233</c:v>
                </c:pt>
                <c:pt idx="22">
                  <c:v>323.69293203615155</c:v>
                </c:pt>
                <c:pt idx="23">
                  <c:v>325.8357072185234</c:v>
                </c:pt>
                <c:pt idx="24">
                  <c:v>328.7985245445339</c:v>
                </c:pt>
                <c:pt idx="25">
                  <c:v>332.01270405029169</c:v>
                </c:pt>
                <c:pt idx="26">
                  <c:v>336.77527962609827</c:v>
                </c:pt>
                <c:pt idx="27">
                  <c:v>337.73049498816584</c:v>
                </c:pt>
                <c:pt idx="28">
                  <c:v>338.5337063599552</c:v>
                </c:pt>
                <c:pt idx="29">
                  <c:v>339.29923479959905</c:v>
                </c:pt>
                <c:pt idx="30">
                  <c:v>343.33136963727924</c:v>
                </c:pt>
                <c:pt idx="31">
                  <c:v>343.65070840519894</c:v>
                </c:pt>
                <c:pt idx="32">
                  <c:v>344.86089311546493</c:v>
                </c:pt>
                <c:pt idx="33">
                  <c:v>345.06588659126521</c:v>
                </c:pt>
                <c:pt idx="34">
                  <c:v>346.16663547897014</c:v>
                </c:pt>
                <c:pt idx="35">
                  <c:v>354.23599464735997</c:v>
                </c:pt>
                <c:pt idx="36">
                  <c:v>354.34356570295074</c:v>
                </c:pt>
                <c:pt idx="37">
                  <c:v>359.64087346193133</c:v>
                </c:pt>
                <c:pt idx="38">
                  <c:v>363.64450149095973</c:v>
                </c:pt>
                <c:pt idx="39">
                  <c:v>366.12911380444194</c:v>
                </c:pt>
                <c:pt idx="40">
                  <c:v>367.50587544775294</c:v>
                </c:pt>
                <c:pt idx="41">
                  <c:v>372.09513814011541</c:v>
                </c:pt>
                <c:pt idx="42">
                  <c:v>379.04015374098043</c:v>
                </c:pt>
                <c:pt idx="43">
                  <c:v>383.26374916901511</c:v>
                </c:pt>
                <c:pt idx="44">
                  <c:v>383.812636599124</c:v>
                </c:pt>
                <c:pt idx="45">
                  <c:v>390.24315515633759</c:v>
                </c:pt>
                <c:pt idx="46">
                  <c:v>400.66244268852591</c:v>
                </c:pt>
                <c:pt idx="47">
                  <c:v>400.68779729755528</c:v>
                </c:pt>
                <c:pt idx="48">
                  <c:v>404.85981471803598</c:v>
                </c:pt>
                <c:pt idx="49">
                  <c:v>406.45076880479144</c:v>
                </c:pt>
                <c:pt idx="50">
                  <c:v>410.24146436632032</c:v>
                </c:pt>
                <c:pt idx="51">
                  <c:v>417.25568893225676</c:v>
                </c:pt>
                <c:pt idx="52">
                  <c:v>422.12311597299129</c:v>
                </c:pt>
                <c:pt idx="53">
                  <c:v>445.70956742717243</c:v>
                </c:pt>
                <c:pt idx="54">
                  <c:v>497.25361927425672</c:v>
                </c:pt>
                <c:pt idx="55">
                  <c:v>516.08844422062634</c:v>
                </c:pt>
                <c:pt idx="56">
                  <c:v>530.4731024875706</c:v>
                </c:pt>
                <c:pt idx="57">
                  <c:v>661.93823206672801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5-4D4D-A3FB-13FB4385E662}"/>
            </c:ext>
          </c:extLst>
        </c:ser>
        <c:ser>
          <c:idx val="1"/>
          <c:order val="1"/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data!$M$54:$M$55</c:f>
              <c:numCache>
                <c:formatCode>0%</c:formatCode>
                <c:ptCount val="2"/>
                <c:pt idx="0">
                  <c:v>9.6972900161475861E-2</c:v>
                </c:pt>
                <c:pt idx="1">
                  <c:v>9.6972900161475861E-2</c:v>
                </c:pt>
              </c:numCache>
            </c:numRef>
          </c:xVal>
          <c:yVal>
            <c:numRef>
              <c:f>data!$N$54:$N$55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419.08375722172775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5-4D4D-A3FB-13FB4385E662}"/>
            </c:ext>
          </c:extLst>
        </c:ser>
        <c:ser>
          <c:idx val="2"/>
          <c:order val="2"/>
          <c:tx>
            <c:v>Your Project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data!$K$54:$K$55</c:f>
              <c:numCache>
                <c:formatCode>0%</c:formatCode>
                <c:ptCount val="2"/>
                <c:pt idx="0" formatCode="General">
                  <c:v>1</c:v>
                </c:pt>
                <c:pt idx="1">
                  <c:v>9.6972900161475861E-2</c:v>
                </c:pt>
              </c:numCache>
            </c:numRef>
          </c:xVal>
          <c:yVal>
            <c:numRef>
              <c:f>data!$L$54:$L$55</c:f>
              <c:numCache>
                <c:formatCode>0.00</c:formatCode>
                <c:ptCount val="2"/>
                <c:pt idx="0">
                  <c:v>419.08375722172775</c:v>
                </c:pt>
                <c:pt idx="1">
                  <c:v>419.08375722172775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B5-4D4D-A3FB-13FB4385E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177232"/>
        <c:axId val="1"/>
      </c:scatterChart>
      <c:valAx>
        <c:axId val="1669177232"/>
        <c:scaling>
          <c:orientation val="maxMin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Project percentile ranking (percent of projects with less favorable APR difference)</a:t>
                </a:r>
              </a:p>
            </c:rich>
          </c:tx>
          <c:layout>
            <c:manualLayout>
              <c:xMode val="edge"/>
              <c:yMode val="edge"/>
              <c:x val="0.16637010676156583"/>
              <c:y val="0.8756544502617802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0.1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APR minus like-term swap rate</a:t>
                </a:r>
              </a:p>
            </c:rich>
          </c:tx>
          <c:layout>
            <c:manualLayout>
              <c:xMode val="edge"/>
              <c:yMode val="edge"/>
              <c:x val="9.7864768683274001E-3"/>
              <c:y val="0.1767015706806282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9177232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14768683274021349"/>
          <c:y val="8.5078534031413619E-2"/>
          <c:w val="0.18683274021352311"/>
          <c:h val="5.10471204188481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autoTitleDeleted val="0"/>
    <c:plotArea>
      <c:layout>
        <c:manualLayout>
          <c:layoutTarget val="inner"/>
          <c:xMode val="edge"/>
          <c:yMode val="edge"/>
          <c:x val="0.11743772241992881"/>
          <c:y val="4.712041884816754E-2"/>
          <c:w val="0.86565836298932364"/>
          <c:h val="0.79973821989528804"/>
        </c:manualLayout>
      </c:layout>
      <c:scatterChart>
        <c:scatterStyle val="lineMarker"/>
        <c:varyColors val="0"/>
        <c:ser>
          <c:idx val="10"/>
          <c:order val="0"/>
          <c:tx>
            <c:v>Your project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data!$A$24</c:f>
              <c:numCache>
                <c:formatCode>0.0</c:formatCode>
                <c:ptCount val="1"/>
                <c:pt idx="0">
                  <c:v>14.083333333333334</c:v>
                </c:pt>
              </c:numCache>
            </c:numRef>
          </c:xVal>
          <c:yVal>
            <c:numRef>
              <c:f>data!$B$24</c:f>
              <c:numCache>
                <c:formatCode>0.00</c:formatCode>
                <c:ptCount val="1"/>
                <c:pt idx="0">
                  <c:v>1.3981401930888033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59-4A3B-BFA5-56F2B4FC8F79}"/>
            </c:ext>
          </c:extLst>
        </c:ser>
        <c:ser>
          <c:idx val="1"/>
          <c:order val="1"/>
          <c:tx>
            <c:v>Historical data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data!$V$16:$V$103</c:f>
              <c:numCache>
                <c:formatCode>0.00</c:formatCode>
                <c:ptCount val="8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8.92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10.92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12.67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14.11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15.17</c:v>
                </c:pt>
                <c:pt idx="44">
                  <c:v>15.58</c:v>
                </c:pt>
                <c:pt idx="45">
                  <c:v>16</c:v>
                </c:pt>
                <c:pt idx="46">
                  <c:v>16</c:v>
                </c:pt>
                <c:pt idx="47">
                  <c:v>16.079999999999998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17.670000000000002</c:v>
                </c:pt>
                <c:pt idx="56">
                  <c:v>17.920000000000002</c:v>
                </c:pt>
                <c:pt idx="57">
                  <c:v>18</c:v>
                </c:pt>
                <c:pt idx="58">
                  <c:v>18</c:v>
                </c:pt>
                <c:pt idx="59">
                  <c:v>18.170000000000002</c:v>
                </c:pt>
                <c:pt idx="60">
                  <c:v>18.25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19.670000000000002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21</c:v>
                </c:pt>
                <c:pt idx="80">
                  <c:v>21</c:v>
                </c:pt>
                <c:pt idx="81">
                  <c:v>21.25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23</c:v>
                </c:pt>
                <c:pt idx="86">
                  <c:v>24</c:v>
                </c:pt>
                <c:pt idx="87">
                  <c:v>24.58</c:v>
                </c:pt>
              </c:numCache>
            </c:numRef>
          </c:xVal>
          <c:yVal>
            <c:numRef>
              <c:f>data!$W$16:$W$103</c:f>
              <c:numCache>
                <c:formatCode>0.00</c:formatCode>
                <c:ptCount val="88"/>
                <c:pt idx="0">
                  <c:v>1.1057194552239287</c:v>
                </c:pt>
                <c:pt idx="1">
                  <c:v>1.0789884671561014</c:v>
                </c:pt>
                <c:pt idx="2">
                  <c:v>1.1850724294467092</c:v>
                </c:pt>
                <c:pt idx="3">
                  <c:v>1.1288513590314235</c:v>
                </c:pt>
                <c:pt idx="4">
                  <c:v>1.1880263620648248</c:v>
                </c:pt>
                <c:pt idx="5">
                  <c:v>1.1989136610528379</c:v>
                </c:pt>
                <c:pt idx="6">
                  <c:v>1.2668586038715173</c:v>
                </c:pt>
                <c:pt idx="7">
                  <c:v>1.1125420255458596</c:v>
                </c:pt>
                <c:pt idx="8">
                  <c:v>1.1339524453454899</c:v>
                </c:pt>
                <c:pt idx="9">
                  <c:v>1.3172913352406432</c:v>
                </c:pt>
                <c:pt idx="10">
                  <c:v>1.4312792536559638</c:v>
                </c:pt>
                <c:pt idx="11">
                  <c:v>1.1652275734356274</c:v>
                </c:pt>
                <c:pt idx="12">
                  <c:v>1.2261605060391503</c:v>
                </c:pt>
                <c:pt idx="13">
                  <c:v>1.2628599389055228</c:v>
                </c:pt>
                <c:pt idx="14">
                  <c:v>1.2564194692364279</c:v>
                </c:pt>
                <c:pt idx="15">
                  <c:v>1.3402559257580959</c:v>
                </c:pt>
                <c:pt idx="16">
                  <c:v>1.2510800154999666</c:v>
                </c:pt>
                <c:pt idx="17">
                  <c:v>1.2705618438746986</c:v>
                </c:pt>
                <c:pt idx="18">
                  <c:v>1.3007767937611823</c:v>
                </c:pt>
                <c:pt idx="19">
                  <c:v>1.2785407583601449</c:v>
                </c:pt>
                <c:pt idx="20">
                  <c:v>1.2986102897622922</c:v>
                </c:pt>
                <c:pt idx="21">
                  <c:v>1.2788249821653044</c:v>
                </c:pt>
                <c:pt idx="22">
                  <c:v>1.1919444250316489</c:v>
                </c:pt>
                <c:pt idx="23">
                  <c:v>1.3706183676411299</c:v>
                </c:pt>
                <c:pt idx="24">
                  <c:v>1.433750562084642</c:v>
                </c:pt>
                <c:pt idx="25">
                  <c:v>1.2465081244154839</c:v>
                </c:pt>
                <c:pt idx="26">
                  <c:v>1.3380971628096323</c:v>
                </c:pt>
                <c:pt idx="27">
                  <c:v>1.4285916046512175</c:v>
                </c:pt>
                <c:pt idx="28">
                  <c:v>1.2606572903579352</c:v>
                </c:pt>
                <c:pt idx="29">
                  <c:v>1.2266185372465621</c:v>
                </c:pt>
                <c:pt idx="30">
                  <c:v>1.2698596314923385</c:v>
                </c:pt>
                <c:pt idx="31">
                  <c:v>1.3846622913160287</c:v>
                </c:pt>
                <c:pt idx="32">
                  <c:v>1.2168107040589002</c:v>
                </c:pt>
                <c:pt idx="33">
                  <c:v>1.3986899863817652</c:v>
                </c:pt>
                <c:pt idx="34">
                  <c:v>1.3434707059079212</c:v>
                </c:pt>
                <c:pt idx="35">
                  <c:v>1.3244009627534015</c:v>
                </c:pt>
                <c:pt idx="36">
                  <c:v>1.3593647770822193</c:v>
                </c:pt>
                <c:pt idx="37">
                  <c:v>1.458348231345582</c:v>
                </c:pt>
                <c:pt idx="38">
                  <c:v>1.2996312336330684</c:v>
                </c:pt>
                <c:pt idx="39">
                  <c:v>1.3019845996090842</c:v>
                </c:pt>
                <c:pt idx="40">
                  <c:v>1.3390143531747261</c:v>
                </c:pt>
                <c:pt idx="41">
                  <c:v>1.2920028153267524</c:v>
                </c:pt>
                <c:pt idx="42">
                  <c:v>1.4396351278090083</c:v>
                </c:pt>
                <c:pt idx="43">
                  <c:v>1.4918636252506208</c:v>
                </c:pt>
                <c:pt idx="44">
                  <c:v>1.3993091354660214</c:v>
                </c:pt>
                <c:pt idx="45">
                  <c:v>1.437551172538954</c:v>
                </c:pt>
                <c:pt idx="46">
                  <c:v>1.2856424090597673</c:v>
                </c:pt>
                <c:pt idx="47">
                  <c:v>1.3890385444944937</c:v>
                </c:pt>
                <c:pt idx="48">
                  <c:v>1.3032671400234068</c:v>
                </c:pt>
                <c:pt idx="49">
                  <c:v>1.270835178895948</c:v>
                </c:pt>
                <c:pt idx="50">
                  <c:v>1.3823354668581751</c:v>
                </c:pt>
                <c:pt idx="51">
                  <c:v>1.4502404852688331</c:v>
                </c:pt>
                <c:pt idx="52">
                  <c:v>1.4655726409852738</c:v>
                </c:pt>
                <c:pt idx="53">
                  <c:v>1.5703664179870744</c:v>
                </c:pt>
                <c:pt idx="54">
                  <c:v>1.2249129169648176</c:v>
                </c:pt>
                <c:pt idx="55">
                  <c:v>1.3634557531399194</c:v>
                </c:pt>
                <c:pt idx="56">
                  <c:v>1.3936756521403915</c:v>
                </c:pt>
                <c:pt idx="57">
                  <c:v>1.3489732974220578</c:v>
                </c:pt>
                <c:pt idx="58">
                  <c:v>1.4903300264969999</c:v>
                </c:pt>
                <c:pt idx="59">
                  <c:v>1.4104134910592809</c:v>
                </c:pt>
                <c:pt idx="60">
                  <c:v>1.2788367572733041</c:v>
                </c:pt>
                <c:pt idx="61">
                  <c:v>1.4751409650680332</c:v>
                </c:pt>
                <c:pt idx="62">
                  <c:v>1.570568581900381</c:v>
                </c:pt>
                <c:pt idx="63">
                  <c:v>1.5971044891625481</c:v>
                </c:pt>
                <c:pt idx="64">
                  <c:v>1.4401575612956659</c:v>
                </c:pt>
                <c:pt idx="65">
                  <c:v>1.3649470199131526</c:v>
                </c:pt>
                <c:pt idx="66">
                  <c:v>1.4115810672135047</c:v>
                </c:pt>
                <c:pt idx="67">
                  <c:v>1.4402429248709518</c:v>
                </c:pt>
                <c:pt idx="68">
                  <c:v>1.3222552145771131</c:v>
                </c:pt>
                <c:pt idx="69">
                  <c:v>1.4931125328726031</c:v>
                </c:pt>
                <c:pt idx="70">
                  <c:v>1.3513619023581409</c:v>
                </c:pt>
                <c:pt idx="71">
                  <c:v>1.4254773562348455</c:v>
                </c:pt>
                <c:pt idx="72">
                  <c:v>1.2559303790413427</c:v>
                </c:pt>
                <c:pt idx="73">
                  <c:v>1.5977189386308939</c:v>
                </c:pt>
                <c:pt idx="74">
                  <c:v>1.663121931960198</c:v>
                </c:pt>
                <c:pt idx="75">
                  <c:v>1.4781458158407472</c:v>
                </c:pt>
                <c:pt idx="76">
                  <c:v>1.5508560278223096</c:v>
                </c:pt>
                <c:pt idx="77">
                  <c:v>1.2742951757199674</c:v>
                </c:pt>
                <c:pt idx="78">
                  <c:v>1.4122628732298159</c:v>
                </c:pt>
                <c:pt idx="79">
                  <c:v>1.5270764772337129</c:v>
                </c:pt>
                <c:pt idx="80">
                  <c:v>1.4663254130311911</c:v>
                </c:pt>
                <c:pt idx="81">
                  <c:v>1.3326781950511066</c:v>
                </c:pt>
                <c:pt idx="82">
                  <c:v>1.3377197907935623</c:v>
                </c:pt>
                <c:pt idx="83">
                  <c:v>1.5664069544710739</c:v>
                </c:pt>
                <c:pt idx="84">
                  <c:v>1.1848207031559199</c:v>
                </c:pt>
                <c:pt idx="85">
                  <c:v>1.4912491127740291</c:v>
                </c:pt>
                <c:pt idx="86">
                  <c:v>1.6961505374568457</c:v>
                </c:pt>
                <c:pt idx="87">
                  <c:v>1.6769708740665976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59-4A3B-BFA5-56F2B4FC8F79}"/>
            </c:ext>
          </c:extLst>
        </c:ser>
        <c:ser>
          <c:idx val="0"/>
          <c:order val="2"/>
          <c:tx>
            <c:v/>
          </c:tx>
          <c:spPr>
            <a:ln w="19050">
              <a:noFill/>
            </a:ln>
          </c:spPr>
          <c:marker>
            <c:symbol val="none"/>
          </c:marker>
          <c:xVal>
            <c:numRef>
              <c:f>data!$A$1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data!$B$1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59-4A3B-BFA5-56F2B4FC8F79}"/>
            </c:ext>
          </c:extLst>
        </c:ser>
        <c:ser>
          <c:idx val="12"/>
          <c:order val="3"/>
          <c:tx>
            <c:v>5%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data!$A$21:$A$22</c:f>
              <c:numCache>
                <c:formatCode>General</c:formatCode>
                <c:ptCount val="2"/>
                <c:pt idx="0">
                  <c:v>3</c:v>
                </c:pt>
                <c:pt idx="1">
                  <c:v>25</c:v>
                </c:pt>
              </c:numCache>
            </c:numRef>
          </c:xVal>
          <c:yVal>
            <c:numRef>
              <c:f>data!$F$21:$F$22</c:f>
              <c:numCache>
                <c:formatCode>0.00</c:formatCode>
                <c:ptCount val="2"/>
                <c:pt idx="0">
                  <c:v>1.1179607140048875</c:v>
                </c:pt>
                <c:pt idx="1">
                  <c:v>1.7967043847868629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59-4A3B-BFA5-56F2B4FC8F79}"/>
            </c:ext>
          </c:extLst>
        </c:ser>
        <c:ser>
          <c:idx val="11"/>
          <c:order val="4"/>
          <c:tx>
            <c:v>25%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data!$A$21:$A$22</c:f>
              <c:numCache>
                <c:formatCode>General</c:formatCode>
                <c:ptCount val="2"/>
                <c:pt idx="0">
                  <c:v>3</c:v>
                </c:pt>
                <c:pt idx="1">
                  <c:v>25</c:v>
                </c:pt>
              </c:numCache>
            </c:numRef>
          </c:xVal>
          <c:yVal>
            <c:numRef>
              <c:f>data!$E$21:$E$22</c:f>
              <c:numCache>
                <c:formatCode>0.00</c:formatCode>
                <c:ptCount val="2"/>
                <c:pt idx="0">
                  <c:v>1.1009308497660941</c:v>
                </c:pt>
                <c:pt idx="1">
                  <c:v>1.6547888494635847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59-4A3B-BFA5-56F2B4FC8F79}"/>
            </c:ext>
          </c:extLst>
        </c:ser>
        <c:ser>
          <c:idx val="9"/>
          <c:order val="5"/>
          <c:tx>
            <c:v>50%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data!$A$21:$A$22</c:f>
              <c:numCache>
                <c:formatCode>General</c:formatCode>
                <c:ptCount val="2"/>
                <c:pt idx="0">
                  <c:v>3</c:v>
                </c:pt>
                <c:pt idx="1">
                  <c:v>25</c:v>
                </c:pt>
              </c:numCache>
            </c:numRef>
          </c:xVal>
          <c:yVal>
            <c:numRef>
              <c:f>data!$D$21:$D$22</c:f>
              <c:numCache>
                <c:formatCode>0.00</c:formatCode>
                <c:ptCount val="2"/>
                <c:pt idx="0">
                  <c:v>1.0890935438466232</c:v>
                </c:pt>
                <c:pt idx="1">
                  <c:v>1.5561446334679934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59-4A3B-BFA5-56F2B4FC8F79}"/>
            </c:ext>
          </c:extLst>
        </c:ser>
        <c:ser>
          <c:idx val="8"/>
          <c:order val="6"/>
          <c:tx>
            <c:v>75%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data!$A$21:$A$22</c:f>
              <c:numCache>
                <c:formatCode>General</c:formatCode>
                <c:ptCount val="2"/>
                <c:pt idx="0">
                  <c:v>3</c:v>
                </c:pt>
                <c:pt idx="1">
                  <c:v>25</c:v>
                </c:pt>
              </c:numCache>
            </c:numRef>
          </c:xVal>
          <c:yVal>
            <c:numRef>
              <c:f>data!$C$21:$C$22</c:f>
              <c:numCache>
                <c:formatCode>0.00</c:formatCode>
                <c:ptCount val="2"/>
                <c:pt idx="0">
                  <c:v>1.0772562379271522</c:v>
                </c:pt>
                <c:pt idx="1">
                  <c:v>1.457500417472402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59-4A3B-BFA5-56F2B4FC8F79}"/>
            </c:ext>
          </c:extLst>
        </c:ser>
        <c:ser>
          <c:idx val="7"/>
          <c:order val="7"/>
          <c:tx>
            <c:v>95%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data!$A$21:$A$22</c:f>
              <c:numCache>
                <c:formatCode>General</c:formatCode>
                <c:ptCount val="2"/>
                <c:pt idx="0">
                  <c:v>3</c:v>
                </c:pt>
                <c:pt idx="1">
                  <c:v>25</c:v>
                </c:pt>
              </c:numCache>
            </c:numRef>
          </c:xVal>
          <c:yVal>
            <c:numRef>
              <c:f>data!$B$21:$B$22</c:f>
              <c:numCache>
                <c:formatCode>0.00</c:formatCode>
                <c:ptCount val="2"/>
                <c:pt idx="0">
                  <c:v>1.0602263736883588</c:v>
                </c:pt>
                <c:pt idx="1">
                  <c:v>1.3155848821491238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59-4A3B-BFA5-56F2B4FC8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628176"/>
        <c:axId val="1"/>
      </c:scatterChart>
      <c:valAx>
        <c:axId val="156062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Project term (years)</a:t>
                </a:r>
              </a:p>
            </c:rich>
          </c:tx>
          <c:layout>
            <c:manualLayout>
              <c:xMode val="edge"/>
              <c:yMode val="edge"/>
              <c:x val="0.42882562277580066"/>
              <c:y val="0.9306282722513088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Financing value ratio (using like-term Treasuries)</a:t>
                </a:r>
              </a:p>
            </c:rich>
          </c:tx>
          <c:layout>
            <c:manualLayout>
              <c:xMode val="edge"/>
              <c:yMode val="edge"/>
              <c:x val="8.8967971530249101E-3"/>
              <c:y val="7.3298429319371736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62817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12811387900355"/>
          <c:y val="0.40575916230366493"/>
          <c:w val="0.22864768683274017"/>
          <c:h val="0.42931937172774876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autoTitleDeleted val="0"/>
    <c:plotArea>
      <c:layout>
        <c:manualLayout>
          <c:layoutTarget val="inner"/>
          <c:xMode val="edge"/>
          <c:yMode val="edge"/>
          <c:x val="0.11743772241992881"/>
          <c:y val="4.712041884816754E-2"/>
          <c:w val="0.86476868327402112"/>
          <c:h val="0.7879581151832461"/>
        </c:manualLayout>
      </c:layout>
      <c:scatterChart>
        <c:scatterStyle val="lineMarker"/>
        <c:varyColors val="0"/>
        <c:ser>
          <c:idx val="10"/>
          <c:order val="0"/>
          <c:tx>
            <c:v>Your project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data!$A$10</c:f>
              <c:numCache>
                <c:formatCode>0.0</c:formatCode>
                <c:ptCount val="1"/>
                <c:pt idx="0">
                  <c:v>14.083333333333334</c:v>
                </c:pt>
              </c:numCache>
            </c:numRef>
          </c:xVal>
          <c:yVal>
            <c:numRef>
              <c:f>data!$B$10</c:f>
              <c:numCache>
                <c:formatCode>0.00</c:formatCode>
                <c:ptCount val="1"/>
                <c:pt idx="0">
                  <c:v>1.3594759939192671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B-461A-B121-D3D086529446}"/>
            </c:ext>
          </c:extLst>
        </c:ser>
        <c:ser>
          <c:idx val="1"/>
          <c:order val="1"/>
          <c:tx>
            <c:v>Historical data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data!$S$16:$S$73</c:f>
              <c:numCache>
                <c:formatCode>0.00</c:formatCode>
                <c:ptCount val="58"/>
                <c:pt idx="0">
                  <c:v>3.0033333333333334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12.67</c:v>
                </c:pt>
                <c:pt idx="10">
                  <c:v>13</c:v>
                </c:pt>
                <c:pt idx="11">
                  <c:v>13</c:v>
                </c:pt>
                <c:pt idx="12">
                  <c:v>13.996666666666666</c:v>
                </c:pt>
                <c:pt idx="13">
                  <c:v>13.996666666666666</c:v>
                </c:pt>
                <c:pt idx="14">
                  <c:v>14</c:v>
                </c:pt>
                <c:pt idx="15">
                  <c:v>14</c:v>
                </c:pt>
                <c:pt idx="16">
                  <c:v>14.11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15.166666666666666</c:v>
                </c:pt>
                <c:pt idx="24">
                  <c:v>15.58</c:v>
                </c:pt>
                <c:pt idx="25">
                  <c:v>16</c:v>
                </c:pt>
                <c:pt idx="26">
                  <c:v>16</c:v>
                </c:pt>
                <c:pt idx="27">
                  <c:v>16.079999999999998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17.670000000000002</c:v>
                </c:pt>
                <c:pt idx="33">
                  <c:v>17.920000000000002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18.170000000000002</c:v>
                </c:pt>
                <c:pt idx="38">
                  <c:v>18.996666666666666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19.670000000000002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21</c:v>
                </c:pt>
                <c:pt idx="53">
                  <c:v>21.25</c:v>
                </c:pt>
                <c:pt idx="54">
                  <c:v>22</c:v>
                </c:pt>
                <c:pt idx="55">
                  <c:v>23</c:v>
                </c:pt>
                <c:pt idx="56">
                  <c:v>23.996666666666666</c:v>
                </c:pt>
                <c:pt idx="57">
                  <c:v>24.58</c:v>
                </c:pt>
              </c:numCache>
            </c:numRef>
          </c:xVal>
          <c:yVal>
            <c:numRef>
              <c:f>data!$T$16:$T$73</c:f>
              <c:numCache>
                <c:formatCode>0.00</c:formatCode>
                <c:ptCount val="58"/>
                <c:pt idx="0">
                  <c:v>1.0935320228547856</c:v>
                </c:pt>
                <c:pt idx="1">
                  <c:v>1.0514787323346777</c:v>
                </c:pt>
                <c:pt idx="2">
                  <c:v>1.2308087754051531</c:v>
                </c:pt>
                <c:pt idx="3">
                  <c:v>1.2741081278114565</c:v>
                </c:pt>
                <c:pt idx="4">
                  <c:v>1.3850867150773809</c:v>
                </c:pt>
                <c:pt idx="5">
                  <c:v>1.2575337227019621</c:v>
                </c:pt>
                <c:pt idx="6">
                  <c:v>1.2161616131587711</c:v>
                </c:pt>
                <c:pt idx="7">
                  <c:v>1.2441164528413462</c:v>
                </c:pt>
                <c:pt idx="8">
                  <c:v>1.249669279485613</c:v>
                </c:pt>
                <c:pt idx="9">
                  <c:v>1.2256886132573737</c:v>
                </c:pt>
                <c:pt idx="10">
                  <c:v>1.287462124992661</c:v>
                </c:pt>
                <c:pt idx="11">
                  <c:v>1.3864297359746069</c:v>
                </c:pt>
                <c:pt idx="12">
                  <c:v>1.2378241077867254</c:v>
                </c:pt>
                <c:pt idx="13">
                  <c:v>1.3508762868519881</c:v>
                </c:pt>
                <c:pt idx="14">
                  <c:v>1.1643895467107659</c:v>
                </c:pt>
                <c:pt idx="15">
                  <c:v>1.3140393598127194</c:v>
                </c:pt>
                <c:pt idx="16">
                  <c:v>1.3601010710878454</c:v>
                </c:pt>
                <c:pt idx="17">
                  <c:v>1.2796852199200992</c:v>
                </c:pt>
                <c:pt idx="18">
                  <c:v>1.3704648707021772</c:v>
                </c:pt>
                <c:pt idx="19">
                  <c:v>1.2264872302233789</c:v>
                </c:pt>
                <c:pt idx="20">
                  <c:v>1.2598622475260635</c:v>
                </c:pt>
                <c:pt idx="21">
                  <c:v>1.300870101554394</c:v>
                </c:pt>
                <c:pt idx="22">
                  <c:v>1.251280814790765</c:v>
                </c:pt>
                <c:pt idx="23">
                  <c:v>1.3558942158510501</c:v>
                </c:pt>
                <c:pt idx="24">
                  <c:v>1.3226118800695239</c:v>
                </c:pt>
                <c:pt idx="25">
                  <c:v>1.3631282685808668</c:v>
                </c:pt>
                <c:pt idx="26">
                  <c:v>1.2378689812684682</c:v>
                </c:pt>
                <c:pt idx="27">
                  <c:v>1.3178315533851388</c:v>
                </c:pt>
                <c:pt idx="28">
                  <c:v>1.245742743751818</c:v>
                </c:pt>
                <c:pt idx="29">
                  <c:v>1.3582420297446816</c:v>
                </c:pt>
                <c:pt idx="30">
                  <c:v>1.4076544034775764</c:v>
                </c:pt>
                <c:pt idx="31">
                  <c:v>1.4982257700852271</c:v>
                </c:pt>
                <c:pt idx="32">
                  <c:v>1.3022326535260051</c:v>
                </c:pt>
                <c:pt idx="33">
                  <c:v>1.3540784239837615</c:v>
                </c:pt>
                <c:pt idx="34">
                  <c:v>1.2744136941145967</c:v>
                </c:pt>
                <c:pt idx="35">
                  <c:v>1.4118978497015129</c:v>
                </c:pt>
                <c:pt idx="36">
                  <c:v>1.4242800974757075</c:v>
                </c:pt>
                <c:pt idx="37">
                  <c:v>1.3678994542426441</c:v>
                </c:pt>
                <c:pt idx="38">
                  <c:v>1.3424284681098826</c:v>
                </c:pt>
                <c:pt idx="39">
                  <c:v>1.4053817192193521</c:v>
                </c:pt>
                <c:pt idx="40">
                  <c:v>1.5103808563414234</c:v>
                </c:pt>
                <c:pt idx="41">
                  <c:v>1.3456896851985503</c:v>
                </c:pt>
                <c:pt idx="42">
                  <c:v>1.27215606101974</c:v>
                </c:pt>
                <c:pt idx="43">
                  <c:v>1.3575316754931548</c:v>
                </c:pt>
                <c:pt idx="44">
                  <c:v>1.3880463825038323</c:v>
                </c:pt>
                <c:pt idx="45">
                  <c:v>1.449640297159835</c:v>
                </c:pt>
                <c:pt idx="46">
                  <c:v>1.4547269533744451</c:v>
                </c:pt>
                <c:pt idx="47">
                  <c:v>1.5633434315461063</c:v>
                </c:pt>
                <c:pt idx="48">
                  <c:v>1.377192118749839</c:v>
                </c:pt>
                <c:pt idx="49">
                  <c:v>1.4720930490030673</c:v>
                </c:pt>
                <c:pt idx="50">
                  <c:v>1.2133859433807908</c:v>
                </c:pt>
                <c:pt idx="51">
                  <c:v>1.370222487685665</c:v>
                </c:pt>
                <c:pt idx="52">
                  <c:v>1.403596152711692</c:v>
                </c:pt>
                <c:pt idx="53">
                  <c:v>1.2795432182226354</c:v>
                </c:pt>
                <c:pt idx="54">
                  <c:v>1.494102544600433</c:v>
                </c:pt>
                <c:pt idx="55">
                  <c:v>1.3820186205058753</c:v>
                </c:pt>
                <c:pt idx="56">
                  <c:v>1.5194844718194833</c:v>
                </c:pt>
                <c:pt idx="57">
                  <c:v>1.643442270718966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EB-461A-B121-D3D086529446}"/>
            </c:ext>
          </c:extLst>
        </c:ser>
        <c:ser>
          <c:idx val="0"/>
          <c:order val="2"/>
          <c:tx>
            <c:v/>
          </c:tx>
          <c:spPr>
            <a:ln w="19050">
              <a:noFill/>
            </a:ln>
          </c:spPr>
          <c:marker>
            <c:symbol val="none"/>
          </c:marker>
          <c:xVal>
            <c:numRef>
              <c:f>data!$A$1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data!$B$1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EB-461A-B121-D3D086529446}"/>
            </c:ext>
          </c:extLst>
        </c:ser>
        <c:ser>
          <c:idx val="15"/>
          <c:order val="3"/>
          <c:tx>
            <c:v>5%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data!$A$6:$A$7</c:f>
              <c:numCache>
                <c:formatCode>General</c:formatCode>
                <c:ptCount val="2"/>
                <c:pt idx="0">
                  <c:v>3</c:v>
                </c:pt>
                <c:pt idx="1">
                  <c:v>25</c:v>
                </c:pt>
              </c:numCache>
            </c:numRef>
          </c:xVal>
          <c:yVal>
            <c:numRef>
              <c:f>data!$F$6:$F$7</c:f>
              <c:numCache>
                <c:formatCode>0.00</c:formatCode>
                <c:ptCount val="2"/>
                <c:pt idx="0">
                  <c:v>1.1158825860433184</c:v>
                </c:pt>
                <c:pt idx="1">
                  <c:v>1.6909065618695072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EB-461A-B121-D3D086529446}"/>
            </c:ext>
          </c:extLst>
        </c:ser>
        <c:ser>
          <c:idx val="14"/>
          <c:order val="4"/>
          <c:tx>
            <c:v>25%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data!$A$6:$A$7</c:f>
              <c:numCache>
                <c:formatCode>General</c:formatCode>
                <c:ptCount val="2"/>
                <c:pt idx="0">
                  <c:v>3</c:v>
                </c:pt>
                <c:pt idx="1">
                  <c:v>25</c:v>
                </c:pt>
              </c:numCache>
            </c:numRef>
          </c:xVal>
          <c:yVal>
            <c:numRef>
              <c:f>data!$E$6:$E$7</c:f>
              <c:numCache>
                <c:formatCode>0.00</c:formatCode>
                <c:ptCount val="2"/>
                <c:pt idx="0">
                  <c:v>1.1013401170368657</c:v>
                </c:pt>
                <c:pt idx="1">
                  <c:v>1.5718875092018256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EB-461A-B121-D3D086529446}"/>
            </c:ext>
          </c:extLst>
        </c:ser>
        <c:ser>
          <c:idx val="13"/>
          <c:order val="5"/>
          <c:tx>
            <c:v>50%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data!$A$6:$A$7</c:f>
              <c:numCache>
                <c:formatCode>General</c:formatCode>
                <c:ptCount val="2"/>
                <c:pt idx="0">
                  <c:v>3</c:v>
                </c:pt>
                <c:pt idx="1">
                  <c:v>25</c:v>
                </c:pt>
              </c:numCache>
            </c:numRef>
          </c:xVal>
          <c:yVal>
            <c:numRef>
              <c:f>data!$D$6:$D$7</c:f>
              <c:numCache>
                <c:formatCode>0.00</c:formatCode>
                <c:ptCount val="2"/>
                <c:pt idx="0">
                  <c:v>1.0912317772380278</c:v>
                </c:pt>
                <c:pt idx="1">
                  <c:v>1.489158432979149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EB-461A-B121-D3D086529446}"/>
            </c:ext>
          </c:extLst>
        </c:ser>
        <c:ser>
          <c:idx val="12"/>
          <c:order val="6"/>
          <c:tx>
            <c:v>75%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data!$A$6:$A$7</c:f>
              <c:numCache>
                <c:formatCode>General</c:formatCode>
                <c:ptCount val="2"/>
                <c:pt idx="0">
                  <c:v>3</c:v>
                </c:pt>
                <c:pt idx="1">
                  <c:v>25</c:v>
                </c:pt>
              </c:numCache>
            </c:numRef>
          </c:xVal>
          <c:yVal>
            <c:numRef>
              <c:f>data!$C$6:$C$7</c:f>
              <c:numCache>
                <c:formatCode>0.00</c:formatCode>
                <c:ptCount val="2"/>
                <c:pt idx="0">
                  <c:v>1.0811234374391898</c:v>
                </c:pt>
                <c:pt idx="1">
                  <c:v>1.4064293567564723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EB-461A-B121-D3D086529446}"/>
            </c:ext>
          </c:extLst>
        </c:ser>
        <c:ser>
          <c:idx val="11"/>
          <c:order val="7"/>
          <c:tx>
            <c:v>95%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data!$A$6:$A$7</c:f>
              <c:numCache>
                <c:formatCode>General</c:formatCode>
                <c:ptCount val="2"/>
                <c:pt idx="0">
                  <c:v>3</c:v>
                </c:pt>
                <c:pt idx="1">
                  <c:v>25</c:v>
                </c:pt>
              </c:numCache>
            </c:numRef>
          </c:xVal>
          <c:yVal>
            <c:numRef>
              <c:f>data!$B$6:$B$7</c:f>
              <c:numCache>
                <c:formatCode>0.00</c:formatCode>
                <c:ptCount val="2"/>
                <c:pt idx="0">
                  <c:v>1.0665809684327372</c:v>
                </c:pt>
                <c:pt idx="1">
                  <c:v>1.2874103040887908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EB-461A-B121-D3D086529446}"/>
            </c:ext>
          </c:extLst>
        </c:ser>
        <c:ser>
          <c:idx val="6"/>
          <c:order val="8"/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data!$A$23:$A$31</c:f>
              <c:numCache>
                <c:formatCode>0.0</c:formatCode>
                <c:ptCount val="9"/>
                <c:pt idx="1">
                  <c:v>14.083333333333334</c:v>
                </c:pt>
              </c:numCache>
            </c:numRef>
          </c:xVal>
          <c:yVal>
            <c:numRef>
              <c:f>data!#REF!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AEB-461A-B121-D3D086529446}"/>
            </c:ext>
          </c:extLst>
        </c:ser>
        <c:ser>
          <c:idx val="8"/>
          <c:order val="9"/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data!$A$23:$A$31</c:f>
              <c:numCache>
                <c:formatCode>0.0</c:formatCode>
                <c:ptCount val="9"/>
                <c:pt idx="1">
                  <c:v>14.083333333333334</c:v>
                </c:pt>
              </c:numCache>
            </c:numRef>
          </c:xVal>
          <c:yVal>
            <c:numRef>
              <c:f>data!#REF!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AEB-461A-B121-D3D086529446}"/>
            </c:ext>
          </c:extLst>
        </c:ser>
        <c:ser>
          <c:idx val="9"/>
          <c:order val="10"/>
          <c:tx>
            <c:v>95% of projects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data!$A$23:$A$31</c:f>
              <c:numCache>
                <c:formatCode>0.0</c:formatCode>
                <c:ptCount val="9"/>
                <c:pt idx="1">
                  <c:v>14.083333333333334</c:v>
                </c:pt>
              </c:numCache>
            </c:numRef>
          </c:xVal>
          <c:yVal>
            <c:numRef>
              <c:f>data!#REF!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AEB-461A-B121-D3D086529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181200"/>
        <c:axId val="1"/>
      </c:scatterChart>
      <c:valAx>
        <c:axId val="166918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Project term (years)</a:t>
                </a:r>
              </a:p>
            </c:rich>
          </c:tx>
          <c:layout>
            <c:manualLayout>
              <c:xMode val="edge"/>
              <c:yMode val="edge"/>
              <c:x val="0.42882562277580066"/>
              <c:y val="0.9188481675392670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Financing value ratio (indexed to swap rate)</a:t>
                </a:r>
              </a:p>
            </c:rich>
          </c:tx>
          <c:layout>
            <c:manualLayout>
              <c:xMode val="edge"/>
              <c:yMode val="edge"/>
              <c:x val="8.8967971530249101E-3"/>
              <c:y val="0.1073298429319371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918120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69306049822064042"/>
          <c:y val="0.40445026178010474"/>
          <c:w val="0.22864768683274017"/>
          <c:h val="0.42015706806282721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sheetPr codeName="Chart3"/>
  <sheetViews>
    <sheetView zoomScale="95" workbookViewId="0"/>
  </sheetViews>
  <sheetProtection content="1" objects="1"/>
  <pageMargins left="0.75" right="0.75" top="1" bottom="1" header="0.5" footer="0.5"/>
  <pageSetup orientation="landscape" r:id="rId1"/>
  <headerFooter alignWithMargins="0"/>
  <drawing r:id="rId2"/>
  <legacyDrawing r:id="rId3"/>
</chartsheet>
</file>

<file path=xl/chartsheets/sheet2.xml><?xml version="1.0" encoding="utf-8"?>
<chart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sheetPr codeName="Chart4"/>
  <sheetViews>
    <sheetView zoomScale="95" workbookViewId="0"/>
  </sheetViews>
  <sheetProtection content="1" objects="1"/>
  <pageMargins left="0.75" right="0.75" top="1" bottom="1" header="0.5" footer="0.5"/>
  <pageSetup orientation="landscape" r:id="rId1"/>
  <headerFooter alignWithMargins="0"/>
  <drawing r:id="rId2"/>
  <legacyDrawing r:id="rId3"/>
</chartsheet>
</file>

<file path=xl/chartsheets/sheet3.xml><?xml version="1.0" encoding="utf-8"?>
<chart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sheetPr codeName="Chart1"/>
  <sheetViews>
    <sheetView zoomScale="95" workbookViewId="0"/>
  </sheetViews>
  <sheetProtection content="1" objects="1"/>
  <pageMargins left="0.75" right="0.75" top="1" bottom="1" header="0.5" footer="0.5"/>
  <pageSetup orientation="landscape" horizontalDpi="1200" verticalDpi="1200" r:id="rId1"/>
  <headerFooter alignWithMargins="0"/>
  <drawing r:id="rId2"/>
  <legacyDrawing r:id="rId3"/>
</chartsheet>
</file>

<file path=xl/chartsheets/sheet4.xml><?xml version="1.0" encoding="utf-8"?>
<chart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sheetPr codeName="Chart2"/>
  <sheetViews>
    <sheetView zoomScale="95" workbookViewId="0"/>
  </sheetViews>
  <sheetProtection content="1" objects="1"/>
  <pageMargins left="0.75" right="0.75" top="1" bottom="1" header="0.5" footer="0.5"/>
  <pageSetup orientation="landscape" r:id="rId1"/>
  <headerFooter alignWithMargins="0"/>
  <drawing r:id="rId2"/>
  <legacyDrawing r:id="rId3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B30B6-3B71-4FCD-D25B-1AD94E6414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0.35675</cdr:x>
      <cdr:y>0.04025</cdr:y>
    </cdr:from>
    <cdr:to>
      <cdr:x>0.42792</cdr:x>
      <cdr:y>0.06905</cdr:y>
    </cdr:to>
    <mc:AlternateContent xmlns:mc="http://schemas.openxmlformats.org/markup-compatibility/2006">
      <mc:Choice xmlns:a14="http://schemas.microsoft.com/office/drawing/2010/main" Requires="a14">
        <cdr:pic>
          <cdr:nvPicPr>
            <cdr:cNvPr id="3074" name="Picture 2">
              <a:extLst xmlns:a="http://schemas.openxmlformats.org/drawingml/2006/main">
                <a:ext uri="{FF2B5EF4-FFF2-40B4-BE49-F238E27FC236}">
                  <a16:creationId xmlns:a16="http://schemas.microsoft.com/office/drawing/2014/main" id="{92F158DD-6219-9217-CB8B-33E7845BE15B}"/>
                </a:ext>
              </a:extLst>
            </cdr:cNvPr>
            <cdr:cNvPicPr>
              <a:picLocks xmlns:a="http://schemas.openxmlformats.org/drawingml/2006/main" noChangeAspect="1" noChangeArrowheads="1"/>
              <a:extLst xmlns:a="http://schemas.openxmlformats.org/drawingml/2006/main">
                <a:ext uri="{84589F7E-364E-4C9E-8A38-B11213B215E9}">
                  <a14:cameraTool cellRange="data!$K$43" spid="_x0000_s3075"/>
                </a:ext>
              </a:extLst>
            </cdr:cNvPicPr>
          </cdr:nvPicPr>
          <cdr:blipFill>
            <a:blip xmlns:a="http://schemas.openxmlformats.org/drawingml/2006/main" xmlns:r="http://schemas.openxmlformats.org/officeDocument/2006/relationships" r:embed="rId1"/>
            <a:srcRect xmlns:a="http://schemas.openxmlformats.org/drawingml/2006/main"/>
            <a:stretch xmlns:a="http://schemas.openxmlformats.org/drawingml/2006/main">
              <a:fillRect/>
            </a:stretch>
          </cdr:blipFill>
          <cdr:spPr bwMode="auto">
            <a:xfrm xmlns:a="http://schemas.openxmlformats.org/drawingml/2006/main">
              <a:off x="3055521" y="234323"/>
              <a:ext cx="609600" cy="16764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0">
              <a:solidFill>
                <a:srgbClr val="000000" mc:Ignorable="a14" a14:legacySpreadsheetColorIndex="8"/>
              </a:solidFill>
              <a:miter lim="800000"/>
              <a:headEnd/>
              <a:tailEnd/>
            </a:ln>
            <a:extLst xmlns:a="http://schemas.openxmlformats.org/drawingml/2006/main"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</a:extLst>
          </cdr:spPr>
        </cdr:pic>
      </mc:Choice>
      <mc:Fallback/>
    </mc:AlternateContent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17313-C4B6-58E5-DE38-D292A91612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0.37075</cdr:x>
      <cdr:y>0.03625</cdr:y>
    </cdr:from>
    <cdr:to>
      <cdr:x>0.44192</cdr:x>
      <cdr:y>0.06505</cdr:y>
    </cdr:to>
    <mc:AlternateContent xmlns:mc="http://schemas.openxmlformats.org/markup-compatibility/2006">
      <mc:Choice xmlns:a14="http://schemas.microsoft.com/office/drawing/2010/main" Requires="a14">
        <cdr:pic>
          <cdr:nvPicPr>
            <cdr:cNvPr id="4099" name="Picture 3">
              <a:extLst xmlns:a="http://schemas.openxmlformats.org/drawingml/2006/main">
                <a:ext uri="{FF2B5EF4-FFF2-40B4-BE49-F238E27FC236}">
                  <a16:creationId xmlns:a16="http://schemas.microsoft.com/office/drawing/2014/main" id="{6601644E-E1A1-7180-1583-9E6C5994857D}"/>
                </a:ext>
              </a:extLst>
            </cdr:cNvPr>
            <cdr:cNvPicPr>
              <a:picLocks xmlns:a="http://schemas.openxmlformats.org/drawingml/2006/main" noChangeAspect="1" noChangeArrowheads="1"/>
              <a:extLst xmlns:a="http://schemas.openxmlformats.org/drawingml/2006/main">
                <a:ext uri="{84589F7E-364E-4C9E-8A38-B11213B215E9}">
                  <a14:cameraTool cellRange="data!$K$36" spid="_x0000_s4100"/>
                </a:ext>
              </a:extLst>
            </cdr:cNvPicPr>
          </cdr:nvPicPr>
          <cdr:blipFill>
            <a:blip xmlns:a="http://schemas.openxmlformats.org/drawingml/2006/main" xmlns:r="http://schemas.openxmlformats.org/officeDocument/2006/relationships" r:embed="rId1"/>
            <a:srcRect xmlns:a="http://schemas.openxmlformats.org/drawingml/2006/main"/>
            <a:stretch xmlns:a="http://schemas.openxmlformats.org/drawingml/2006/main">
              <a:fillRect/>
            </a:stretch>
          </cdr:blipFill>
          <cdr:spPr bwMode="auto">
            <a:xfrm xmlns:a="http://schemas.openxmlformats.org/drawingml/2006/main">
              <a:off x="3175429" y="211036"/>
              <a:ext cx="609600" cy="16764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>
              <a:solidFill>
                <a:srgbClr val="000000" mc:Ignorable="a14" a14:legacySpreadsheetColorIndex="8"/>
              </a:solidFill>
              <a:miter lim="800000"/>
              <a:headEnd/>
              <a:tailEnd/>
            </a:ln>
            <a:extLst xmlns:a="http://schemas.openxmlformats.org/drawingml/2006/main"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</a:extLst>
          </cdr:spPr>
        </cdr:pic>
      </mc:Choice>
      <mc:Fallback/>
    </mc:AlternateContent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6394A-609B-6AE3-88AD-CE47E6F0A8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0.19025</cdr:x>
      <cdr:y>0.5645</cdr:y>
    </cdr:from>
    <cdr:to>
      <cdr:x>0.26142</cdr:x>
      <cdr:y>0.5933</cdr:y>
    </cdr:to>
    <mc:AlternateContent xmlns:mc="http://schemas.openxmlformats.org/markup-compatibility/2006">
      <mc:Choice xmlns:a14="http://schemas.microsoft.com/office/drawing/2010/main" Requires="a14">
        <cdr:pic>
          <cdr:nvPicPr>
            <cdr:cNvPr id="35843" name="Picture 3">
              <a:extLst xmlns:a="http://schemas.openxmlformats.org/drawingml/2006/main">
                <a:ext uri="{FF2B5EF4-FFF2-40B4-BE49-F238E27FC236}">
                  <a16:creationId xmlns:a16="http://schemas.microsoft.com/office/drawing/2014/main" id="{54615E39-D870-0D0F-9E0D-5B8E72A58424}"/>
                </a:ext>
              </a:extLst>
            </cdr:cNvPr>
            <cdr:cNvPicPr>
              <a:picLocks xmlns:a="http://schemas.openxmlformats.org/drawingml/2006/main" noChangeAspect="1" noChangeArrowheads="1"/>
              <a:extLst xmlns:a="http://schemas.openxmlformats.org/drawingml/2006/main">
                <a:ext uri="{84589F7E-364E-4C9E-8A38-B11213B215E9}">
                  <a14:cameraTool cellRange="data!$K$19" spid="_x0000_s35845"/>
                </a:ext>
              </a:extLst>
            </cdr:cNvPicPr>
          </cdr:nvPicPr>
          <cdr:blipFill>
            <a:blip xmlns:a="http://schemas.openxmlformats.org/drawingml/2006/main" xmlns:r="http://schemas.openxmlformats.org/officeDocument/2006/relationships" r:embed="rId1"/>
            <a:srcRect xmlns:a="http://schemas.openxmlformats.org/drawingml/2006/main"/>
            <a:stretch xmlns:a="http://schemas.openxmlformats.org/drawingml/2006/main">
              <a:fillRect/>
            </a:stretch>
          </cdr:blipFill>
          <cdr:spPr bwMode="auto">
            <a:xfrm xmlns:a="http://schemas.openxmlformats.org/drawingml/2006/main">
              <a:off x="1629468" y="3286338"/>
              <a:ext cx="609600" cy="16764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0">
              <a:solidFill>
                <a:srgbClr val="000000" mc:Ignorable="a14" a14:legacySpreadsheetColorIndex="8"/>
              </a:solidFill>
              <a:miter lim="800000"/>
              <a:headEnd/>
              <a:tailEnd/>
            </a:ln>
            <a:extLst xmlns:a="http://schemas.openxmlformats.org/drawingml/2006/main"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</a:extLst>
          </cdr:spPr>
        </cdr:pic>
      </mc:Choice>
      <mc:Fallback/>
    </mc:AlternateContent>
  </cdr:relSizeAnchor>
  <cdr:relSizeAnchor xmlns:cdr="http://schemas.openxmlformats.org/drawingml/2006/chartDrawing">
    <cdr:from>
      <cdr:x>0.70275</cdr:x>
      <cdr:y>0.51175</cdr:y>
    </cdr:from>
    <cdr:to>
      <cdr:x>0.9115</cdr:x>
      <cdr:y>0.5645</cdr:y>
    </cdr:to>
    <cdr:sp macro="" textlink="">
      <cdr:nvSpPr>
        <cdr:cNvPr id="35844" name="Text Box 4">
          <a:extLst xmlns:a="http://schemas.openxmlformats.org/drawingml/2006/main">
            <a:ext uri="{FF2B5EF4-FFF2-40B4-BE49-F238E27FC236}">
              <a16:creationId xmlns:a16="http://schemas.microsoft.com/office/drawing/2014/main" id="{44E6FA76-7DF2-A4D5-E995-1B63BE1DAB6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18969" y="2979245"/>
          <a:ext cx="1787919" cy="307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sng" strike="noStrike" baseline="0">
              <a:solidFill>
                <a:srgbClr val="000000"/>
              </a:solidFill>
              <a:latin typeface="Arial"/>
              <a:cs typeface="Arial"/>
            </a:rPr>
            <a:t>Percentile Ranking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BBEE8-4AD4-4EF8-48ED-02FA1AB3C5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0.1745</cdr:x>
      <cdr:y>0.53875</cdr:y>
    </cdr:from>
    <cdr:to>
      <cdr:x>0.53037</cdr:x>
      <cdr:y>0.71022</cdr:y>
    </cdr:to>
    <mc:AlternateContent xmlns:mc="http://schemas.openxmlformats.org/markup-compatibility/2006">
      <mc:Choice xmlns:a14="http://schemas.microsoft.com/office/drawing/2010/main" Requires="a14">
        <cdr:pic>
          <cdr:nvPicPr>
            <cdr:cNvPr id="97282" name="Picture 2">
              <a:extLst xmlns:a="http://schemas.openxmlformats.org/drawingml/2006/main">
                <a:ext uri="{FF2B5EF4-FFF2-40B4-BE49-F238E27FC236}">
                  <a16:creationId xmlns:a16="http://schemas.microsoft.com/office/drawing/2014/main" id="{06C66AC5-4FCD-CB03-F730-EFFB2EBC14C8}"/>
                </a:ext>
              </a:extLst>
            </cdr:cNvPr>
            <cdr:cNvPicPr>
              <a:picLocks xmlns:a="http://schemas.openxmlformats.org/drawingml/2006/main" noChangeAspect="1" noChangeArrowheads="1"/>
              <a:extLst xmlns:a="http://schemas.openxmlformats.org/drawingml/2006/main">
                <a:ext uri="{84589F7E-364E-4C9E-8A38-B11213B215E9}">
                  <a14:cameraTool cellRange="data!$K$4:$O$9" spid="_x0000_s97289"/>
                </a:ext>
              </a:extLst>
            </cdr:cNvPicPr>
          </cdr:nvPicPr>
          <cdr:blipFill>
            <a:blip xmlns:a="http://schemas.openxmlformats.org/drawingml/2006/main" xmlns:r="http://schemas.openxmlformats.org/officeDocument/2006/relationships" r:embed="rId1"/>
            <a:srcRect xmlns:a="http://schemas.openxmlformats.org/drawingml/2006/main"/>
            <a:stretch xmlns:a="http://schemas.openxmlformats.org/drawingml/2006/main">
              <a:fillRect/>
            </a:stretch>
          </cdr:blipFill>
          <cdr:spPr bwMode="auto">
            <a:xfrm xmlns:a="http://schemas.openxmlformats.org/drawingml/2006/main">
              <a:off x="1494572" y="3136430"/>
              <a:ext cx="3048000" cy="99822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>
              <a:solidFill>
                <a:srgbClr val="000000" mc:Ignorable="a14" a14:legacySpreadsheetColorIndex="8"/>
              </a:solidFill>
              <a:miter lim="800000"/>
              <a:headEnd/>
              <a:tailEnd/>
            </a:ln>
            <a:extLst xmlns:a="http://schemas.openxmlformats.org/drawingml/2006/main"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cdr:spPr>
        </cdr:pic>
      </mc:Choice>
      <mc:Fallback/>
    </mc:AlternateContent>
  </cdr:relSizeAnchor>
  <cdr:relSizeAnchor xmlns:cdr="http://schemas.openxmlformats.org/drawingml/2006/chartDrawing">
    <cdr:from>
      <cdr:x>0.70375</cdr:x>
      <cdr:y>0.5095</cdr:y>
    </cdr:from>
    <cdr:to>
      <cdr:x>0.91125</cdr:x>
      <cdr:y>0.5615</cdr:y>
    </cdr:to>
    <cdr:sp macro="" textlink="">
      <cdr:nvSpPr>
        <cdr:cNvPr id="97283" name="Text Box 3">
          <a:extLst xmlns:a="http://schemas.openxmlformats.org/drawingml/2006/main">
            <a:ext uri="{FF2B5EF4-FFF2-40B4-BE49-F238E27FC236}">
              <a16:creationId xmlns:a16="http://schemas.microsoft.com/office/drawing/2014/main" id="{F83A7725-1478-09BB-8859-182FAB29E78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27534" y="2966146"/>
          <a:ext cx="1777213" cy="3027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sng" strike="noStrike" baseline="0">
              <a:solidFill>
                <a:srgbClr val="000000"/>
              </a:solidFill>
              <a:latin typeface="Arial"/>
              <a:cs typeface="Arial"/>
            </a:rPr>
            <a:t>Percentile Ranking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4:Q93"/>
  <sheetViews>
    <sheetView showGridLines="0" tabSelected="1" workbookViewId="0">
      <selection activeCell="A4" sqref="A4:E4"/>
    </sheetView>
  </sheetViews>
  <sheetFormatPr defaultRowHeight="13.2" x14ac:dyDescent="0.25"/>
  <cols>
    <col min="1" max="5" width="12.6640625" customWidth="1"/>
    <col min="6" max="6" width="8" customWidth="1"/>
    <col min="7" max="8" width="10.88671875" customWidth="1"/>
    <col min="10" max="11" width="11.5546875" customWidth="1"/>
    <col min="17" max="17" width="12.44140625" bestFit="1" customWidth="1"/>
  </cols>
  <sheetData>
    <row r="4" spans="1:11" x14ac:dyDescent="0.25">
      <c r="A4" s="74" t="s">
        <v>8</v>
      </c>
      <c r="B4" s="75"/>
      <c r="C4" s="75"/>
      <c r="D4" s="75"/>
      <c r="E4" s="76"/>
      <c r="F4" s="17"/>
      <c r="G4" s="64" t="s">
        <v>15</v>
      </c>
      <c r="H4" s="65"/>
      <c r="J4" s="57" t="s">
        <v>31</v>
      </c>
      <c r="K4" s="58"/>
    </row>
    <row r="5" spans="1:11" x14ac:dyDescent="0.25">
      <c r="A5" s="68" t="s">
        <v>2</v>
      </c>
      <c r="B5" s="69"/>
      <c r="C5" s="69"/>
      <c r="D5" s="70"/>
      <c r="E5" s="22">
        <v>8230000.1013242947</v>
      </c>
      <c r="F5" s="18"/>
      <c r="G5" s="3" t="s">
        <v>14</v>
      </c>
      <c r="H5" s="4" t="s">
        <v>0</v>
      </c>
      <c r="J5" s="59"/>
      <c r="K5" s="60"/>
    </row>
    <row r="6" spans="1:11" x14ac:dyDescent="0.25">
      <c r="A6" s="61" t="s">
        <v>4</v>
      </c>
      <c r="B6" s="62"/>
      <c r="C6" s="62"/>
      <c r="D6" s="63"/>
      <c r="E6" s="23">
        <v>1411350</v>
      </c>
      <c r="F6" s="18"/>
      <c r="G6" s="5">
        <v>1</v>
      </c>
      <c r="H6" s="56">
        <v>1.5100000000000001E-2</v>
      </c>
      <c r="J6" s="7" t="s">
        <v>13</v>
      </c>
      <c r="K6" s="7" t="s">
        <v>12</v>
      </c>
    </row>
    <row r="7" spans="1:11" x14ac:dyDescent="0.25">
      <c r="A7" s="61" t="s">
        <v>3</v>
      </c>
      <c r="B7" s="62"/>
      <c r="C7" s="62"/>
      <c r="D7" s="63"/>
      <c r="E7" s="23">
        <v>533146.99999999907</v>
      </c>
      <c r="F7" s="18"/>
      <c r="G7" s="5">
        <v>2</v>
      </c>
      <c r="H7" s="56">
        <v>1.7299999999999999E-2</v>
      </c>
      <c r="J7" s="9">
        <f>E9/12</f>
        <v>14.083333333333334</v>
      </c>
      <c r="K7" s="8">
        <f>SplineFit(G6:H13,E9/12)</f>
        <v>4.4128408551048388E-2</v>
      </c>
    </row>
    <row r="8" spans="1:11" x14ac:dyDescent="0.25">
      <c r="A8" s="61" t="s">
        <v>5</v>
      </c>
      <c r="B8" s="62"/>
      <c r="C8" s="62"/>
      <c r="D8" s="63"/>
      <c r="E8" s="24">
        <v>7.6999999999999999E-2</v>
      </c>
      <c r="F8" s="19"/>
      <c r="G8" s="5">
        <v>3</v>
      </c>
      <c r="H8" s="26">
        <v>2.1000000000000001E-2</v>
      </c>
    </row>
    <row r="9" spans="1:11" x14ac:dyDescent="0.25">
      <c r="A9" s="77" t="s">
        <v>6</v>
      </c>
      <c r="B9" s="78"/>
      <c r="C9" s="78"/>
      <c r="D9" s="79"/>
      <c r="E9" s="25">
        <v>169</v>
      </c>
      <c r="F9" s="20"/>
      <c r="G9" s="5">
        <v>5</v>
      </c>
      <c r="H9" s="26">
        <v>2.92E-2</v>
      </c>
    </row>
    <row r="10" spans="1:11" x14ac:dyDescent="0.25">
      <c r="A10" s="71" t="s">
        <v>7</v>
      </c>
      <c r="B10" s="72"/>
      <c r="C10" s="72"/>
      <c r="D10" s="73"/>
      <c r="E10" s="11">
        <f>E5+E7-E6</f>
        <v>7351797.1013242938</v>
      </c>
      <c r="F10" s="21"/>
      <c r="G10" s="5">
        <v>7</v>
      </c>
      <c r="H10" s="26">
        <v>3.5099999999999999E-2</v>
      </c>
    </row>
    <row r="11" spans="1:11" x14ac:dyDescent="0.25">
      <c r="G11" s="5">
        <v>10</v>
      </c>
      <c r="H11" s="26">
        <v>3.95E-2</v>
      </c>
    </row>
    <row r="12" spans="1:11" x14ac:dyDescent="0.25">
      <c r="A12" s="74" t="s">
        <v>26</v>
      </c>
      <c r="B12" s="75"/>
      <c r="C12" s="75"/>
      <c r="D12" s="75"/>
      <c r="E12" s="76"/>
      <c r="G12" s="5">
        <v>20</v>
      </c>
      <c r="H12" s="26">
        <v>4.9299999999999997E-2</v>
      </c>
    </row>
    <row r="13" spans="1:11" x14ac:dyDescent="0.25">
      <c r="A13" s="41" t="s">
        <v>16</v>
      </c>
      <c r="B13" s="42"/>
      <c r="C13" s="42"/>
      <c r="D13" s="42"/>
      <c r="E13" s="43">
        <f ca="1">APR(E5,E6,E7,E8,E9)</f>
        <v>9.021362282648808E-2</v>
      </c>
      <c r="F13" s="12"/>
      <c r="G13" s="6">
        <v>30</v>
      </c>
      <c r="H13" s="27">
        <v>0.05</v>
      </c>
    </row>
    <row r="14" spans="1:11" x14ac:dyDescent="0.25">
      <c r="A14" s="37" t="s">
        <v>23</v>
      </c>
      <c r="B14" s="38"/>
      <c r="C14" s="38"/>
      <c r="D14" s="38"/>
      <c r="E14" s="35">
        <f>(E10+(E9*(-PMT(E8/12,E9,E10)+PMT(K7/12,E9,E10))))/(E5-E6)</f>
        <v>1.3981401930888033</v>
      </c>
      <c r="G14" s="2"/>
    </row>
    <row r="15" spans="1:11" x14ac:dyDescent="0.25">
      <c r="A15" s="37" t="s">
        <v>22</v>
      </c>
      <c r="B15" s="34"/>
      <c r="C15" s="34"/>
      <c r="D15" s="34"/>
      <c r="E15" s="44">
        <f>(E10+(E9*(-PMT(E8/12,E9,E10)+PMT(K20/12,E9,E10))))/(E5-E6)</f>
        <v>1.3594759939192671</v>
      </c>
    </row>
    <row r="16" spans="1:11" x14ac:dyDescent="0.25">
      <c r="A16" s="37" t="s">
        <v>9</v>
      </c>
      <c r="B16" s="38"/>
      <c r="C16" s="38"/>
      <c r="D16" s="38"/>
      <c r="E16" s="45">
        <f ca="1">10000*(E13-K7)</f>
        <v>460.85214275439694</v>
      </c>
    </row>
    <row r="17" spans="1:17" x14ac:dyDescent="0.25">
      <c r="A17" s="39" t="s">
        <v>10</v>
      </c>
      <c r="B17" s="40"/>
      <c r="C17" s="40"/>
      <c r="D17" s="40"/>
      <c r="E17" s="46">
        <f ca="1">10000*(E13-K20)</f>
        <v>419.08375722172775</v>
      </c>
      <c r="G17" s="66" t="s">
        <v>1</v>
      </c>
      <c r="H17" s="67"/>
      <c r="J17" s="57" t="s">
        <v>27</v>
      </c>
      <c r="K17" s="58"/>
    </row>
    <row r="18" spans="1:17" x14ac:dyDescent="0.25">
      <c r="G18" s="3" t="s">
        <v>14</v>
      </c>
      <c r="H18" s="4" t="s">
        <v>0</v>
      </c>
      <c r="J18" s="59"/>
      <c r="K18" s="60"/>
    </row>
    <row r="19" spans="1:17" x14ac:dyDescent="0.25">
      <c r="G19" s="5">
        <v>1</v>
      </c>
      <c r="H19" s="26">
        <v>1.49E-2</v>
      </c>
      <c r="J19" s="7" t="s">
        <v>13</v>
      </c>
      <c r="K19" s="7" t="s">
        <v>11</v>
      </c>
    </row>
    <row r="20" spans="1:17" x14ac:dyDescent="0.25">
      <c r="E20" s="28"/>
      <c r="G20" s="5">
        <v>2</v>
      </c>
      <c r="H20" s="26">
        <v>2.0299999999999999E-2</v>
      </c>
      <c r="J20" s="9">
        <f>E9/12</f>
        <v>14.083333333333334</v>
      </c>
      <c r="K20" s="8">
        <f>SplineFit(G19:H26,E9/12)</f>
        <v>4.8305247104315302E-2</v>
      </c>
    </row>
    <row r="21" spans="1:17" x14ac:dyDescent="0.25">
      <c r="G21" s="5">
        <v>3</v>
      </c>
      <c r="H21" s="26">
        <v>2.5699999999999997E-2</v>
      </c>
    </row>
    <row r="22" spans="1:17" x14ac:dyDescent="0.25">
      <c r="G22" s="5">
        <v>4</v>
      </c>
      <c r="H22" s="26">
        <v>2.9900000000000003E-2</v>
      </c>
    </row>
    <row r="23" spans="1:17" x14ac:dyDescent="0.25">
      <c r="G23" s="5">
        <v>5</v>
      </c>
      <c r="H23" s="26">
        <v>3.3300000000000003E-2</v>
      </c>
    </row>
    <row r="24" spans="1:17" x14ac:dyDescent="0.25">
      <c r="G24" s="5">
        <v>7</v>
      </c>
      <c r="H24" s="26">
        <v>3.85E-2</v>
      </c>
    </row>
    <row r="25" spans="1:17" x14ac:dyDescent="0.25">
      <c r="G25" s="5">
        <v>10</v>
      </c>
      <c r="H25" s="26">
        <v>4.3700000000000003E-2</v>
      </c>
    </row>
    <row r="26" spans="1:17" x14ac:dyDescent="0.25">
      <c r="G26" s="6">
        <v>30</v>
      </c>
      <c r="H26" s="27">
        <v>5.2300000000000006E-2</v>
      </c>
    </row>
    <row r="29" spans="1:17" x14ac:dyDescent="0.25">
      <c r="D29" s="13"/>
      <c r="E29" s="36"/>
      <c r="F29" s="36"/>
      <c r="G29" s="36"/>
      <c r="H29" s="36"/>
      <c r="I29" s="36"/>
      <c r="J29" s="36"/>
    </row>
    <row r="30" spans="1:17" x14ac:dyDescent="0.25">
      <c r="D30" s="80" t="str">
        <f>HYPERLINK("http://www.federalreserve.gov/Releases/H15/update/","1. Click to access current information on treasuries and swap rates")</f>
        <v>1. Click to access current information on treasuries and swap rates</v>
      </c>
      <c r="E30" s="81"/>
      <c r="F30" s="81"/>
      <c r="G30" s="81"/>
      <c r="H30" s="81"/>
    </row>
    <row r="31" spans="1:17" x14ac:dyDescent="0.25">
      <c r="D31" s="82" t="str">
        <f>HYPERLINK("http://www.treas.gov/offices/domestic-finance/debt-management/interest-rate/ltcompositeindex.html","2. Click to access factor to convert &gt;25 t-bill rate to 30-year t-bill rate")</f>
        <v>2. Click to access factor to convert &gt;25 t-bill rate to 30-year t-bill rate</v>
      </c>
      <c r="E31" s="81"/>
      <c r="F31" s="81"/>
      <c r="G31" s="81"/>
      <c r="H31" s="81"/>
    </row>
    <row r="32" spans="1:17" x14ac:dyDescent="0.25">
      <c r="Q32" s="10"/>
    </row>
    <row r="44" spans="1:4" x14ac:dyDescent="0.25">
      <c r="B44" s="1"/>
      <c r="C44" s="14"/>
    </row>
    <row r="45" spans="1:4" x14ac:dyDescent="0.25">
      <c r="A45" s="14"/>
      <c r="B45" s="1"/>
      <c r="C45" s="14"/>
      <c r="D45" s="1"/>
    </row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</sheetData>
  <sheetProtection sheet="1" objects="1" scenarios="1"/>
  <mergeCells count="14">
    <mergeCell ref="A9:D9"/>
    <mergeCell ref="D30:H30"/>
    <mergeCell ref="D31:H31"/>
    <mergeCell ref="A12:E12"/>
    <mergeCell ref="J17:K18"/>
    <mergeCell ref="J4:K5"/>
    <mergeCell ref="A7:D7"/>
    <mergeCell ref="G4:H4"/>
    <mergeCell ref="G17:H17"/>
    <mergeCell ref="A5:D5"/>
    <mergeCell ref="A6:D6"/>
    <mergeCell ref="A10:D10"/>
    <mergeCell ref="A4:E4"/>
    <mergeCell ref="A8:D8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Q121"/>
  <sheetViews>
    <sheetView workbookViewId="0">
      <selection activeCell="K4" sqref="K4:O9"/>
    </sheetView>
  </sheetViews>
  <sheetFormatPr defaultRowHeight="13.2" x14ac:dyDescent="0.25"/>
  <cols>
    <col min="16" max="19" width="9.109375" style="34" customWidth="1"/>
    <col min="22" max="22" width="9.5546875" bestFit="1" customWidth="1"/>
  </cols>
  <sheetData>
    <row r="1" spans="1:43" x14ac:dyDescent="0.25">
      <c r="A1">
        <v>0</v>
      </c>
      <c r="B1">
        <v>0</v>
      </c>
      <c r="P1"/>
      <c r="Q1"/>
      <c r="R1"/>
      <c r="S1"/>
    </row>
    <row r="2" spans="1:43" x14ac:dyDescent="0.25">
      <c r="P2"/>
      <c r="Q2"/>
      <c r="R2"/>
      <c r="S2"/>
      <c r="AM2" s="1"/>
    </row>
    <row r="3" spans="1:43" x14ac:dyDescent="0.25">
      <c r="A3" s="51"/>
      <c r="B3" s="51"/>
      <c r="C3" s="51"/>
      <c r="D3" s="51"/>
      <c r="E3" s="51"/>
      <c r="F3" s="51"/>
      <c r="G3" s="51"/>
      <c r="I3" s="51"/>
      <c r="J3" s="51"/>
      <c r="K3" s="51"/>
      <c r="L3" s="51"/>
      <c r="M3" s="51"/>
      <c r="N3" s="51"/>
      <c r="O3" s="51"/>
      <c r="P3" s="31"/>
      <c r="Q3" s="31"/>
      <c r="R3" s="31"/>
      <c r="S3" s="31"/>
      <c r="AM3" s="1"/>
    </row>
    <row r="4" spans="1:43" ht="12.75" customHeight="1" x14ac:dyDescent="0.25">
      <c r="A4" s="85" t="s">
        <v>24</v>
      </c>
      <c r="B4" s="86"/>
      <c r="C4" s="86"/>
      <c r="D4" s="86"/>
      <c r="E4" s="86"/>
      <c r="F4" s="87"/>
      <c r="G4" s="50"/>
      <c r="H4" s="52"/>
      <c r="I4" s="51"/>
      <c r="J4" s="51"/>
      <c r="K4" s="83" t="str">
        <f>CONCATENATE("Your project is in the ",TEXT(E10,"00"),K10," percentile, meaning that ", TEXT(F10,"00"), "% of projects with this term have a better financing value ratio (indexed to like-term swap rate)")</f>
        <v>Your project is in the 18th percentile, meaning that 82% of projects with this term have a better financing value ratio (indexed to like-term swap rate)</v>
      </c>
      <c r="L4" s="84"/>
      <c r="M4" s="84"/>
      <c r="N4" s="84"/>
      <c r="O4" s="84"/>
      <c r="P4" s="88"/>
      <c r="Q4" s="88"/>
      <c r="R4" s="88"/>
      <c r="S4" s="88"/>
      <c r="AM4" s="1"/>
    </row>
    <row r="5" spans="1:43" x14ac:dyDescent="0.25">
      <c r="B5" s="14">
        <v>0.05</v>
      </c>
      <c r="C5" s="14">
        <v>0.25</v>
      </c>
      <c r="D5" s="14">
        <v>0.5</v>
      </c>
      <c r="E5" s="14">
        <v>0.75</v>
      </c>
      <c r="F5" s="14">
        <v>0.95</v>
      </c>
      <c r="G5" s="53"/>
      <c r="H5" t="s">
        <v>19</v>
      </c>
      <c r="I5" s="54">
        <v>1.8442452761059217E-2</v>
      </c>
      <c r="J5" s="51"/>
      <c r="K5" s="84"/>
      <c r="L5" s="84"/>
      <c r="M5" s="84"/>
      <c r="N5" s="84"/>
      <c r="O5" s="84"/>
      <c r="AM5" s="1"/>
    </row>
    <row r="6" spans="1:43" x14ac:dyDescent="0.25">
      <c r="A6">
        <v>3</v>
      </c>
      <c r="B6" s="1">
        <v>1.0665809684327372</v>
      </c>
      <c r="C6" s="1">
        <v>1.0811234374391898</v>
      </c>
      <c r="D6" s="1">
        <v>1.0912317772380278</v>
      </c>
      <c r="E6" s="1">
        <v>1.1013401170368657</v>
      </c>
      <c r="F6" s="1">
        <v>1.1158825860433184</v>
      </c>
      <c r="G6" s="32"/>
      <c r="H6" t="s">
        <v>20</v>
      </c>
      <c r="I6" s="54">
        <v>1.0358429441123134</v>
      </c>
      <c r="J6" s="33"/>
      <c r="K6" s="84"/>
      <c r="L6" s="84"/>
      <c r="M6" s="84"/>
      <c r="N6" s="84"/>
      <c r="O6" s="84"/>
      <c r="P6" s="32"/>
      <c r="Q6" s="32"/>
      <c r="R6" s="32"/>
      <c r="S6" s="32"/>
      <c r="T6" s="29"/>
      <c r="AM6" s="1"/>
      <c r="AQ6">
        <v>128.38590512438589</v>
      </c>
    </row>
    <row r="7" spans="1:43" x14ac:dyDescent="0.25">
      <c r="A7">
        <v>25</v>
      </c>
      <c r="B7" s="1">
        <v>1.2874103040887908</v>
      </c>
      <c r="C7" s="1">
        <v>1.4064293567564723</v>
      </c>
      <c r="D7" s="1">
        <v>1.489158432979149</v>
      </c>
      <c r="E7" s="1">
        <v>1.5718875092018256</v>
      </c>
      <c r="F7" s="1">
        <v>1.6909065618695072</v>
      </c>
      <c r="G7" s="32"/>
      <c r="H7" t="s">
        <v>21</v>
      </c>
      <c r="I7" s="54">
        <v>4.9899999999999996E-3</v>
      </c>
      <c r="J7" s="33"/>
      <c r="K7" s="84"/>
      <c r="L7" s="84"/>
      <c r="M7" s="84"/>
      <c r="N7" s="84"/>
      <c r="O7" s="84"/>
      <c r="P7" s="32"/>
      <c r="Q7" s="32"/>
      <c r="R7" s="32"/>
      <c r="S7" s="32"/>
      <c r="T7" s="29"/>
      <c r="AM7" s="1"/>
      <c r="AQ7">
        <v>189</v>
      </c>
    </row>
    <row r="8" spans="1:43" x14ac:dyDescent="0.25">
      <c r="J8" s="33"/>
      <c r="K8" s="84"/>
      <c r="L8" s="84"/>
      <c r="M8" s="84"/>
      <c r="N8" s="84"/>
      <c r="O8" s="84"/>
      <c r="P8" s="32"/>
      <c r="Q8" s="32"/>
      <c r="R8" s="32"/>
      <c r="S8" s="32"/>
      <c r="T8" s="29"/>
      <c r="U8" s="29"/>
      <c r="V8" s="29"/>
      <c r="W8" s="1"/>
      <c r="X8" s="1"/>
      <c r="Y8" s="1"/>
      <c r="AM8" s="1"/>
      <c r="AQ8">
        <v>206.53462043915147</v>
      </c>
    </row>
    <row r="9" spans="1:43" x14ac:dyDescent="0.25">
      <c r="J9" s="33"/>
      <c r="K9" s="84"/>
      <c r="L9" s="84"/>
      <c r="M9" s="84"/>
      <c r="N9" s="84"/>
      <c r="O9" s="84"/>
      <c r="P9" s="32"/>
      <c r="Q9" s="32"/>
      <c r="R9" s="32"/>
      <c r="S9" s="32"/>
      <c r="T9" s="29"/>
      <c r="U9" s="29"/>
      <c r="V9" s="29"/>
      <c r="W9" s="1"/>
      <c r="Y9" s="1"/>
      <c r="AK9">
        <f>224*H36+I36</f>
        <v>0.92277830816254203</v>
      </c>
      <c r="AM9" s="1"/>
      <c r="AQ9">
        <v>216.85035208454869</v>
      </c>
    </row>
    <row r="10" spans="1:43" x14ac:dyDescent="0.25">
      <c r="A10" s="30">
        <f>'Data Entry'!E9/12</f>
        <v>14.083333333333334</v>
      </c>
      <c r="B10" s="1">
        <f>'Data Entry'!E15</f>
        <v>1.3594759939192671</v>
      </c>
      <c r="C10" s="1">
        <f>A10*$I$5+$I$6</f>
        <v>1.2955741538305641</v>
      </c>
      <c r="D10" s="1">
        <f>(B10-C10)</f>
        <v>6.3901840088703032E-2</v>
      </c>
      <c r="E10" s="47">
        <f>ROUND(100*(1-NORMDIST(D10,0,I7*A10,TRUE)),0)</f>
        <v>18</v>
      </c>
      <c r="F10" s="47">
        <f>100-E10</f>
        <v>82</v>
      </c>
      <c r="J10" s="33"/>
      <c r="K10" s="32" t="str">
        <f>CHOOSE(MOD(E10,10)+1,"th","st","nd","rd","th","th","th","th","th","th")</f>
        <v>th</v>
      </c>
      <c r="L10" s="32"/>
      <c r="M10" s="32"/>
      <c r="N10" s="32"/>
      <c r="O10" s="32"/>
      <c r="P10" s="32"/>
      <c r="Q10" s="32"/>
      <c r="R10" s="32"/>
      <c r="S10" s="32"/>
      <c r="T10" s="29"/>
      <c r="U10" s="29"/>
      <c r="V10" s="29"/>
      <c r="W10" s="1"/>
      <c r="Y10" s="1"/>
      <c r="AM10" s="1"/>
      <c r="AQ10">
        <v>228.96048089114211</v>
      </c>
    </row>
    <row r="11" spans="1:43" x14ac:dyDescent="0.25">
      <c r="J11" s="33"/>
      <c r="K11" s="32"/>
      <c r="L11" s="32"/>
      <c r="M11" s="32"/>
      <c r="N11" s="32"/>
      <c r="O11" s="32"/>
      <c r="P11" s="32"/>
      <c r="Q11" s="32"/>
      <c r="R11" s="32"/>
      <c r="S11" s="32"/>
      <c r="T11" s="29"/>
      <c r="V11">
        <f>'Data Entry'!E9/12</f>
        <v>14.083333333333334</v>
      </c>
      <c r="W11" s="1">
        <f>'Data Entry'!E14</f>
        <v>1.3981401930888033</v>
      </c>
      <c r="Y11" s="1"/>
      <c r="AM11" s="1"/>
      <c r="AQ11">
        <v>231.5091516919486</v>
      </c>
    </row>
    <row r="12" spans="1:43" x14ac:dyDescent="0.25">
      <c r="J12" s="33"/>
      <c r="K12" s="32"/>
      <c r="L12" s="32"/>
      <c r="M12" s="32"/>
      <c r="N12" s="32"/>
      <c r="O12" s="32"/>
      <c r="P12" s="32"/>
      <c r="Q12" s="32"/>
      <c r="R12" s="32"/>
      <c r="S12" s="32"/>
      <c r="T12" s="29"/>
      <c r="V12" s="1"/>
      <c r="W12" s="14"/>
      <c r="X12" s="1"/>
      <c r="Y12" s="1"/>
      <c r="AM12" s="1"/>
      <c r="AQ12">
        <v>232.21314873485562</v>
      </c>
    </row>
    <row r="13" spans="1:43" x14ac:dyDescent="0.25">
      <c r="J13" s="33"/>
      <c r="K13" s="32"/>
      <c r="L13" s="32"/>
      <c r="M13" s="32"/>
      <c r="N13" s="32"/>
      <c r="O13" s="32"/>
      <c r="P13" s="32"/>
      <c r="Q13" s="32"/>
      <c r="R13" s="32"/>
      <c r="S13" s="32"/>
      <c r="T13" s="29"/>
      <c r="U13" s="14"/>
      <c r="V13" s="1"/>
      <c r="W13" s="15"/>
      <c r="X13" s="1"/>
      <c r="Y13" s="1"/>
      <c r="AM13" s="1"/>
      <c r="AQ13">
        <v>232.35876758887565</v>
      </c>
    </row>
    <row r="14" spans="1:43" x14ac:dyDescent="0.25">
      <c r="J14" s="33"/>
      <c r="K14" s="32"/>
      <c r="L14" s="32"/>
      <c r="M14" s="32"/>
      <c r="N14" s="32"/>
      <c r="O14" s="32"/>
      <c r="P14" s="32"/>
      <c r="Q14" s="32"/>
      <c r="R14" s="32"/>
      <c r="S14" s="32"/>
      <c r="T14" s="29"/>
      <c r="Y14" s="1"/>
      <c r="AM14" s="1"/>
      <c r="AQ14">
        <v>247.20425069356079</v>
      </c>
    </row>
    <row r="15" spans="1:43" x14ac:dyDescent="0.25">
      <c r="J15" s="33"/>
      <c r="K15" s="32"/>
      <c r="L15" s="32"/>
      <c r="M15" s="32"/>
      <c r="N15" s="32"/>
      <c r="O15" s="32"/>
      <c r="P15" s="32"/>
      <c r="Q15" s="32"/>
      <c r="R15" s="32"/>
      <c r="S15" s="32" t="s">
        <v>28</v>
      </c>
      <c r="T15" s="29"/>
      <c r="V15" t="s">
        <v>29</v>
      </c>
      <c r="AM15" s="1"/>
      <c r="AQ15">
        <v>257.02768133421364</v>
      </c>
    </row>
    <row r="16" spans="1:43" x14ac:dyDescent="0.25">
      <c r="J16" s="33"/>
      <c r="K16" s="32"/>
      <c r="L16" s="32"/>
      <c r="M16" s="32"/>
      <c r="N16" s="32"/>
      <c r="O16" s="32"/>
      <c r="P16" s="32"/>
      <c r="Q16" s="32"/>
      <c r="R16" s="32"/>
      <c r="S16" s="32">
        <v>3.0033333333333334</v>
      </c>
      <c r="T16" s="1">
        <v>1.0935320228547856</v>
      </c>
      <c r="U16" s="1"/>
      <c r="V16" s="1">
        <v>3</v>
      </c>
      <c r="W16" s="1">
        <v>1.1057194552239287</v>
      </c>
      <c r="AM16" s="1"/>
      <c r="AQ16">
        <v>259.4571327409638</v>
      </c>
    </row>
    <row r="17" spans="1:43" x14ac:dyDescent="0.25">
      <c r="J17" s="33"/>
      <c r="K17" s="32"/>
      <c r="L17" s="32"/>
      <c r="M17" s="32"/>
      <c r="N17" s="32"/>
      <c r="O17" s="32"/>
      <c r="P17" s="32"/>
      <c r="Q17" s="32"/>
      <c r="R17" s="32"/>
      <c r="S17" s="32">
        <v>5</v>
      </c>
      <c r="T17" s="1">
        <v>1.0514787323346777</v>
      </c>
      <c r="U17" s="1"/>
      <c r="V17" s="1">
        <v>5</v>
      </c>
      <c r="W17" s="1">
        <v>1.0789884671561014</v>
      </c>
      <c r="AM17" s="1"/>
      <c r="AQ17">
        <v>260.57501213836417</v>
      </c>
    </row>
    <row r="18" spans="1:43" x14ac:dyDescent="0.25">
      <c r="A18" s="32"/>
      <c r="B18" s="33"/>
      <c r="C18" s="32"/>
      <c r="D18" s="32"/>
      <c r="E18" s="32"/>
      <c r="F18" s="32"/>
      <c r="G18" s="32"/>
      <c r="I18" s="32"/>
      <c r="J18" s="33"/>
      <c r="K18" s="32"/>
      <c r="L18" s="32"/>
      <c r="M18" s="32"/>
      <c r="N18" s="32"/>
      <c r="O18" s="32"/>
      <c r="P18" s="32"/>
      <c r="Q18" s="32"/>
      <c r="R18" s="32"/>
      <c r="S18" s="32">
        <v>9</v>
      </c>
      <c r="T18" s="1">
        <v>1.2308087754051531</v>
      </c>
      <c r="U18" s="1"/>
      <c r="V18" s="1">
        <v>7</v>
      </c>
      <c r="W18" s="1">
        <v>1.1850724294467092</v>
      </c>
      <c r="AM18" s="1"/>
      <c r="AQ18">
        <v>273.82443855230503</v>
      </c>
    </row>
    <row r="19" spans="1:43" x14ac:dyDescent="0.25">
      <c r="A19" s="85" t="s">
        <v>25</v>
      </c>
      <c r="B19" s="86"/>
      <c r="C19" s="86"/>
      <c r="D19" s="86"/>
      <c r="E19" s="86"/>
      <c r="F19" s="87"/>
      <c r="G19" s="32"/>
      <c r="I19" s="32"/>
      <c r="J19" s="33"/>
      <c r="K19" s="83" t="str">
        <f>CONCATENATE("Your project is in the ",TEXT(data!E24,"00"),K25," percentile, meaning that ", TEXT(F24,"00"), "% of projects with this term have a better financing value ratio (indexed to like-term Treasuries)")</f>
        <v>Your project is in the 19th percentile, meaning that 81% of projects with this term have a better financing value ratio (indexed to like-term Treasuries)</v>
      </c>
      <c r="L19" s="84"/>
      <c r="M19" s="84"/>
      <c r="N19" s="84"/>
      <c r="O19" s="84"/>
      <c r="P19" s="32"/>
      <c r="Q19" s="32"/>
      <c r="R19" s="32"/>
      <c r="S19" s="32">
        <v>10</v>
      </c>
      <c r="T19" s="1">
        <v>1.2741081278114565</v>
      </c>
      <c r="U19" s="1"/>
      <c r="V19" s="1">
        <v>8</v>
      </c>
      <c r="W19" s="1">
        <v>1.1288513590314235</v>
      </c>
      <c r="AM19" s="1"/>
      <c r="AQ19">
        <v>274.75941159945961</v>
      </c>
    </row>
    <row r="20" spans="1:43" x14ac:dyDescent="0.25">
      <c r="B20" s="14">
        <v>0.05</v>
      </c>
      <c r="C20" s="14">
        <v>0.25</v>
      </c>
      <c r="D20" s="14">
        <v>0.5</v>
      </c>
      <c r="E20" s="14">
        <v>0.75</v>
      </c>
      <c r="F20" s="14">
        <v>0.95</v>
      </c>
      <c r="G20" s="32"/>
      <c r="H20" t="s">
        <v>19</v>
      </c>
      <c r="I20" s="54">
        <v>2.1229594982789556E-2</v>
      </c>
      <c r="J20" s="33"/>
      <c r="K20" s="84"/>
      <c r="L20" s="84"/>
      <c r="M20" s="84"/>
      <c r="N20" s="84"/>
      <c r="O20" s="84"/>
      <c r="P20" s="32"/>
      <c r="Q20" s="32"/>
      <c r="R20" s="32"/>
      <c r="S20" s="32">
        <v>10</v>
      </c>
      <c r="T20" s="1">
        <v>1.3850867150773809</v>
      </c>
      <c r="U20" s="1"/>
      <c r="V20" s="1">
        <v>8.92</v>
      </c>
      <c r="W20" s="1">
        <v>1.1880263620648248</v>
      </c>
      <c r="Y20" s="1"/>
      <c r="AM20" s="1"/>
      <c r="AQ20">
        <v>275.52941352805743</v>
      </c>
    </row>
    <row r="21" spans="1:43" x14ac:dyDescent="0.25">
      <c r="A21">
        <v>3</v>
      </c>
      <c r="B21" s="1">
        <v>1.0602263736883588</v>
      </c>
      <c r="C21" s="1">
        <v>1.0772562379271522</v>
      </c>
      <c r="D21" s="1">
        <v>1.0890935438466232</v>
      </c>
      <c r="E21" s="1">
        <v>1.1009308497660941</v>
      </c>
      <c r="F21" s="1">
        <v>1.1179607140048875</v>
      </c>
      <c r="G21" s="32"/>
      <c r="H21" t="s">
        <v>20</v>
      </c>
      <c r="I21" s="54">
        <v>1.0254047588982544</v>
      </c>
      <c r="J21" s="33"/>
      <c r="K21" s="84"/>
      <c r="L21" s="84"/>
      <c r="M21" s="84"/>
      <c r="N21" s="84"/>
      <c r="O21" s="84"/>
      <c r="P21" s="32"/>
      <c r="Q21" s="32"/>
      <c r="R21" s="32"/>
      <c r="S21" s="32">
        <v>11</v>
      </c>
      <c r="T21" s="1">
        <v>1.2575337227019621</v>
      </c>
      <c r="U21" s="1"/>
      <c r="V21" s="1">
        <v>9</v>
      </c>
      <c r="W21" s="1">
        <v>1.1989136610528379</v>
      </c>
      <c r="Y21" s="1"/>
      <c r="AM21" s="1"/>
      <c r="AQ21">
        <v>277.7404875913769</v>
      </c>
    </row>
    <row r="22" spans="1:43" x14ac:dyDescent="0.25">
      <c r="A22">
        <v>25</v>
      </c>
      <c r="B22" s="1">
        <v>1.3155848821491238</v>
      </c>
      <c r="C22" s="1">
        <v>1.457500417472402</v>
      </c>
      <c r="D22" s="1">
        <v>1.5561446334679934</v>
      </c>
      <c r="E22" s="1">
        <v>1.6547888494635847</v>
      </c>
      <c r="F22" s="1">
        <v>1.7967043847868629</v>
      </c>
      <c r="G22" s="32"/>
      <c r="H22" t="s">
        <v>21</v>
      </c>
      <c r="I22" s="54">
        <v>5.8500000000000002E-3</v>
      </c>
      <c r="J22" s="33"/>
      <c r="K22" s="84"/>
      <c r="L22" s="84"/>
      <c r="M22" s="84"/>
      <c r="N22" s="84"/>
      <c r="O22" s="84"/>
      <c r="P22" s="32"/>
      <c r="Q22" s="32"/>
      <c r="R22" s="32"/>
      <c r="S22" s="32">
        <v>11</v>
      </c>
      <c r="T22" s="1">
        <v>1.2161616131587711</v>
      </c>
      <c r="U22" s="1"/>
      <c r="V22" s="1">
        <v>9</v>
      </c>
      <c r="W22" s="1">
        <v>1.2668586038715173</v>
      </c>
      <c r="Y22" s="1"/>
      <c r="AM22" s="1"/>
      <c r="AQ22">
        <v>278.14070478413072</v>
      </c>
    </row>
    <row r="23" spans="1:43" x14ac:dyDescent="0.25">
      <c r="A23" s="32"/>
      <c r="B23" s="33"/>
      <c r="C23" s="1"/>
      <c r="D23" s="32"/>
      <c r="E23" s="32"/>
      <c r="F23" s="32"/>
      <c r="G23" s="32"/>
      <c r="J23" s="33"/>
      <c r="K23" s="84"/>
      <c r="L23" s="84"/>
      <c r="M23" s="84"/>
      <c r="N23" s="84"/>
      <c r="O23" s="84"/>
      <c r="P23" s="32"/>
      <c r="Q23" s="32"/>
      <c r="R23" s="32"/>
      <c r="S23" s="32">
        <v>12</v>
      </c>
      <c r="T23" s="1">
        <v>1.2441164528413462</v>
      </c>
      <c r="U23" s="1"/>
      <c r="V23" s="1">
        <v>10</v>
      </c>
      <c r="W23" s="1">
        <v>1.1125420255458596</v>
      </c>
      <c r="AM23" s="1"/>
      <c r="AQ23">
        <v>282.17410052899288</v>
      </c>
    </row>
    <row r="24" spans="1:43" x14ac:dyDescent="0.25">
      <c r="A24" s="30">
        <f>'Data Entry'!E9/12</f>
        <v>14.083333333333334</v>
      </c>
      <c r="B24" s="1">
        <f>'Data Entry'!E14</f>
        <v>1.3981401930888033</v>
      </c>
      <c r="C24" s="1">
        <f>A24*$I$20+$I$21</f>
        <v>1.3243882215725407</v>
      </c>
      <c r="D24" s="1">
        <f>(B24-C24)</f>
        <v>7.3751971516262671E-2</v>
      </c>
      <c r="E24" s="47">
        <f>ROUND(100*(1-NORMDIST(D24,0,I22*A24,TRUE)),0)</f>
        <v>19</v>
      </c>
      <c r="F24" s="48">
        <f>100-E24</f>
        <v>81</v>
      </c>
      <c r="G24" s="32"/>
      <c r="I24" s="32"/>
      <c r="J24" s="33"/>
      <c r="K24" s="84"/>
      <c r="L24" s="84"/>
      <c r="M24" s="84"/>
      <c r="N24" s="84"/>
      <c r="O24" s="84"/>
      <c r="P24" s="32"/>
      <c r="Q24" s="32"/>
      <c r="R24" s="32"/>
      <c r="S24" s="32">
        <v>12</v>
      </c>
      <c r="T24" s="1">
        <v>1.249669279485613</v>
      </c>
      <c r="U24" s="1"/>
      <c r="V24" s="1">
        <v>10</v>
      </c>
      <c r="W24" s="1">
        <v>1.1339524453454899</v>
      </c>
      <c r="AM24" s="1"/>
      <c r="AQ24">
        <v>288.92755682179831</v>
      </c>
    </row>
    <row r="25" spans="1:43" x14ac:dyDescent="0.25">
      <c r="A25" s="32"/>
      <c r="B25" s="33"/>
      <c r="C25" s="32"/>
      <c r="D25" s="32"/>
      <c r="E25" s="32"/>
      <c r="F25" s="32"/>
      <c r="G25" s="32"/>
      <c r="I25" s="32"/>
      <c r="J25" s="33"/>
      <c r="K25" s="32" t="str">
        <f>CHOOSE(MOD(E24,10)+1,"th","st","nd","rd","th","th","th","th","th","th")</f>
        <v>th</v>
      </c>
      <c r="L25" s="32"/>
      <c r="M25" s="32"/>
      <c r="N25" s="32"/>
      <c r="O25" s="32"/>
      <c r="P25" s="32"/>
      <c r="Q25" s="32"/>
      <c r="R25" s="32"/>
      <c r="S25" s="32">
        <v>12.67</v>
      </c>
      <c r="T25" s="1">
        <v>1.2256886132573737</v>
      </c>
      <c r="U25" s="1"/>
      <c r="V25" s="1">
        <v>10</v>
      </c>
      <c r="W25" s="1">
        <v>1.3172913352406432</v>
      </c>
      <c r="AM25" s="1"/>
      <c r="AQ25">
        <v>290.67144997373703</v>
      </c>
    </row>
    <row r="26" spans="1:43" x14ac:dyDescent="0.25">
      <c r="G26" s="32"/>
      <c r="I26" s="32"/>
      <c r="J26" s="33"/>
      <c r="L26" s="32"/>
      <c r="M26" s="32"/>
      <c r="N26" s="32"/>
      <c r="O26" s="32"/>
      <c r="P26" s="32"/>
      <c r="Q26" s="32"/>
      <c r="R26" s="32"/>
      <c r="S26" s="32">
        <v>13</v>
      </c>
      <c r="T26" s="1">
        <v>1.287462124992661</v>
      </c>
      <c r="U26" s="1"/>
      <c r="V26" s="1">
        <v>10</v>
      </c>
      <c r="W26" s="1">
        <v>1.4312792536559638</v>
      </c>
      <c r="AM26" s="1"/>
      <c r="AQ26">
        <v>293.97584317667776</v>
      </c>
    </row>
    <row r="27" spans="1:43" x14ac:dyDescent="0.25">
      <c r="G27" s="32"/>
      <c r="I27" s="32"/>
      <c r="J27" s="33"/>
      <c r="K27" s="32"/>
      <c r="L27" s="32"/>
      <c r="M27" s="32"/>
      <c r="N27" s="32"/>
      <c r="O27" s="32"/>
      <c r="P27" s="32"/>
      <c r="Q27" s="32"/>
      <c r="R27" s="32"/>
      <c r="S27" s="32">
        <v>13</v>
      </c>
      <c r="T27" s="1">
        <v>1.3864297359746069</v>
      </c>
      <c r="U27" s="1"/>
      <c r="V27" s="1">
        <v>10</v>
      </c>
      <c r="W27" s="1">
        <v>1.1652275734356274</v>
      </c>
      <c r="AM27" s="1"/>
      <c r="AQ27">
        <v>296.97850738015057</v>
      </c>
    </row>
    <row r="28" spans="1:43" x14ac:dyDescent="0.25">
      <c r="A28" s="32"/>
      <c r="B28" s="33"/>
      <c r="C28" s="32"/>
      <c r="D28" s="32"/>
      <c r="E28" s="32"/>
      <c r="F28" s="32"/>
      <c r="G28" s="32"/>
      <c r="I28" s="32"/>
      <c r="J28" s="33"/>
      <c r="P28" s="32"/>
      <c r="Q28" s="32"/>
      <c r="R28" s="32"/>
      <c r="S28" s="32">
        <v>13.996666666666666</v>
      </c>
      <c r="T28" s="1">
        <v>1.2378241077867254</v>
      </c>
      <c r="U28" s="1"/>
      <c r="V28" s="1">
        <v>10.92</v>
      </c>
      <c r="W28" s="1">
        <v>1.2261605060391503</v>
      </c>
      <c r="AM28" s="1"/>
      <c r="AQ28">
        <v>301.53206884510371</v>
      </c>
    </row>
    <row r="29" spans="1:43" x14ac:dyDescent="0.25">
      <c r="A29" s="32"/>
      <c r="B29" s="33"/>
      <c r="C29" s="32"/>
      <c r="D29" s="32"/>
      <c r="E29" s="32"/>
      <c r="F29" s="32"/>
      <c r="G29" s="32"/>
      <c r="I29" s="32"/>
      <c r="J29" s="33"/>
      <c r="P29" s="32"/>
      <c r="Q29" s="32"/>
      <c r="R29" s="32"/>
      <c r="S29" s="32">
        <v>13.996666666666666</v>
      </c>
      <c r="T29" s="1">
        <v>1.3508762868519881</v>
      </c>
      <c r="U29" s="1"/>
      <c r="V29" s="1">
        <v>11</v>
      </c>
      <c r="W29" s="1">
        <v>1.2628599389055228</v>
      </c>
      <c r="Y29" s="1"/>
      <c r="AM29" s="1"/>
      <c r="AQ29">
        <v>303.45251000895774</v>
      </c>
    </row>
    <row r="30" spans="1:43" x14ac:dyDescent="0.25">
      <c r="A30" s="32"/>
      <c r="B30" s="33"/>
      <c r="C30" s="32"/>
      <c r="D30" s="32"/>
      <c r="E30" s="32"/>
      <c r="F30" s="32"/>
      <c r="G30" s="32"/>
      <c r="I30" s="32"/>
      <c r="J30" s="33"/>
      <c r="P30" s="32"/>
      <c r="Q30" s="32"/>
      <c r="R30" s="32"/>
      <c r="S30" s="32">
        <v>14</v>
      </c>
      <c r="T30" s="1">
        <v>1.1643895467107659</v>
      </c>
      <c r="U30" s="1"/>
      <c r="V30" s="1">
        <v>11</v>
      </c>
      <c r="W30" s="1">
        <v>1.2564194692364279</v>
      </c>
      <c r="Y30" s="1"/>
      <c r="AM30" s="1"/>
      <c r="AQ30">
        <v>305.57944961323744</v>
      </c>
    </row>
    <row r="31" spans="1:43" ht="12.75" customHeight="1" x14ac:dyDescent="0.25">
      <c r="A31" s="32"/>
      <c r="B31" s="33"/>
      <c r="C31" s="32"/>
      <c r="D31" s="32"/>
      <c r="E31" s="32"/>
      <c r="F31" s="32"/>
      <c r="G31" s="32"/>
      <c r="I31" s="32"/>
      <c r="J31" s="33"/>
      <c r="P31" s="32"/>
      <c r="Q31" s="32"/>
      <c r="R31" s="32"/>
      <c r="S31" s="32">
        <v>14</v>
      </c>
      <c r="T31" s="1">
        <v>1.3140393598127194</v>
      </c>
      <c r="U31" s="1"/>
      <c r="V31" s="1">
        <v>11</v>
      </c>
      <c r="W31" s="1">
        <v>1.3402559257580959</v>
      </c>
      <c r="AM31" s="1"/>
      <c r="AQ31">
        <v>310.08535911457682</v>
      </c>
    </row>
    <row r="32" spans="1:43" ht="12.75" customHeight="1" x14ac:dyDescent="0.25">
      <c r="B32" t="s">
        <v>17</v>
      </c>
      <c r="E32" s="32"/>
      <c r="G32" t="s">
        <v>18</v>
      </c>
      <c r="J32" s="33"/>
      <c r="P32" s="32"/>
      <c r="Q32" s="32"/>
      <c r="R32" s="32"/>
      <c r="S32" s="32">
        <v>14.11</v>
      </c>
      <c r="T32" s="1">
        <v>1.3601010710878454</v>
      </c>
      <c r="U32" s="1"/>
      <c r="V32" s="1">
        <v>11</v>
      </c>
      <c r="W32" s="1">
        <v>1.2510800154999666</v>
      </c>
      <c r="AM32" s="1"/>
      <c r="AQ32">
        <v>312.60756893398059</v>
      </c>
    </row>
    <row r="33" spans="1:43" ht="12.75" customHeight="1" x14ac:dyDescent="0.25">
      <c r="A33" s="1">
        <v>0.9887640449438202</v>
      </c>
      <c r="B33" s="1">
        <v>128.38590512438589</v>
      </c>
      <c r="C33" s="1">
        <f t="shared" ref="C33:C64" si="0">SLOPE(A33:A34,B33:B34)</f>
        <v>-1.8536868494426997E-4</v>
      </c>
      <c r="D33" s="1">
        <f t="shared" ref="D33:D64" si="1">INTERCEPT(A33:A34,B33:B34)</f>
        <v>1.0125627713421075</v>
      </c>
      <c r="E33" s="32"/>
      <c r="F33" s="1">
        <v>0.98275862068965514</v>
      </c>
      <c r="G33" s="1">
        <v>180.74048759137679</v>
      </c>
      <c r="H33" s="1">
        <f t="shared" ref="H33:H64" si="2">SLOPE(F33:F34,G33:G34)</f>
        <v>-9.5986389989937276E-3</v>
      </c>
      <c r="I33" s="1">
        <f t="shared" ref="I33:I64" si="3">INTERCEPT(F33:F34,G33:G34)</f>
        <v>2.7176213135813865</v>
      </c>
      <c r="J33" s="33"/>
      <c r="P33" s="32"/>
      <c r="Q33" s="32"/>
      <c r="R33" s="32"/>
      <c r="S33" s="32">
        <v>15</v>
      </c>
      <c r="T33" s="1">
        <v>1.2796852199200992</v>
      </c>
      <c r="U33" s="1"/>
      <c r="V33" s="1">
        <v>11</v>
      </c>
      <c r="W33" s="1">
        <v>1.2705618438746986</v>
      </c>
      <c r="AM33" s="1"/>
      <c r="AQ33">
        <v>313.28300155734337</v>
      </c>
    </row>
    <row r="34" spans="1:43" ht="12.75" customHeight="1" x14ac:dyDescent="0.25">
      <c r="A34" s="1">
        <v>0.97752808988764039</v>
      </c>
      <c r="B34" s="1">
        <v>189</v>
      </c>
      <c r="C34" s="1">
        <f t="shared" si="0"/>
        <v>-6.4078689899052185E-4</v>
      </c>
      <c r="D34" s="1">
        <f t="shared" si="1"/>
        <v>1.098636813796849</v>
      </c>
      <c r="E34" s="32"/>
      <c r="F34" s="1">
        <v>0.96551724137931039</v>
      </c>
      <c r="G34" s="1">
        <v>182.53671925631932</v>
      </c>
      <c r="H34" s="1">
        <f t="shared" si="2"/>
        <v>-5.11727997555058E-4</v>
      </c>
      <c r="I34" s="1">
        <f t="shared" si="3"/>
        <v>1.0589263912046165</v>
      </c>
      <c r="J34" s="33"/>
      <c r="K34" s="32"/>
      <c r="L34" s="32"/>
      <c r="M34" s="32"/>
      <c r="N34" s="32"/>
      <c r="O34" s="32"/>
      <c r="P34" s="32"/>
      <c r="Q34" s="32"/>
      <c r="R34" s="32"/>
      <c r="S34" s="32">
        <v>15</v>
      </c>
      <c r="T34" s="1">
        <v>1.3704648707021772</v>
      </c>
      <c r="U34" s="1"/>
      <c r="V34" s="1">
        <v>12</v>
      </c>
      <c r="W34" s="1">
        <v>1.3007767937611823</v>
      </c>
      <c r="AM34" s="1"/>
      <c r="AQ34">
        <v>316.08834043746168</v>
      </c>
    </row>
    <row r="35" spans="1:43" ht="12.75" customHeight="1" x14ac:dyDescent="0.25">
      <c r="A35" s="1">
        <v>0.9662921348314607</v>
      </c>
      <c r="B35" s="1">
        <v>206.53462043915147</v>
      </c>
      <c r="C35" s="1">
        <f t="shared" si="0"/>
        <v>-1.0892058307074299E-3</v>
      </c>
      <c r="D35" s="1">
        <f t="shared" si="1"/>
        <v>1.1912508476567305</v>
      </c>
      <c r="E35" s="32"/>
      <c r="F35" s="1">
        <v>0.94827586206896552</v>
      </c>
      <c r="G35" s="1">
        <v>216.2291875064854</v>
      </c>
      <c r="H35" s="1">
        <f t="shared" si="2"/>
        <v>-8.8031165854472754E-3</v>
      </c>
      <c r="I35" s="1">
        <f t="shared" si="3"/>
        <v>2.8517666088650957</v>
      </c>
      <c r="J35" s="33"/>
      <c r="K35" s="32"/>
      <c r="L35" s="32"/>
      <c r="M35" s="32"/>
      <c r="N35" s="32"/>
      <c r="O35" s="32"/>
      <c r="P35" s="32"/>
      <c r="Q35" s="32"/>
      <c r="R35" s="32"/>
      <c r="S35" s="32">
        <v>15</v>
      </c>
      <c r="T35" s="1">
        <v>1.2264872302233789</v>
      </c>
      <c r="U35" s="1"/>
      <c r="V35" s="1">
        <v>12</v>
      </c>
      <c r="W35" s="1">
        <v>1.2785407583601449</v>
      </c>
      <c r="AM35" s="1"/>
      <c r="AQ35">
        <v>320.59128285605385</v>
      </c>
    </row>
    <row r="36" spans="1:43" x14ac:dyDescent="0.25">
      <c r="A36" s="1">
        <v>0.9550561797752809</v>
      </c>
      <c r="B36" s="1">
        <v>216.85035208454869</v>
      </c>
      <c r="C36" s="1">
        <f t="shared" si="0"/>
        <v>-9.2781466123319255E-4</v>
      </c>
      <c r="D36" s="1">
        <f t="shared" si="1"/>
        <v>1.156253115732905</v>
      </c>
      <c r="E36" s="32"/>
      <c r="F36" s="1">
        <v>0.93103448275862066</v>
      </c>
      <c r="G36" s="1">
        <v>218.18774151891859</v>
      </c>
      <c r="H36" s="1">
        <f t="shared" si="2"/>
        <v>-1.4204761579258934E-3</v>
      </c>
      <c r="I36" s="1">
        <f t="shared" si="3"/>
        <v>1.2409649675379422</v>
      </c>
      <c r="J36" s="33"/>
      <c r="K36" s="83" t="str">
        <f ca="1">CONCATENATE("Your project is in the ",TEXT(O54,"00"),K42," percentile, meaning that ", TEXT(P54,"00"), "% of projects have a better APR difference (indexed to like-term swap rate)")</f>
        <v>Your project is in the 10th percentile, meaning that 90% of projects have a better APR difference (indexed to like-term swap rate)</v>
      </c>
      <c r="L36" s="84"/>
      <c r="M36" s="84"/>
      <c r="N36" s="84"/>
      <c r="O36" s="84"/>
      <c r="P36" s="32"/>
      <c r="Q36" s="32"/>
      <c r="R36" s="32"/>
      <c r="S36" s="32">
        <v>15</v>
      </c>
      <c r="T36" s="1">
        <v>1.2598622475260635</v>
      </c>
      <c r="U36" s="1"/>
      <c r="V36" s="1">
        <v>12</v>
      </c>
      <c r="W36" s="1">
        <v>1.2986102897622922</v>
      </c>
      <c r="AM36" s="1"/>
      <c r="AQ36">
        <v>320.93215596684195</v>
      </c>
    </row>
    <row r="37" spans="1:43" x14ac:dyDescent="0.25">
      <c r="A37" s="1">
        <v>0.9438202247191011</v>
      </c>
      <c r="B37" s="1">
        <v>228.96048089114211</v>
      </c>
      <c r="C37" s="1">
        <f t="shared" si="0"/>
        <v>-4.4085548642155874E-3</v>
      </c>
      <c r="D37" s="1">
        <f t="shared" si="1"/>
        <v>1.9532050664648857</v>
      </c>
      <c r="E37" s="32"/>
      <c r="F37" s="1">
        <v>0.91379310344827591</v>
      </c>
      <c r="G37" s="1">
        <v>230.32548787540776</v>
      </c>
      <c r="H37" s="1">
        <f t="shared" si="2"/>
        <v>-2.0753156440711669E-3</v>
      </c>
      <c r="I37" s="1">
        <f t="shared" si="3"/>
        <v>1.3917911916644334</v>
      </c>
      <c r="J37" s="33"/>
      <c r="K37" s="84"/>
      <c r="L37" s="84"/>
      <c r="M37" s="84"/>
      <c r="N37" s="84"/>
      <c r="O37" s="84"/>
      <c r="P37" s="32"/>
      <c r="Q37" s="32"/>
      <c r="R37" s="32"/>
      <c r="S37" s="32">
        <v>15</v>
      </c>
      <c r="T37" s="1">
        <v>1.300870101554394</v>
      </c>
      <c r="U37" s="1"/>
      <c r="V37" s="1">
        <v>12.67</v>
      </c>
      <c r="W37" s="1">
        <v>1.2788249821653044</v>
      </c>
      <c r="Y37" s="1"/>
      <c r="AM37" s="1"/>
      <c r="AQ37">
        <v>324.02761428729985</v>
      </c>
    </row>
    <row r="38" spans="1:43" x14ac:dyDescent="0.25">
      <c r="A38" s="1">
        <v>0.93258426966292141</v>
      </c>
      <c r="B38" s="1">
        <v>231.5091516919486</v>
      </c>
      <c r="C38" s="1">
        <f t="shared" si="0"/>
        <v>-1.596023047168366E-2</v>
      </c>
      <c r="D38" s="1">
        <f t="shared" si="1"/>
        <v>4.6275236869703944</v>
      </c>
      <c r="E38" s="32"/>
      <c r="F38" s="1">
        <v>0.89655172413793105</v>
      </c>
      <c r="G38" s="1">
        <v>238.63332257014474</v>
      </c>
      <c r="H38" s="1">
        <f t="shared" si="2"/>
        <v>-1.2905597413914E-3</v>
      </c>
      <c r="I38" s="1">
        <f t="shared" si="3"/>
        <v>1.2045222832014275</v>
      </c>
      <c r="J38" s="33"/>
      <c r="K38" s="84"/>
      <c r="L38" s="84"/>
      <c r="M38" s="84"/>
      <c r="N38" s="84"/>
      <c r="O38" s="84"/>
      <c r="P38" s="32"/>
      <c r="Q38" s="32"/>
      <c r="R38" s="32"/>
      <c r="S38" s="32">
        <v>15</v>
      </c>
      <c r="T38" s="1">
        <v>1.251280814790765</v>
      </c>
      <c r="U38" s="1"/>
      <c r="V38" s="1">
        <v>13</v>
      </c>
      <c r="W38" s="1">
        <v>1.1919444250316489</v>
      </c>
      <c r="AM38" s="1"/>
      <c r="AQ38">
        <v>329.15599115748205</v>
      </c>
    </row>
    <row r="39" spans="1:43" x14ac:dyDescent="0.25">
      <c r="A39" s="1">
        <v>0.9213483146067416</v>
      </c>
      <c r="B39" s="1">
        <v>232.21314873485562</v>
      </c>
      <c r="C39" s="1">
        <f t="shared" si="0"/>
        <v>-7.7160029391759852E-2</v>
      </c>
      <c r="D39" s="1">
        <f t="shared" si="1"/>
        <v>18.838921696141306</v>
      </c>
      <c r="E39" s="32"/>
      <c r="F39" s="1">
        <v>0.87931034482758597</v>
      </c>
      <c r="G39" s="1">
        <v>251.9929360443389</v>
      </c>
      <c r="H39" s="1">
        <f t="shared" si="2"/>
        <v>-2.9922928649966721E-3</v>
      </c>
      <c r="I39" s="1">
        <f t="shared" si="3"/>
        <v>1.6333470093826241</v>
      </c>
      <c r="J39" s="33"/>
      <c r="K39" s="84"/>
      <c r="L39" s="84"/>
      <c r="M39" s="84"/>
      <c r="N39" s="84"/>
      <c r="O39" s="84"/>
      <c r="P39" s="32"/>
      <c r="Q39" s="32"/>
      <c r="R39" s="32"/>
      <c r="S39" s="32">
        <v>15.166666666666666</v>
      </c>
      <c r="T39" s="1">
        <v>1.3558942158510501</v>
      </c>
      <c r="U39" s="1"/>
      <c r="V39" s="1">
        <v>13</v>
      </c>
      <c r="W39" s="1">
        <v>1.3706183676411299</v>
      </c>
      <c r="AM39" s="1"/>
      <c r="AQ39">
        <v>342.48725466244662</v>
      </c>
    </row>
    <row r="40" spans="1:43" x14ac:dyDescent="0.25">
      <c r="A40" s="1">
        <v>0.9101123595505618</v>
      </c>
      <c r="B40" s="1">
        <v>232.35876758887565</v>
      </c>
      <c r="C40" s="1">
        <f t="shared" si="0"/>
        <v>-7.568601827874367E-4</v>
      </c>
      <c r="D40" s="1">
        <f t="shared" si="1"/>
        <v>1.0859754588601418</v>
      </c>
      <c r="E40" s="32"/>
      <c r="F40" s="1">
        <v>0.86206896551724099</v>
      </c>
      <c r="G40" s="1">
        <v>257.75486513625088</v>
      </c>
      <c r="H40" s="1">
        <f t="shared" si="2"/>
        <v>-7.8742330039611487E-3</v>
      </c>
      <c r="I40" s="1">
        <f t="shared" si="3"/>
        <v>2.8916908315046626</v>
      </c>
      <c r="J40" s="33"/>
      <c r="K40" s="84"/>
      <c r="L40" s="84"/>
      <c r="M40" s="84"/>
      <c r="N40" s="84"/>
      <c r="O40" s="84"/>
      <c r="P40" s="32"/>
      <c r="Q40" s="32"/>
      <c r="R40" s="32"/>
      <c r="S40" s="32">
        <v>15.58</v>
      </c>
      <c r="T40" s="1">
        <v>1.3226118800695239</v>
      </c>
      <c r="U40" s="1"/>
      <c r="V40" s="1">
        <v>13</v>
      </c>
      <c r="W40" s="1">
        <v>1.433750562084642</v>
      </c>
      <c r="AK40">
        <v>0</v>
      </c>
      <c r="AL40">
        <v>0</v>
      </c>
      <c r="AM40" s="1"/>
      <c r="AQ40">
        <v>344.81445645052776</v>
      </c>
    </row>
    <row r="41" spans="1:43" x14ac:dyDescent="0.25">
      <c r="A41" s="1">
        <v>0.898876404494382</v>
      </c>
      <c r="B41" s="1">
        <v>247.20425069356079</v>
      </c>
      <c r="C41" s="1">
        <f t="shared" si="0"/>
        <v>-1.1437913563191896E-3</v>
      </c>
      <c r="D41" s="1">
        <f t="shared" si="1"/>
        <v>1.1816264896830388</v>
      </c>
      <c r="E41" s="32"/>
      <c r="F41" s="1">
        <v>0.84482758620689602</v>
      </c>
      <c r="G41" s="1">
        <v>259.94445989445421</v>
      </c>
      <c r="H41" s="1">
        <f t="shared" si="2"/>
        <v>-1.9923222848101135E-2</v>
      </c>
      <c r="I41" s="1">
        <f t="shared" si="3"/>
        <v>6.0237589888133956</v>
      </c>
      <c r="J41" s="33"/>
      <c r="K41" s="84"/>
      <c r="L41" s="84"/>
      <c r="M41" s="84"/>
      <c r="N41" s="84"/>
      <c r="O41" s="84"/>
      <c r="P41" s="32"/>
      <c r="Q41" s="32"/>
      <c r="R41" s="32"/>
      <c r="S41" s="32">
        <v>16</v>
      </c>
      <c r="T41" s="1">
        <v>1.3631282685808668</v>
      </c>
      <c r="U41" s="1"/>
      <c r="V41" s="1">
        <v>13</v>
      </c>
      <c r="W41" s="1">
        <v>1.2465081244154839</v>
      </c>
      <c r="AM41" s="1"/>
      <c r="AQ41">
        <v>353.14840846512158</v>
      </c>
    </row>
    <row r="42" spans="1:43" x14ac:dyDescent="0.25">
      <c r="A42" s="1">
        <v>0.88764044943820219</v>
      </c>
      <c r="B42" s="1">
        <v>257.02768133421364</v>
      </c>
      <c r="C42" s="1">
        <f t="shared" si="0"/>
        <v>-4.6248939266539408E-3</v>
      </c>
      <c r="D42" s="1">
        <f t="shared" si="1"/>
        <v>2.0763662118227515</v>
      </c>
      <c r="E42" s="32"/>
      <c r="F42" s="1">
        <v>0.82758620689655205</v>
      </c>
      <c r="G42" s="1">
        <v>260.80985097308621</v>
      </c>
      <c r="H42" s="1">
        <f t="shared" si="2"/>
        <v>-9.7784831492773571E-4</v>
      </c>
      <c r="I42" s="1">
        <f t="shared" si="3"/>
        <v>1.0826186801871382</v>
      </c>
      <c r="J42" s="33"/>
      <c r="K42" s="32" t="str">
        <f ca="1">CHOOSE(MOD(O54,10)+1,"th","st","nd","rd","th","th","th","th","th","th")</f>
        <v>th</v>
      </c>
      <c r="L42" s="32"/>
      <c r="M42" s="32"/>
      <c r="N42" s="32"/>
      <c r="O42" s="32"/>
      <c r="P42" s="32"/>
      <c r="Q42" s="32"/>
      <c r="R42" s="32"/>
      <c r="S42" s="32">
        <v>16</v>
      </c>
      <c r="T42" s="1">
        <v>1.2378689812684682</v>
      </c>
      <c r="U42" s="1"/>
      <c r="V42" s="1">
        <v>14</v>
      </c>
      <c r="W42" s="1">
        <v>1.3380971628096323</v>
      </c>
      <c r="AM42" s="1"/>
      <c r="AQ42">
        <v>353.97438698477464</v>
      </c>
    </row>
    <row r="43" spans="1:43" x14ac:dyDescent="0.25">
      <c r="A43" s="1">
        <v>0.8764044943820225</v>
      </c>
      <c r="B43" s="1">
        <v>259.4571327409638</v>
      </c>
      <c r="C43" s="1">
        <f t="shared" si="0"/>
        <v>-1.0051133496429941E-2</v>
      </c>
      <c r="D43" s="1">
        <f t="shared" si="1"/>
        <v>3.4842427721623928</v>
      </c>
      <c r="E43" s="32"/>
      <c r="F43" s="1">
        <v>0.81034482758620696</v>
      </c>
      <c r="G43" s="1">
        <v>278.44180783913578</v>
      </c>
      <c r="H43" s="1">
        <f t="shared" si="2"/>
        <v>-1.5372862771974811E-2</v>
      </c>
      <c r="I43" s="1">
        <f t="shared" si="3"/>
        <v>5.0907925294778211</v>
      </c>
      <c r="J43" s="33"/>
      <c r="K43" s="83" t="str">
        <f ca="1">CONCATENATE("Your project is in the ",TEXT(O59,"00"),K49," percentile, meaning that ", TEXT(P59,"00"), "% of projects have a better APR difference (indexed to like-term Treasuries)")</f>
        <v>Your project is in the 14th percentile, meaning that 86% of projects have a better APR difference (indexed to like-term Treasuries)</v>
      </c>
      <c r="L43" s="84"/>
      <c r="M43" s="84"/>
      <c r="N43" s="84"/>
      <c r="O43" s="84"/>
      <c r="P43" s="32"/>
      <c r="Q43" s="32"/>
      <c r="R43" s="32"/>
      <c r="S43" s="32">
        <v>16.079999999999998</v>
      </c>
      <c r="T43" s="1">
        <v>1.3178315533851388</v>
      </c>
      <c r="U43" s="1"/>
      <c r="V43" s="1">
        <v>14</v>
      </c>
      <c r="W43" s="1">
        <v>1.4285916046512175</v>
      </c>
      <c r="AM43" s="1"/>
      <c r="AQ43">
        <v>355.4832110334371</v>
      </c>
    </row>
    <row r="44" spans="1:43" x14ac:dyDescent="0.25">
      <c r="A44" s="1">
        <v>0.8651685393258427</v>
      </c>
      <c r="B44" s="1">
        <v>260.57501213836417</v>
      </c>
      <c r="C44" s="1">
        <f t="shared" si="0"/>
        <v>-8.480333189637173E-4</v>
      </c>
      <c r="D44" s="1">
        <f t="shared" si="1"/>
        <v>1.0861448317085507</v>
      </c>
      <c r="E44" s="32"/>
      <c r="F44" s="1">
        <v>0.79310344827586199</v>
      </c>
      <c r="G44" s="1">
        <v>279.56335426585446</v>
      </c>
      <c r="H44" s="1">
        <f t="shared" si="2"/>
        <v>-3.8981892145249666E-3</v>
      </c>
      <c r="I44" s="1">
        <f t="shared" si="3"/>
        <v>1.8828943006514383</v>
      </c>
      <c r="J44" s="33"/>
      <c r="K44" s="84"/>
      <c r="L44" s="84"/>
      <c r="M44" s="84"/>
      <c r="N44" s="84"/>
      <c r="O44" s="84"/>
      <c r="P44" s="32"/>
      <c r="Q44" s="32"/>
      <c r="R44" s="32"/>
      <c r="S44" s="32">
        <v>17</v>
      </c>
      <c r="T44" s="1">
        <v>1.245742743751818</v>
      </c>
      <c r="U44" s="1"/>
      <c r="V44" s="1">
        <v>14</v>
      </c>
      <c r="W44" s="1">
        <v>1.2606572903579352</v>
      </c>
      <c r="Y44" s="1"/>
      <c r="AM44" s="1"/>
      <c r="AQ44">
        <v>355.97582484316882</v>
      </c>
    </row>
    <row r="45" spans="1:43" x14ac:dyDescent="0.25">
      <c r="A45" s="1">
        <v>0.8539325842696629</v>
      </c>
      <c r="B45" s="1">
        <v>273.82443855230503</v>
      </c>
      <c r="C45" s="1">
        <f t="shared" si="0"/>
        <v>-1.201741065196928E-2</v>
      </c>
      <c r="D45" s="1">
        <f t="shared" si="1"/>
        <v>4.1445933088976412</v>
      </c>
      <c r="E45" s="32"/>
      <c r="F45" s="1">
        <v>0.77586206896551702</v>
      </c>
      <c r="G45" s="1">
        <v>283.98627433502458</v>
      </c>
      <c r="H45" s="1">
        <f t="shared" si="2"/>
        <v>-4.7510855406239279E-3</v>
      </c>
      <c r="I45" s="1">
        <f t="shared" si="3"/>
        <v>2.1251051506943126</v>
      </c>
      <c r="J45" s="33"/>
      <c r="K45" s="84"/>
      <c r="L45" s="84"/>
      <c r="M45" s="84"/>
      <c r="N45" s="84"/>
      <c r="O45" s="84"/>
      <c r="P45" s="32"/>
      <c r="Q45" s="32"/>
      <c r="R45" s="32"/>
      <c r="S45" s="32">
        <v>17</v>
      </c>
      <c r="T45" s="1">
        <v>1.3582420297446816</v>
      </c>
      <c r="U45" s="1"/>
      <c r="V45" s="1">
        <v>14</v>
      </c>
      <c r="W45" s="1">
        <v>1.2266185372465621</v>
      </c>
      <c r="AM45" s="1"/>
      <c r="AQ45">
        <v>359.87510592148118</v>
      </c>
    </row>
    <row r="46" spans="1:43" x14ac:dyDescent="0.25">
      <c r="A46" s="1">
        <v>0.84269662921348321</v>
      </c>
      <c r="B46" s="1">
        <v>274.75941159945961</v>
      </c>
      <c r="C46" s="1">
        <f t="shared" si="0"/>
        <v>-1.4592112875146364E-2</v>
      </c>
      <c r="D46" s="1">
        <f t="shared" si="1"/>
        <v>4.8520169767815977</v>
      </c>
      <c r="E46" s="32"/>
      <c r="F46" s="1">
        <v>0.75862068965517193</v>
      </c>
      <c r="G46" s="1">
        <v>287.61520906224081</v>
      </c>
      <c r="H46" s="1">
        <f t="shared" si="2"/>
        <v>-1.4399007649701529E-2</v>
      </c>
      <c r="I46" s="1">
        <f t="shared" si="3"/>
        <v>4.8999942851128813</v>
      </c>
      <c r="J46" s="33"/>
      <c r="K46" s="84"/>
      <c r="L46" s="84"/>
      <c r="M46" s="84"/>
      <c r="N46" s="84"/>
      <c r="O46" s="84"/>
      <c r="P46" s="32"/>
      <c r="Q46" s="32"/>
      <c r="R46" s="32"/>
      <c r="S46" s="32">
        <v>17</v>
      </c>
      <c r="T46" s="1">
        <v>1.4076544034775764</v>
      </c>
      <c r="U46" s="1"/>
      <c r="V46" s="1">
        <v>14</v>
      </c>
      <c r="W46" s="1">
        <v>1.2698596314923385</v>
      </c>
      <c r="AM46" s="1"/>
      <c r="AQ46">
        <v>360.83786877838264</v>
      </c>
    </row>
    <row r="47" spans="1:43" x14ac:dyDescent="0.25">
      <c r="A47" s="1">
        <v>0.8314606741573034</v>
      </c>
      <c r="B47" s="1">
        <v>275.52941352805743</v>
      </c>
      <c r="C47" s="1">
        <f t="shared" si="0"/>
        <v>-5.081672858715248E-3</v>
      </c>
      <c r="D47" s="1">
        <f t="shared" si="1"/>
        <v>2.2316110166605627</v>
      </c>
      <c r="E47" s="32"/>
      <c r="F47" s="1">
        <v>0.74137931034482696</v>
      </c>
      <c r="G47" s="1">
        <v>288.81260958662364</v>
      </c>
      <c r="H47" s="1">
        <f t="shared" si="2"/>
        <v>-2.7084481979578134E-3</v>
      </c>
      <c r="I47" s="1">
        <f t="shared" si="3"/>
        <v>1.5236133023272114</v>
      </c>
      <c r="J47" s="33"/>
      <c r="K47" s="84"/>
      <c r="L47" s="84"/>
      <c r="M47" s="84"/>
      <c r="N47" s="84"/>
      <c r="O47" s="84"/>
      <c r="P47" s="32"/>
      <c r="Q47" s="32"/>
      <c r="R47" s="32"/>
      <c r="S47" s="32">
        <v>17</v>
      </c>
      <c r="T47" s="1">
        <v>1.4982257700852271</v>
      </c>
      <c r="U47" s="1"/>
      <c r="V47" s="1">
        <v>14</v>
      </c>
      <c r="W47" s="1">
        <v>1.3846622913160287</v>
      </c>
      <c r="AM47" s="1"/>
      <c r="AQ47">
        <v>362.77957835515366</v>
      </c>
    </row>
    <row r="48" spans="1:43" x14ac:dyDescent="0.25">
      <c r="A48" s="1">
        <v>0.8202247191011236</v>
      </c>
      <c r="B48" s="1">
        <v>277.7404875913769</v>
      </c>
      <c r="C48" s="1">
        <f t="shared" si="0"/>
        <v>-2.8074643617550382E-2</v>
      </c>
      <c r="D48" s="1">
        <f t="shared" si="1"/>
        <v>8.6176899263937052</v>
      </c>
      <c r="E48" s="32"/>
      <c r="F48" s="1">
        <v>0.72413793103448298</v>
      </c>
      <c r="G48" s="1">
        <v>295.17838734945627</v>
      </c>
      <c r="H48" s="1">
        <f t="shared" si="2"/>
        <v>-6.4597670517239136E-2</v>
      </c>
      <c r="I48" s="1">
        <f t="shared" si="3"/>
        <v>19.791974140844644</v>
      </c>
      <c r="J48" s="33"/>
      <c r="K48" s="84"/>
      <c r="L48" s="84"/>
      <c r="M48" s="84"/>
      <c r="N48" s="84"/>
      <c r="O48" s="84"/>
      <c r="P48" s="32"/>
      <c r="Q48" s="32"/>
      <c r="R48" s="32"/>
      <c r="S48" s="32">
        <v>17.670000000000002</v>
      </c>
      <c r="T48" s="1">
        <v>1.3022326535260051</v>
      </c>
      <c r="U48" s="1"/>
      <c r="V48" s="1">
        <v>14</v>
      </c>
      <c r="W48" s="1">
        <v>1.2168107040589002</v>
      </c>
      <c r="AM48" s="1"/>
      <c r="AQ48">
        <v>366.8107598360827</v>
      </c>
    </row>
    <row r="49" spans="1:43" x14ac:dyDescent="0.25">
      <c r="A49" s="1">
        <v>0.8089887640449438</v>
      </c>
      <c r="B49" s="1">
        <v>278.14070478413072</v>
      </c>
      <c r="C49" s="1">
        <f t="shared" si="0"/>
        <v>-2.7857308746587627E-3</v>
      </c>
      <c r="D49" s="1">
        <f t="shared" si="1"/>
        <v>1.5838139128614448</v>
      </c>
      <c r="E49" s="32"/>
      <c r="F49" s="1">
        <v>0.70689655172413801</v>
      </c>
      <c r="G49" s="1">
        <v>295.44529139061274</v>
      </c>
      <c r="H49" s="1">
        <f t="shared" si="2"/>
        <v>-6.2124940495485526E-3</v>
      </c>
      <c r="I49" s="1">
        <f t="shared" si="3"/>
        <v>2.5423486664554575</v>
      </c>
      <c r="J49" s="33"/>
      <c r="K49" s="32" t="str">
        <f ca="1">CHOOSE(MOD(O59,10)+1,"th","st","nd","rd","th","th","th","th","th","th")</f>
        <v>th</v>
      </c>
      <c r="L49" s="32"/>
      <c r="M49" s="32"/>
      <c r="N49" s="32"/>
      <c r="O49" s="32"/>
      <c r="P49" s="32"/>
      <c r="Q49" s="32"/>
      <c r="R49" s="32"/>
      <c r="S49" s="32">
        <v>17.920000000000002</v>
      </c>
      <c r="T49" s="1">
        <v>1.3540784239837615</v>
      </c>
      <c r="U49" s="1"/>
      <c r="V49" s="1">
        <v>14.11</v>
      </c>
      <c r="W49" s="1">
        <v>1.3986899863817652</v>
      </c>
      <c r="AM49" s="1"/>
      <c r="AQ49">
        <v>368.76396024332251</v>
      </c>
    </row>
    <row r="50" spans="1:43" x14ac:dyDescent="0.25">
      <c r="A50" s="1">
        <v>0.797752808988764</v>
      </c>
      <c r="B50" s="1">
        <v>282.17410052899288</v>
      </c>
      <c r="C50" s="1">
        <f t="shared" si="0"/>
        <v>-1.6637340302549308E-3</v>
      </c>
      <c r="D50" s="1">
        <f t="shared" si="1"/>
        <v>1.2672154624954253</v>
      </c>
      <c r="E50" s="32"/>
      <c r="F50" s="1">
        <v>0.68965517241379293</v>
      </c>
      <c r="G50" s="1">
        <v>298.22056637242105</v>
      </c>
      <c r="H50" s="1">
        <f t="shared" si="2"/>
        <v>-1.6791954783157061E-2</v>
      </c>
      <c r="I50" s="1">
        <f t="shared" si="3"/>
        <v>5.6973614383469764</v>
      </c>
      <c r="J50" s="33"/>
      <c r="K50" s="32"/>
      <c r="L50" s="32"/>
      <c r="M50" s="32"/>
      <c r="N50" s="32"/>
      <c r="O50" s="32"/>
      <c r="P50" s="32"/>
      <c r="Q50" s="32"/>
      <c r="R50" s="32"/>
      <c r="S50" s="32">
        <v>18</v>
      </c>
      <c r="T50" s="1">
        <v>1.2744136941145967</v>
      </c>
      <c r="U50" s="1"/>
      <c r="V50" s="1">
        <v>15</v>
      </c>
      <c r="W50" s="1">
        <v>1.3434707059079212</v>
      </c>
      <c r="AM50" s="1"/>
      <c r="AQ50">
        <v>370.24619562264354</v>
      </c>
    </row>
    <row r="51" spans="1:43" x14ac:dyDescent="0.25">
      <c r="A51" s="1">
        <v>0.7865168539325843</v>
      </c>
      <c r="B51" s="1">
        <v>288.92755682179831</v>
      </c>
      <c r="C51" s="1">
        <f t="shared" si="0"/>
        <v>-6.4430295191471813E-3</v>
      </c>
      <c r="D51" s="1">
        <f t="shared" si="1"/>
        <v>2.6480856314305052</v>
      </c>
      <c r="E51" s="32"/>
      <c r="F51" s="1">
        <v>0.67241379310344795</v>
      </c>
      <c r="G51" s="1">
        <v>299.24733064930194</v>
      </c>
      <c r="H51" s="1">
        <f t="shared" si="2"/>
        <v>-6.3340986005478135E-3</v>
      </c>
      <c r="I51" s="1">
        <f t="shared" si="3"/>
        <v>2.5678758913868602</v>
      </c>
      <c r="J51" s="33"/>
      <c r="Q51" s="32"/>
      <c r="R51" s="32"/>
      <c r="S51" s="32">
        <v>18</v>
      </c>
      <c r="T51" s="1">
        <v>1.4118978497015129</v>
      </c>
      <c r="U51" s="1"/>
      <c r="V51" s="1">
        <v>15</v>
      </c>
      <c r="W51" s="1">
        <v>1.3244009627534015</v>
      </c>
      <c r="Y51" s="1"/>
      <c r="AM51" s="1"/>
      <c r="AQ51">
        <v>372.61242317739192</v>
      </c>
    </row>
    <row r="52" spans="1:43" x14ac:dyDescent="0.25">
      <c r="A52" s="1">
        <v>0.7752808988764045</v>
      </c>
      <c r="B52" s="1">
        <v>290.67144997373703</v>
      </c>
      <c r="C52" s="1">
        <f t="shared" si="0"/>
        <v>-3.400308125007767E-3</v>
      </c>
      <c r="D52" s="1">
        <f t="shared" si="1"/>
        <v>1.7636533919298911</v>
      </c>
      <c r="E52" s="32"/>
      <c r="F52" s="1">
        <v>0.65517241379310298</v>
      </c>
      <c r="G52" s="1">
        <v>301.9693247952178</v>
      </c>
      <c r="H52" s="1">
        <f t="shared" si="2"/>
        <v>-2.0494466179237858E-3</v>
      </c>
      <c r="I52" s="1">
        <f t="shared" si="3"/>
        <v>1.2740424252113913</v>
      </c>
      <c r="J52" s="33"/>
      <c r="Q52" s="32"/>
      <c r="R52" s="32"/>
      <c r="S52" s="32">
        <v>18</v>
      </c>
      <c r="T52" s="1">
        <v>1.4242800974757075</v>
      </c>
      <c r="U52" s="1"/>
      <c r="V52" s="1">
        <v>15</v>
      </c>
      <c r="W52" s="1">
        <v>1.3593647770822193</v>
      </c>
      <c r="Y52" s="1"/>
      <c r="AM52" s="1"/>
      <c r="AQ52">
        <v>373.32823311668659</v>
      </c>
    </row>
    <row r="53" spans="1:43" x14ac:dyDescent="0.25">
      <c r="A53" s="1">
        <v>0.7640449438202247</v>
      </c>
      <c r="B53" s="1">
        <v>293.97584317667776</v>
      </c>
      <c r="C53" s="1">
        <f t="shared" si="0"/>
        <v>-3.7419952065184054E-3</v>
      </c>
      <c r="D53" s="1">
        <f t="shared" si="1"/>
        <v>1.8641011398195593</v>
      </c>
      <c r="E53" s="32"/>
      <c r="F53" s="1">
        <v>0.63793103448275801</v>
      </c>
      <c r="G53" s="1">
        <v>310.38202467212972</v>
      </c>
      <c r="H53" s="1">
        <f t="shared" si="2"/>
        <v>-1.7045446606549696E-3</v>
      </c>
      <c r="I53" s="1">
        <f t="shared" si="3"/>
        <v>1.1669910574009159</v>
      </c>
      <c r="J53" s="33"/>
      <c r="K53" t="s">
        <v>11</v>
      </c>
      <c r="O53" s="48"/>
      <c r="P53"/>
      <c r="Q53" s="32"/>
      <c r="R53" s="32"/>
      <c r="S53" s="32">
        <v>18.170000000000002</v>
      </c>
      <c r="T53" s="1">
        <v>1.3678994542426441</v>
      </c>
      <c r="U53" s="1"/>
      <c r="V53" s="1">
        <v>15</v>
      </c>
      <c r="W53" s="1">
        <v>1.458348231345582</v>
      </c>
      <c r="Y53" s="1"/>
      <c r="AM53" s="1"/>
      <c r="AQ53">
        <v>379.65626856254841</v>
      </c>
    </row>
    <row r="54" spans="1:43" x14ac:dyDescent="0.25">
      <c r="A54" s="1">
        <v>0.75280898876404501</v>
      </c>
      <c r="B54" s="1">
        <v>296.97850738015057</v>
      </c>
      <c r="C54" s="1">
        <f t="shared" si="0"/>
        <v>-2.4675092546039556E-3</v>
      </c>
      <c r="D54" s="1">
        <f t="shared" si="1"/>
        <v>1.4856062041430356</v>
      </c>
      <c r="E54" s="32"/>
      <c r="F54" s="1">
        <v>0.62068965517241392</v>
      </c>
      <c r="G54" s="1">
        <v>320.49697191189233</v>
      </c>
      <c r="H54" s="1">
        <f t="shared" si="2"/>
        <v>-5.394741686378616E-3</v>
      </c>
      <c r="I54" s="1">
        <f t="shared" si="3"/>
        <v>2.3496880299036156</v>
      </c>
      <c r="J54" s="33"/>
      <c r="K54">
        <v>1</v>
      </c>
      <c r="L54" s="1">
        <f ca="1">N55</f>
        <v>419.08375722172775</v>
      </c>
      <c r="M54" s="14">
        <f ca="1">M55</f>
        <v>9.6972900161475861E-2</v>
      </c>
      <c r="N54">
        <v>0</v>
      </c>
      <c r="O54" s="48">
        <f ca="1">ROUND(100*M54,0)</f>
        <v>10</v>
      </c>
      <c r="P54" s="48">
        <f ca="1">100-O54</f>
        <v>90</v>
      </c>
      <c r="Q54" s="32"/>
      <c r="R54" s="32"/>
      <c r="S54" s="32">
        <v>18.996666666666666</v>
      </c>
      <c r="T54" s="1">
        <v>1.3424284681098826</v>
      </c>
      <c r="U54" s="55"/>
      <c r="V54" s="1">
        <v>15</v>
      </c>
      <c r="W54" s="1">
        <v>1.2996312336330684</v>
      </c>
      <c r="Y54" s="1"/>
      <c r="AM54" s="1"/>
      <c r="AQ54">
        <v>379.8068816554524</v>
      </c>
    </row>
    <row r="55" spans="1:43" x14ac:dyDescent="0.25">
      <c r="A55" s="1">
        <v>0.7415730337078652</v>
      </c>
      <c r="B55" s="1">
        <v>301.53206884510371</v>
      </c>
      <c r="C55" s="1">
        <f t="shared" si="0"/>
        <v>-5.8507155895528356E-3</v>
      </c>
      <c r="D55" s="1">
        <f t="shared" si="1"/>
        <v>2.5057514096500326</v>
      </c>
      <c r="E55" s="32"/>
      <c r="F55" s="1">
        <v>0.60344827586206895</v>
      </c>
      <c r="G55" s="1">
        <v>323.69293203615155</v>
      </c>
      <c r="H55" s="1">
        <f t="shared" si="2"/>
        <v>-8.0462847676163567E-3</v>
      </c>
      <c r="I55" s="1">
        <f t="shared" si="3"/>
        <v>3.2079737842896319</v>
      </c>
      <c r="J55" s="33"/>
      <c r="K55" s="14">
        <f ca="1">M55</f>
        <v>9.6972900161475861E-2</v>
      </c>
      <c r="L55" s="1">
        <f ca="1">N55</f>
        <v>419.08375722172775</v>
      </c>
      <c r="M55" s="15">
        <f ca="1">IF('Data Entry'!E17&gt;data!G90,0,IF('Data Entry'!E17&lt;data!G33,1,'Data Entry'!E17*VLOOKUP('Data Entry'!E17,data!G33:I89,2)+VLOOKUP('Data Entry'!E17,data!G33:I89,3)))</f>
        <v>9.6972900161475861E-2</v>
      </c>
      <c r="N55" s="1">
        <f ca="1">'Data Entry'!E17</f>
        <v>419.08375722172775</v>
      </c>
      <c r="O55" s="1"/>
      <c r="P55"/>
      <c r="Q55" s="32"/>
      <c r="R55" s="32"/>
      <c r="S55" s="32">
        <v>19</v>
      </c>
      <c r="T55" s="1">
        <v>1.4053817192193521</v>
      </c>
      <c r="U55" s="55"/>
      <c r="V55" s="1">
        <v>15</v>
      </c>
      <c r="W55" s="1">
        <v>1.3019845996090842</v>
      </c>
      <c r="Y55" s="1"/>
      <c r="AM55" s="1"/>
      <c r="AQ55">
        <v>383.87209711529215</v>
      </c>
    </row>
    <row r="56" spans="1:43" x14ac:dyDescent="0.25">
      <c r="A56" s="1">
        <v>0.7303370786516854</v>
      </c>
      <c r="B56" s="1">
        <v>303.45251000895774</v>
      </c>
      <c r="C56" s="1">
        <f t="shared" si="0"/>
        <v>-5.2826864634856101E-3</v>
      </c>
      <c r="D56" s="1">
        <f t="shared" si="1"/>
        <v>2.3333815455867382</v>
      </c>
      <c r="E56" s="32"/>
      <c r="F56" s="1">
        <v>0.58620689655172398</v>
      </c>
      <c r="G56" s="1">
        <v>325.8357072185234</v>
      </c>
      <c r="H56" s="1">
        <f t="shared" si="2"/>
        <v>-5.8192515478370137E-3</v>
      </c>
      <c r="I56" s="1">
        <f t="shared" si="3"/>
        <v>2.4823268401236844</v>
      </c>
      <c r="J56" s="33"/>
      <c r="K56" s="32"/>
      <c r="L56" s="32"/>
      <c r="M56" s="32"/>
      <c r="N56" s="32"/>
      <c r="O56" s="32"/>
      <c r="P56" s="32"/>
      <c r="Q56" s="32"/>
      <c r="R56" s="32"/>
      <c r="S56" s="32">
        <v>19</v>
      </c>
      <c r="T56" s="1">
        <v>1.5103808563414234</v>
      </c>
      <c r="U56" s="55"/>
      <c r="V56" s="1">
        <v>15</v>
      </c>
      <c r="W56" s="1">
        <v>1.3390143531747261</v>
      </c>
      <c r="Y56" s="1"/>
      <c r="AM56" s="1"/>
      <c r="AQ56">
        <v>386.61259432068181</v>
      </c>
    </row>
    <row r="57" spans="1:43" x14ac:dyDescent="0.25">
      <c r="A57" s="1">
        <v>0.7191011235955056</v>
      </c>
      <c r="B57" s="1">
        <v>305.57944961323744</v>
      </c>
      <c r="C57" s="1">
        <f t="shared" si="0"/>
        <v>-2.4936042441242845E-3</v>
      </c>
      <c r="D57" s="1">
        <f t="shared" si="1"/>
        <v>1.4810953360682375</v>
      </c>
      <c r="E57" s="32"/>
      <c r="F57" s="1">
        <v>0.568965517241379</v>
      </c>
      <c r="G57" s="1">
        <v>328.7985245445339</v>
      </c>
      <c r="H57" s="1">
        <f t="shared" si="2"/>
        <v>-5.3641619204712401E-3</v>
      </c>
      <c r="I57" s="1">
        <f t="shared" si="3"/>
        <v>2.3326940421102962</v>
      </c>
      <c r="J57" s="33"/>
      <c r="Q57" s="32"/>
      <c r="R57" s="32"/>
      <c r="S57" s="32">
        <v>19</v>
      </c>
      <c r="T57" s="1">
        <v>1.3456896851985503</v>
      </c>
      <c r="U57" s="55"/>
      <c r="V57" s="1">
        <v>15</v>
      </c>
      <c r="W57" s="1">
        <v>1.2920028153267524</v>
      </c>
      <c r="Y57" s="1"/>
      <c r="AM57" s="1"/>
      <c r="AQ57">
        <v>387.28301972424293</v>
      </c>
    </row>
    <row r="58" spans="1:43" x14ac:dyDescent="0.25">
      <c r="A58" s="1">
        <v>0.7078651685393258</v>
      </c>
      <c r="B58" s="1">
        <v>310.08535911457682</v>
      </c>
      <c r="C58" s="1">
        <f t="shared" si="0"/>
        <v>-4.4548058491168246E-3</v>
      </c>
      <c r="D58" s="1">
        <f t="shared" si="1"/>
        <v>2.0892352400484335</v>
      </c>
      <c r="E58" s="32"/>
      <c r="F58" s="1">
        <v>0.55172413793103403</v>
      </c>
      <c r="G58" s="1">
        <v>332.01270405029169</v>
      </c>
      <c r="H58" s="1">
        <f t="shared" si="2"/>
        <v>-3.6201796771330001E-3</v>
      </c>
      <c r="I58" s="1">
        <f t="shared" si="3"/>
        <v>1.7536697816838736</v>
      </c>
      <c r="J58" s="33"/>
      <c r="K58" t="s">
        <v>30</v>
      </c>
      <c r="Q58" s="32"/>
      <c r="R58" s="32"/>
      <c r="S58" s="32">
        <v>19</v>
      </c>
      <c r="T58" s="1">
        <v>1.27215606101974</v>
      </c>
      <c r="U58" s="55"/>
      <c r="V58" s="1">
        <v>15</v>
      </c>
      <c r="W58" s="1">
        <v>1.4396351278090083</v>
      </c>
      <c r="Y58" s="1"/>
      <c r="AM58" s="1"/>
      <c r="AQ58">
        <v>389.16798890874634</v>
      </c>
    </row>
    <row r="59" spans="1:43" x14ac:dyDescent="0.25">
      <c r="A59" s="1">
        <v>0.69662921348314599</v>
      </c>
      <c r="B59" s="1">
        <v>312.60756893398059</v>
      </c>
      <c r="C59" s="1">
        <f t="shared" si="0"/>
        <v>-1.6635197453506421E-2</v>
      </c>
      <c r="D59" s="1">
        <f t="shared" si="1"/>
        <v>5.8969178481605322</v>
      </c>
      <c r="E59" s="32"/>
      <c r="F59" s="1">
        <v>0.53448275862068906</v>
      </c>
      <c r="G59" s="1">
        <v>336.77527962609827</v>
      </c>
      <c r="H59" s="1">
        <f t="shared" si="2"/>
        <v>-1.8049729930038901E-2</v>
      </c>
      <c r="I59" s="1">
        <f t="shared" si="3"/>
        <v>6.6131856029850944</v>
      </c>
      <c r="J59" s="33"/>
      <c r="K59">
        <v>1</v>
      </c>
      <c r="L59" s="1">
        <f ca="1">N60</f>
        <v>460.85214275439694</v>
      </c>
      <c r="M59" s="14">
        <f ca="1">M60</f>
        <v>0.14351535349325206</v>
      </c>
      <c r="N59">
        <v>0</v>
      </c>
      <c r="O59" s="48">
        <f ca="1">ROUND(100*M59,0)</f>
        <v>14</v>
      </c>
      <c r="P59" s="48">
        <f ca="1">100-O59</f>
        <v>86</v>
      </c>
      <c r="Q59" s="32"/>
      <c r="R59" s="32"/>
      <c r="S59" s="32">
        <v>19</v>
      </c>
      <c r="T59" s="1">
        <v>1.3575316754931548</v>
      </c>
      <c r="U59" s="1"/>
      <c r="V59" s="1">
        <v>15.17</v>
      </c>
      <c r="W59" s="1">
        <v>1.4918636252506208</v>
      </c>
      <c r="Y59" s="1"/>
      <c r="AQ59">
        <v>394.21320496648792</v>
      </c>
    </row>
    <row r="60" spans="1:43" x14ac:dyDescent="0.25">
      <c r="A60" s="1">
        <v>0.6853932584269663</v>
      </c>
      <c r="B60" s="1">
        <v>313.28300155734337</v>
      </c>
      <c r="C60" s="1">
        <f t="shared" si="0"/>
        <v>-4.0052041968298441E-3</v>
      </c>
      <c r="D60" s="1">
        <f t="shared" si="1"/>
        <v>1.9401556510598887</v>
      </c>
      <c r="E60" s="32"/>
      <c r="F60" s="1">
        <v>0.51724137931034497</v>
      </c>
      <c r="G60" s="1">
        <v>337.73049498816584</v>
      </c>
      <c r="H60" s="1">
        <f t="shared" si="2"/>
        <v>-2.14655567835592E-2</v>
      </c>
      <c r="I60" s="1">
        <f t="shared" si="3"/>
        <v>7.7668144970183759</v>
      </c>
      <c r="J60" s="33"/>
      <c r="K60" s="14">
        <f ca="1">M60</f>
        <v>0.14351535349325206</v>
      </c>
      <c r="L60" s="1">
        <f ca="1">N60</f>
        <v>460.85214275439694</v>
      </c>
      <c r="M60" s="16">
        <f ca="1">IF('Data Entry'!E16&gt;data!B121,0,IF('Data Entry'!E16&lt;data!B33,1,'Data Entry'!E16*VLOOKUP('Data Entry'!E16,data!B33:D121,2)+VLOOKUP('Data Entry'!E16,data!B33:D121,3)))</f>
        <v>0.14351535349325206</v>
      </c>
      <c r="N60" s="1">
        <f ca="1">'Data Entry'!E16</f>
        <v>460.85214275439694</v>
      </c>
      <c r="O60" s="1"/>
      <c r="P60"/>
      <c r="Q60" s="32"/>
      <c r="R60" s="32"/>
      <c r="S60" s="32">
        <v>19</v>
      </c>
      <c r="T60" s="1">
        <v>1.3880463825038323</v>
      </c>
      <c r="U60" s="1"/>
      <c r="V60" s="1">
        <v>15.58</v>
      </c>
      <c r="W60" s="1">
        <v>1.3993091354660214</v>
      </c>
      <c r="Y60" s="1"/>
      <c r="AQ60">
        <v>396.66704731897158</v>
      </c>
    </row>
    <row r="61" spans="1:43" x14ac:dyDescent="0.25">
      <c r="A61" s="1">
        <v>0.6741573033707865</v>
      </c>
      <c r="B61" s="1">
        <v>316.08834043746168</v>
      </c>
      <c r="C61" s="1">
        <f t="shared" si="0"/>
        <v>-2.4952473320084285E-3</v>
      </c>
      <c r="D61" s="1">
        <f t="shared" si="1"/>
        <v>1.4628758915263345</v>
      </c>
      <c r="E61" s="32"/>
      <c r="F61" s="1">
        <v>0.5</v>
      </c>
      <c r="G61" s="1">
        <v>338.5337063599552</v>
      </c>
      <c r="H61" s="1">
        <f t="shared" si="2"/>
        <v>-2.2522193059693996E-2</v>
      </c>
      <c r="I61" s="1">
        <f t="shared" si="3"/>
        <v>8.1245214918526685</v>
      </c>
      <c r="J61" s="33"/>
      <c r="K61" s="32"/>
      <c r="L61" s="32"/>
      <c r="M61" s="32"/>
      <c r="N61" s="32"/>
      <c r="O61" s="32"/>
      <c r="P61" s="32"/>
      <c r="Q61" s="32"/>
      <c r="R61" s="32"/>
      <c r="S61" s="32">
        <v>19.670000000000002</v>
      </c>
      <c r="T61" s="1">
        <v>1.449640297159835</v>
      </c>
      <c r="U61" s="1"/>
      <c r="V61" s="1">
        <v>16</v>
      </c>
      <c r="W61" s="1">
        <v>1.437551172538954</v>
      </c>
      <c r="Y61" s="1"/>
      <c r="AQ61">
        <v>397.14809415351971</v>
      </c>
    </row>
    <row r="62" spans="1:43" x14ac:dyDescent="0.25">
      <c r="A62" s="1">
        <v>0.66292134831460681</v>
      </c>
      <c r="B62" s="1">
        <v>320.59128285605385</v>
      </c>
      <c r="C62" s="1">
        <f t="shared" si="0"/>
        <v>-3.2962280392848771E-2</v>
      </c>
      <c r="D62" s="1">
        <f t="shared" si="1"/>
        <v>11.230341105318944</v>
      </c>
      <c r="E62" s="32"/>
      <c r="F62" s="1">
        <v>0.48275862068965503</v>
      </c>
      <c r="G62" s="1">
        <v>339.29923479959905</v>
      </c>
      <c r="H62" s="1">
        <f t="shared" si="2"/>
        <v>-4.2759927443955384E-3</v>
      </c>
      <c r="I62" s="1">
        <f t="shared" si="3"/>
        <v>1.9335996868716987</v>
      </c>
      <c r="J62" s="33"/>
      <c r="K62" s="32"/>
      <c r="L62" s="32"/>
      <c r="M62" s="32"/>
      <c r="N62" s="32"/>
      <c r="O62" s="32"/>
      <c r="P62" s="32"/>
      <c r="Q62" s="32"/>
      <c r="R62" s="32"/>
      <c r="S62" s="32">
        <v>20</v>
      </c>
      <c r="T62" s="1">
        <v>1.4547269533744451</v>
      </c>
      <c r="U62" s="1"/>
      <c r="V62" s="1">
        <v>16</v>
      </c>
      <c r="W62" s="1">
        <v>1.2856424090597673</v>
      </c>
      <c r="Y62" s="1"/>
      <c r="AQ62">
        <v>397.26131385375544</v>
      </c>
    </row>
    <row r="63" spans="1:43" x14ac:dyDescent="0.25">
      <c r="A63" s="1">
        <v>0.651685393258427</v>
      </c>
      <c r="B63" s="1">
        <v>320.93215596684195</v>
      </c>
      <c r="C63" s="1">
        <f t="shared" si="0"/>
        <v>-3.6298195268601383E-3</v>
      </c>
      <c r="D63" s="1">
        <f t="shared" si="1"/>
        <v>1.8166111997841936</v>
      </c>
      <c r="E63" s="32"/>
      <c r="F63" s="1">
        <v>0.46551724137931005</v>
      </c>
      <c r="G63" s="1">
        <v>343.33136963727924</v>
      </c>
      <c r="H63" s="1">
        <f t="shared" si="2"/>
        <v>-5.3990874401696157E-2</v>
      </c>
      <c r="I63" s="1">
        <f t="shared" si="3"/>
        <v>19.002278097627972</v>
      </c>
      <c r="J63" s="33"/>
      <c r="K63" s="32"/>
      <c r="L63" s="32"/>
      <c r="M63" s="32"/>
      <c r="N63" s="32"/>
      <c r="O63" s="32"/>
      <c r="P63" s="32"/>
      <c r="Q63" s="32"/>
      <c r="R63" s="32"/>
      <c r="S63" s="32">
        <v>20</v>
      </c>
      <c r="T63" s="1">
        <v>1.5633434315461063</v>
      </c>
      <c r="U63" s="1"/>
      <c r="V63" s="1">
        <v>16.079999999999998</v>
      </c>
      <c r="W63" s="1">
        <v>1.3890385444944937</v>
      </c>
      <c r="Y63" s="1"/>
      <c r="AQ63">
        <v>400.05869216133743</v>
      </c>
    </row>
    <row r="64" spans="1:43" x14ac:dyDescent="0.25">
      <c r="A64" s="1">
        <v>0.6404494382022472</v>
      </c>
      <c r="B64" s="1">
        <v>324.02761428729985</v>
      </c>
      <c r="C64" s="1">
        <f t="shared" si="0"/>
        <v>-2.1909378621350478E-3</v>
      </c>
      <c r="D64" s="1">
        <f t="shared" si="1"/>
        <v>1.350373806721584</v>
      </c>
      <c r="F64" s="1">
        <v>0.44827586206896497</v>
      </c>
      <c r="G64" s="1">
        <v>343.65070840519894</v>
      </c>
      <c r="H64" s="1">
        <f t="shared" si="2"/>
        <v>-1.424689897673093E-2</v>
      </c>
      <c r="I64" s="1">
        <f t="shared" si="3"/>
        <v>5.3442327879998519</v>
      </c>
      <c r="J64" s="33"/>
      <c r="K64" s="32"/>
      <c r="L64" s="32"/>
      <c r="M64" s="32"/>
      <c r="N64" s="32"/>
      <c r="O64" s="32"/>
      <c r="P64" s="32"/>
      <c r="Q64" s="32"/>
      <c r="R64" s="32"/>
      <c r="S64" s="32">
        <v>20</v>
      </c>
      <c r="T64" s="1">
        <v>1.377192118749839</v>
      </c>
      <c r="U64" s="1"/>
      <c r="V64" s="1">
        <v>17</v>
      </c>
      <c r="W64" s="1">
        <v>1.3032671400234068</v>
      </c>
      <c r="AQ64">
        <v>400.08802326460057</v>
      </c>
    </row>
    <row r="65" spans="1:43" x14ac:dyDescent="0.25">
      <c r="A65" s="1">
        <v>0.6292134831460674</v>
      </c>
      <c r="B65" s="1">
        <v>329.15599115748205</v>
      </c>
      <c r="C65" s="1">
        <f t="shared" ref="C65:C96" si="4">SLOPE(A65:A66,B65:B66)</f>
        <v>-8.4282746732862414E-4</v>
      </c>
      <c r="D65" s="1">
        <f t="shared" ref="D65:D96" si="5">INTERCEPT(A65:A66,B65:B66)</f>
        <v>0.90663519352937105</v>
      </c>
      <c r="F65" s="1">
        <v>0.431034482758621</v>
      </c>
      <c r="G65" s="1">
        <v>344.86089311546493</v>
      </c>
      <c r="H65" s="1">
        <f t="shared" ref="H65:H89" si="6">SLOPE(F65:F66,G65:G66)</f>
        <v>-8.410696605360693E-2</v>
      </c>
      <c r="I65" s="1">
        <f t="shared" ref="I65:I89" si="7">INTERCEPT(F65:F66,G65:G66)</f>
        <v>29.436237913237598</v>
      </c>
      <c r="J65" s="33"/>
      <c r="K65" s="32"/>
      <c r="L65" s="32"/>
      <c r="M65" s="32"/>
      <c r="N65" s="32"/>
      <c r="O65" s="32"/>
      <c r="P65" s="32"/>
      <c r="Q65" s="32"/>
      <c r="R65" s="32"/>
      <c r="S65" s="32">
        <v>20</v>
      </c>
      <c r="T65" s="1">
        <v>1.4720930490030673</v>
      </c>
      <c r="U65" s="1"/>
      <c r="V65" s="1">
        <v>17</v>
      </c>
      <c r="W65" s="1">
        <v>1.270835178895948</v>
      </c>
      <c r="AQ65">
        <v>400.20620372299032</v>
      </c>
    </row>
    <row r="66" spans="1:43" x14ac:dyDescent="0.25">
      <c r="A66" s="1">
        <v>0.6179775280898876</v>
      </c>
      <c r="B66" s="1">
        <v>342.48725466244662</v>
      </c>
      <c r="C66" s="1">
        <f t="shared" si="4"/>
        <v>-4.828096606716791E-3</v>
      </c>
      <c r="D66" s="1">
        <f t="shared" si="5"/>
        <v>2.2715390801693953</v>
      </c>
      <c r="F66" s="1">
        <v>0.41379310344827602</v>
      </c>
      <c r="G66" s="1">
        <v>345.06588659126521</v>
      </c>
      <c r="H66" s="1">
        <f t="shared" si="6"/>
        <v>-1.5663317494958796E-2</v>
      </c>
      <c r="I66" s="1">
        <f t="shared" si="7"/>
        <v>5.8186696418067072</v>
      </c>
      <c r="J66" s="33"/>
      <c r="K66" s="32"/>
      <c r="L66" s="32"/>
      <c r="M66" s="32"/>
      <c r="N66" s="32"/>
      <c r="O66" s="32"/>
      <c r="P66" s="32"/>
      <c r="Q66" s="32"/>
      <c r="R66" s="32"/>
      <c r="S66" s="32">
        <v>20</v>
      </c>
      <c r="T66" s="1">
        <v>1.2133859433807908</v>
      </c>
      <c r="U66" s="1"/>
      <c r="V66" s="1">
        <v>17</v>
      </c>
      <c r="W66" s="1">
        <v>1.3823354668581751</v>
      </c>
      <c r="AQ66">
        <v>408.14338283870586</v>
      </c>
    </row>
    <row r="67" spans="1:43" x14ac:dyDescent="0.25">
      <c r="A67" s="1">
        <v>0.60674157303370779</v>
      </c>
      <c r="B67" s="1">
        <v>344.81445645052776</v>
      </c>
      <c r="C67" s="1">
        <f t="shared" si="4"/>
        <v>-1.3482145129350509E-3</v>
      </c>
      <c r="D67" s="1">
        <f t="shared" si="5"/>
        <v>1.0716254274901205</v>
      </c>
      <c r="F67" s="1">
        <v>0.39655172413793105</v>
      </c>
      <c r="G67" s="1">
        <v>346.16663547897014</v>
      </c>
      <c r="H67" s="1">
        <f t="shared" si="6"/>
        <v>-2.1366478986193688E-3</v>
      </c>
      <c r="I67" s="1">
        <f t="shared" si="7"/>
        <v>1.1361879384062097</v>
      </c>
      <c r="J67" s="33"/>
      <c r="K67" s="32"/>
      <c r="L67" s="32"/>
      <c r="M67" s="32"/>
      <c r="N67" s="32"/>
      <c r="O67" s="32"/>
      <c r="P67" s="32"/>
      <c r="Q67" s="32"/>
      <c r="R67" s="32"/>
      <c r="S67" s="32">
        <v>20</v>
      </c>
      <c r="T67" s="1">
        <v>1.370222487685665</v>
      </c>
      <c r="U67" s="1"/>
      <c r="V67" s="1">
        <v>17</v>
      </c>
      <c r="W67" s="1">
        <v>1.4502404852688331</v>
      </c>
      <c r="AQ67">
        <v>408.33745855200033</v>
      </c>
    </row>
    <row r="68" spans="1:43" x14ac:dyDescent="0.25">
      <c r="A68" s="1">
        <v>0.5955056179775281</v>
      </c>
      <c r="B68" s="1">
        <v>353.14840846512158</v>
      </c>
      <c r="C68" s="1">
        <f t="shared" si="4"/>
        <v>-1.3603204912519106E-2</v>
      </c>
      <c r="D68" s="1">
        <f t="shared" si="5"/>
        <v>5.3994557828585741</v>
      </c>
      <c r="F68" s="1">
        <v>0.37931034482758597</v>
      </c>
      <c r="G68" s="1">
        <v>354.23599464735997</v>
      </c>
      <c r="H68" s="1">
        <f t="shared" si="6"/>
        <v>-0.16027898225649398</v>
      </c>
      <c r="I68" s="1">
        <f t="shared" si="7"/>
        <v>57.155895045523287</v>
      </c>
      <c r="J68" s="33"/>
      <c r="K68" s="32"/>
      <c r="L68" s="32"/>
      <c r="M68" s="32"/>
      <c r="N68" s="32"/>
      <c r="O68" s="32"/>
      <c r="P68" s="32"/>
      <c r="Q68" s="32"/>
      <c r="R68" s="32"/>
      <c r="S68" s="32">
        <v>21</v>
      </c>
      <c r="T68" s="1">
        <v>1.403596152711692</v>
      </c>
      <c r="U68" s="1"/>
      <c r="V68" s="1">
        <v>17</v>
      </c>
      <c r="W68" s="1">
        <v>1.4655726409852738</v>
      </c>
      <c r="AQ68">
        <v>414.55659339800098</v>
      </c>
    </row>
    <row r="69" spans="1:43" x14ac:dyDescent="0.25">
      <c r="A69" s="1">
        <v>0.5842696629213483</v>
      </c>
      <c r="B69" s="1">
        <v>353.97438698477464</v>
      </c>
      <c r="C69" s="1">
        <f t="shared" si="4"/>
        <v>-7.4468292483408603E-3</v>
      </c>
      <c r="D69" s="1">
        <f t="shared" si="5"/>
        <v>3.2202564810830943</v>
      </c>
      <c r="F69" s="1">
        <v>0.36206896551724099</v>
      </c>
      <c r="G69" s="1">
        <v>354.34356570295074</v>
      </c>
      <c r="H69" s="1">
        <f t="shared" si="6"/>
        <v>-3.2547437481077902E-3</v>
      </c>
      <c r="I69" s="1">
        <f t="shared" si="7"/>
        <v>1.5153664706711421</v>
      </c>
      <c r="J69" s="33"/>
      <c r="K69" s="32"/>
      <c r="L69" s="32"/>
      <c r="M69" s="32"/>
      <c r="N69" s="32"/>
      <c r="O69" s="32"/>
      <c r="P69" s="32"/>
      <c r="Q69" s="32"/>
      <c r="R69" s="32"/>
      <c r="S69" s="32">
        <v>21.25</v>
      </c>
      <c r="T69" s="1">
        <v>1.2795432182226354</v>
      </c>
      <c r="U69" s="1"/>
      <c r="V69" s="1">
        <v>17</v>
      </c>
      <c r="W69" s="1">
        <v>1.5703664179870744</v>
      </c>
      <c r="AQ69">
        <v>418.46844200826911</v>
      </c>
    </row>
    <row r="70" spans="1:43" x14ac:dyDescent="0.25">
      <c r="A70" s="1">
        <v>0.57303370786516861</v>
      </c>
      <c r="B70" s="1">
        <v>355.4832110334371</v>
      </c>
      <c r="C70" s="1">
        <f t="shared" si="4"/>
        <v>-2.2808851141016353E-2</v>
      </c>
      <c r="D70" s="1">
        <f t="shared" si="5"/>
        <v>8.6811973514573371</v>
      </c>
      <c r="F70" s="1">
        <v>0.34482758620689602</v>
      </c>
      <c r="G70" s="1">
        <v>359.64087346193133</v>
      </c>
      <c r="H70" s="1">
        <f t="shared" si="6"/>
        <v>-4.3064388562910902E-3</v>
      </c>
      <c r="I70" s="1">
        <f t="shared" si="7"/>
        <v>1.8935990179938242</v>
      </c>
      <c r="J70" s="33"/>
      <c r="K70" s="32"/>
      <c r="L70" s="32"/>
      <c r="M70" s="32"/>
      <c r="N70" s="32"/>
      <c r="O70" s="32"/>
      <c r="P70" s="32"/>
      <c r="Q70" s="32"/>
      <c r="R70" s="32"/>
      <c r="S70" s="32">
        <v>22</v>
      </c>
      <c r="T70" s="1">
        <v>1.494102544600433</v>
      </c>
      <c r="U70" s="1"/>
      <c r="V70" s="1">
        <v>17</v>
      </c>
      <c r="W70" s="1">
        <v>1.2249129169648176</v>
      </c>
      <c r="AQ70">
        <v>421.07555865459432</v>
      </c>
    </row>
    <row r="71" spans="1:43" x14ac:dyDescent="0.25">
      <c r="A71" s="1">
        <v>0.5617977528089888</v>
      </c>
      <c r="B71" s="1">
        <v>355.97582484316882</v>
      </c>
      <c r="C71" s="1">
        <f t="shared" si="4"/>
        <v>-2.8815452978431669E-3</v>
      </c>
      <c r="D71" s="1">
        <f t="shared" si="5"/>
        <v>1.5875582170316647</v>
      </c>
      <c r="F71" s="1">
        <v>0.32758620689655205</v>
      </c>
      <c r="G71" s="1">
        <v>363.64450149095973</v>
      </c>
      <c r="H71" s="1">
        <f t="shared" si="6"/>
        <v>-6.9392634081335072E-3</v>
      </c>
      <c r="I71" s="1">
        <f t="shared" si="7"/>
        <v>2.8510111896617194</v>
      </c>
      <c r="J71" s="33"/>
      <c r="K71" s="32"/>
      <c r="L71" s="32"/>
      <c r="M71" s="32"/>
      <c r="N71" s="32"/>
      <c r="O71" s="32"/>
      <c r="P71" s="32"/>
      <c r="Q71" s="32"/>
      <c r="R71" s="32"/>
      <c r="S71" s="32">
        <v>23</v>
      </c>
      <c r="T71" s="1">
        <v>1.3820186205058753</v>
      </c>
      <c r="U71" s="1"/>
      <c r="V71" s="1">
        <v>17.670000000000002</v>
      </c>
      <c r="W71" s="1">
        <v>1.3634557531399194</v>
      </c>
      <c r="AQ71">
        <v>423.40652746988468</v>
      </c>
    </row>
    <row r="72" spans="1:43" x14ac:dyDescent="0.25">
      <c r="A72" s="1">
        <v>0.550561797752809</v>
      </c>
      <c r="B72" s="1">
        <v>359.87510592148118</v>
      </c>
      <c r="C72" s="1">
        <f t="shared" si="4"/>
        <v>-1.1670532338920278E-2</v>
      </c>
      <c r="D72" s="1">
        <f t="shared" si="5"/>
        <v>4.7504958593818154</v>
      </c>
      <c r="F72" s="1">
        <v>0.31034482758620696</v>
      </c>
      <c r="G72" s="1">
        <v>366.12911380444194</v>
      </c>
      <c r="H72" s="1">
        <f t="shared" si="6"/>
        <v>-1.2523140366462317E-2</v>
      </c>
      <c r="I72" s="1">
        <f t="shared" si="7"/>
        <v>4.8954311120076897</v>
      </c>
      <c r="J72" s="33"/>
      <c r="K72" s="32"/>
      <c r="L72" s="32"/>
      <c r="M72" s="32"/>
      <c r="N72" s="32"/>
      <c r="O72" s="32"/>
      <c r="P72" s="32"/>
      <c r="Q72" s="32"/>
      <c r="R72" s="32"/>
      <c r="S72" s="32">
        <v>23.996666666666666</v>
      </c>
      <c r="T72" s="1">
        <v>1.5194844718194833</v>
      </c>
      <c r="U72" s="1"/>
      <c r="V72" s="1">
        <v>17.920000000000002</v>
      </c>
      <c r="W72" s="1">
        <v>1.3936756521403915</v>
      </c>
      <c r="AQ72">
        <v>424.1718610422019</v>
      </c>
    </row>
    <row r="73" spans="1:43" x14ac:dyDescent="0.25">
      <c r="A73" s="1">
        <v>0.5393258426966292</v>
      </c>
      <c r="B73" s="1">
        <v>360.83786877838264</v>
      </c>
      <c r="C73" s="1">
        <f t="shared" si="4"/>
        <v>-5.7866300864955963E-3</v>
      </c>
      <c r="D73" s="1">
        <f t="shared" si="5"/>
        <v>2.627361110516568</v>
      </c>
      <c r="F73" s="1">
        <v>0.29310344827586199</v>
      </c>
      <c r="G73" s="1">
        <v>367.50587544775294</v>
      </c>
      <c r="H73" s="1">
        <f t="shared" si="6"/>
        <v>-3.7568952718785051E-3</v>
      </c>
      <c r="I73" s="1">
        <f t="shared" si="7"/>
        <v>1.6737845341330957</v>
      </c>
      <c r="J73" s="33"/>
      <c r="K73" s="32"/>
      <c r="L73" s="32"/>
      <c r="M73" s="32"/>
      <c r="N73" s="32"/>
      <c r="O73" s="32"/>
      <c r="P73" s="32"/>
      <c r="Q73" s="32"/>
      <c r="R73" s="32"/>
      <c r="S73" s="32">
        <v>24.58</v>
      </c>
      <c r="T73" s="1">
        <v>1.643442270718966</v>
      </c>
      <c r="U73" s="1"/>
      <c r="V73" s="1">
        <v>18</v>
      </c>
      <c r="W73" s="1">
        <v>1.3489732974220578</v>
      </c>
      <c r="AQ73">
        <v>431.79414983910453</v>
      </c>
    </row>
    <row r="74" spans="1:43" x14ac:dyDescent="0.25">
      <c r="A74" s="1">
        <v>0.5280898876404494</v>
      </c>
      <c r="B74" s="1">
        <v>362.77957835515366</v>
      </c>
      <c r="C74" s="1">
        <f t="shared" si="4"/>
        <v>-2.7872610323637277E-3</v>
      </c>
      <c r="D74" s="1">
        <f t="shared" si="5"/>
        <v>1.5392512697271128</v>
      </c>
      <c r="F74" s="1">
        <v>0.27586206896551702</v>
      </c>
      <c r="G74" s="1">
        <v>372.09513814011541</v>
      </c>
      <c r="H74" s="1">
        <f t="shared" si="6"/>
        <v>-2.4825544392150125E-3</v>
      </c>
      <c r="I74" s="1">
        <f t="shared" si="7"/>
        <v>1.1996085059655837</v>
      </c>
      <c r="J74" s="33"/>
      <c r="K74" s="32"/>
      <c r="L74" s="32"/>
      <c r="M74" s="32"/>
      <c r="N74" s="32"/>
      <c r="O74" s="32"/>
      <c r="P74" s="32"/>
      <c r="Q74" s="32"/>
      <c r="R74" s="32"/>
      <c r="S74" s="32"/>
      <c r="T74" s="1"/>
      <c r="U74" s="1"/>
      <c r="V74" s="1">
        <v>18</v>
      </c>
      <c r="W74" s="1">
        <v>1.4903300264969999</v>
      </c>
      <c r="AQ74">
        <v>432.83782646857128</v>
      </c>
    </row>
    <row r="75" spans="1:43" x14ac:dyDescent="0.25">
      <c r="A75" s="1">
        <v>0.51685393258426959</v>
      </c>
      <c r="B75" s="1">
        <v>366.8107598360827</v>
      </c>
      <c r="C75" s="1">
        <f t="shared" si="4"/>
        <v>-5.7525868899740143E-3</v>
      </c>
      <c r="D75" s="1">
        <f t="shared" si="5"/>
        <v>2.6269647007187258</v>
      </c>
      <c r="F75" s="1">
        <v>0.25862068965517204</v>
      </c>
      <c r="G75" s="1">
        <v>379.04015374098043</v>
      </c>
      <c r="H75" s="1">
        <f t="shared" si="6"/>
        <v>-4.0821569215420362E-3</v>
      </c>
      <c r="I75" s="1">
        <f t="shared" si="7"/>
        <v>1.8059220767912727</v>
      </c>
      <c r="J75" s="33"/>
      <c r="K75" s="32"/>
      <c r="L75" s="32"/>
      <c r="M75" s="32"/>
      <c r="N75" s="32"/>
      <c r="O75" s="32"/>
      <c r="P75" s="32"/>
      <c r="Q75" s="32"/>
      <c r="R75" s="32"/>
      <c r="S75" s="32"/>
      <c r="T75" s="1"/>
      <c r="U75" s="1"/>
      <c r="V75" s="1">
        <v>18.170000000000002</v>
      </c>
      <c r="W75" s="1">
        <v>1.4104134910592809</v>
      </c>
      <c r="AQ75">
        <v>446.25522512884481</v>
      </c>
    </row>
    <row r="76" spans="1:43" x14ac:dyDescent="0.25">
      <c r="A76" s="1">
        <v>0.5056179775280899</v>
      </c>
      <c r="B76" s="1">
        <v>368.76396024332251</v>
      </c>
      <c r="C76" s="1">
        <f t="shared" si="4"/>
        <v>-7.5804121348977032E-3</v>
      </c>
      <c r="D76" s="1">
        <f t="shared" si="5"/>
        <v>3.3010007766695058</v>
      </c>
      <c r="F76" s="1">
        <v>0.24137931034482696</v>
      </c>
      <c r="G76" s="1">
        <v>383.26374916901511</v>
      </c>
      <c r="H76" s="1">
        <f t="shared" si="6"/>
        <v>-3.1411503278410899E-2</v>
      </c>
      <c r="I76" s="1">
        <f t="shared" si="7"/>
        <v>12.280269823863396</v>
      </c>
      <c r="J76" s="33"/>
      <c r="K76" s="32"/>
      <c r="L76" s="32"/>
      <c r="M76" s="32"/>
      <c r="N76" s="32"/>
      <c r="O76" s="32"/>
      <c r="P76" s="32"/>
      <c r="Q76" s="32"/>
      <c r="R76" s="32"/>
      <c r="S76" s="32"/>
      <c r="T76" s="1"/>
      <c r="U76" s="1"/>
      <c r="V76" s="1">
        <v>18.25</v>
      </c>
      <c r="W76" s="1">
        <v>1.2788367572733041</v>
      </c>
      <c r="AQ76">
        <v>448.47977174675191</v>
      </c>
    </row>
    <row r="77" spans="1:43" x14ac:dyDescent="0.25">
      <c r="A77" s="1">
        <v>0.4943820224719101</v>
      </c>
      <c r="B77" s="1">
        <v>370.24619562264354</v>
      </c>
      <c r="C77" s="1">
        <f t="shared" si="4"/>
        <v>-4.7484676753223858E-3</v>
      </c>
      <c r="D77" s="1">
        <f t="shared" si="5"/>
        <v>2.2524841142971215</v>
      </c>
      <c r="F77" s="1">
        <v>0.22413793103448298</v>
      </c>
      <c r="G77" s="1">
        <v>383.812636599124</v>
      </c>
      <c r="H77" s="1">
        <f t="shared" si="6"/>
        <v>-2.6811802433886213E-3</v>
      </c>
      <c r="I77" s="1">
        <f t="shared" si="7"/>
        <v>1.2532087894469506</v>
      </c>
      <c r="J77" s="33"/>
      <c r="K77" s="32"/>
      <c r="L77" s="32"/>
      <c r="M77" s="32"/>
      <c r="N77" s="32"/>
      <c r="O77" s="32"/>
      <c r="P77" s="32"/>
      <c r="Q77" s="32"/>
      <c r="R77" s="32"/>
      <c r="S77" s="32"/>
      <c r="T77" s="1"/>
      <c r="U77" s="1"/>
      <c r="V77" s="1">
        <v>19</v>
      </c>
      <c r="W77" s="1">
        <v>1.4751409650680332</v>
      </c>
      <c r="AQ77">
        <v>456.67767721226414</v>
      </c>
    </row>
    <row r="78" spans="1:43" x14ac:dyDescent="0.25">
      <c r="A78" s="1">
        <v>0.4831460674157303</v>
      </c>
      <c r="B78" s="1">
        <v>372.61242317739192</v>
      </c>
      <c r="C78" s="1">
        <f t="shared" si="4"/>
        <v>-1.5696841353238414E-2</v>
      </c>
      <c r="D78" s="1">
        <f t="shared" si="5"/>
        <v>6.3319841602769875</v>
      </c>
      <c r="F78" s="1">
        <v>0.20689655172413801</v>
      </c>
      <c r="G78" s="1">
        <v>390.24315515633759</v>
      </c>
      <c r="H78" s="1">
        <f t="shared" si="6"/>
        <v>-1.6547560720520625E-3</v>
      </c>
      <c r="I78" s="1">
        <f t="shared" si="7"/>
        <v>0.85265378229584277</v>
      </c>
      <c r="J78" s="33"/>
      <c r="K78" s="32"/>
      <c r="L78" s="32"/>
      <c r="M78" s="32"/>
      <c r="N78" s="32"/>
      <c r="O78" s="32"/>
      <c r="P78" s="32"/>
      <c r="Q78" s="32"/>
      <c r="R78" s="32"/>
      <c r="S78" s="32"/>
      <c r="T78" s="1"/>
      <c r="U78" s="1"/>
      <c r="V78" s="1">
        <v>19</v>
      </c>
      <c r="W78" s="1">
        <v>1.570568581900381</v>
      </c>
      <c r="AQ78">
        <v>457.17242105323197</v>
      </c>
    </row>
    <row r="79" spans="1:43" x14ac:dyDescent="0.25">
      <c r="A79" s="1">
        <v>0.4719101123595506</v>
      </c>
      <c r="B79" s="1">
        <v>373.32823311668659</v>
      </c>
      <c r="C79" s="1">
        <f t="shared" si="4"/>
        <v>-1.7755834575053614E-3</v>
      </c>
      <c r="D79" s="1">
        <f t="shared" si="5"/>
        <v>1.1347855473012445</v>
      </c>
      <c r="F79" s="1">
        <v>0.18965517241379304</v>
      </c>
      <c r="G79" s="1">
        <v>400.66244268852591</v>
      </c>
      <c r="H79" s="1">
        <f t="shared" si="6"/>
        <v>-0.68000966965719445</v>
      </c>
      <c r="I79" s="1">
        <f t="shared" si="7"/>
        <v>272.64399046908289</v>
      </c>
      <c r="J79" s="33"/>
      <c r="K79" s="32"/>
      <c r="L79" s="32"/>
      <c r="M79" s="32"/>
      <c r="N79" s="32"/>
      <c r="O79" s="32"/>
      <c r="P79" s="32"/>
      <c r="Q79" s="32"/>
      <c r="R79" s="32"/>
      <c r="S79" s="32"/>
      <c r="T79" s="1"/>
      <c r="U79" s="1"/>
      <c r="V79" s="1">
        <v>19</v>
      </c>
      <c r="W79" s="1">
        <v>1.5971044891625481</v>
      </c>
      <c r="AQ79">
        <v>458.27917104008338</v>
      </c>
    </row>
    <row r="80" spans="1:43" x14ac:dyDescent="0.25">
      <c r="A80" s="1">
        <v>0.4606741573033708</v>
      </c>
      <c r="B80" s="1">
        <v>379.65626856254841</v>
      </c>
      <c r="C80" s="1">
        <f t="shared" si="4"/>
        <v>-7.4601449578768547E-2</v>
      </c>
      <c r="D80" s="1">
        <f t="shared" si="5"/>
        <v>28.783582133735734</v>
      </c>
      <c r="F80" s="1">
        <v>0.17241379310344795</v>
      </c>
      <c r="G80" s="1">
        <v>400.68779729755528</v>
      </c>
      <c r="H80" s="1">
        <f t="shared" si="6"/>
        <v>-4.1326239976146656E-3</v>
      </c>
      <c r="I80" s="1">
        <f t="shared" si="7"/>
        <v>1.8283057997666856</v>
      </c>
      <c r="J80" s="33"/>
      <c r="K80" s="32"/>
      <c r="L80" s="32"/>
      <c r="M80" s="32"/>
      <c r="N80" s="32"/>
      <c r="O80" s="32"/>
      <c r="P80" s="32"/>
      <c r="Q80" s="32"/>
      <c r="R80" s="32"/>
      <c r="S80" s="32"/>
      <c r="T80" s="1"/>
      <c r="U80" s="1"/>
      <c r="V80" s="1">
        <v>19</v>
      </c>
      <c r="W80" s="1">
        <v>1.4401575612956659</v>
      </c>
      <c r="AQ80">
        <v>458.8493327222227</v>
      </c>
    </row>
    <row r="81" spans="1:43" x14ac:dyDescent="0.25">
      <c r="A81" s="1">
        <v>0.449438202247191</v>
      </c>
      <c r="B81" s="1">
        <v>379.8068816554524</v>
      </c>
      <c r="C81" s="1">
        <f t="shared" si="4"/>
        <v>-2.7639260863734699E-3</v>
      </c>
      <c r="D81" s="1">
        <f t="shared" si="5"/>
        <v>1.4991963502388574</v>
      </c>
      <c r="F81" s="1">
        <v>0.15517241379310298</v>
      </c>
      <c r="G81" s="1">
        <v>404.85981471803598</v>
      </c>
      <c r="H81" s="1">
        <f t="shared" si="6"/>
        <v>-1.083713191592253E-2</v>
      </c>
      <c r="I81" s="1">
        <f t="shared" si="7"/>
        <v>4.5426916333484133</v>
      </c>
      <c r="J81" s="33"/>
      <c r="K81" s="32"/>
      <c r="L81" s="32"/>
      <c r="M81" s="32"/>
      <c r="N81" s="32"/>
      <c r="O81" s="32"/>
      <c r="P81" s="32"/>
      <c r="Q81" s="32"/>
      <c r="R81" s="32"/>
      <c r="S81" s="32"/>
      <c r="T81" s="1"/>
      <c r="U81" s="1"/>
      <c r="V81" s="1">
        <v>19</v>
      </c>
      <c r="W81" s="1">
        <v>1.3649470199131526</v>
      </c>
      <c r="AQ81">
        <v>460.00920636686993</v>
      </c>
    </row>
    <row r="82" spans="1:43" x14ac:dyDescent="0.25">
      <c r="A82" s="1">
        <v>0.4382022471910112</v>
      </c>
      <c r="B82" s="1">
        <v>383.87209711529215</v>
      </c>
      <c r="C82" s="1">
        <f t="shared" si="4"/>
        <v>-4.0999695362149086E-3</v>
      </c>
      <c r="D82" s="1">
        <f t="shared" si="5"/>
        <v>2.0120661511666396</v>
      </c>
      <c r="F82" s="1">
        <v>0.13793103448275801</v>
      </c>
      <c r="G82" s="1">
        <v>406.45076880479144</v>
      </c>
      <c r="H82" s="1">
        <f t="shared" si="6"/>
        <v>-4.5483418624602274E-3</v>
      </c>
      <c r="I82" s="1">
        <f t="shared" si="7"/>
        <v>1.9866080812667344</v>
      </c>
      <c r="J82" s="33"/>
      <c r="K82" s="32"/>
      <c r="L82" s="32"/>
      <c r="M82" s="32"/>
      <c r="N82" s="32"/>
      <c r="O82" s="32"/>
      <c r="P82" s="32"/>
      <c r="Q82" s="32"/>
      <c r="R82" s="32"/>
      <c r="S82" s="32"/>
      <c r="T82" s="1"/>
      <c r="U82" s="1"/>
      <c r="V82" s="1">
        <v>19</v>
      </c>
      <c r="W82" s="1">
        <v>1.4115810672135047</v>
      </c>
      <c r="AQ82">
        <v>463.72039931030298</v>
      </c>
    </row>
    <row r="83" spans="1:43" x14ac:dyDescent="0.25">
      <c r="A83" s="1">
        <v>0.4269662921348315</v>
      </c>
      <c r="B83" s="1">
        <v>386.61259432068181</v>
      </c>
      <c r="C83" s="1">
        <f t="shared" si="4"/>
        <v>-1.6759441089936818E-2</v>
      </c>
      <c r="D83" s="1">
        <f t="shared" si="5"/>
        <v>6.9063772912799397</v>
      </c>
      <c r="F83" s="1">
        <v>0.12068965517241403</v>
      </c>
      <c r="G83" s="1">
        <v>410.24146436632032</v>
      </c>
      <c r="H83" s="1">
        <f t="shared" si="6"/>
        <v>-2.4580592121437516E-3</v>
      </c>
      <c r="I83" s="1">
        <f t="shared" si="7"/>
        <v>1.1290874658613905</v>
      </c>
      <c r="J83" s="33"/>
      <c r="K83" s="32"/>
      <c r="L83" s="32"/>
      <c r="M83" s="32"/>
      <c r="N83" s="32"/>
      <c r="O83" s="32"/>
      <c r="P83" s="32"/>
      <c r="Q83" s="32"/>
      <c r="R83" s="32"/>
      <c r="S83" s="32"/>
      <c r="T83" s="1"/>
      <c r="U83" s="1"/>
      <c r="V83" s="1">
        <v>19</v>
      </c>
      <c r="W83" s="1">
        <v>1.4402429248709518</v>
      </c>
      <c r="AQ83">
        <v>466.05528820228534</v>
      </c>
    </row>
    <row r="84" spans="1:43" x14ac:dyDescent="0.25">
      <c r="A84" s="1">
        <v>0.4157303370786517</v>
      </c>
      <c r="B84" s="1">
        <v>387.28301972424293</v>
      </c>
      <c r="C84" s="1">
        <f t="shared" si="4"/>
        <v>-5.9608163085912297E-3</v>
      </c>
      <c r="D84" s="1">
        <f t="shared" si="5"/>
        <v>2.7242532770913774</v>
      </c>
      <c r="F84" s="1">
        <v>0.10344827586206895</v>
      </c>
      <c r="G84" s="1">
        <v>417.25568893225676</v>
      </c>
      <c r="H84" s="1">
        <f t="shared" si="6"/>
        <v>-3.5421957362802379E-3</v>
      </c>
      <c r="I84" s="1">
        <f t="shared" si="7"/>
        <v>1.5814495981365821</v>
      </c>
      <c r="J84" s="33"/>
      <c r="K84" s="32"/>
      <c r="L84" s="32"/>
      <c r="M84" s="32"/>
      <c r="N84" s="32"/>
      <c r="O84" s="32"/>
      <c r="P84" s="32"/>
      <c r="Q84" s="32"/>
      <c r="R84" s="32"/>
      <c r="S84" s="32"/>
      <c r="T84" s="1"/>
      <c r="U84" s="1"/>
      <c r="V84" s="1">
        <v>19</v>
      </c>
      <c r="W84" s="1">
        <v>1.3222552145771131</v>
      </c>
      <c r="AQ84">
        <v>472.07580089639777</v>
      </c>
    </row>
    <row r="85" spans="1:43" x14ac:dyDescent="0.25">
      <c r="A85" s="1">
        <v>0.4044943820224719</v>
      </c>
      <c r="B85" s="1">
        <v>389.16798890874634</v>
      </c>
      <c r="C85" s="1">
        <f t="shared" si="4"/>
        <v>-2.2270513150648721E-3</v>
      </c>
      <c r="D85" s="1">
        <f t="shared" si="5"/>
        <v>1.271191463502847</v>
      </c>
      <c r="F85" s="1">
        <v>8.6206896551723977E-2</v>
      </c>
      <c r="G85" s="1">
        <v>422.12311597299129</v>
      </c>
      <c r="H85" s="1">
        <f t="shared" si="6"/>
        <v>-7.309865726872032E-4</v>
      </c>
      <c r="I85" s="1">
        <f t="shared" si="7"/>
        <v>0.39477322634886364</v>
      </c>
      <c r="J85" s="33"/>
      <c r="K85" s="32"/>
      <c r="L85" s="32"/>
      <c r="M85" s="32"/>
      <c r="N85" s="32"/>
      <c r="O85" s="32"/>
      <c r="P85" s="32"/>
      <c r="Q85" s="32"/>
      <c r="R85" s="32"/>
      <c r="S85" s="32"/>
      <c r="T85" s="1"/>
      <c r="U85" s="1"/>
      <c r="V85" s="1">
        <v>19.670000000000002</v>
      </c>
      <c r="W85" s="1">
        <v>1.4931125328726031</v>
      </c>
      <c r="AQ85">
        <v>475.45163327523949</v>
      </c>
    </row>
    <row r="86" spans="1:43" x14ac:dyDescent="0.25">
      <c r="A86" s="1">
        <v>0.3932584269662921</v>
      </c>
      <c r="B86" s="1">
        <v>394.21320496648792</v>
      </c>
      <c r="C86" s="1">
        <f t="shared" si="4"/>
        <v>-4.5789229470292563E-3</v>
      </c>
      <c r="D86" s="1">
        <f t="shared" si="5"/>
        <v>2.1983303172092912</v>
      </c>
      <c r="F86" s="1">
        <v>6.8965517241379004E-2</v>
      </c>
      <c r="G86" s="1">
        <v>445.70956742717243</v>
      </c>
      <c r="H86" s="1">
        <f t="shared" si="6"/>
        <v>-3.3449794287602694E-4</v>
      </c>
      <c r="I86" s="1">
        <f t="shared" si="7"/>
        <v>0.21805445066593199</v>
      </c>
      <c r="J86" s="33"/>
      <c r="K86" s="32"/>
      <c r="L86" s="32"/>
      <c r="M86" s="32"/>
      <c r="N86" s="32"/>
      <c r="O86" s="32"/>
      <c r="P86" s="32"/>
      <c r="Q86" s="32"/>
      <c r="R86" s="32"/>
      <c r="S86" s="32"/>
      <c r="T86" s="1"/>
      <c r="U86" s="1"/>
      <c r="V86" s="1">
        <v>20</v>
      </c>
      <c r="W86" s="1">
        <v>1.3513619023581409</v>
      </c>
      <c r="AQ86">
        <v>477.27088223495167</v>
      </c>
    </row>
    <row r="87" spans="1:43" x14ac:dyDescent="0.25">
      <c r="A87" s="1">
        <v>0.3820224719101124</v>
      </c>
      <c r="B87" s="1">
        <v>396.66704731897158</v>
      </c>
      <c r="C87" s="1">
        <f t="shared" si="4"/>
        <v>-2.3357299641591875E-2</v>
      </c>
      <c r="D87" s="1">
        <f t="shared" si="5"/>
        <v>9.6470935540848348</v>
      </c>
      <c r="F87" s="1">
        <v>5.1724137931034031E-2</v>
      </c>
      <c r="G87" s="1">
        <v>497.25361927425672</v>
      </c>
      <c r="H87" s="1">
        <f t="shared" si="6"/>
        <v>-9.1539896757406969E-4</v>
      </c>
      <c r="I87" s="1">
        <f t="shared" si="7"/>
        <v>0.5069095876371581</v>
      </c>
      <c r="J87" s="33"/>
      <c r="K87" s="32"/>
      <c r="L87" s="32"/>
      <c r="M87" s="32"/>
      <c r="N87" s="32"/>
      <c r="O87" s="32"/>
      <c r="P87" s="32"/>
      <c r="Q87" s="32"/>
      <c r="R87" s="32"/>
      <c r="S87" s="32"/>
      <c r="T87" s="1"/>
      <c r="U87" s="1"/>
      <c r="V87" s="1">
        <v>20</v>
      </c>
      <c r="W87" s="1">
        <v>1.4254773562348455</v>
      </c>
      <c r="AQ87">
        <v>490.71530605927666</v>
      </c>
    </row>
    <row r="88" spans="1:43" x14ac:dyDescent="0.25">
      <c r="A88" s="1">
        <v>0.3707865168539326</v>
      </c>
      <c r="B88" s="1">
        <v>397.14809415351971</v>
      </c>
      <c r="C88" s="1">
        <f t="shared" si="4"/>
        <v>-9.924028267859511E-2</v>
      </c>
      <c r="D88" s="1">
        <f t="shared" si="5"/>
        <v>39.783875645914534</v>
      </c>
      <c r="F88" s="1">
        <v>3.4482758620688947E-2</v>
      </c>
      <c r="G88" s="1">
        <v>516.08844422062634</v>
      </c>
      <c r="H88" s="1">
        <f t="shared" si="6"/>
        <v>-1.1985949885208202E-3</v>
      </c>
      <c r="I88" s="1">
        <f t="shared" si="7"/>
        <v>0.65306378149703859</v>
      </c>
      <c r="J88" s="33"/>
      <c r="K88" s="32"/>
      <c r="L88" s="32"/>
      <c r="M88" s="32"/>
      <c r="N88" s="32"/>
      <c r="O88" s="32"/>
      <c r="P88" s="32"/>
      <c r="Q88" s="32"/>
      <c r="R88" s="32"/>
      <c r="S88" s="32"/>
      <c r="T88" s="1"/>
      <c r="U88" s="1"/>
      <c r="V88" s="1">
        <v>20</v>
      </c>
      <c r="W88" s="1">
        <v>1.2559303790413427</v>
      </c>
      <c r="AQ88">
        <v>514.49012883381442</v>
      </c>
    </row>
    <row r="89" spans="1:43" x14ac:dyDescent="0.25">
      <c r="A89" s="1">
        <v>0.3595505617977528</v>
      </c>
      <c r="B89" s="1">
        <v>397.26131385375544</v>
      </c>
      <c r="C89" s="1">
        <f t="shared" si="4"/>
        <v>-4.0166019110557741E-3</v>
      </c>
      <c r="D89" s="1">
        <f t="shared" si="5"/>
        <v>1.9551911142112743</v>
      </c>
      <c r="F89" s="1">
        <v>1.7241379310344973E-2</v>
      </c>
      <c r="G89" s="1">
        <v>530.4731024875706</v>
      </c>
      <c r="H89" s="1">
        <f t="shared" si="6"/>
        <v>-1.3114792770932952E-4</v>
      </c>
      <c r="I89" s="1">
        <f t="shared" si="7"/>
        <v>8.6811827407128644E-2</v>
      </c>
      <c r="J89" s="33"/>
      <c r="K89" s="32"/>
      <c r="L89" s="32"/>
      <c r="M89" s="32"/>
      <c r="N89" s="32"/>
      <c r="O89" s="32"/>
      <c r="P89" s="32"/>
      <c r="Q89" s="32"/>
      <c r="R89" s="32"/>
      <c r="S89" s="32"/>
      <c r="T89" s="1"/>
      <c r="U89" s="1"/>
      <c r="V89" s="1">
        <v>20</v>
      </c>
      <c r="W89" s="1">
        <v>1.5977189386308939</v>
      </c>
      <c r="AQ89">
        <v>517.70956742717237</v>
      </c>
    </row>
    <row r="90" spans="1:43" x14ac:dyDescent="0.25">
      <c r="A90" s="1">
        <v>0.348314606741573</v>
      </c>
      <c r="B90" s="1">
        <v>400.05869216133743</v>
      </c>
      <c r="C90" s="1">
        <f t="shared" si="4"/>
        <v>-0.38307304554420657</v>
      </c>
      <c r="D90" s="1">
        <f t="shared" si="5"/>
        <v>153.60001620941733</v>
      </c>
      <c r="F90" s="1">
        <v>0</v>
      </c>
      <c r="G90" s="1">
        <v>661.93823206672801</v>
      </c>
      <c r="H90" s="1"/>
      <c r="I90" s="1"/>
      <c r="J90" s="33"/>
      <c r="K90" s="32"/>
      <c r="L90" s="32"/>
      <c r="M90" s="32"/>
      <c r="N90" s="32"/>
      <c r="O90" s="32"/>
      <c r="P90" s="32"/>
      <c r="Q90" s="32"/>
      <c r="R90" s="32"/>
      <c r="S90" s="32"/>
      <c r="T90" s="1"/>
      <c r="U90" s="1"/>
      <c r="V90" s="1">
        <v>20</v>
      </c>
      <c r="W90" s="1">
        <v>1.663121931960198</v>
      </c>
      <c r="AQ90">
        <v>525.17260078377205</v>
      </c>
    </row>
    <row r="91" spans="1:43" x14ac:dyDescent="0.25">
      <c r="A91" s="1">
        <v>0.3370786516853933</v>
      </c>
      <c r="B91" s="1">
        <v>400.08802326460057</v>
      </c>
      <c r="C91" s="1">
        <f t="shared" si="4"/>
        <v>-9.5074559781479773E-2</v>
      </c>
      <c r="D91" s="1">
        <f t="shared" si="5"/>
        <v>38.375271337409735</v>
      </c>
      <c r="I91" s="32"/>
      <c r="J91" s="33"/>
      <c r="K91" s="32"/>
      <c r="L91" s="32"/>
      <c r="M91" s="32"/>
      <c r="N91" s="32"/>
      <c r="O91" s="32"/>
      <c r="P91" s="32"/>
      <c r="Q91" s="32"/>
      <c r="R91" s="32"/>
      <c r="S91" s="32"/>
      <c r="T91" s="1"/>
      <c r="U91" s="1"/>
      <c r="V91" s="1">
        <v>20</v>
      </c>
      <c r="W91" s="1">
        <v>1.4781458158407472</v>
      </c>
      <c r="AQ91">
        <v>551.68882601603104</v>
      </c>
    </row>
    <row r="92" spans="1:43" x14ac:dyDescent="0.25">
      <c r="A92" s="1">
        <v>0.3258426966292135</v>
      </c>
      <c r="B92" s="1">
        <v>400.20620372299032</v>
      </c>
      <c r="C92" s="1">
        <f t="shared" si="4"/>
        <v>-1.4156106208983896E-3</v>
      </c>
      <c r="D92" s="1">
        <f t="shared" si="5"/>
        <v>0.89237884916890331</v>
      </c>
      <c r="I92" s="32"/>
      <c r="J92" s="33"/>
      <c r="K92" s="32"/>
      <c r="L92" s="32"/>
      <c r="M92" s="32"/>
      <c r="N92" s="32"/>
      <c r="O92" s="32"/>
      <c r="P92" s="32"/>
      <c r="Q92" s="32"/>
      <c r="R92" s="32"/>
      <c r="S92" s="32"/>
      <c r="T92" s="1"/>
      <c r="U92" s="1"/>
      <c r="V92" s="1">
        <v>20</v>
      </c>
      <c r="W92" s="1">
        <v>1.5508560278223096</v>
      </c>
      <c r="AQ92">
        <v>568.03525823371206</v>
      </c>
    </row>
    <row r="93" spans="1:43" x14ac:dyDescent="0.25">
      <c r="A93" s="1">
        <v>0.3146067415730337</v>
      </c>
      <c r="B93" s="1">
        <v>408.14338283870586</v>
      </c>
      <c r="C93" s="1">
        <f t="shared" si="4"/>
        <v>-5.7894699266835804E-2</v>
      </c>
      <c r="D93" s="1">
        <f t="shared" si="5"/>
        <v>23.943945148768943</v>
      </c>
      <c r="I93" s="32"/>
      <c r="J93" s="33"/>
      <c r="K93" s="32"/>
      <c r="L93" s="32"/>
      <c r="M93" s="32"/>
      <c r="N93" s="32"/>
      <c r="O93" s="32"/>
      <c r="P93" s="32"/>
      <c r="Q93" s="32"/>
      <c r="R93" s="32"/>
      <c r="S93" s="32"/>
      <c r="T93" s="1"/>
      <c r="U93" s="1"/>
      <c r="V93" s="1">
        <v>20</v>
      </c>
      <c r="W93" s="1">
        <v>1.2742951757199674</v>
      </c>
      <c r="AQ93">
        <v>602.49697317210905</v>
      </c>
    </row>
    <row r="94" spans="1:43" x14ac:dyDescent="0.25">
      <c r="A94" s="1">
        <v>0.3033707865168539</v>
      </c>
      <c r="B94" s="1">
        <v>408.33745855200033</v>
      </c>
      <c r="C94" s="1">
        <f t="shared" si="4"/>
        <v>-1.806674937013981E-3</v>
      </c>
      <c r="D94" s="1">
        <f t="shared" si="5"/>
        <v>1.0411038387267382</v>
      </c>
      <c r="L94" s="1"/>
      <c r="M94" s="1"/>
      <c r="N94" s="1"/>
      <c r="O94" s="1"/>
      <c r="S94" s="32"/>
      <c r="T94" s="1"/>
      <c r="U94" s="1"/>
      <c r="V94" s="1">
        <v>20</v>
      </c>
      <c r="W94" s="1">
        <v>1.4122628732298159</v>
      </c>
      <c r="AQ94">
        <v>729.93823206672801</v>
      </c>
    </row>
    <row r="95" spans="1:43" x14ac:dyDescent="0.25">
      <c r="A95" s="1">
        <v>0.2921348314606742</v>
      </c>
      <c r="B95" s="1">
        <v>414.55659339800098</v>
      </c>
      <c r="C95" s="1">
        <f t="shared" si="4"/>
        <v>-2.8722878044632905E-3</v>
      </c>
      <c r="D95" s="1">
        <f t="shared" si="5"/>
        <v>1.4828606789375995</v>
      </c>
      <c r="S95" s="32"/>
      <c r="T95" s="1"/>
      <c r="U95" s="1"/>
      <c r="V95" s="1">
        <v>21</v>
      </c>
      <c r="W95" s="1">
        <v>1.5270764772337129</v>
      </c>
    </row>
    <row r="96" spans="1:43" x14ac:dyDescent="0.25">
      <c r="A96" s="1">
        <v>0.2808988764044944</v>
      </c>
      <c r="B96" s="1">
        <v>418.46844200826911</v>
      </c>
      <c r="C96" s="1">
        <f t="shared" si="4"/>
        <v>-4.3097247190750504E-3</v>
      </c>
      <c r="D96" s="1">
        <f t="shared" si="5"/>
        <v>2.0843826650803563</v>
      </c>
      <c r="I96" s="49"/>
      <c r="J96" s="34"/>
      <c r="K96" s="32"/>
      <c r="L96" s="32"/>
      <c r="M96" s="32"/>
      <c r="N96" s="32"/>
      <c r="O96" s="32"/>
      <c r="S96" s="32"/>
      <c r="T96" s="1"/>
      <c r="U96" s="1"/>
      <c r="V96" s="1">
        <v>21</v>
      </c>
      <c r="W96" s="1">
        <v>1.4663254130311911</v>
      </c>
    </row>
    <row r="97" spans="1:23" x14ac:dyDescent="0.25">
      <c r="A97" s="1">
        <v>0.2696629213483146</v>
      </c>
      <c r="B97" s="1">
        <v>421.07555865459432</v>
      </c>
      <c r="C97" s="1">
        <f t="shared" ref="C97:C120" si="8">SLOPE(A97:A98,B97:B98)</f>
        <v>-4.8202940264476142E-3</v>
      </c>
      <c r="D97" s="1">
        <f t="shared" ref="D97:D120" si="9">INTERCEPT(A97:A98,B97:B98)</f>
        <v>2.2993709214141478</v>
      </c>
      <c r="S97" s="32"/>
      <c r="T97" s="1"/>
      <c r="U97" s="1"/>
      <c r="V97" s="1">
        <v>21.25</v>
      </c>
      <c r="W97" s="1">
        <v>1.3326781950511066</v>
      </c>
    </row>
    <row r="98" spans="1:23" x14ac:dyDescent="0.25">
      <c r="A98" s="1">
        <v>0.2584269662921348</v>
      </c>
      <c r="B98" s="1">
        <v>423.40652746988468</v>
      </c>
      <c r="C98" s="1">
        <f t="shared" si="8"/>
        <v>-1.4681121360141486E-2</v>
      </c>
      <c r="D98" s="1">
        <f t="shared" si="9"/>
        <v>6.4745095807535913</v>
      </c>
      <c r="S98" s="32"/>
      <c r="T98" s="1"/>
      <c r="U98" s="1"/>
      <c r="V98" s="1">
        <v>22</v>
      </c>
      <c r="W98" s="1">
        <v>1.3377197907935623</v>
      </c>
    </row>
    <row r="99" spans="1:23" x14ac:dyDescent="0.25">
      <c r="A99" s="1">
        <v>0.2471910112359551</v>
      </c>
      <c r="B99" s="1">
        <v>424.1718610422019</v>
      </c>
      <c r="C99" s="1">
        <f t="shared" si="8"/>
        <v>-1.4740920156089601E-3</v>
      </c>
      <c r="D99" s="1">
        <f t="shared" si="9"/>
        <v>0.87245936484425823</v>
      </c>
      <c r="S99" s="32"/>
      <c r="T99" s="1"/>
      <c r="U99" s="1"/>
      <c r="V99" s="1">
        <v>22</v>
      </c>
      <c r="W99" s="1">
        <v>1.5664069544710739</v>
      </c>
    </row>
    <row r="100" spans="1:23" x14ac:dyDescent="0.25">
      <c r="A100" s="1">
        <v>0.2359550561797753</v>
      </c>
      <c r="B100" s="1">
        <v>431.79414983910453</v>
      </c>
      <c r="C100" s="1">
        <f t="shared" si="8"/>
        <v>-1.0765743659432796E-2</v>
      </c>
      <c r="D100" s="1">
        <f t="shared" si="9"/>
        <v>4.8845401869902902</v>
      </c>
      <c r="S100" s="32"/>
      <c r="T100" s="1"/>
      <c r="U100" s="1"/>
      <c r="V100" s="1">
        <v>22</v>
      </c>
      <c r="W100" s="1">
        <v>1.1848207031559199</v>
      </c>
    </row>
    <row r="101" spans="1:23" x14ac:dyDescent="0.25">
      <c r="A101" s="1">
        <v>0.2247191011235955</v>
      </c>
      <c r="B101" s="1">
        <v>432.83782646857128</v>
      </c>
      <c r="C101" s="1">
        <f t="shared" si="8"/>
        <v>-8.3741680042998304E-4</v>
      </c>
      <c r="D101" s="1">
        <f t="shared" si="9"/>
        <v>0.58718476886997473</v>
      </c>
      <c r="S101" s="32"/>
      <c r="T101" s="1"/>
      <c r="U101" s="1"/>
      <c r="V101" s="1">
        <v>23</v>
      </c>
      <c r="W101" s="1">
        <v>1.4912491127740291</v>
      </c>
    </row>
    <row r="102" spans="1:23" x14ac:dyDescent="0.25">
      <c r="A102" s="1">
        <v>0.2134831460674157</v>
      </c>
      <c r="B102" s="1">
        <v>446.25522512884481</v>
      </c>
      <c r="C102" s="1">
        <f t="shared" si="8"/>
        <v>-5.0508966482126329E-3</v>
      </c>
      <c r="D102" s="1">
        <f t="shared" si="9"/>
        <v>2.4674721669180721</v>
      </c>
      <c r="S102" s="32"/>
      <c r="T102" s="1"/>
      <c r="U102" s="1"/>
      <c r="V102" s="1">
        <v>24</v>
      </c>
      <c r="W102" s="1">
        <v>1.6961505374568457</v>
      </c>
    </row>
    <row r="103" spans="1:23" x14ac:dyDescent="0.25">
      <c r="A103" s="1">
        <v>0.202247191011236</v>
      </c>
      <c r="B103" s="1">
        <v>448.47977174675191</v>
      </c>
      <c r="C103" s="1">
        <f t="shared" si="8"/>
        <v>-1.3705885123277326E-3</v>
      </c>
      <c r="D103" s="1">
        <f t="shared" si="9"/>
        <v>0.81692841417869777</v>
      </c>
      <c r="S103" s="32"/>
      <c r="T103" s="1"/>
      <c r="U103" s="1"/>
      <c r="V103" s="1">
        <v>24.58</v>
      </c>
      <c r="W103" s="1">
        <v>1.6769708740665976</v>
      </c>
    </row>
    <row r="104" spans="1:23" x14ac:dyDescent="0.25">
      <c r="A104" s="1">
        <v>0.1910112359550562</v>
      </c>
      <c r="B104" s="1">
        <v>456.67767721226414</v>
      </c>
      <c r="C104" s="1">
        <f t="shared" si="8"/>
        <v>-2.2710651706547347E-2</v>
      </c>
      <c r="D104" s="1">
        <f t="shared" si="9"/>
        <v>10.562458905277841</v>
      </c>
      <c r="S104" s="32"/>
      <c r="T104" s="1"/>
      <c r="U104" s="1"/>
      <c r="V104" s="1"/>
      <c r="W104" s="1"/>
    </row>
    <row r="105" spans="1:23" x14ac:dyDescent="0.25">
      <c r="A105" s="1">
        <v>0.1797752808988764</v>
      </c>
      <c r="B105" s="1">
        <v>457.17242105323197</v>
      </c>
      <c r="C105" s="1">
        <f t="shared" si="8"/>
        <v>-1.0152207083503043E-2</v>
      </c>
      <c r="D105" s="1">
        <f t="shared" si="9"/>
        <v>4.8210843722977339</v>
      </c>
      <c r="S105" s="32"/>
      <c r="T105" s="1"/>
      <c r="U105" s="1"/>
      <c r="V105" s="1"/>
      <c r="W105" s="1"/>
    </row>
    <row r="106" spans="1:23" x14ac:dyDescent="0.25">
      <c r="A106" s="1">
        <v>0.1685393258426966</v>
      </c>
      <c r="B106" s="1">
        <v>458.27917104008338</v>
      </c>
      <c r="C106" s="1">
        <f t="shared" si="8"/>
        <v>-1.9706612015772527E-2</v>
      </c>
      <c r="D106" s="1">
        <f t="shared" si="9"/>
        <v>9.1996691444394774</v>
      </c>
      <c r="S106" s="32"/>
      <c r="T106" s="1"/>
      <c r="U106" s="1"/>
      <c r="V106" s="1"/>
      <c r="W106" s="1"/>
    </row>
    <row r="107" spans="1:23" x14ac:dyDescent="0.25">
      <c r="A107" s="1">
        <v>0.15730337078651691</v>
      </c>
      <c r="B107" s="1">
        <v>458.8493327222227</v>
      </c>
      <c r="C107" s="1">
        <f t="shared" si="8"/>
        <v>-9.6872233523308659E-3</v>
      </c>
      <c r="D107" s="1">
        <f t="shared" si="9"/>
        <v>4.6022793419346675</v>
      </c>
    </row>
    <row r="108" spans="1:23" x14ac:dyDescent="0.25">
      <c r="A108" s="1">
        <v>0.1460674157303371</v>
      </c>
      <c r="B108" s="1">
        <v>460.00920636686993</v>
      </c>
      <c r="C108" s="1">
        <f t="shared" si="8"/>
        <v>-3.0275857998872881E-3</v>
      </c>
      <c r="D108" s="1">
        <f t="shared" si="9"/>
        <v>1.5387847567440935</v>
      </c>
    </row>
    <row r="109" spans="1:23" x14ac:dyDescent="0.25">
      <c r="A109" s="1">
        <v>0.1348314606741573</v>
      </c>
      <c r="B109" s="1">
        <v>463.72039931030298</v>
      </c>
      <c r="C109" s="1">
        <f t="shared" si="8"/>
        <v>-4.812201169298592E-3</v>
      </c>
      <c r="D109" s="1">
        <f t="shared" si="9"/>
        <v>2.3663473084628075</v>
      </c>
    </row>
    <row r="110" spans="1:23" x14ac:dyDescent="0.25">
      <c r="A110" s="1">
        <v>0.1235955056179775</v>
      </c>
      <c r="B110" s="1">
        <v>466.05528820228534</v>
      </c>
      <c r="C110" s="1">
        <f t="shared" si="8"/>
        <v>-1.8662787750896275E-3</v>
      </c>
      <c r="D110" s="1">
        <f t="shared" si="9"/>
        <v>0.99338459800818191</v>
      </c>
    </row>
    <row r="111" spans="1:23" x14ac:dyDescent="0.25">
      <c r="A111" s="1">
        <v>0.11235955056179781</v>
      </c>
      <c r="B111" s="1">
        <v>472.07580089639777</v>
      </c>
      <c r="C111" s="1">
        <f t="shared" si="8"/>
        <v>-3.3283509947359888E-3</v>
      </c>
      <c r="D111" s="1">
        <f t="shared" si="9"/>
        <v>1.6835935120661119</v>
      </c>
    </row>
    <row r="112" spans="1:23" x14ac:dyDescent="0.25">
      <c r="A112" s="1">
        <v>0.101123595505618</v>
      </c>
      <c r="B112" s="1">
        <v>475.45163327523949</v>
      </c>
      <c r="C112" s="1">
        <f t="shared" si="8"/>
        <v>-6.1761503263178461E-3</v>
      </c>
      <c r="D112" s="1">
        <f t="shared" si="9"/>
        <v>3.0375843555068411</v>
      </c>
    </row>
    <row r="113" spans="1:4" x14ac:dyDescent="0.25">
      <c r="A113" s="1">
        <v>8.98876404494382E-2</v>
      </c>
      <c r="B113" s="1">
        <v>477.27088223495167</v>
      </c>
      <c r="C113" s="1">
        <f t="shared" si="8"/>
        <v>-8.3573347604905149E-4</v>
      </c>
      <c r="D113" s="1">
        <f t="shared" si="9"/>
        <v>0.48875889387665183</v>
      </c>
    </row>
    <row r="114" spans="1:4" x14ac:dyDescent="0.25">
      <c r="A114" s="1">
        <v>7.8651685393258397E-2</v>
      </c>
      <c r="B114" s="1">
        <v>490.71530605927666</v>
      </c>
      <c r="C114" s="1">
        <f t="shared" si="8"/>
        <v>-4.7259889853787319E-4</v>
      </c>
      <c r="D114" s="1">
        <f t="shared" si="9"/>
        <v>0.31056319853254788</v>
      </c>
    </row>
    <row r="115" spans="1:4" x14ac:dyDescent="0.25">
      <c r="A115" s="1">
        <v>6.7415730337078705E-2</v>
      </c>
      <c r="B115" s="1">
        <v>514.49012883381442</v>
      </c>
      <c r="C115" s="1">
        <f t="shared" si="8"/>
        <v>-3.4900355233862188E-3</v>
      </c>
      <c r="D115" s="1">
        <f t="shared" si="9"/>
        <v>1.8630045563986435</v>
      </c>
    </row>
    <row r="116" spans="1:4" x14ac:dyDescent="0.25">
      <c r="A116" s="1">
        <v>5.6179775280898903E-2</v>
      </c>
      <c r="B116" s="1">
        <v>517.70956742717237</v>
      </c>
      <c r="C116" s="1">
        <f t="shared" si="8"/>
        <v>-1.5055480150364955E-3</v>
      </c>
      <c r="D116" s="1">
        <f t="shared" si="9"/>
        <v>0.83561638688628104</v>
      </c>
    </row>
    <row r="117" spans="1:4" x14ac:dyDescent="0.25">
      <c r="A117" s="1">
        <v>4.49438202247191E-2</v>
      </c>
      <c r="B117" s="1">
        <v>525.17260078377205</v>
      </c>
      <c r="C117" s="1">
        <f t="shared" si="8"/>
        <v>-4.2373886017948038E-4</v>
      </c>
      <c r="D117" s="1">
        <f t="shared" si="9"/>
        <v>0.26747985947832797</v>
      </c>
    </row>
    <row r="118" spans="1:4" x14ac:dyDescent="0.25">
      <c r="A118" s="1">
        <v>3.3707865168539297E-2</v>
      </c>
      <c r="B118" s="1">
        <v>551.68882601603104</v>
      </c>
      <c r="C118" s="1">
        <f t="shared" si="8"/>
        <v>-6.8736436835595196E-4</v>
      </c>
      <c r="D118" s="1">
        <f t="shared" si="9"/>
        <v>0.41291910659208514</v>
      </c>
    </row>
    <row r="119" spans="1:4" x14ac:dyDescent="0.25">
      <c r="A119" s="1">
        <v>2.2471910112359605E-2</v>
      </c>
      <c r="B119" s="1">
        <v>568.03525823371206</v>
      </c>
      <c r="C119" s="1">
        <f t="shared" si="8"/>
        <v>-3.2604166903083459E-4</v>
      </c>
      <c r="D119" s="1">
        <f t="shared" si="9"/>
        <v>0.20767507377524022</v>
      </c>
    </row>
    <row r="120" spans="1:4" x14ac:dyDescent="0.25">
      <c r="A120" s="1">
        <v>1.1235955056179803E-2</v>
      </c>
      <c r="B120" s="1">
        <v>602.49697317210905</v>
      </c>
      <c r="C120" s="1">
        <f t="shared" si="8"/>
        <v>-8.8165756942740211E-5</v>
      </c>
      <c r="D120" s="1">
        <f t="shared" si="9"/>
        <v>6.4355556751608645E-2</v>
      </c>
    </row>
    <row r="121" spans="1:4" x14ac:dyDescent="0.25">
      <c r="A121" s="1">
        <v>0</v>
      </c>
      <c r="B121" s="1">
        <v>729.93823206672801</v>
      </c>
    </row>
  </sheetData>
  <sheetProtection sheet="1" objects="1" scenarios="1"/>
  <mergeCells count="8">
    <mergeCell ref="P4:Q4"/>
    <mergeCell ref="R4:S4"/>
    <mergeCell ref="K43:O48"/>
    <mergeCell ref="K36:O41"/>
    <mergeCell ref="K19:O24"/>
    <mergeCell ref="K4:O9"/>
    <mergeCell ref="A4:F4"/>
    <mergeCell ref="A19:F19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Data Entry</vt:lpstr>
      <vt:lpstr>data</vt:lpstr>
      <vt:lpstr>APR (treasuries)</vt:lpstr>
      <vt:lpstr>APR (swap)</vt:lpstr>
      <vt:lpstr>FVR (treasuries)</vt:lpstr>
      <vt:lpstr>FVR (swap)</vt:lpstr>
    </vt:vector>
  </TitlesOfParts>
  <Company>Oak Ridge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A. Shonder</dc:creator>
  <cp:lastModifiedBy>Aniket Gupta</cp:lastModifiedBy>
  <cp:lastPrinted>2003-03-03T21:08:55Z</cp:lastPrinted>
  <dcterms:created xsi:type="dcterms:W3CDTF">2003-02-24T13:41:16Z</dcterms:created>
  <dcterms:modified xsi:type="dcterms:W3CDTF">2024-02-03T22:14:22Z</dcterms:modified>
  <cp:category>Econometrics</cp:category>
</cp:coreProperties>
</file>