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8800674-FC68-474A-B976-C590941F9127}" xr6:coauthVersionLast="47" xr6:coauthVersionMax="47" xr10:uidLastSave="{00000000-0000-0000-0000-000000000000}"/>
  <bookViews>
    <workbookView xWindow="3348" yWindow="3348" windowWidth="17280" windowHeight="8880" firstSheet="18" activeTab="19"/>
  </bookViews>
  <sheets>
    <sheet name="硸硸卸䱕協⁓楤" sheetId="15" state="veryHidden" r:id="rId1"/>
    <sheet name="SELECTED DATA" sheetId="1" r:id="rId2"/>
    <sheet name="PER SHARE STATISTIC" sheetId="2" r:id="rId3"/>
    <sheet name="QUARTER-END INFORMATION" sheetId="3" r:id="rId4"/>
    <sheet name="STATEMENTS OF CONDITION" sheetId="4" r:id="rId5"/>
    <sheet name="CONDENSED CONSOLIDATED STATEMEN" sheetId="5" r:id="rId6"/>
    <sheet name="ANALYSIS OF NONINTEREST" sheetId="6" r:id="rId7"/>
    <sheet name="OTHEXP" sheetId="23" r:id="rId8"/>
    <sheet name="AVGQTR" sheetId="25" r:id="rId9"/>
    <sheet name="AVGYTD" sheetId="20" state="hidden" r:id="rId10"/>
    <sheet name="NET INTEREST INCOME ANALYSIS" sheetId="7" r:id="rId11"/>
    <sheet name="LOAN_YLD_03" sheetId="26" r:id="rId12"/>
    <sheet name="LOAN_YLD_02" sheetId="22" r:id="rId13"/>
    <sheet name="LOAN_YLD_01" sheetId="19" r:id="rId14"/>
    <sheet name="LOAN_YLD_00" sheetId="18" r:id="rId15"/>
    <sheet name="PERIOD-END LOAN PORFOLIO ANALYS" sheetId="8" r:id="rId16"/>
    <sheet name="COMPONENTS OF NONPERFORMING " sheetId="10" r:id="rId17"/>
    <sheet name="ALLOWANCE FOR CREDIT LOSSES" sheetId="11" r:id="rId18"/>
    <sheet name="FEE GENERATION ACTIVITY" sheetId="13" r:id="rId19"/>
    <sheet name="MARKET PRICES AND DIVIDENDS" sheetId="14" r:id="rId20"/>
  </sheets>
  <externalReferences>
    <externalReference r:id="rId21"/>
  </externalReferences>
  <definedNames>
    <definedName name="ALL">#REF!</definedName>
    <definedName name="ASSETS">[1]recaps!$A$209:$E$264</definedName>
    <definedName name="ASSETS1">[1]BSDATA!$A$209:$E$264</definedName>
    <definedName name="avgtb">#REF!</definedName>
    <definedName name="LIAB">[1]BSDATA!$A$269:$E$325</definedName>
    <definedName name="oi">#REF!</definedName>
    <definedName name="PG">[1]PLDATA!$A$7:$C$204</definedName>
    <definedName name="_xlnm.Print_Area" localSheetId="8">AVGQTR!$A$1:$H$59</definedName>
    <definedName name="_xlnm.Print_Titles" localSheetId="4">'STATEMENTS OF CONDITION'!$3:$7</definedName>
    <definedName name="vr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1" l="1"/>
  <c r="B14" i="11"/>
  <c r="B21" i="11"/>
  <c r="C20" i="11"/>
  <c r="C14" i="11"/>
  <c r="C21" i="11" s="1"/>
  <c r="D20" i="11"/>
  <c r="D14" i="11"/>
  <c r="D21" i="11" s="1"/>
  <c r="D24" i="11" s="1"/>
  <c r="E20" i="11"/>
  <c r="E21" i="11" s="1"/>
  <c r="E24" i="11" s="1"/>
  <c r="E14" i="11"/>
  <c r="I20" i="11"/>
  <c r="I21" i="11" s="1"/>
  <c r="I24" i="11" s="1"/>
  <c r="I14" i="11"/>
  <c r="I23" i="11"/>
  <c r="H8" i="11" s="1"/>
  <c r="H16" i="11"/>
  <c r="H20" i="11" s="1"/>
  <c r="H21" i="11" s="1"/>
  <c r="H24" i="11" s="1"/>
  <c r="H17" i="11"/>
  <c r="H18" i="11"/>
  <c r="H10" i="11"/>
  <c r="H12" i="11"/>
  <c r="H14" i="11"/>
  <c r="H23" i="11"/>
  <c r="G8" i="11" s="1"/>
  <c r="G23" i="11" s="1"/>
  <c r="F8" i="11" s="1"/>
  <c r="G20" i="11"/>
  <c r="G14" i="11"/>
  <c r="G21" i="11" s="1"/>
  <c r="F20" i="11"/>
  <c r="F14" i="11"/>
  <c r="F21" i="11" s="1"/>
  <c r="F24" i="11" s="1"/>
  <c r="J20" i="11"/>
  <c r="J21" i="11" s="1"/>
  <c r="J14" i="11"/>
  <c r="K20" i="11"/>
  <c r="K21" i="11" s="1"/>
  <c r="K23" i="11" s="1"/>
  <c r="K14" i="11"/>
  <c r="L16" i="11"/>
  <c r="L20" i="11" s="1"/>
  <c r="L21" i="11" s="1"/>
  <c r="L24" i="11" s="1"/>
  <c r="L18" i="11"/>
  <c r="L10" i="11"/>
  <c r="L12" i="11"/>
  <c r="L14" i="11"/>
  <c r="L22" i="11"/>
  <c r="L23" i="11" s="1"/>
  <c r="M14" i="11"/>
  <c r="M20" i="11"/>
  <c r="M21" i="11" s="1"/>
  <c r="M25" i="11"/>
  <c r="J23" i="11"/>
  <c r="M15" i="8"/>
  <c r="M41" i="10"/>
  <c r="M25" i="8"/>
  <c r="M42" i="10" s="1"/>
  <c r="M17" i="8"/>
  <c r="M20" i="8" s="1"/>
  <c r="M43" i="10"/>
  <c r="M36" i="10" s="1"/>
  <c r="L15" i="8"/>
  <c r="L41" i="10" s="1"/>
  <c r="L25" i="8"/>
  <c r="L42" i="10"/>
  <c r="L35" i="10" s="1"/>
  <c r="L17" i="8"/>
  <c r="L20" i="8"/>
  <c r="K15" i="8"/>
  <c r="K41" i="10" s="1"/>
  <c r="K25" i="8"/>
  <c r="K42" i="10" s="1"/>
  <c r="K17" i="8"/>
  <c r="K20" i="8" s="1"/>
  <c r="K43" i="10" s="1"/>
  <c r="K36" i="10" s="1"/>
  <c r="J15" i="8"/>
  <c r="J41" i="10"/>
  <c r="J25" i="8"/>
  <c r="J42" i="10"/>
  <c r="J35" i="10" s="1"/>
  <c r="J17" i="8"/>
  <c r="J20" i="8" s="1"/>
  <c r="J43" i="10" s="1"/>
  <c r="I15" i="8"/>
  <c r="I41" i="10" s="1"/>
  <c r="I25" i="8"/>
  <c r="I42" i="10" s="1"/>
  <c r="I35" i="10" s="1"/>
  <c r="I17" i="8"/>
  <c r="I20" i="8"/>
  <c r="I43" i="10" s="1"/>
  <c r="H11" i="8"/>
  <c r="H15" i="8"/>
  <c r="H41" i="10" s="1"/>
  <c r="H25" i="8"/>
  <c r="H42" i="10"/>
  <c r="H17" i="8"/>
  <c r="H20" i="8" s="1"/>
  <c r="H26" i="8" s="1"/>
  <c r="H43" i="10"/>
  <c r="H36" i="10" s="1"/>
  <c r="G15" i="8"/>
  <c r="G41" i="10" s="1"/>
  <c r="G34" i="10" s="1"/>
  <c r="G25" i="8"/>
  <c r="G42" i="10"/>
  <c r="G17" i="8"/>
  <c r="G20" i="8"/>
  <c r="G43" i="10" s="1"/>
  <c r="G44" i="10"/>
  <c r="G26" i="11"/>
  <c r="F14" i="8"/>
  <c r="F15" i="8"/>
  <c r="F41" i="10"/>
  <c r="F25" i="8"/>
  <c r="F42" i="10"/>
  <c r="F35" i="10" s="1"/>
  <c r="F17" i="8"/>
  <c r="F20" i="8"/>
  <c r="F26" i="8" s="1"/>
  <c r="F43" i="10"/>
  <c r="F36" i="10" s="1"/>
  <c r="E15" i="8"/>
  <c r="E41" i="10" s="1"/>
  <c r="E25" i="8"/>
  <c r="E42" i="10" s="1"/>
  <c r="E17" i="8"/>
  <c r="E20" i="8" s="1"/>
  <c r="J25" i="11"/>
  <c r="J24" i="11"/>
  <c r="K25" i="11"/>
  <c r="K24" i="11"/>
  <c r="L25" i="11"/>
  <c r="I10" i="4"/>
  <c r="I25" i="11" s="1"/>
  <c r="B10" i="4"/>
  <c r="B15" i="4" s="1"/>
  <c r="B21" i="4" s="1"/>
  <c r="B48" i="4" s="1"/>
  <c r="C10" i="4"/>
  <c r="D10" i="4"/>
  <c r="D25" i="11"/>
  <c r="E10" i="4"/>
  <c r="E25" i="11"/>
  <c r="H10" i="4"/>
  <c r="H25" i="11"/>
  <c r="F10" i="4"/>
  <c r="F25" i="11"/>
  <c r="G10" i="4"/>
  <c r="G15" i="4" s="1"/>
  <c r="G21" i="4" s="1"/>
  <c r="G25" i="11"/>
  <c r="C8" i="8"/>
  <c r="C15" i="8" s="1"/>
  <c r="C41" i="10" s="1"/>
  <c r="C25" i="8"/>
  <c r="C42" i="10" s="1"/>
  <c r="C35" i="10" s="1"/>
  <c r="C17" i="8"/>
  <c r="C20" i="8" s="1"/>
  <c r="C43" i="10" s="1"/>
  <c r="C36" i="10" s="1"/>
  <c r="D8" i="8"/>
  <c r="D15" i="8"/>
  <c r="D41" i="10" s="1"/>
  <c r="D25" i="8"/>
  <c r="D26" i="8" s="1"/>
  <c r="D42" i="10"/>
  <c r="D35" i="10" s="1"/>
  <c r="D17" i="8"/>
  <c r="D20" i="8"/>
  <c r="D43" i="10" s="1"/>
  <c r="D36" i="10" s="1"/>
  <c r="B8" i="8"/>
  <c r="B15" i="8"/>
  <c r="B41" i="10"/>
  <c r="B25" i="8"/>
  <c r="B42" i="10"/>
  <c r="B17" i="8"/>
  <c r="B20" i="8" s="1"/>
  <c r="B43" i="10"/>
  <c r="F18" i="6"/>
  <c r="E18" i="6"/>
  <c r="C18" i="6"/>
  <c r="B18" i="6"/>
  <c r="D18" i="6"/>
  <c r="H19" i="6"/>
  <c r="I18" i="6"/>
  <c r="K18" i="6"/>
  <c r="K20" i="6" s="1"/>
  <c r="I19" i="6"/>
  <c r="H11" i="6"/>
  <c r="G11" i="6"/>
  <c r="G20" i="6" s="1"/>
  <c r="G21" i="6" s="1"/>
  <c r="F19" i="6"/>
  <c r="F11" i="6"/>
  <c r="E19" i="6"/>
  <c r="E20" i="6" s="1"/>
  <c r="E11" i="6"/>
  <c r="D11" i="6"/>
  <c r="D19" i="6"/>
  <c r="C19" i="6"/>
  <c r="C11" i="6"/>
  <c r="C20" i="6" s="1"/>
  <c r="B19" i="6"/>
  <c r="B11" i="6"/>
  <c r="B20" i="6"/>
  <c r="B21" i="6" s="1"/>
  <c r="D20" i="6"/>
  <c r="F20" i="6"/>
  <c r="H10" i="6"/>
  <c r="H18" i="6"/>
  <c r="H20" i="6"/>
  <c r="H21" i="6" s="1"/>
  <c r="I11" i="6"/>
  <c r="I20" i="6" s="1"/>
  <c r="J17" i="6"/>
  <c r="J11" i="6"/>
  <c r="J10" i="6"/>
  <c r="J9" i="6"/>
  <c r="J8" i="6"/>
  <c r="J7" i="6"/>
  <c r="J15" i="6"/>
  <c r="J13" i="6"/>
  <c r="B13" i="4"/>
  <c r="B14" i="4"/>
  <c r="B20" i="4"/>
  <c r="D13" i="4"/>
  <c r="D15" i="4" s="1"/>
  <c r="D14" i="4"/>
  <c r="D18" i="4"/>
  <c r="D20" i="4" s="1"/>
  <c r="D21" i="4"/>
  <c r="E21" i="6" s="1"/>
  <c r="C13" i="4"/>
  <c r="C14" i="4"/>
  <c r="C18" i="4"/>
  <c r="C20" i="4"/>
  <c r="E13" i="4"/>
  <c r="E15" i="4" s="1"/>
  <c r="E14" i="4"/>
  <c r="E18" i="4"/>
  <c r="E20" i="4" s="1"/>
  <c r="F13" i="4"/>
  <c r="F15" i="4" s="1"/>
  <c r="F21" i="4" s="1"/>
  <c r="F14" i="4"/>
  <c r="F18" i="4"/>
  <c r="F20" i="4" s="1"/>
  <c r="G13" i="4"/>
  <c r="G14" i="4"/>
  <c r="G18" i="4"/>
  <c r="G20" i="4"/>
  <c r="H13" i="4"/>
  <c r="H14" i="4"/>
  <c r="H15" i="4"/>
  <c r="H18" i="4"/>
  <c r="H20" i="4" s="1"/>
  <c r="I13" i="4"/>
  <c r="I14" i="4"/>
  <c r="I15" i="4" s="1"/>
  <c r="I21" i="4" s="1"/>
  <c r="I18" i="4"/>
  <c r="I20" i="4"/>
  <c r="D22" i="25"/>
  <c r="E22" i="25" s="1"/>
  <c r="G43" i="25"/>
  <c r="G26" i="25"/>
  <c r="H26" i="25" s="1"/>
  <c r="G16" i="25"/>
  <c r="G30" i="25"/>
  <c r="F26" i="25"/>
  <c r="F16" i="25"/>
  <c r="H16" i="25" s="1"/>
  <c r="D43" i="25"/>
  <c r="D28" i="25"/>
  <c r="E28" i="25" s="1"/>
  <c r="D20" i="25"/>
  <c r="E20" i="25" s="1"/>
  <c r="D26" i="25"/>
  <c r="D16" i="25"/>
  <c r="C26" i="25"/>
  <c r="C16" i="25"/>
  <c r="C30" i="25" s="1"/>
  <c r="F43" i="25"/>
  <c r="F47" i="25" s="1"/>
  <c r="F51" i="25" s="1"/>
  <c r="C43" i="25"/>
  <c r="C47" i="25" s="1"/>
  <c r="C51" i="25"/>
  <c r="H43" i="25"/>
  <c r="H42" i="25"/>
  <c r="E42" i="25"/>
  <c r="H41" i="25"/>
  <c r="E41" i="25"/>
  <c r="H40" i="25"/>
  <c r="E40" i="25"/>
  <c r="H39" i="25"/>
  <c r="E39" i="25"/>
  <c r="H38" i="25"/>
  <c r="E38" i="25"/>
  <c r="C34" i="25"/>
  <c r="H28" i="25"/>
  <c r="H25" i="25"/>
  <c r="E25" i="25"/>
  <c r="H24" i="25"/>
  <c r="E24" i="25"/>
  <c r="H22" i="25"/>
  <c r="H20" i="25"/>
  <c r="H18" i="25"/>
  <c r="E18" i="25"/>
  <c r="E16" i="25"/>
  <c r="H15" i="25"/>
  <c r="E15" i="25"/>
  <c r="H13" i="25"/>
  <c r="E13" i="25"/>
  <c r="J43" i="20"/>
  <c r="J56" i="20" s="1"/>
  <c r="K58" i="20" s="1"/>
  <c r="J26" i="20"/>
  <c r="K26" i="20" s="1"/>
  <c r="J16" i="20"/>
  <c r="J30" i="20"/>
  <c r="K30" i="20" s="1"/>
  <c r="J34" i="20"/>
  <c r="I26" i="20"/>
  <c r="I30" i="20" s="1"/>
  <c r="I16" i="20"/>
  <c r="G43" i="20"/>
  <c r="G26" i="20"/>
  <c r="G30" i="20" s="1"/>
  <c r="G16" i="20"/>
  <c r="F26" i="20"/>
  <c r="F16" i="20"/>
  <c r="F30" i="20" s="1"/>
  <c r="D38" i="20"/>
  <c r="D28" i="20"/>
  <c r="D18" i="20"/>
  <c r="D20" i="20"/>
  <c r="D22" i="20"/>
  <c r="D16" i="20"/>
  <c r="E16" i="20" s="1"/>
  <c r="C26" i="20"/>
  <c r="C30" i="20" s="1"/>
  <c r="C34" i="20" s="1"/>
  <c r="C16" i="20"/>
  <c r="H57" i="20"/>
  <c r="I43" i="20"/>
  <c r="I47" i="20"/>
  <c r="I51" i="20" s="1"/>
  <c r="F43" i="20"/>
  <c r="F47" i="20"/>
  <c r="F51" i="20" s="1"/>
  <c r="C43" i="20"/>
  <c r="C47" i="20" s="1"/>
  <c r="C51" i="20" s="1"/>
  <c r="K43" i="20"/>
  <c r="H43" i="20"/>
  <c r="K42" i="20"/>
  <c r="H42" i="20"/>
  <c r="E42" i="20"/>
  <c r="K41" i="20"/>
  <c r="H41" i="20"/>
  <c r="E41" i="20"/>
  <c r="K40" i="20"/>
  <c r="H40" i="20"/>
  <c r="E40" i="20"/>
  <c r="K39" i="20"/>
  <c r="H39" i="20"/>
  <c r="E39" i="20"/>
  <c r="K38" i="20"/>
  <c r="H38" i="20"/>
  <c r="F34" i="20"/>
  <c r="K28" i="20"/>
  <c r="H28" i="20"/>
  <c r="E28" i="20"/>
  <c r="H26" i="20"/>
  <c r="K25" i="20"/>
  <c r="H25" i="20"/>
  <c r="E25" i="20"/>
  <c r="K24" i="20"/>
  <c r="H24" i="20"/>
  <c r="E24" i="20"/>
  <c r="K22" i="20"/>
  <c r="H22" i="20"/>
  <c r="K20" i="20"/>
  <c r="H20" i="20"/>
  <c r="E20" i="20"/>
  <c r="K18" i="20"/>
  <c r="H18" i="20"/>
  <c r="E18" i="20"/>
  <c r="K16" i="20"/>
  <c r="K15" i="20"/>
  <c r="H15" i="20"/>
  <c r="E15" i="20"/>
  <c r="K13" i="20"/>
  <c r="H13" i="20"/>
  <c r="E13" i="20"/>
  <c r="E22" i="10"/>
  <c r="E17" i="10"/>
  <c r="E20" i="10" s="1"/>
  <c r="D17" i="10"/>
  <c r="D20" i="10"/>
  <c r="D23" i="10" s="1"/>
  <c r="C17" i="10"/>
  <c r="C20" i="10" s="1"/>
  <c r="B17" i="10"/>
  <c r="B20" i="10"/>
  <c r="G12" i="10"/>
  <c r="G17" i="10" s="1"/>
  <c r="G20" i="10" s="1"/>
  <c r="H12" i="10"/>
  <c r="I12" i="10"/>
  <c r="I17" i="10"/>
  <c r="I20" i="10" s="1"/>
  <c r="F17" i="10"/>
  <c r="F20" i="10"/>
  <c r="H17" i="10"/>
  <c r="H20" i="10" s="1"/>
  <c r="J12" i="10"/>
  <c r="K17" i="10"/>
  <c r="K20" i="10"/>
  <c r="K23" i="10"/>
  <c r="L17" i="10"/>
  <c r="L20" i="10" s="1"/>
  <c r="O12" i="10"/>
  <c r="M17" i="10"/>
  <c r="M20" i="10" s="1"/>
  <c r="P17" i="10"/>
  <c r="P20" i="10"/>
  <c r="Q17" i="10"/>
  <c r="Q20" i="10" s="1"/>
  <c r="Q23" i="10"/>
  <c r="O17" i="10"/>
  <c r="O20" i="10"/>
  <c r="O23" i="10" s="1"/>
  <c r="N17" i="10"/>
  <c r="N20" i="10" s="1"/>
  <c r="N23" i="10" s="1"/>
  <c r="S17" i="10"/>
  <c r="S20" i="10"/>
  <c r="U17" i="10"/>
  <c r="U20" i="10" s="1"/>
  <c r="U23" i="10"/>
  <c r="T17" i="10"/>
  <c r="T20" i="10"/>
  <c r="Z36" i="10"/>
  <c r="Z35" i="10"/>
  <c r="Z34" i="10"/>
  <c r="X17" i="10"/>
  <c r="X20" i="10"/>
  <c r="X23" i="10" s="1"/>
  <c r="X27" i="10" s="1"/>
  <c r="X31" i="10" s="1"/>
  <c r="W17" i="10"/>
  <c r="W20" i="10"/>
  <c r="T23" i="10"/>
  <c r="R17" i="10"/>
  <c r="R20" i="10" s="1"/>
  <c r="Y17" i="10"/>
  <c r="Y20" i="10"/>
  <c r="Y23" i="10"/>
  <c r="Y27" i="10" s="1"/>
  <c r="Y31" i="10" s="1"/>
  <c r="V17" i="10"/>
  <c r="Z17" i="10"/>
  <c r="Z20" i="10" s="1"/>
  <c r="Z38" i="10" s="1"/>
  <c r="V20" i="10"/>
  <c r="Z44" i="10"/>
  <c r="Z23" i="10"/>
  <c r="Z27" i="10" s="1"/>
  <c r="Z31" i="10"/>
  <c r="I34" i="10"/>
  <c r="K35" i="10"/>
  <c r="O20" i="8"/>
  <c r="O43" i="10" s="1"/>
  <c r="N17" i="8"/>
  <c r="N20" i="8" s="1"/>
  <c r="N43" i="10"/>
  <c r="N36" i="10"/>
  <c r="M34" i="10"/>
  <c r="U15" i="8"/>
  <c r="U41" i="10" s="1"/>
  <c r="U25" i="8"/>
  <c r="U42" i="10" s="1"/>
  <c r="U35" i="10" s="1"/>
  <c r="U20" i="8"/>
  <c r="U43" i="10" s="1"/>
  <c r="U36" i="10" s="1"/>
  <c r="X8" i="8"/>
  <c r="X14" i="8"/>
  <c r="X15" i="8" s="1"/>
  <c r="X41" i="10"/>
  <c r="X25" i="8"/>
  <c r="X20" i="8"/>
  <c r="X43" i="10" s="1"/>
  <c r="X36" i="10" s="1"/>
  <c r="Y20" i="8"/>
  <c r="Y43" i="10"/>
  <c r="Y36" i="10"/>
  <c r="W15" i="8"/>
  <c r="W41" i="10"/>
  <c r="W25" i="8"/>
  <c r="W42" i="10"/>
  <c r="W20" i="8"/>
  <c r="W43" i="10" s="1"/>
  <c r="W36" i="10" s="1"/>
  <c r="W35" i="10"/>
  <c r="V22" i="8"/>
  <c r="V25" i="8"/>
  <c r="V42" i="10" s="1"/>
  <c r="V35" i="10" s="1"/>
  <c r="V20" i="8"/>
  <c r="V43" i="10" s="1"/>
  <c r="V36" i="10"/>
  <c r="V15" i="8"/>
  <c r="V41" i="10"/>
  <c r="V34" i="10"/>
  <c r="Y15" i="8"/>
  <c r="Y41" i="10"/>
  <c r="Y25" i="8"/>
  <c r="Y42" i="10" s="1"/>
  <c r="Y35" i="10" s="1"/>
  <c r="T15" i="8"/>
  <c r="T25" i="8"/>
  <c r="T42" i="10" s="1"/>
  <c r="T35" i="10" s="1"/>
  <c r="T20" i="8"/>
  <c r="T43" i="10" s="1"/>
  <c r="T36" i="10" s="1"/>
  <c r="S15" i="8"/>
  <c r="S41" i="10"/>
  <c r="S25" i="8"/>
  <c r="S42" i="10" s="1"/>
  <c r="S35" i="10" s="1"/>
  <c r="S20" i="8"/>
  <c r="S43" i="10" s="1"/>
  <c r="S36" i="10" s="1"/>
  <c r="R15" i="8"/>
  <c r="R41" i="10"/>
  <c r="R34" i="10" s="1"/>
  <c r="R25" i="8"/>
  <c r="R42" i="10"/>
  <c r="R20" i="8"/>
  <c r="R43" i="10" s="1"/>
  <c r="R36" i="10" s="1"/>
  <c r="Q25" i="8"/>
  <c r="Q42" i="10"/>
  <c r="Q44" i="10" s="1"/>
  <c r="Q35" i="10"/>
  <c r="Q15" i="8"/>
  <c r="Q41" i="10"/>
  <c r="Q34" i="10" s="1"/>
  <c r="Q20" i="8"/>
  <c r="Q43" i="10"/>
  <c r="Q36" i="10" s="1"/>
  <c r="P15" i="8"/>
  <c r="P41" i="10" s="1"/>
  <c r="P44" i="10" s="1"/>
  <c r="P34" i="10"/>
  <c r="P25" i="8"/>
  <c r="P42" i="10"/>
  <c r="P35" i="10"/>
  <c r="P20" i="8"/>
  <c r="P43" i="10"/>
  <c r="P36" i="10"/>
  <c r="O15" i="8"/>
  <c r="O41" i="10" s="1"/>
  <c r="O25" i="8"/>
  <c r="O42" i="10" s="1"/>
  <c r="O35" i="10" s="1"/>
  <c r="N15" i="8"/>
  <c r="N41" i="10" s="1"/>
  <c r="N34" i="10" s="1"/>
  <c r="N25" i="8"/>
  <c r="N42" i="10" s="1"/>
  <c r="N35" i="10"/>
  <c r="N44" i="10"/>
  <c r="I36" i="10"/>
  <c r="H35" i="10"/>
  <c r="G35" i="10"/>
  <c r="G36" i="10"/>
  <c r="F34" i="10"/>
  <c r="E34" i="10"/>
  <c r="E35" i="10"/>
  <c r="B35" i="10"/>
  <c r="C34" i="10"/>
  <c r="B36" i="10"/>
  <c r="K14" i="5"/>
  <c r="J14" i="5"/>
  <c r="I14" i="5"/>
  <c r="H14" i="5"/>
  <c r="G14" i="5"/>
  <c r="F14" i="5"/>
  <c r="E14" i="5"/>
  <c r="D14" i="5"/>
  <c r="C14" i="5"/>
  <c r="B14" i="5"/>
  <c r="F9" i="5"/>
  <c r="F11" i="5"/>
  <c r="F13" i="5"/>
  <c r="F18" i="5" s="1"/>
  <c r="F20" i="5"/>
  <c r="E9" i="5"/>
  <c r="E11" i="5"/>
  <c r="E13" i="5" s="1"/>
  <c r="E18" i="5" s="1"/>
  <c r="E21" i="5" s="1"/>
  <c r="E20" i="5"/>
  <c r="E23" i="5"/>
  <c r="D9" i="5"/>
  <c r="D11" i="5"/>
  <c r="D13" i="5"/>
  <c r="D18" i="5" s="1"/>
  <c r="D21" i="5" s="1"/>
  <c r="D23" i="5" s="1"/>
  <c r="D20" i="5"/>
  <c r="C9" i="5"/>
  <c r="C11" i="5" s="1"/>
  <c r="C13" i="5"/>
  <c r="C18" i="5"/>
  <c r="C20" i="5"/>
  <c r="C21" i="5"/>
  <c r="C23" i="5" s="1"/>
  <c r="B9" i="5"/>
  <c r="B11" i="5" s="1"/>
  <c r="B13" i="5" s="1"/>
  <c r="B18" i="5" s="1"/>
  <c r="B20" i="5"/>
  <c r="B21" i="5"/>
  <c r="B23" i="5" s="1"/>
  <c r="K9" i="5"/>
  <c r="K11" i="5"/>
  <c r="K13" i="5" s="1"/>
  <c r="K18" i="5" s="1"/>
  <c r="K21" i="5" s="1"/>
  <c r="K23" i="5" s="1"/>
  <c r="K20" i="5"/>
  <c r="J9" i="5"/>
  <c r="J11" i="5" s="1"/>
  <c r="J13" i="5" s="1"/>
  <c r="J18" i="5" s="1"/>
  <c r="J21" i="5" s="1"/>
  <c r="J23" i="5" s="1"/>
  <c r="J20" i="5"/>
  <c r="I9" i="5"/>
  <c r="I11" i="5"/>
  <c r="I13" i="5" s="1"/>
  <c r="I18" i="5"/>
  <c r="I20" i="5"/>
  <c r="H9" i="5"/>
  <c r="H11" i="5" s="1"/>
  <c r="H13" i="5" s="1"/>
  <c r="H18" i="5" s="1"/>
  <c r="H21" i="5" s="1"/>
  <c r="H23" i="5" s="1"/>
  <c r="H20" i="5"/>
  <c r="G9" i="5"/>
  <c r="G11" i="5" s="1"/>
  <c r="G13" i="5" s="1"/>
  <c r="G18" i="5" s="1"/>
  <c r="G21" i="5" s="1"/>
  <c r="G23" i="5" s="1"/>
  <c r="G20" i="5"/>
  <c r="M9" i="5"/>
  <c r="M11" i="5"/>
  <c r="M13" i="5"/>
  <c r="M18" i="5" s="1"/>
  <c r="M21" i="5" s="1"/>
  <c r="M23" i="5" s="1"/>
  <c r="M14" i="5"/>
  <c r="M20" i="5"/>
  <c r="L9" i="5"/>
  <c r="L11" i="5"/>
  <c r="L13" i="5" s="1"/>
  <c r="L18" i="5" s="1"/>
  <c r="L21" i="5" s="1"/>
  <c r="L23" i="5" s="1"/>
  <c r="L14" i="5"/>
  <c r="L20" i="5"/>
  <c r="N9" i="5"/>
  <c r="N11" i="5"/>
  <c r="N13" i="5"/>
  <c r="N18" i="5" s="1"/>
  <c r="N21" i="5" s="1"/>
  <c r="N23" i="5" s="1"/>
  <c r="N20" i="5"/>
  <c r="O9" i="5"/>
  <c r="O11" i="5" s="1"/>
  <c r="O13" i="5"/>
  <c r="O14" i="5"/>
  <c r="O18" i="5"/>
  <c r="O21" i="5" s="1"/>
  <c r="O23" i="5" s="1"/>
  <c r="O20" i="5"/>
  <c r="AE9" i="5"/>
  <c r="AE11" i="5" s="1"/>
  <c r="AE13" i="5" s="1"/>
  <c r="AE18" i="5" s="1"/>
  <c r="AE21" i="5" s="1"/>
  <c r="AE23" i="5" s="1"/>
  <c r="AE14" i="5"/>
  <c r="AE15" i="5"/>
  <c r="AE20" i="5"/>
  <c r="AD9" i="5"/>
  <c r="AD11" i="5"/>
  <c r="AD13" i="5" s="1"/>
  <c r="AD18" i="5" s="1"/>
  <c r="AD21" i="5" s="1"/>
  <c r="AD23" i="5" s="1"/>
  <c r="AD14" i="5"/>
  <c r="AD20" i="5"/>
  <c r="AC9" i="5"/>
  <c r="AC11" i="5"/>
  <c r="AC13" i="5" s="1"/>
  <c r="AC18" i="5" s="1"/>
  <c r="AC14" i="5"/>
  <c r="AC20" i="5"/>
  <c r="AC21" i="5"/>
  <c r="AC23" i="5" s="1"/>
  <c r="AB9" i="5"/>
  <c r="AB10" i="5"/>
  <c r="AB11" i="5" s="1"/>
  <c r="AB13" i="5" s="1"/>
  <c r="AB18" i="5" s="1"/>
  <c r="AB21" i="5" s="1"/>
  <c r="AB23" i="5" s="1"/>
  <c r="AB14" i="5"/>
  <c r="AB20" i="5"/>
  <c r="AA9" i="5"/>
  <c r="AA11" i="5"/>
  <c r="AA13" i="5" s="1"/>
  <c r="AA18" i="5" s="1"/>
  <c r="AA21" i="5" s="1"/>
  <c r="AA23" i="5" s="1"/>
  <c r="AA14" i="5"/>
  <c r="AA20" i="5"/>
  <c r="Z9" i="5"/>
  <c r="Z11" i="5"/>
  <c r="Z13" i="5" s="1"/>
  <c r="Z18" i="5" s="1"/>
  <c r="Z21" i="5" s="1"/>
  <c r="Z23" i="5" s="1"/>
  <c r="Z19" i="5"/>
  <c r="Z20" i="5"/>
  <c r="Y9" i="5"/>
  <c r="Y11" i="5"/>
  <c r="Y13" i="5" s="1"/>
  <c r="Y18" i="5" s="1"/>
  <c r="Y21" i="5" s="1"/>
  <c r="Y23" i="5" s="1"/>
  <c r="Y14" i="5"/>
  <c r="Y20" i="5"/>
  <c r="X9" i="5"/>
  <c r="X11" i="5"/>
  <c r="X13" i="5"/>
  <c r="X18" i="5"/>
  <c r="X21" i="5" s="1"/>
  <c r="X23" i="5" s="1"/>
  <c r="X20" i="5"/>
  <c r="W9" i="5"/>
  <c r="W11" i="5"/>
  <c r="W13" i="5"/>
  <c r="W14" i="5"/>
  <c r="W17" i="5"/>
  <c r="W20" i="5"/>
  <c r="V9" i="5"/>
  <c r="V11" i="5" s="1"/>
  <c r="V13" i="5" s="1"/>
  <c r="V18" i="5" s="1"/>
  <c r="V21" i="5" s="1"/>
  <c r="V23" i="5" s="1"/>
  <c r="V14" i="5"/>
  <c r="V20" i="5"/>
  <c r="U9" i="5"/>
  <c r="U11" i="5" s="1"/>
  <c r="U13" i="5" s="1"/>
  <c r="U18" i="5" s="1"/>
  <c r="U21" i="5" s="1"/>
  <c r="U23" i="5" s="1"/>
  <c r="U14" i="5"/>
  <c r="U20" i="5"/>
  <c r="T9" i="5"/>
  <c r="T11" i="5"/>
  <c r="T13" i="5" s="1"/>
  <c r="T18" i="5" s="1"/>
  <c r="T21" i="5" s="1"/>
  <c r="T23" i="5" s="1"/>
  <c r="T14" i="5"/>
  <c r="T20" i="5"/>
  <c r="S9" i="5"/>
  <c r="S11" i="5"/>
  <c r="S13" i="5"/>
  <c r="S14" i="5"/>
  <c r="S18" i="5" s="1"/>
  <c r="S21" i="5" s="1"/>
  <c r="S23" i="5" s="1"/>
  <c r="S20" i="5"/>
  <c r="R9" i="5"/>
  <c r="R11" i="5" s="1"/>
  <c r="R13" i="5" s="1"/>
  <c r="R18" i="5" s="1"/>
  <c r="R21" i="5" s="1"/>
  <c r="R23" i="5" s="1"/>
  <c r="R14" i="5"/>
  <c r="R20" i="5"/>
  <c r="Q9" i="5"/>
  <c r="Q11" i="5" s="1"/>
  <c r="Q13" i="5" s="1"/>
  <c r="Q14" i="5"/>
  <c r="Q18" i="5"/>
  <c r="Q21" i="5" s="1"/>
  <c r="Q23" i="5" s="1"/>
  <c r="Q20" i="5"/>
  <c r="P9" i="5"/>
  <c r="P11" i="5" s="1"/>
  <c r="P13" i="5" s="1"/>
  <c r="P14" i="5"/>
  <c r="P18" i="5"/>
  <c r="P21" i="5" s="1"/>
  <c r="P23" i="5" s="1"/>
  <c r="P20" i="5"/>
  <c r="AG14" i="5"/>
  <c r="AF14" i="5"/>
  <c r="AG9" i="5"/>
  <c r="AG11" i="5"/>
  <c r="AG13" i="5"/>
  <c r="AG18" i="5"/>
  <c r="AG21" i="5" s="1"/>
  <c r="AG20" i="5"/>
  <c r="AF9" i="5"/>
  <c r="AF11" i="5" s="1"/>
  <c r="AF13" i="5" s="1"/>
  <c r="AF18" i="5" s="1"/>
  <c r="AF21" i="5" s="1"/>
  <c r="AF20" i="5"/>
  <c r="H7" i="13"/>
  <c r="H9" i="13"/>
  <c r="H8" i="13"/>
  <c r="M9" i="13"/>
  <c r="L9" i="13"/>
  <c r="K9" i="13"/>
  <c r="B19" i="18"/>
  <c r="F17" i="18"/>
  <c r="F22" i="18"/>
  <c r="F27" i="18"/>
  <c r="F28" i="18" s="1"/>
  <c r="E19" i="18"/>
  <c r="G19" i="18" s="1"/>
  <c r="E22" i="18"/>
  <c r="E27" i="18"/>
  <c r="E17" i="18"/>
  <c r="E28" i="18" s="1"/>
  <c r="G26" i="18"/>
  <c r="G25" i="18"/>
  <c r="G24" i="18"/>
  <c r="G22" i="18"/>
  <c r="G21" i="18"/>
  <c r="G20" i="18"/>
  <c r="G16" i="18"/>
  <c r="G15" i="18"/>
  <c r="G14" i="18"/>
  <c r="G13" i="18"/>
  <c r="G12" i="18"/>
  <c r="G11" i="18"/>
  <c r="G10" i="18"/>
  <c r="H22" i="18"/>
  <c r="H28" i="18" s="1"/>
  <c r="H27" i="18"/>
  <c r="H17" i="18"/>
  <c r="I27" i="18"/>
  <c r="I22" i="18"/>
  <c r="J22" i="18" s="1"/>
  <c r="I17" i="18"/>
  <c r="J17" i="18" s="1"/>
  <c r="J25" i="18"/>
  <c r="J26" i="18"/>
  <c r="J24" i="18"/>
  <c r="J20" i="18"/>
  <c r="J21" i="18"/>
  <c r="J19" i="18"/>
  <c r="J11" i="18"/>
  <c r="J12" i="18"/>
  <c r="J13" i="18"/>
  <c r="J14" i="18"/>
  <c r="J15" i="18"/>
  <c r="J16" i="18"/>
  <c r="J10" i="18"/>
  <c r="L19" i="18"/>
  <c r="L22" i="18" s="1"/>
  <c r="M22" i="18" s="1"/>
  <c r="K27" i="18"/>
  <c r="K17" i="18"/>
  <c r="K22" i="18"/>
  <c r="K28" i="18"/>
  <c r="L27" i="18"/>
  <c r="L17" i="18"/>
  <c r="M17" i="18" s="1"/>
  <c r="M25" i="18"/>
  <c r="M26" i="18"/>
  <c r="M24" i="18"/>
  <c r="M20" i="18"/>
  <c r="M21" i="18"/>
  <c r="M11" i="18"/>
  <c r="M12" i="18"/>
  <c r="M13" i="18"/>
  <c r="M14" i="18"/>
  <c r="M15" i="18"/>
  <c r="M16" i="18"/>
  <c r="M10" i="18"/>
  <c r="O27" i="18"/>
  <c r="O22" i="18"/>
  <c r="O17" i="18"/>
  <c r="P17" i="18" s="1"/>
  <c r="O28" i="18"/>
  <c r="N17" i="18"/>
  <c r="N22" i="18"/>
  <c r="N27" i="18"/>
  <c r="P27" i="18"/>
  <c r="P26" i="18"/>
  <c r="P25" i="18"/>
  <c r="P24" i="18"/>
  <c r="P19" i="18"/>
  <c r="P16" i="18"/>
  <c r="P15" i="18"/>
  <c r="P14" i="18"/>
  <c r="P13" i="18"/>
  <c r="P12" i="18"/>
  <c r="P11" i="18"/>
  <c r="P10" i="18"/>
  <c r="P21" i="18"/>
  <c r="P20" i="18"/>
  <c r="C27" i="18"/>
  <c r="C22" i="18"/>
  <c r="C17" i="18"/>
  <c r="D17" i="18" s="1"/>
  <c r="B27" i="18"/>
  <c r="D27" i="18" s="1"/>
  <c r="B17" i="18"/>
  <c r="D26" i="18"/>
  <c r="D25" i="18"/>
  <c r="D24" i="18"/>
  <c r="D21" i="18"/>
  <c r="D20" i="18"/>
  <c r="D16" i="18"/>
  <c r="D15" i="18"/>
  <c r="D14" i="18"/>
  <c r="D13" i="18"/>
  <c r="D12" i="18"/>
  <c r="D11" i="18"/>
  <c r="D10" i="18"/>
  <c r="F17" i="19"/>
  <c r="F22" i="19"/>
  <c r="G22" i="19" s="1"/>
  <c r="F27" i="19"/>
  <c r="F28" i="19"/>
  <c r="G28" i="19" s="1"/>
  <c r="E27" i="19"/>
  <c r="E22" i="19"/>
  <c r="E17" i="19"/>
  <c r="E28" i="19"/>
  <c r="G27" i="19"/>
  <c r="G26" i="19"/>
  <c r="G25" i="19"/>
  <c r="G24" i="19"/>
  <c r="G21" i="19"/>
  <c r="G20" i="19"/>
  <c r="G19" i="19"/>
  <c r="G17" i="19"/>
  <c r="G16" i="19"/>
  <c r="G15" i="19"/>
  <c r="G14" i="19"/>
  <c r="G13" i="19"/>
  <c r="G12" i="19"/>
  <c r="G11" i="19"/>
  <c r="G10" i="19"/>
  <c r="H17" i="19"/>
  <c r="H22" i="19"/>
  <c r="H27" i="19"/>
  <c r="I17" i="19"/>
  <c r="J17" i="19" s="1"/>
  <c r="I22" i="19"/>
  <c r="I27" i="19"/>
  <c r="J27" i="19" s="1"/>
  <c r="I28" i="19"/>
  <c r="J26" i="19"/>
  <c r="J25" i="19"/>
  <c r="J24" i="19"/>
  <c r="J22" i="19"/>
  <c r="J21" i="19"/>
  <c r="J20" i="19"/>
  <c r="J19" i="19"/>
  <c r="J16" i="19"/>
  <c r="J15" i="19"/>
  <c r="J14" i="19"/>
  <c r="J13" i="19"/>
  <c r="J12" i="19"/>
  <c r="J11" i="19"/>
  <c r="J10" i="19"/>
  <c r="L12" i="19"/>
  <c r="L10" i="19"/>
  <c r="M10" i="19" s="1"/>
  <c r="L11" i="19"/>
  <c r="L13" i="19"/>
  <c r="L14" i="19"/>
  <c r="L15" i="19"/>
  <c r="L16" i="19"/>
  <c r="M16" i="19" s="1"/>
  <c r="L22" i="19"/>
  <c r="L24" i="19"/>
  <c r="L27" i="19" s="1"/>
  <c r="L25" i="19"/>
  <c r="L26" i="19"/>
  <c r="M26" i="19" s="1"/>
  <c r="K22" i="19"/>
  <c r="K27" i="19"/>
  <c r="K17" i="19"/>
  <c r="K28" i="19"/>
  <c r="M25" i="19"/>
  <c r="M24" i="19"/>
  <c r="M22" i="19"/>
  <c r="M21" i="19"/>
  <c r="M20" i="19"/>
  <c r="M19" i="19"/>
  <c r="M15" i="19"/>
  <c r="M14" i="19"/>
  <c r="M13" i="19"/>
  <c r="M12" i="19"/>
  <c r="M11" i="19"/>
  <c r="N19" i="19"/>
  <c r="N22" i="19" s="1"/>
  <c r="N28" i="19" s="1"/>
  <c r="O19" i="19"/>
  <c r="O25" i="19"/>
  <c r="O27" i="19"/>
  <c r="O28" i="19" s="1"/>
  <c r="P28" i="19" s="1"/>
  <c r="O22" i="19"/>
  <c r="P22" i="19" s="1"/>
  <c r="O17" i="19"/>
  <c r="N27" i="19"/>
  <c r="N17" i="19"/>
  <c r="P26" i="19"/>
  <c r="P25" i="19"/>
  <c r="P24" i="19"/>
  <c r="P21" i="19"/>
  <c r="P20" i="19"/>
  <c r="P19" i="19"/>
  <c r="P17" i="19"/>
  <c r="P16" i="19"/>
  <c r="P15" i="19"/>
  <c r="P14" i="19"/>
  <c r="P13" i="19"/>
  <c r="P12" i="19"/>
  <c r="P11" i="19"/>
  <c r="P10" i="19"/>
  <c r="C27" i="19"/>
  <c r="C22" i="19"/>
  <c r="C17" i="19"/>
  <c r="D17" i="19" s="1"/>
  <c r="B27" i="19"/>
  <c r="B22" i="19"/>
  <c r="B17" i="19"/>
  <c r="B28" i="19"/>
  <c r="D26" i="19"/>
  <c r="D25" i="19"/>
  <c r="D24" i="19"/>
  <c r="D22" i="19"/>
  <c r="D21" i="19"/>
  <c r="D20" i="19"/>
  <c r="D19" i="19"/>
  <c r="D16" i="19"/>
  <c r="D15" i="19"/>
  <c r="D14" i="19"/>
  <c r="D13" i="19"/>
  <c r="D12" i="19"/>
  <c r="D11" i="19"/>
  <c r="D10" i="19"/>
  <c r="O19" i="22"/>
  <c r="N19" i="22"/>
  <c r="C26" i="22"/>
  <c r="C19" i="22"/>
  <c r="C21" i="22" s="1"/>
  <c r="D21" i="22" s="1"/>
  <c r="C17" i="22"/>
  <c r="D17" i="22" s="1"/>
  <c r="C27" i="22"/>
  <c r="D20" i="22"/>
  <c r="G20" i="22"/>
  <c r="E16" i="22"/>
  <c r="G16" i="22" s="1"/>
  <c r="E23" i="22"/>
  <c r="B19" i="22"/>
  <c r="F19" i="22"/>
  <c r="F21" i="22" s="1"/>
  <c r="E19" i="22"/>
  <c r="E21" i="22" s="1"/>
  <c r="H19" i="22"/>
  <c r="L20" i="22"/>
  <c r="K14" i="22"/>
  <c r="O21" i="22"/>
  <c r="L25" i="22"/>
  <c r="L24" i="22"/>
  <c r="M24" i="22" s="1"/>
  <c r="L23" i="22"/>
  <c r="L16" i="22"/>
  <c r="M16" i="22" s="1"/>
  <c r="L15" i="22"/>
  <c r="L14" i="22"/>
  <c r="L13" i="22"/>
  <c r="L12" i="22"/>
  <c r="M12" i="22" s="1"/>
  <c r="L11" i="22"/>
  <c r="L10" i="22"/>
  <c r="K19" i="22"/>
  <c r="O26" i="22"/>
  <c r="O27" i="22" s="1"/>
  <c r="O17" i="22"/>
  <c r="N26" i="22"/>
  <c r="N17" i="22"/>
  <c r="P17" i="22" s="1"/>
  <c r="K26" i="22"/>
  <c r="K21" i="22"/>
  <c r="K17" i="22"/>
  <c r="I26" i="22"/>
  <c r="I17" i="22"/>
  <c r="H26" i="22"/>
  <c r="J26" i="22" s="1"/>
  <c r="H21" i="22"/>
  <c r="H17" i="22"/>
  <c r="H27" i="22"/>
  <c r="F26" i="22"/>
  <c r="G26" i="22" s="1"/>
  <c r="F17" i="22"/>
  <c r="F27" i="22"/>
  <c r="E26" i="22"/>
  <c r="B26" i="22"/>
  <c r="B21" i="22"/>
  <c r="B17" i="22"/>
  <c r="B27" i="22" s="1"/>
  <c r="D26" i="22"/>
  <c r="P25" i="22"/>
  <c r="M25" i="22"/>
  <c r="J25" i="22"/>
  <c r="G25" i="22"/>
  <c r="D25" i="22"/>
  <c r="P24" i="22"/>
  <c r="J24" i="22"/>
  <c r="G24" i="22"/>
  <c r="D24" i="22"/>
  <c r="P23" i="22"/>
  <c r="M23" i="22"/>
  <c r="J23" i="22"/>
  <c r="G23" i="22"/>
  <c r="D23" i="22"/>
  <c r="P20" i="22"/>
  <c r="J19" i="22"/>
  <c r="J17" i="22"/>
  <c r="P16" i="22"/>
  <c r="J16" i="22"/>
  <c r="D16" i="22"/>
  <c r="P15" i="22"/>
  <c r="M15" i="22"/>
  <c r="J15" i="22"/>
  <c r="G15" i="22"/>
  <c r="D15" i="22"/>
  <c r="P14" i="22"/>
  <c r="M14" i="22"/>
  <c r="J14" i="22"/>
  <c r="G14" i="22"/>
  <c r="D14" i="22"/>
  <c r="P13" i="22"/>
  <c r="M13" i="22"/>
  <c r="J13" i="22"/>
  <c r="G13" i="22"/>
  <c r="D13" i="22"/>
  <c r="P12" i="22"/>
  <c r="J12" i="22"/>
  <c r="G12" i="22"/>
  <c r="D12" i="22"/>
  <c r="P11" i="22"/>
  <c r="M11" i="22"/>
  <c r="J11" i="22"/>
  <c r="G11" i="22"/>
  <c r="D11" i="22"/>
  <c r="P10" i="22"/>
  <c r="J10" i="22"/>
  <c r="G10" i="22"/>
  <c r="D10" i="22"/>
  <c r="B19" i="26"/>
  <c r="C19" i="26"/>
  <c r="D19" i="26" s="1"/>
  <c r="F19" i="26"/>
  <c r="E19" i="26"/>
  <c r="K10" i="26"/>
  <c r="H10" i="26"/>
  <c r="J10" i="26" s="1"/>
  <c r="L19" i="26"/>
  <c r="I19" i="26"/>
  <c r="H19" i="26"/>
  <c r="N19" i="26"/>
  <c r="N21" i="26" s="1"/>
  <c r="N27" i="26" s="1"/>
  <c r="K19" i="26"/>
  <c r="O19" i="26"/>
  <c r="O26" i="26"/>
  <c r="O21" i="26"/>
  <c r="O17" i="26"/>
  <c r="O27" i="26" s="1"/>
  <c r="P27" i="26" s="1"/>
  <c r="N26" i="26"/>
  <c r="N17" i="26"/>
  <c r="L26" i="26"/>
  <c r="L17" i="26"/>
  <c r="K26" i="26"/>
  <c r="K21" i="26"/>
  <c r="K17" i="26"/>
  <c r="K27" i="26"/>
  <c r="I26" i="26"/>
  <c r="I17" i="26"/>
  <c r="H26" i="26"/>
  <c r="H21" i="26"/>
  <c r="H17" i="26"/>
  <c r="F26" i="26"/>
  <c r="F21" i="26"/>
  <c r="G21" i="26" s="1"/>
  <c r="F17" i="26"/>
  <c r="G17" i="26" s="1"/>
  <c r="F27" i="26"/>
  <c r="G27" i="26" s="1"/>
  <c r="E26" i="26"/>
  <c r="E21" i="26"/>
  <c r="E27" i="26" s="1"/>
  <c r="E17" i="26"/>
  <c r="C26" i="26"/>
  <c r="C21" i="26"/>
  <c r="D21" i="26" s="1"/>
  <c r="C17" i="26"/>
  <c r="D17" i="26" s="1"/>
  <c r="B26" i="26"/>
  <c r="B27" i="26" s="1"/>
  <c r="B21" i="26"/>
  <c r="B17" i="26"/>
  <c r="P26" i="26"/>
  <c r="M26" i="26"/>
  <c r="G26" i="26"/>
  <c r="P25" i="26"/>
  <c r="M25" i="26"/>
  <c r="J25" i="26"/>
  <c r="G25" i="26"/>
  <c r="D25" i="26"/>
  <c r="P24" i="26"/>
  <c r="M24" i="26"/>
  <c r="J24" i="26"/>
  <c r="G24" i="26"/>
  <c r="D24" i="26"/>
  <c r="P23" i="26"/>
  <c r="M23" i="26"/>
  <c r="J23" i="26"/>
  <c r="G23" i="26"/>
  <c r="D23" i="26"/>
  <c r="P20" i="26"/>
  <c r="M20" i="26"/>
  <c r="J20" i="26"/>
  <c r="G20" i="26"/>
  <c r="D20" i="26"/>
  <c r="G19" i="26"/>
  <c r="M17" i="26"/>
  <c r="J17" i="26"/>
  <c r="P16" i="26"/>
  <c r="M16" i="26"/>
  <c r="J16" i="26"/>
  <c r="G16" i="26"/>
  <c r="D16" i="26"/>
  <c r="P15" i="26"/>
  <c r="M15" i="26"/>
  <c r="J15" i="26"/>
  <c r="G15" i="26"/>
  <c r="D15" i="26"/>
  <c r="P14" i="26"/>
  <c r="M14" i="26"/>
  <c r="J14" i="26"/>
  <c r="G14" i="26"/>
  <c r="D14" i="26"/>
  <c r="P13" i="26"/>
  <c r="M13" i="26"/>
  <c r="J13" i="26"/>
  <c r="G13" i="26"/>
  <c r="D13" i="26"/>
  <c r="P12" i="26"/>
  <c r="M12" i="26"/>
  <c r="J12" i="26"/>
  <c r="G12" i="26"/>
  <c r="D12" i="26"/>
  <c r="P11" i="26"/>
  <c r="M11" i="26"/>
  <c r="J11" i="26"/>
  <c r="G11" i="26"/>
  <c r="D11" i="26"/>
  <c r="P10" i="26"/>
  <c r="M10" i="26"/>
  <c r="G10" i="26"/>
  <c r="D10" i="26"/>
  <c r="P19" i="26"/>
  <c r="E41" i="14"/>
  <c r="I16" i="7"/>
  <c r="I17" i="7" s="1"/>
  <c r="Q16" i="7"/>
  <c r="L16" i="7"/>
  <c r="L17" i="7" s="1"/>
  <c r="L18" i="7" s="1"/>
  <c r="G16" i="7"/>
  <c r="D16" i="7"/>
  <c r="F16" i="7" s="1"/>
  <c r="B16" i="7"/>
  <c r="T19" i="7"/>
  <c r="R19" i="7"/>
  <c r="U13" i="7"/>
  <c r="U14" i="7"/>
  <c r="U15" i="7"/>
  <c r="U8" i="7"/>
  <c r="U9" i="7"/>
  <c r="U10" i="7"/>
  <c r="U11" i="7"/>
  <c r="S17" i="7"/>
  <c r="S11" i="7"/>
  <c r="S18" i="7"/>
  <c r="Q11" i="7"/>
  <c r="B17" i="7"/>
  <c r="B11" i="7"/>
  <c r="B18" i="7" s="1"/>
  <c r="C19" i="7"/>
  <c r="D17" i="7"/>
  <c r="D18" i="7" s="1"/>
  <c r="D11" i="7"/>
  <c r="E19" i="7"/>
  <c r="F13" i="7"/>
  <c r="F14" i="7"/>
  <c r="F17" i="7" s="1"/>
  <c r="F18" i="7" s="1"/>
  <c r="F15" i="7"/>
  <c r="F8" i="7"/>
  <c r="F9" i="7"/>
  <c r="F10" i="7"/>
  <c r="F11" i="7"/>
  <c r="J19" i="7"/>
  <c r="H19" i="7"/>
  <c r="K13" i="7"/>
  <c r="K14" i="7"/>
  <c r="K15" i="7"/>
  <c r="K8" i="7"/>
  <c r="K11" i="7" s="1"/>
  <c r="K9" i="7"/>
  <c r="K10" i="7"/>
  <c r="I11" i="7"/>
  <c r="I18" i="7"/>
  <c r="G17" i="7"/>
  <c r="G11" i="7"/>
  <c r="O19" i="7"/>
  <c r="M19" i="7"/>
  <c r="P13" i="7"/>
  <c r="P14" i="7"/>
  <c r="P15" i="7"/>
  <c r="P8" i="7"/>
  <c r="P11" i="7" s="1"/>
  <c r="P9" i="7"/>
  <c r="P10" i="7"/>
  <c r="N17" i="7"/>
  <c r="N18" i="7" s="1"/>
  <c r="N11" i="7"/>
  <c r="L11" i="7"/>
  <c r="I15" i="23"/>
  <c r="J15" i="23"/>
  <c r="K15" i="23"/>
  <c r="K28" i="23" s="1"/>
  <c r="B27" i="23"/>
  <c r="B28" i="23"/>
  <c r="C27" i="23"/>
  <c r="C28" i="23" s="1"/>
  <c r="C30" i="23" s="1"/>
  <c r="E28" i="23"/>
  <c r="D30" i="23" s="1"/>
  <c r="D28" i="23"/>
  <c r="H25" i="23"/>
  <c r="H19" i="23"/>
  <c r="H28" i="23" s="1"/>
  <c r="J23" i="23"/>
  <c r="J24" i="23"/>
  <c r="J25" i="23"/>
  <c r="J28" i="23"/>
  <c r="I28" i="23"/>
  <c r="E30" i="23"/>
  <c r="G28" i="23"/>
  <c r="G29" i="23" s="1"/>
  <c r="G30" i="23"/>
  <c r="F28" i="23"/>
  <c r="V30" i="23"/>
  <c r="U30" i="23"/>
  <c r="T30" i="23"/>
  <c r="S30" i="23"/>
  <c r="R30" i="23"/>
  <c r="Q30" i="23"/>
  <c r="P30" i="23"/>
  <c r="O30" i="23"/>
  <c r="N30" i="23"/>
  <c r="M30" i="23"/>
  <c r="L30" i="23"/>
  <c r="V29" i="23"/>
  <c r="U29" i="23"/>
  <c r="T29" i="23"/>
  <c r="S29" i="23"/>
  <c r="R29" i="23"/>
  <c r="Q29" i="23"/>
  <c r="P29" i="23"/>
  <c r="O29" i="23"/>
  <c r="N29" i="23"/>
  <c r="M29" i="23"/>
  <c r="L29" i="23"/>
  <c r="C29" i="23"/>
  <c r="F7" i="2"/>
  <c r="F8" i="2"/>
  <c r="C26" i="8"/>
  <c r="B26" i="8"/>
  <c r="I26" i="8"/>
  <c r="G26" i="8"/>
  <c r="M26" i="8"/>
  <c r="J26" i="8"/>
  <c r="Q26" i="8"/>
  <c r="P26" i="8"/>
  <c r="O26" i="8"/>
  <c r="N26" i="8"/>
  <c r="S26" i="8"/>
  <c r="R26" i="8"/>
  <c r="Z25" i="8"/>
  <c r="Z20" i="8"/>
  <c r="Z15" i="8"/>
  <c r="Y26" i="8"/>
  <c r="V26" i="8"/>
  <c r="W26" i="8"/>
  <c r="I14" i="3"/>
  <c r="I10" i="3"/>
  <c r="I9" i="3"/>
  <c r="I7" i="3"/>
  <c r="H14" i="3"/>
  <c r="H10" i="3"/>
  <c r="H9" i="3"/>
  <c r="H7" i="3"/>
  <c r="G14" i="3"/>
  <c r="G10" i="3"/>
  <c r="G9" i="3"/>
  <c r="G7" i="3"/>
  <c r="E14" i="3"/>
  <c r="E10" i="3"/>
  <c r="E9" i="3"/>
  <c r="E7" i="3"/>
  <c r="D14" i="3"/>
  <c r="D10" i="3"/>
  <c r="D9" i="3"/>
  <c r="D7" i="3"/>
  <c r="C14" i="3"/>
  <c r="C10" i="3"/>
  <c r="C9" i="3"/>
  <c r="C7" i="3"/>
  <c r="F14" i="3"/>
  <c r="F10" i="3"/>
  <c r="F9" i="3"/>
  <c r="B14" i="3"/>
  <c r="B9" i="3"/>
  <c r="B7" i="3"/>
  <c r="B10" i="3"/>
  <c r="F7" i="3"/>
  <c r="I34" i="4"/>
  <c r="I30" i="4"/>
  <c r="H34" i="4"/>
  <c r="H30" i="4"/>
  <c r="G34" i="4"/>
  <c r="G30" i="4"/>
  <c r="F34" i="4"/>
  <c r="F30" i="4"/>
  <c r="F31" i="4" s="1"/>
  <c r="F35" i="4" s="1"/>
  <c r="F38" i="4" s="1"/>
  <c r="E33" i="4"/>
  <c r="E34" i="4" s="1"/>
  <c r="D34" i="4"/>
  <c r="D30" i="4"/>
  <c r="C33" i="4"/>
  <c r="C34" i="4" s="1"/>
  <c r="C30" i="4"/>
  <c r="C31" i="4" s="1"/>
  <c r="C35" i="4" s="1"/>
  <c r="C38" i="4" s="1"/>
  <c r="B34" i="4"/>
  <c r="B30" i="4"/>
  <c r="B31" i="4" s="1"/>
  <c r="B50" i="4"/>
  <c r="F28" i="4"/>
  <c r="B49" i="4" s="1"/>
  <c r="E30" i="4"/>
  <c r="E31" i="4" s="1"/>
  <c r="C50" i="4"/>
  <c r="C49" i="4"/>
  <c r="C47" i="4"/>
  <c r="D50" i="4"/>
  <c r="D49" i="4"/>
  <c r="D47" i="4"/>
  <c r="E50" i="4"/>
  <c r="E47" i="4"/>
  <c r="D31" i="4"/>
  <c r="D35" i="4"/>
  <c r="D38" i="4" s="1"/>
  <c r="I31" i="4"/>
  <c r="I35" i="4" s="1"/>
  <c r="I38" i="4" s="1"/>
  <c r="H31" i="4"/>
  <c r="H35" i="4" s="1"/>
  <c r="H38" i="4" s="1"/>
  <c r="G31" i="4"/>
  <c r="G35" i="4"/>
  <c r="G38" i="4" s="1"/>
  <c r="K30" i="23" l="1"/>
  <c r="K29" i="23"/>
  <c r="U17" i="7"/>
  <c r="U18" i="7" s="1"/>
  <c r="L21" i="26"/>
  <c r="M19" i="26"/>
  <c r="D27" i="10"/>
  <c r="D31" i="10" s="1"/>
  <c r="G18" i="7"/>
  <c r="U16" i="7"/>
  <c r="Q17" i="7"/>
  <c r="Q18" i="7" s="1"/>
  <c r="G21" i="22"/>
  <c r="P28" i="18"/>
  <c r="G28" i="18"/>
  <c r="W34" i="10"/>
  <c r="W44" i="10"/>
  <c r="L23" i="10"/>
  <c r="Z26" i="8"/>
  <c r="K26" i="8"/>
  <c r="P16" i="7"/>
  <c r="P17" i="7" s="1"/>
  <c r="P18" i="7" s="1"/>
  <c r="P17" i="26"/>
  <c r="L26" i="22"/>
  <c r="D27" i="19"/>
  <c r="C28" i="19"/>
  <c r="D28" i="19" s="1"/>
  <c r="H28" i="19"/>
  <c r="J28" i="19" s="1"/>
  <c r="L28" i="18"/>
  <c r="M28" i="18" s="1"/>
  <c r="M27" i="18"/>
  <c r="Q27" i="10"/>
  <c r="Q31" i="10" s="1"/>
  <c r="Q30" i="10"/>
  <c r="E23" i="10"/>
  <c r="E43" i="10"/>
  <c r="E36" i="10" s="1"/>
  <c r="E26" i="8"/>
  <c r="L43" i="10"/>
  <c r="L36" i="10" s="1"/>
  <c r="L26" i="8"/>
  <c r="D29" i="23"/>
  <c r="C27" i="26"/>
  <c r="D27" i="26" s="1"/>
  <c r="K27" i="22"/>
  <c r="L17" i="22"/>
  <c r="M17" i="22" s="1"/>
  <c r="M10" i="22"/>
  <c r="P27" i="19"/>
  <c r="I28" i="18"/>
  <c r="J28" i="18" s="1"/>
  <c r="T41" i="10"/>
  <c r="T26" i="8"/>
  <c r="X34" i="10"/>
  <c r="X44" i="10"/>
  <c r="X38" i="10" s="1"/>
  <c r="H44" i="10"/>
  <c r="H26" i="11" s="1"/>
  <c r="H34" i="10"/>
  <c r="E49" i="4"/>
  <c r="E35" i="4"/>
  <c r="E38" i="4" s="1"/>
  <c r="J26" i="26"/>
  <c r="H27" i="26"/>
  <c r="E17" i="22"/>
  <c r="E27" i="22" s="1"/>
  <c r="G27" i="22" s="1"/>
  <c r="N21" i="22"/>
  <c r="P19" i="22"/>
  <c r="P22" i="18"/>
  <c r="G27" i="18"/>
  <c r="I21" i="5"/>
  <c r="I23" i="5" s="1"/>
  <c r="U27" i="10"/>
  <c r="U31" i="10" s="1"/>
  <c r="Q38" i="10"/>
  <c r="D43" i="20"/>
  <c r="E38" i="20"/>
  <c r="K57" i="20"/>
  <c r="I34" i="20"/>
  <c r="J44" i="10"/>
  <c r="J34" i="10"/>
  <c r="X42" i="10"/>
  <c r="X35" i="10" s="1"/>
  <c r="X26" i="8"/>
  <c r="F29" i="23"/>
  <c r="F30" i="23"/>
  <c r="P21" i="26"/>
  <c r="G17" i="18"/>
  <c r="B22" i="18"/>
  <c r="B28" i="18" s="1"/>
  <c r="D19" i="18"/>
  <c r="I21" i="6"/>
  <c r="E44" i="10"/>
  <c r="E38" i="10" s="1"/>
  <c r="I30" i="23"/>
  <c r="I29" i="23"/>
  <c r="I20" i="22"/>
  <c r="M20" i="22"/>
  <c r="L19" i="22"/>
  <c r="M27" i="19"/>
  <c r="L28" i="19"/>
  <c r="M28" i="19" s="1"/>
  <c r="S34" i="10"/>
  <c r="S44" i="10"/>
  <c r="B38" i="10"/>
  <c r="B23" i="10"/>
  <c r="D48" i="4"/>
  <c r="F23" i="11"/>
  <c r="B29" i="23"/>
  <c r="B30" i="23"/>
  <c r="B35" i="4"/>
  <c r="B38" i="4" s="1"/>
  <c r="P26" i="22"/>
  <c r="D22" i="18"/>
  <c r="N28" i="18"/>
  <c r="F21" i="5"/>
  <c r="F23" i="5" s="1"/>
  <c r="O44" i="10"/>
  <c r="O38" i="10" s="1"/>
  <c r="O34" i="10"/>
  <c r="M38" i="10"/>
  <c r="M23" i="10"/>
  <c r="H38" i="10"/>
  <c r="H23" i="10"/>
  <c r="H29" i="23"/>
  <c r="H30" i="23"/>
  <c r="I21" i="26"/>
  <c r="J19" i="26"/>
  <c r="G19" i="22"/>
  <c r="D27" i="22"/>
  <c r="L17" i="19"/>
  <c r="M17" i="19" s="1"/>
  <c r="C28" i="18"/>
  <c r="N27" i="10"/>
  <c r="N31" i="10" s="1"/>
  <c r="N30" i="10"/>
  <c r="F23" i="10"/>
  <c r="F38" i="10"/>
  <c r="G56" i="25"/>
  <c r="H58" i="25" s="1"/>
  <c r="E21" i="4"/>
  <c r="E48" i="4" s="1"/>
  <c r="M35" i="10"/>
  <c r="M44" i="10"/>
  <c r="S38" i="10"/>
  <c r="S23" i="10"/>
  <c r="P23" i="10"/>
  <c r="P38" i="10"/>
  <c r="K30" i="10"/>
  <c r="K27" i="10"/>
  <c r="D30" i="25"/>
  <c r="E30" i="25" s="1"/>
  <c r="E26" i="25"/>
  <c r="C21" i="6"/>
  <c r="B44" i="10"/>
  <c r="B47" i="4"/>
  <c r="K16" i="7"/>
  <c r="K17" i="7" s="1"/>
  <c r="K18" i="7" s="1"/>
  <c r="D19" i="22"/>
  <c r="W18" i="5"/>
  <c r="W21" i="5" s="1"/>
  <c r="W23" i="5" s="1"/>
  <c r="B34" i="10"/>
  <c r="Y34" i="10"/>
  <c r="Y44" i="10"/>
  <c r="Y38" i="10" s="1"/>
  <c r="I23" i="10"/>
  <c r="C38" i="10"/>
  <c r="C23" i="10"/>
  <c r="H21" i="4"/>
  <c r="J20" i="6"/>
  <c r="J21" i="6" s="1"/>
  <c r="J26" i="11"/>
  <c r="G24" i="11"/>
  <c r="D44" i="10"/>
  <c r="D38" i="10" s="1"/>
  <c r="U26" i="8"/>
  <c r="M19" i="18"/>
  <c r="D26" i="20"/>
  <c r="E22" i="20"/>
  <c r="H16" i="20"/>
  <c r="C25" i="11"/>
  <c r="C15" i="4"/>
  <c r="C21" i="4" s="1"/>
  <c r="C48" i="4" s="1"/>
  <c r="L44" i="10"/>
  <c r="L38" i="10" s="1"/>
  <c r="L34" i="10"/>
  <c r="C24" i="11"/>
  <c r="D26" i="26"/>
  <c r="J27" i="18"/>
  <c r="R38" i="10"/>
  <c r="R23" i="10"/>
  <c r="N38" i="10"/>
  <c r="J17" i="10"/>
  <c r="J20" i="10" s="1"/>
  <c r="J36" i="10"/>
  <c r="H30" i="20"/>
  <c r="G34" i="20"/>
  <c r="G56" i="20" s="1"/>
  <c r="H58" i="20" s="1"/>
  <c r="E57" i="25"/>
  <c r="E43" i="25"/>
  <c r="D56" i="25"/>
  <c r="E58" i="25" s="1"/>
  <c r="F21" i="6"/>
  <c r="K21" i="6"/>
  <c r="B25" i="11"/>
  <c r="I44" i="10"/>
  <c r="I26" i="11" s="1"/>
  <c r="V23" i="10"/>
  <c r="V27" i="10" s="1"/>
  <c r="T27" i="10"/>
  <c r="O30" i="10"/>
  <c r="O27" i="10"/>
  <c r="O31" i="10" s="1"/>
  <c r="G23" i="10"/>
  <c r="G38" i="10"/>
  <c r="F44" i="10"/>
  <c r="K34" i="10"/>
  <c r="K44" i="10"/>
  <c r="K26" i="11" s="1"/>
  <c r="M24" i="11"/>
  <c r="M23" i="11"/>
  <c r="M26" i="11" s="1"/>
  <c r="B24" i="11"/>
  <c r="D34" i="10"/>
  <c r="R35" i="10"/>
  <c r="R44" i="10"/>
  <c r="V44" i="10"/>
  <c r="V38" i="10" s="1"/>
  <c r="U44" i="10"/>
  <c r="U38" i="10" s="1"/>
  <c r="U34" i="10"/>
  <c r="W38" i="10"/>
  <c r="W23" i="10"/>
  <c r="W27" i="10" s="1"/>
  <c r="W31" i="10" s="1"/>
  <c r="O36" i="10"/>
  <c r="C44" i="10"/>
  <c r="F30" i="25"/>
  <c r="I30" i="10" l="1"/>
  <c r="I27" i="10"/>
  <c r="I31" i="10" s="1"/>
  <c r="M27" i="10"/>
  <c r="M31" i="10" s="1"/>
  <c r="M30" i="10"/>
  <c r="G17" i="22"/>
  <c r="B27" i="10"/>
  <c r="B31" i="10" s="1"/>
  <c r="B30" i="10"/>
  <c r="I21" i="22"/>
  <c r="J20" i="22"/>
  <c r="U30" i="10"/>
  <c r="G30" i="10"/>
  <c r="G27" i="10"/>
  <c r="G31" i="10" s="1"/>
  <c r="M26" i="22"/>
  <c r="P30" i="10"/>
  <c r="P27" i="10"/>
  <c r="P31" i="10" s="1"/>
  <c r="K38" i="10"/>
  <c r="S27" i="10"/>
  <c r="S31" i="10" s="1"/>
  <c r="S30" i="10"/>
  <c r="J21" i="26"/>
  <c r="I27" i="26"/>
  <c r="J27" i="26" s="1"/>
  <c r="T34" i="10"/>
  <c r="T44" i="10"/>
  <c r="L26" i="11"/>
  <c r="M21" i="26"/>
  <c r="L27" i="26"/>
  <c r="M27" i="26" s="1"/>
  <c r="J30" i="23"/>
  <c r="D28" i="18"/>
  <c r="F34" i="25"/>
  <c r="H57" i="25"/>
  <c r="J29" i="23"/>
  <c r="E29" i="23"/>
  <c r="L30" i="10"/>
  <c r="L27" i="10"/>
  <c r="L31" i="10" s="1"/>
  <c r="E30" i="10"/>
  <c r="E27" i="10"/>
  <c r="E31" i="10" s="1"/>
  <c r="J38" i="10"/>
  <c r="J23" i="10"/>
  <c r="I38" i="10"/>
  <c r="F30" i="10"/>
  <c r="F27" i="10"/>
  <c r="F31" i="10" s="1"/>
  <c r="R30" i="10"/>
  <c r="R27" i="10"/>
  <c r="R31" i="10" s="1"/>
  <c r="E26" i="20"/>
  <c r="D30" i="20"/>
  <c r="C30" i="10"/>
  <c r="C27" i="10"/>
  <c r="C31" i="10" s="1"/>
  <c r="K31" i="10"/>
  <c r="H30" i="10"/>
  <c r="H27" i="10"/>
  <c r="H31" i="10" s="1"/>
  <c r="E8" i="11"/>
  <c r="E23" i="11" s="1"/>
  <c r="F26" i="11"/>
  <c r="L21" i="22"/>
  <c r="M21" i="22" s="1"/>
  <c r="M19" i="22"/>
  <c r="H30" i="25"/>
  <c r="E43" i="20"/>
  <c r="E57" i="20"/>
  <c r="P21" i="22"/>
  <c r="N27" i="22"/>
  <c r="P27" i="22" s="1"/>
  <c r="D21" i="6"/>
  <c r="D30" i="10"/>
  <c r="J27" i="10" l="1"/>
  <c r="J31" i="10" s="1"/>
  <c r="J30" i="10"/>
  <c r="L27" i="22"/>
  <c r="M27" i="22" s="1"/>
  <c r="I27" i="22"/>
  <c r="J27" i="22" s="1"/>
  <c r="J21" i="22"/>
  <c r="E26" i="11"/>
  <c r="D8" i="11"/>
  <c r="D23" i="11" s="1"/>
  <c r="T30" i="10"/>
  <c r="T38" i="10"/>
  <c r="T31" i="10"/>
  <c r="D34" i="20"/>
  <c r="E30" i="20"/>
  <c r="D56" i="20"/>
  <c r="E58" i="20" s="1"/>
  <c r="C8" i="11" l="1"/>
  <c r="C23" i="11" s="1"/>
  <c r="D26" i="11"/>
  <c r="C26" i="11" l="1"/>
  <c r="B8" i="11"/>
  <c r="B23" i="11" s="1"/>
  <c r="B26" i="11" s="1"/>
</calcChain>
</file>

<file path=xl/sharedStrings.xml><?xml version="1.0" encoding="utf-8"?>
<sst xmlns="http://schemas.openxmlformats.org/spreadsheetml/2006/main" count="982" uniqueCount="294">
  <si>
    <t>Annual</t>
  </si>
  <si>
    <t>Fourth</t>
  </si>
  <si>
    <t>Second</t>
  </si>
  <si>
    <t>First</t>
  </si>
  <si>
    <t>Third</t>
  </si>
  <si>
    <t>Quarter</t>
  </si>
  <si>
    <t>Noninterest income/revenues</t>
  </si>
  <si>
    <t>Noninterest expenses/revenues</t>
  </si>
  <si>
    <t>Nonperforming assets to loans</t>
  </si>
  <si>
    <t>Total risk element to loans</t>
  </si>
  <si>
    <t>Allowance for credit losses to loans</t>
  </si>
  <si>
    <t>Allowance for credit losses to</t>
  </si>
  <si>
    <t>nonperforming loans</t>
  </si>
  <si>
    <t>Total</t>
  </si>
  <si>
    <t>Average</t>
  </si>
  <si>
    <t>For Year</t>
  </si>
  <si>
    <t>Loans</t>
  </si>
  <si>
    <t>Earning assets</t>
  </si>
  <si>
    <t>Intangible assets</t>
  </si>
  <si>
    <t>Total assets</t>
  </si>
  <si>
    <t>Deposits</t>
  </si>
  <si>
    <t>Long-term debt (excluding FHLB)</t>
  </si>
  <si>
    <t>(dollars in thousands)</t>
  </si>
  <si>
    <t>Total shareholders' equity</t>
  </si>
  <si>
    <t>QUARTER-END INFORMATION</t>
  </si>
  <si>
    <t>Number of shares outstanding</t>
  </si>
  <si>
    <t>QUARTER-END CAPITAL RATIO</t>
  </si>
  <si>
    <t>Tier one capital/Risk adjusted assets</t>
  </si>
  <si>
    <t>Total capital/Risk adjusted assets</t>
  </si>
  <si>
    <t>Leverage  ratio</t>
  </si>
  <si>
    <t>(in thousands)</t>
  </si>
  <si>
    <t>ASSETS</t>
  </si>
  <si>
    <t>Total earning assets</t>
  </si>
  <si>
    <t>Cash and due from banks</t>
  </si>
  <si>
    <t>Earning Assets:</t>
  </si>
  <si>
    <t>CONDENSED CONSOLIDATED QUARTERLY AVERAGE</t>
  </si>
  <si>
    <t>STATEMENTS OF CONDITION</t>
  </si>
  <si>
    <t>Federal funds sold and other</t>
  </si>
  <si>
    <t>Taxable investment securities</t>
  </si>
  <si>
    <t>TOTAL ASSETS</t>
  </si>
  <si>
    <t>Net charge-offs/Average loans</t>
  </si>
  <si>
    <t>LIABILITIES AND EQUITY</t>
  </si>
  <si>
    <t>Interest-bearing liabilities:</t>
  </si>
  <si>
    <t>Deposits less than $100,000:</t>
  </si>
  <si>
    <t>Time deposits</t>
  </si>
  <si>
    <t>Short-term borrowings</t>
  </si>
  <si>
    <t>Long-term debt, other</t>
  </si>
  <si>
    <t>Total interest-bearing liabilities</t>
  </si>
  <si>
    <t>Noninterest-bearing deposits</t>
  </si>
  <si>
    <t>Other liabilities</t>
  </si>
  <si>
    <t>TOTAL LIABILITIES</t>
  </si>
  <si>
    <t>Shareholders'equity</t>
  </si>
  <si>
    <t>TOTAL LIABILITIES AND</t>
  </si>
  <si>
    <t>SHAREHOLDERS' EQUITY</t>
  </si>
  <si>
    <t>Shareholders' equity</t>
  </si>
  <si>
    <t>Interest income</t>
  </si>
  <si>
    <t>Net interest income</t>
  </si>
  <si>
    <t>Provision for credit losses</t>
  </si>
  <si>
    <t>Net interest income after provision</t>
  </si>
  <si>
    <t>Noninterest income</t>
  </si>
  <si>
    <t>Security transactions</t>
  </si>
  <si>
    <t>Noninterest expense</t>
  </si>
  <si>
    <t>Income before income taxes</t>
  </si>
  <si>
    <t>Tax equivalent adjustment</t>
  </si>
  <si>
    <t>Total noninterest Income</t>
  </si>
  <si>
    <t>Noninterest income to average assets*</t>
  </si>
  <si>
    <t xml:space="preserve">*Annualized  </t>
  </si>
  <si>
    <t>ANALYSIS OF NONINTEREST EXPENSE</t>
  </si>
  <si>
    <t>Salaries expense</t>
  </si>
  <si>
    <t>Employee benefits</t>
  </si>
  <si>
    <t>Occupancy expense</t>
  </si>
  <si>
    <t>Other expense</t>
  </si>
  <si>
    <t>Total noninterest expense</t>
  </si>
  <si>
    <t>Noninterest expense to average assets</t>
  </si>
  <si>
    <t>Noninterest expense to revenues</t>
  </si>
  <si>
    <t>Change</t>
  </si>
  <si>
    <t>Rate</t>
  </si>
  <si>
    <t>Amount</t>
  </si>
  <si>
    <t>Consumer</t>
  </si>
  <si>
    <t>Investments</t>
  </si>
  <si>
    <t>Fourth Quarter</t>
  </si>
  <si>
    <t>Interest expense:</t>
  </si>
  <si>
    <t>Interest income:</t>
  </si>
  <si>
    <t>Spread</t>
  </si>
  <si>
    <t>Net interest margin</t>
  </si>
  <si>
    <t>Commercial:</t>
  </si>
  <si>
    <t>Agricultural</t>
  </si>
  <si>
    <t>Consumer:</t>
  </si>
  <si>
    <t>Total Loans</t>
  </si>
  <si>
    <t>Total nonperforming assets</t>
  </si>
  <si>
    <t>Total risk elements</t>
  </si>
  <si>
    <t>Commercial</t>
  </si>
  <si>
    <t>ALLOWANCE FOR CREDIT LOSSES</t>
  </si>
  <si>
    <t>Balance at the beginning of period</t>
  </si>
  <si>
    <t>Loans Charged-off:</t>
  </si>
  <si>
    <t>Total loans charged-off</t>
  </si>
  <si>
    <t>Recoveries:</t>
  </si>
  <si>
    <t>Total recoveries</t>
  </si>
  <si>
    <t>Net loans charged-off</t>
  </si>
  <si>
    <t>Balance at the end of period</t>
  </si>
  <si>
    <t>MARKET PRICES AND DIVIDENDS DECLARED</t>
  </si>
  <si>
    <t>Mortgage loans sold</t>
  </si>
  <si>
    <t>End of period mortgages serviced for others</t>
  </si>
  <si>
    <t>High</t>
  </si>
  <si>
    <t>Low</t>
  </si>
  <si>
    <t>Declared</t>
  </si>
  <si>
    <t>Dividends</t>
  </si>
  <si>
    <t>I</t>
  </si>
  <si>
    <t>II</t>
  </si>
  <si>
    <t>III</t>
  </si>
  <si>
    <t>IV</t>
  </si>
  <si>
    <t>RISK ELEMENTS ANALYSIS</t>
  </si>
  <si>
    <t>PER SHARE STATISTICS</t>
  </si>
  <si>
    <t>SELECTED FINANCIAL DATA</t>
  </si>
  <si>
    <t>Earnings per share-diluted</t>
  </si>
  <si>
    <t>N/A</t>
  </si>
  <si>
    <t>Return on average assets  (1)</t>
  </si>
  <si>
    <t>Return on average common equity  (1)</t>
  </si>
  <si>
    <t>Net Interest margin on a tax equiv. Basis  (1)</t>
  </si>
  <si>
    <t>Provision for credit losses/Average loans  (1)</t>
  </si>
  <si>
    <t>(1) Quarterly ratios annualized</t>
  </si>
  <si>
    <t>Equity to assets(averages)</t>
  </si>
  <si>
    <t>Loans and leases</t>
  </si>
  <si>
    <t>Other assets</t>
  </si>
  <si>
    <t>Exempt investment securities</t>
  </si>
  <si>
    <t>Savings and NOW</t>
  </si>
  <si>
    <t>GROWTH AVERAGE BALANCE (1)</t>
  </si>
  <si>
    <t>Credit card fees</t>
  </si>
  <si>
    <t>Mortgage servicing fees</t>
  </si>
  <si>
    <t>Trust fees</t>
  </si>
  <si>
    <t>Other fees</t>
  </si>
  <si>
    <t>Other gains(losses)</t>
  </si>
  <si>
    <t>Other income</t>
  </si>
  <si>
    <t>Equipment expenses</t>
  </si>
  <si>
    <t>Professional fees</t>
  </si>
  <si>
    <t>EDP Servicing expense</t>
  </si>
  <si>
    <t>Communications</t>
  </si>
  <si>
    <t>Business promotion</t>
  </si>
  <si>
    <t>Other taxes</t>
  </si>
  <si>
    <t>Printing and supplies</t>
  </si>
  <si>
    <t>Amortization of intangibles</t>
  </si>
  <si>
    <t xml:space="preserve">   Interest bearing deposits</t>
  </si>
  <si>
    <t>Savings and NOW accounts</t>
  </si>
  <si>
    <t xml:space="preserve">   Other time deposits</t>
  </si>
  <si>
    <t>Middle market</t>
  </si>
  <si>
    <t>SBA</t>
  </si>
  <si>
    <t>Factor liens</t>
  </si>
  <si>
    <t>Other</t>
  </si>
  <si>
    <t>Corporate banking</t>
  </si>
  <si>
    <t xml:space="preserve">    Construction</t>
  </si>
  <si>
    <t>Personal (installment and other loans)</t>
  </si>
  <si>
    <t>Automobile</t>
  </si>
  <si>
    <t>Credit cards</t>
  </si>
  <si>
    <t>Mortgage:</t>
  </si>
  <si>
    <t>Residential</t>
  </si>
  <si>
    <t>Warehousing</t>
  </si>
  <si>
    <t>Mortgage</t>
  </si>
  <si>
    <t>Construction</t>
  </si>
  <si>
    <t>Net loans charged-off to average loans*</t>
  </si>
  <si>
    <t>*Annualized</t>
  </si>
  <si>
    <t>Provision for credit losses to average loans*</t>
  </si>
  <si>
    <t>Dividend payout ratio to common stockholders</t>
  </si>
  <si>
    <t>Allowance for loan losses</t>
  </si>
  <si>
    <t xml:space="preserve"> Allowance for loan losses</t>
  </si>
  <si>
    <t>Gain on sale of mortgage servicing rights</t>
  </si>
  <si>
    <t>NET INTEREST INCOME ANALYSIS (*)</t>
  </si>
  <si>
    <t>NET INTEREST INCOME ANALYSIS(*)</t>
  </si>
  <si>
    <t>(*) On a tax equivalent basis.</t>
  </si>
  <si>
    <t xml:space="preserve">Commercial </t>
  </si>
  <si>
    <t>TOTAL</t>
  </si>
  <si>
    <t>Renegotiated loans - commercial</t>
  </si>
  <si>
    <t>Total non performing loans</t>
  </si>
  <si>
    <t>NON PERFORMING LOANS</t>
  </si>
  <si>
    <t>Nonaccrual loans:</t>
  </si>
  <si>
    <t xml:space="preserve">    Commercial, industrial, construction</t>
  </si>
  <si>
    <t xml:space="preserve">    Agricultural</t>
  </si>
  <si>
    <t xml:space="preserve">    Mortgage</t>
  </si>
  <si>
    <t xml:space="preserve">    Consumer</t>
  </si>
  <si>
    <t xml:space="preserve">    Total nonaccrual loans</t>
  </si>
  <si>
    <r>
      <t>RATIOS</t>
    </r>
    <r>
      <rPr>
        <sz val="10"/>
        <rFont val="Times New Roman"/>
        <family val="1"/>
      </rPr>
      <t>:</t>
    </r>
  </si>
  <si>
    <t>PORTFOLIO BALANCE:</t>
  </si>
  <si>
    <t>Nonperforming assets to period-end loans</t>
  </si>
  <si>
    <t>Total risk elements period-end loans</t>
  </si>
  <si>
    <t xml:space="preserve">Non performing loan by type to the </t>
  </si>
  <si>
    <t xml:space="preserve">  following loan portfolio:</t>
  </si>
  <si>
    <t xml:space="preserve">    Commercial</t>
  </si>
  <si>
    <t>Non performing loans to total loans</t>
  </si>
  <si>
    <t xml:space="preserve">      </t>
  </si>
  <si>
    <t xml:space="preserve">    Mortgage:</t>
  </si>
  <si>
    <t xml:space="preserve">       Commercial  - collateralized with Real Est.    </t>
  </si>
  <si>
    <t xml:space="preserve">       Consumer -  mortgages</t>
  </si>
  <si>
    <t>Second Quarter</t>
  </si>
  <si>
    <t>nonperforming assets</t>
  </si>
  <si>
    <t>Other Ratios:</t>
  </si>
  <si>
    <t>Loan to deposit ratio, average</t>
  </si>
  <si>
    <t>LOAN PORTFOLIO YIELDS</t>
  </si>
  <si>
    <t>Avg Bal</t>
  </si>
  <si>
    <t>Int. Inc.</t>
  </si>
  <si>
    <t>Yield</t>
  </si>
  <si>
    <t>Third Quarter</t>
  </si>
  <si>
    <t>First Quarter</t>
  </si>
  <si>
    <t>Personal</t>
  </si>
  <si>
    <t>ANALYSIS OF NONINTEREST INCOME</t>
  </si>
  <si>
    <t xml:space="preserve">       Residential &amp; Commercial Real Estate </t>
  </si>
  <si>
    <t>Earnings per Share*</t>
  </si>
  <si>
    <t>Securities gains(losses)</t>
  </si>
  <si>
    <t>Earnings per share-basic(2)</t>
  </si>
  <si>
    <t>Average Shares Outstanding*</t>
  </si>
  <si>
    <t>Book Value per Share*</t>
  </si>
  <si>
    <t>SANTANDER BANCORP</t>
  </si>
  <si>
    <t>Efficiency, on a tax equivalent basis</t>
  </si>
  <si>
    <t>Accruing loans past-due 90 days or more to loans</t>
  </si>
  <si>
    <t>Acruing loans past-due 90 days or more</t>
  </si>
  <si>
    <t>MORTGAGE LOAN PRODUCTION</t>
  </si>
  <si>
    <t>Mortgage loans production</t>
  </si>
  <si>
    <t>Repossessed Assets</t>
  </si>
  <si>
    <t>NET INCOME before transition adjustment</t>
  </si>
  <si>
    <t>TRANSITION ADJUSTMENT</t>
  </si>
  <si>
    <t>Closing Bid Price Range*</t>
  </si>
  <si>
    <t>IV(**)</t>
  </si>
  <si>
    <t>(**) Initial Public Offering completed on November 20, 1998.</t>
  </si>
  <si>
    <t>Gain on trading securities</t>
  </si>
  <si>
    <t>PERIOD-END LOAN PORTFOLIO ANALYSIS</t>
  </si>
  <si>
    <t>Interest expense</t>
  </si>
  <si>
    <t>Other mortgage loans sold</t>
  </si>
  <si>
    <t>(Dollars in thousands)</t>
  </si>
  <si>
    <t>Balance</t>
  </si>
  <si>
    <t>Interest</t>
  </si>
  <si>
    <t>Assets</t>
  </si>
  <si>
    <t>Interest earning assets</t>
  </si>
  <si>
    <t>Interest bearing deposits</t>
  </si>
  <si>
    <t>Federal funds sold and securities purchased</t>
  </si>
  <si>
    <t xml:space="preserve">     under agreements to resell</t>
  </si>
  <si>
    <t>Total interest bearing deposits</t>
  </si>
  <si>
    <t>U.S.Treasury securities</t>
  </si>
  <si>
    <t>Obligations of other U.S.government</t>
  </si>
  <si>
    <t xml:space="preserve">     agencies and corporations</t>
  </si>
  <si>
    <t>Obligations of government of Puerto Rico</t>
  </si>
  <si>
    <t xml:space="preserve">     and political subdivisions</t>
  </si>
  <si>
    <t>Collateralized mortgage obligations and</t>
  </si>
  <si>
    <t xml:space="preserve">     mortgage backed securities</t>
  </si>
  <si>
    <t>Total investment Securities</t>
  </si>
  <si>
    <t>Loans (net of unearned income)</t>
  </si>
  <si>
    <t>Total interest earning assets/ interest income</t>
  </si>
  <si>
    <t>Total non-interest earning assests</t>
  </si>
  <si>
    <t>Liabilities and stockholders' equity</t>
  </si>
  <si>
    <t>Interest bearing liabilities</t>
  </si>
  <si>
    <t>Other time deposits</t>
  </si>
  <si>
    <t>Borrowings</t>
  </si>
  <si>
    <t>Term Notes</t>
  </si>
  <si>
    <t>Subordinated Notes</t>
  </si>
  <si>
    <t>Total interest bearing liabilities/interest expense</t>
  </si>
  <si>
    <t>Total non-interest bearing liabilities</t>
  </si>
  <si>
    <t>Total liabilities</t>
  </si>
  <si>
    <t>Stockholders' Equity</t>
  </si>
  <si>
    <t>Total liabilities and stockholders' equity</t>
  </si>
  <si>
    <t>Cost of funding earning assets</t>
  </si>
  <si>
    <t>YEAR TO DATE AVERAGE BALANCE SHEET AND SUMMARY OF NET INTEREST INCOME</t>
  </si>
  <si>
    <t>Tax Equivalent Basis</t>
  </si>
  <si>
    <t>**</t>
  </si>
  <si>
    <t>** Reclassified to Corporate as of 01/01/02</t>
  </si>
  <si>
    <t>Commissions on loans</t>
  </si>
  <si>
    <t>Unrealized derivatives gains(losses),net*</t>
  </si>
  <si>
    <t>Unrealized securities gains (losses), net*</t>
  </si>
  <si>
    <t>Credit card expenses</t>
  </si>
  <si>
    <t>Software amortization</t>
  </si>
  <si>
    <t>Insurance Expense</t>
  </si>
  <si>
    <t>Deferred loan origination costs</t>
  </si>
  <si>
    <t>Examinations &amp; assessments</t>
  </si>
  <si>
    <t>*After giving retroactive effect to the stock dividends declared on January 11, 2000 and June 17, 2002</t>
  </si>
  <si>
    <t>(2) After retroactive adjustment for the effect of the stock dividends declared on January 11, 2000 and June 17, 2002</t>
  </si>
  <si>
    <t>QUARTERLY AVERAGE BALANCE SHEET AND SUMMARY OF NET INTEREST INCOME</t>
  </si>
  <si>
    <t>Deposits greater than $100,000</t>
  </si>
  <si>
    <t>NET INCOME (LOSS)</t>
  </si>
  <si>
    <t>* year to date</t>
  </si>
  <si>
    <t>Investment portfolio-market to amortized cost</t>
  </si>
  <si>
    <t>Loans and loans held for sale</t>
  </si>
  <si>
    <t>Goodwill and intangible assets(excl.MSRs)</t>
  </si>
  <si>
    <t>(1)_ Compares each period to the same period of the prior year.</t>
  </si>
  <si>
    <t>CONDENSED CONSOLIDATED STATEMENTS OF INCOME-TAX EQUIVALENT BASIS</t>
  </si>
  <si>
    <t>Provision for loan losses</t>
  </si>
  <si>
    <t>Avg Rate</t>
  </si>
  <si>
    <t>(*) Per Common Share data reflect a 10% stock dividend declared on June 17, 2002</t>
  </si>
  <si>
    <t>Provision for loss on Repossessed Assets</t>
  </si>
  <si>
    <t>Mortgage Servicing Rights</t>
  </si>
  <si>
    <t>Gain(loss) on futures contracts</t>
  </si>
  <si>
    <t>Income taxes (expense)benefit</t>
  </si>
  <si>
    <t>Note: 2003 data includes Santander Securities</t>
  </si>
  <si>
    <t>Bank service charges on deposit accounts</t>
  </si>
  <si>
    <t>Broker-dealer, asset mgmt, ins fees</t>
  </si>
  <si>
    <t>Gain on sale of loans</t>
  </si>
  <si>
    <t>*</t>
  </si>
  <si>
    <t>*Readjustment pending</t>
  </si>
  <si>
    <t>*Pending restatement of prior year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</si>
</sst>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-* #,##0.00\ &quot;$&quot;_-;\-* #,##0.00\ &quot;$&quot;_-;_-* &quot;-&quot;??\ &quot;$&quot;_-;_-@_-"/>
    <numFmt numFmtId="167" formatCode="_-* #,##0.00\ _$_-;\-* #,##0.00\ _$_-;_-* &quot;-&quot;??\ _$_-;_-@_-"/>
    <numFmt numFmtId="168" formatCode="_-* #,##0\ _$_-;\-* #,##0\ _$_-;_-* &quot;-&quot;??\ _$_-;_-@_-"/>
    <numFmt numFmtId="169" formatCode="_(&quot;$&quot;* #,##0_);_(&quot;$&quot;* \(#,##0\);_(&quot;$&quot;* &quot;-&quot;??_);_(@_)"/>
    <numFmt numFmtId="170" formatCode="_-* #,##0.0000\ _$_-;\-* #,##0.0000\ _$_-;_-* &quot;-&quot;??\ _$_-;_-@_-"/>
    <numFmt numFmtId="172" formatCode="&quot;$&quot;#,##0"/>
    <numFmt numFmtId="173" formatCode="_(* #,##0.0000_);_(* \(#,##0.0000\);_(* &quot;-&quot;??_);_(@_)"/>
    <numFmt numFmtId="174" formatCode="0.00_)"/>
    <numFmt numFmtId="175" formatCode="m/d/yy\ h:mm\ AM/PM"/>
    <numFmt numFmtId="176" formatCode="mmmm\ d\,\ yyyy"/>
    <numFmt numFmtId="177" formatCode="_(* #,##0_);_(* \(#,##0\);_(* &quot;-&quot;??_);_(@_)"/>
    <numFmt numFmtId="184" formatCode="_(* #,##0.000_);_(* \(#,##0.00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1"/>
      <name val="Times New Roman"/>
      <family val="1"/>
    </font>
    <font>
      <b/>
      <sz val="10"/>
      <name val="MS Sans Serif"/>
    </font>
    <font>
      <sz val="8"/>
      <name val="Arial"/>
      <family val="2"/>
    </font>
    <font>
      <b/>
      <i/>
      <sz val="16"/>
      <name val="Helv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9">
    <xf numFmtId="0" fontId="0" fillId="0" borderId="0"/>
    <xf numFmtId="5" fontId="7" fillId="0" borderId="1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38" fontId="8" fillId="2" borderId="0" applyNumberFormat="0" applyBorder="0" applyAlignment="0" applyProtection="0"/>
    <xf numFmtId="10" fontId="8" fillId="3" borderId="2" applyNumberFormat="0" applyBorder="0" applyAlignment="0" applyProtection="0"/>
    <xf numFmtId="174" fontId="9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409">
    <xf numFmtId="0" fontId="0" fillId="0" borderId="0" xfId="0"/>
    <xf numFmtId="0" fontId="3" fillId="0" borderId="0" xfId="0" applyFont="1"/>
    <xf numFmtId="0" fontId="3" fillId="0" borderId="3" xfId="0" applyFont="1" applyBorder="1"/>
    <xf numFmtId="0" fontId="4" fillId="0" borderId="4" xfId="0" applyFont="1" applyBorder="1"/>
    <xf numFmtId="0" fontId="4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5" fillId="0" borderId="0" xfId="0" applyFont="1"/>
    <xf numFmtId="0" fontId="3" fillId="0" borderId="0" xfId="0" applyFont="1" applyBorder="1"/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 applyAlignment="1">
      <alignment horizontal="left" indent="1"/>
    </xf>
    <xf numFmtId="0" fontId="3" fillId="0" borderId="10" xfId="0" applyFont="1" applyBorder="1"/>
    <xf numFmtId="0" fontId="6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centerContinuous"/>
    </xf>
    <xf numFmtId="10" fontId="3" fillId="0" borderId="0" xfId="7" applyNumberFormat="1" applyFont="1"/>
    <xf numFmtId="10" fontId="3" fillId="0" borderId="9" xfId="7" applyNumberFormat="1" applyFont="1" applyBorder="1"/>
    <xf numFmtId="167" fontId="3" fillId="0" borderId="0" xfId="2" applyFont="1"/>
    <xf numFmtId="167" fontId="3" fillId="0" borderId="9" xfId="2" applyFont="1" applyBorder="1"/>
    <xf numFmtId="42" fontId="3" fillId="0" borderId="0" xfId="0" applyNumberFormat="1" applyFont="1"/>
    <xf numFmtId="42" fontId="3" fillId="0" borderId="3" xfId="0" applyNumberFormat="1" applyFont="1" applyBorder="1"/>
    <xf numFmtId="41" fontId="3" fillId="0" borderId="0" xfId="0" applyNumberFormat="1" applyFont="1"/>
    <xf numFmtId="41" fontId="3" fillId="0" borderId="9" xfId="0" applyNumberFormat="1" applyFont="1" applyBorder="1"/>
    <xf numFmtId="10" fontId="3" fillId="0" borderId="9" xfId="0" applyNumberFormat="1" applyFont="1" applyBorder="1"/>
    <xf numFmtId="42" fontId="3" fillId="0" borderId="0" xfId="0" applyNumberFormat="1" applyFont="1" applyBorder="1"/>
    <xf numFmtId="42" fontId="3" fillId="0" borderId="9" xfId="0" applyNumberFormat="1" applyFont="1" applyBorder="1"/>
    <xf numFmtId="41" fontId="3" fillId="0" borderId="0" xfId="0" applyNumberFormat="1" applyFont="1" applyBorder="1"/>
    <xf numFmtId="41" fontId="3" fillId="0" borderId="4" xfId="0" applyNumberFormat="1" applyFont="1" applyBorder="1"/>
    <xf numFmtId="41" fontId="3" fillId="0" borderId="6" xfId="0" applyNumberFormat="1" applyFont="1" applyBorder="1"/>
    <xf numFmtId="42" fontId="3" fillId="0" borderId="10" xfId="0" applyNumberFormat="1" applyFont="1" applyBorder="1"/>
    <xf numFmtId="42" fontId="3" fillId="0" borderId="11" xfId="0" applyNumberFormat="1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Fill="1"/>
    <xf numFmtId="41" fontId="3" fillId="0" borderId="9" xfId="0" applyNumberFormat="1" applyFont="1" applyFill="1" applyBorder="1"/>
    <xf numFmtId="10" fontId="3" fillId="0" borderId="12" xfId="7" applyNumberFormat="1" applyFont="1" applyBorder="1"/>
    <xf numFmtId="0" fontId="3" fillId="0" borderId="1" xfId="0" applyFont="1" applyBorder="1" applyAlignment="1">
      <alignment horizontal="center"/>
    </xf>
    <xf numFmtId="10" fontId="3" fillId="0" borderId="7" xfId="7" applyNumberFormat="1" applyFont="1" applyBorder="1"/>
    <xf numFmtId="41" fontId="3" fillId="0" borderId="4" xfId="2" applyNumberFormat="1" applyFont="1" applyBorder="1"/>
    <xf numFmtId="0" fontId="3" fillId="0" borderId="0" xfId="0" applyFont="1" applyBorder="1" applyAlignment="1">
      <alignment horizontal="center"/>
    </xf>
    <xf numFmtId="167" fontId="3" fillId="0" borderId="7" xfId="2" applyFont="1" applyBorder="1"/>
    <xf numFmtId="172" fontId="3" fillId="0" borderId="0" xfId="3" applyNumberFormat="1" applyFont="1"/>
    <xf numFmtId="168" fontId="3" fillId="0" borderId="0" xfId="2" applyNumberFormat="1" applyFont="1" applyAlignment="1">
      <alignment horizontal="right" vertical="justify"/>
    </xf>
    <xf numFmtId="168" fontId="3" fillId="0" borderId="4" xfId="2" applyNumberFormat="1" applyFont="1" applyBorder="1" applyAlignment="1">
      <alignment horizontal="right" vertical="justify"/>
    </xf>
    <xf numFmtId="172" fontId="3" fillId="0" borderId="13" xfId="3" applyNumberFormat="1" applyFont="1" applyBorder="1"/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4" xfId="0" applyFont="1" applyBorder="1"/>
    <xf numFmtId="0" fontId="3" fillId="0" borderId="0" xfId="0" applyFont="1" applyAlignment="1">
      <alignment horizontal="right" vertical="justify"/>
    </xf>
    <xf numFmtId="0" fontId="3" fillId="0" borderId="14" xfId="0" applyFont="1" applyBorder="1" applyAlignment="1">
      <alignment horizontal="right" vertical="justify"/>
    </xf>
    <xf numFmtId="168" fontId="4" fillId="0" borderId="0" xfId="2" applyNumberFormat="1" applyFont="1" applyBorder="1" applyAlignment="1">
      <alignment horizontal="right" vertical="justify"/>
    </xf>
    <xf numFmtId="168" fontId="4" fillId="0" borderId="15" xfId="2" applyNumberFormat="1" applyFont="1" applyBorder="1" applyAlignment="1">
      <alignment horizontal="right" vertical="justify"/>
    </xf>
    <xf numFmtId="41" fontId="4" fillId="0" borderId="1" xfId="0" applyNumberFormat="1" applyFont="1" applyBorder="1"/>
    <xf numFmtId="41" fontId="4" fillId="0" borderId="3" xfId="0" applyNumberFormat="1" applyFont="1" applyBorder="1"/>
    <xf numFmtId="172" fontId="4" fillId="0" borderId="13" xfId="3" applyNumberFormat="1" applyFont="1" applyBorder="1" applyProtection="1">
      <protection locked="0"/>
    </xf>
    <xf numFmtId="172" fontId="4" fillId="0" borderId="0" xfId="3" applyNumberFormat="1" applyFont="1" applyBorder="1" applyProtection="1">
      <protection locked="0"/>
    </xf>
    <xf numFmtId="10" fontId="3" fillId="0" borderId="0" xfId="7" applyNumberFormat="1" applyFont="1" applyBorder="1"/>
    <xf numFmtId="10" fontId="3" fillId="0" borderId="0" xfId="0" applyNumberFormat="1" applyFont="1" applyBorder="1"/>
    <xf numFmtId="0" fontId="0" fillId="0" borderId="0" xfId="0" applyFill="1"/>
    <xf numFmtId="10" fontId="3" fillId="0" borderId="0" xfId="7" applyNumberFormat="1" applyFont="1" applyFill="1"/>
    <xf numFmtId="10" fontId="3" fillId="0" borderId="0" xfId="0" applyNumberFormat="1" applyFont="1" applyFill="1"/>
    <xf numFmtId="42" fontId="3" fillId="0" borderId="0" xfId="0" applyNumberFormat="1" applyFont="1" applyFill="1"/>
    <xf numFmtId="42" fontId="3" fillId="0" borderId="0" xfId="3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42" fontId="3" fillId="0" borderId="5" xfId="3" applyNumberFormat="1" applyFont="1" applyBorder="1" applyAlignment="1">
      <alignment horizontal="left"/>
    </xf>
    <xf numFmtId="170" fontId="3" fillId="0" borderId="0" xfId="2" applyNumberFormat="1" applyFont="1"/>
    <xf numFmtId="170" fontId="3" fillId="0" borderId="0" xfId="2" applyNumberFormat="1" applyFont="1" applyAlignment="1">
      <alignment horizontal="center"/>
    </xf>
    <xf numFmtId="10" fontId="3" fillId="0" borderId="10" xfId="7" applyNumberFormat="1" applyFont="1" applyBorder="1"/>
    <xf numFmtId="10" fontId="3" fillId="0" borderId="0" xfId="7" applyNumberFormat="1" applyFont="1" applyFill="1" applyBorder="1"/>
    <xf numFmtId="168" fontId="4" fillId="0" borderId="9" xfId="2" applyNumberFormat="1" applyFont="1" applyBorder="1" applyAlignment="1">
      <alignment horizontal="right" vertical="justify"/>
    </xf>
    <xf numFmtId="0" fontId="3" fillId="0" borderId="9" xfId="0" applyFont="1" applyBorder="1" applyAlignment="1">
      <alignment horizontal="right" vertical="justify"/>
    </xf>
    <xf numFmtId="41" fontId="3" fillId="0" borderId="6" xfId="2" applyNumberFormat="1" applyFont="1" applyBorder="1"/>
    <xf numFmtId="172" fontId="4" fillId="0" borderId="17" xfId="3" applyNumberFormat="1" applyFont="1" applyBorder="1" applyProtection="1">
      <protection locked="0"/>
    </xf>
    <xf numFmtId="172" fontId="4" fillId="0" borderId="9" xfId="3" applyNumberFormat="1" applyFont="1" applyBorder="1" applyProtection="1">
      <protection locked="0"/>
    </xf>
    <xf numFmtId="172" fontId="3" fillId="0" borderId="9" xfId="3" applyNumberFormat="1" applyFont="1" applyBorder="1"/>
    <xf numFmtId="168" fontId="3" fillId="0" borderId="9" xfId="2" applyNumberFormat="1" applyFont="1" applyBorder="1" applyAlignment="1">
      <alignment horizontal="right" vertical="justify"/>
    </xf>
    <xf numFmtId="168" fontId="3" fillId="0" borderId="6" xfId="2" applyNumberFormat="1" applyFont="1" applyBorder="1" applyAlignment="1">
      <alignment horizontal="right" vertical="justify"/>
    </xf>
    <xf numFmtId="172" fontId="3" fillId="0" borderId="17" xfId="3" applyNumberFormat="1" applyFont="1" applyBorder="1"/>
    <xf numFmtId="172" fontId="4" fillId="0" borderId="18" xfId="3" applyNumberFormat="1" applyFont="1" applyBorder="1" applyProtection="1">
      <protection locked="0"/>
    </xf>
    <xf numFmtId="41" fontId="3" fillId="0" borderId="7" xfId="0" applyNumberFormat="1" applyFont="1" applyFill="1" applyBorder="1"/>
    <xf numFmtId="41" fontId="3" fillId="0" borderId="0" xfId="0" applyNumberFormat="1" applyFont="1" applyFill="1" applyAlignment="1">
      <alignment horizontal="center"/>
    </xf>
    <xf numFmtId="10" fontId="3" fillId="0" borderId="19" xfId="7" applyNumberFormat="1" applyFont="1" applyFill="1" applyBorder="1"/>
    <xf numFmtId="42" fontId="3" fillId="0" borderId="0" xfId="0" applyNumberFormat="1" applyFont="1" applyFill="1" applyBorder="1"/>
    <xf numFmtId="37" fontId="3" fillId="0" borderId="0" xfId="0" applyNumberFormat="1" applyFont="1" applyFill="1" applyBorder="1"/>
    <xf numFmtId="41" fontId="3" fillId="0" borderId="0" xfId="0" applyNumberFormat="1" applyFont="1" applyFill="1" applyBorder="1"/>
    <xf numFmtId="41" fontId="3" fillId="0" borderId="4" xfId="0" applyNumberFormat="1" applyFont="1" applyFill="1" applyBorder="1"/>
    <xf numFmtId="42" fontId="3" fillId="0" borderId="10" xfId="0" applyNumberFormat="1" applyFont="1" applyFill="1" applyBorder="1"/>
    <xf numFmtId="41" fontId="3" fillId="0" borderId="1" xfId="0" applyNumberFormat="1" applyFont="1" applyFill="1" applyBorder="1"/>
    <xf numFmtId="42" fontId="3" fillId="0" borderId="5" xfId="0" applyNumberFormat="1" applyFont="1" applyFill="1" applyBorder="1"/>
    <xf numFmtId="10" fontId="3" fillId="0" borderId="5" xfId="7" applyNumberFormat="1" applyFont="1" applyFill="1" applyBorder="1"/>
    <xf numFmtId="10" fontId="4" fillId="0" borderId="12" xfId="7" applyNumberFormat="1" applyFont="1" applyFill="1" applyBorder="1"/>
    <xf numFmtId="10" fontId="3" fillId="0" borderId="12" xfId="7" applyNumberFormat="1" applyFont="1" applyFill="1" applyBorder="1"/>
    <xf numFmtId="10" fontId="3" fillId="0" borderId="5" xfId="7" applyNumberFormat="1" applyFont="1" applyFill="1" applyBorder="1" applyAlignment="1"/>
    <xf numFmtId="42" fontId="3" fillId="0" borderId="0" xfId="3" applyNumberFormat="1" applyFont="1" applyFill="1" applyBorder="1" applyAlignment="1">
      <alignment horizontal="center"/>
    </xf>
    <xf numFmtId="44" fontId="3" fillId="0" borderId="9" xfId="3" applyNumberFormat="1" applyFont="1" applyFill="1" applyBorder="1"/>
    <xf numFmtId="44" fontId="3" fillId="0" borderId="0" xfId="3" applyNumberFormat="1" applyFont="1" applyFill="1"/>
    <xf numFmtId="10" fontId="3" fillId="0" borderId="9" xfId="7" applyNumberFormat="1" applyFont="1" applyFill="1" applyBorder="1"/>
    <xf numFmtId="167" fontId="3" fillId="0" borderId="9" xfId="2" applyFont="1" applyFill="1" applyBorder="1"/>
    <xf numFmtId="169" fontId="3" fillId="0" borderId="0" xfId="0" applyNumberFormat="1" applyFont="1" applyFill="1"/>
    <xf numFmtId="37" fontId="3" fillId="0" borderId="0" xfId="2" applyNumberFormat="1" applyFont="1" applyFill="1"/>
    <xf numFmtId="0" fontId="3" fillId="0" borderId="0" xfId="0" applyFont="1" applyFill="1" applyBorder="1"/>
    <xf numFmtId="41" fontId="3" fillId="0" borderId="3" xfId="0" applyNumberFormat="1" applyFont="1" applyFill="1" applyBorder="1"/>
    <xf numFmtId="41" fontId="3" fillId="0" borderId="6" xfId="0" applyNumberFormat="1" applyFont="1" applyFill="1" applyBorder="1"/>
    <xf numFmtId="0" fontId="3" fillId="0" borderId="0" xfId="0" applyFont="1" applyFill="1"/>
    <xf numFmtId="42" fontId="3" fillId="0" borderId="11" xfId="0" applyNumberFormat="1" applyFont="1" applyFill="1" applyBorder="1"/>
    <xf numFmtId="42" fontId="3" fillId="0" borderId="3" xfId="0" applyNumberFormat="1" applyFont="1" applyFill="1" applyBorder="1"/>
    <xf numFmtId="42" fontId="4" fillId="0" borderId="11" xfId="0" applyNumberFormat="1" applyFont="1" applyFill="1" applyBorder="1"/>
    <xf numFmtId="42" fontId="4" fillId="0" borderId="10" xfId="0" applyNumberFormat="1" applyFont="1" applyFill="1" applyBorder="1"/>
    <xf numFmtId="10" fontId="4" fillId="0" borderId="20" xfId="7" applyNumberFormat="1" applyFont="1" applyFill="1" applyBorder="1"/>
    <xf numFmtId="10" fontId="3" fillId="0" borderId="7" xfId="7" applyNumberFormat="1" applyFont="1" applyFill="1" applyBorder="1"/>
    <xf numFmtId="42" fontId="3" fillId="0" borderId="7" xfId="0" applyNumberFormat="1" applyFont="1" applyFill="1" applyBorder="1"/>
    <xf numFmtId="0" fontId="3" fillId="0" borderId="7" xfId="0" applyFont="1" applyFill="1" applyBorder="1"/>
    <xf numFmtId="0" fontId="3" fillId="0" borderId="10" xfId="0" applyFont="1" applyFill="1" applyBorder="1"/>
    <xf numFmtId="10" fontId="3" fillId="0" borderId="10" xfId="0" applyNumberFormat="1" applyFont="1" applyFill="1" applyBorder="1"/>
    <xf numFmtId="0" fontId="3" fillId="0" borderId="5" xfId="0" applyFont="1" applyFill="1" applyBorder="1"/>
    <xf numFmtId="167" fontId="3" fillId="0" borderId="17" xfId="7" applyNumberFormat="1" applyFont="1" applyFill="1" applyBorder="1"/>
    <xf numFmtId="41" fontId="3" fillId="0" borderId="0" xfId="0" applyNumberFormat="1" applyFont="1" applyFill="1" applyAlignment="1">
      <alignment horizontal="left" indent="1"/>
    </xf>
    <xf numFmtId="10" fontId="3" fillId="0" borderId="10" xfId="7" applyNumberFormat="1" applyFont="1" applyFill="1" applyBorder="1"/>
    <xf numFmtId="10" fontId="3" fillId="0" borderId="13" xfId="7" applyNumberFormat="1" applyFont="1" applyFill="1" applyBorder="1"/>
    <xf numFmtId="41" fontId="3" fillId="0" borderId="0" xfId="2" applyNumberFormat="1" applyFont="1" applyBorder="1" applyAlignment="1"/>
    <xf numFmtId="0" fontId="3" fillId="0" borderId="9" xfId="0" applyFont="1" applyFill="1" applyBorder="1"/>
    <xf numFmtId="0" fontId="4" fillId="0" borderId="9" xfId="0" applyFont="1" applyBorder="1"/>
    <xf numFmtId="42" fontId="3" fillId="0" borderId="9" xfId="0" applyNumberFormat="1" applyFont="1" applyFill="1" applyBorder="1"/>
    <xf numFmtId="41" fontId="4" fillId="0" borderId="3" xfId="0" applyNumberFormat="1" applyFont="1" applyFill="1" applyBorder="1"/>
    <xf numFmtId="168" fontId="4" fillId="0" borderId="9" xfId="2" applyNumberFormat="1" applyFont="1" applyFill="1" applyBorder="1" applyAlignment="1">
      <alignment horizontal="right" vertical="justify"/>
    </xf>
    <xf numFmtId="0" fontId="3" fillId="0" borderId="9" xfId="0" applyFont="1" applyFill="1" applyBorder="1" applyAlignment="1">
      <alignment horizontal="right" vertical="justify"/>
    </xf>
    <xf numFmtId="41" fontId="3" fillId="0" borderId="6" xfId="2" applyNumberFormat="1" applyFont="1" applyFill="1" applyBorder="1"/>
    <xf numFmtId="172" fontId="4" fillId="0" borderId="17" xfId="3" applyNumberFormat="1" applyFont="1" applyFill="1" applyBorder="1" applyProtection="1">
      <protection locked="0"/>
    </xf>
    <xf numFmtId="172" fontId="4" fillId="0" borderId="9" xfId="3" applyNumberFormat="1" applyFont="1" applyFill="1" applyBorder="1" applyProtection="1">
      <protection locked="0"/>
    </xf>
    <xf numFmtId="172" fontId="3" fillId="0" borderId="9" xfId="3" applyNumberFormat="1" applyFont="1" applyFill="1" applyBorder="1"/>
    <xf numFmtId="168" fontId="3" fillId="0" borderId="9" xfId="2" applyNumberFormat="1" applyFont="1" applyFill="1" applyBorder="1" applyAlignment="1">
      <alignment horizontal="right" vertical="justify"/>
    </xf>
    <xf numFmtId="168" fontId="3" fillId="0" borderId="6" xfId="2" applyNumberFormat="1" applyFont="1" applyFill="1" applyBorder="1" applyAlignment="1">
      <alignment horizontal="right" vertical="justify"/>
    </xf>
    <xf numFmtId="172" fontId="3" fillId="0" borderId="17" xfId="3" applyNumberFormat="1" applyFont="1" applyFill="1" applyBorder="1"/>
    <xf numFmtId="41" fontId="3" fillId="0" borderId="8" xfId="0" applyNumberFormat="1" applyFont="1" applyFill="1" applyBorder="1"/>
    <xf numFmtId="41" fontId="3" fillId="0" borderId="9" xfId="0" applyNumberFormat="1" applyFont="1" applyFill="1" applyBorder="1" applyAlignment="1">
      <alignment horizontal="left" indent="1"/>
    </xf>
    <xf numFmtId="42" fontId="3" fillId="0" borderId="8" xfId="0" applyNumberFormat="1" applyFont="1" applyFill="1" applyBorder="1"/>
    <xf numFmtId="10" fontId="3" fillId="0" borderId="21" xfId="7" applyNumberFormat="1" applyFont="1" applyFill="1" applyBorder="1" applyAlignment="1"/>
    <xf numFmtId="42" fontId="3" fillId="0" borderId="9" xfId="3" applyNumberFormat="1" applyFont="1" applyFill="1" applyBorder="1" applyAlignment="1">
      <alignment horizontal="center"/>
    </xf>
    <xf numFmtId="42" fontId="3" fillId="0" borderId="21" xfId="3" applyNumberFormat="1" applyFont="1" applyBorder="1" applyAlignment="1">
      <alignment horizontal="left"/>
    </xf>
    <xf numFmtId="0" fontId="3" fillId="0" borderId="14" xfId="0" applyFont="1" applyBorder="1" applyAlignment="1"/>
    <xf numFmtId="0" fontId="4" fillId="0" borderId="14" xfId="0" applyFont="1" applyBorder="1"/>
    <xf numFmtId="0" fontId="3" fillId="0" borderId="16" xfId="0" applyFont="1" applyBorder="1"/>
    <xf numFmtId="0" fontId="3" fillId="0" borderId="22" xfId="0" applyFont="1" applyBorder="1"/>
    <xf numFmtId="42" fontId="3" fillId="0" borderId="1" xfId="0" applyNumberFormat="1" applyFont="1" applyFill="1" applyBorder="1"/>
    <xf numFmtId="0" fontId="3" fillId="0" borderId="15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0" xfId="0" applyFont="1" applyFill="1"/>
    <xf numFmtId="0" fontId="4" fillId="0" borderId="7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0" borderId="0" xfId="0" applyFont="1" applyFill="1" applyAlignment="1">
      <alignment horizontal="left" indent="1"/>
    </xf>
    <xf numFmtId="0" fontId="3" fillId="0" borderId="0" xfId="0" applyFont="1" applyFill="1" applyAlignment="1"/>
    <xf numFmtId="0" fontId="3" fillId="0" borderId="14" xfId="0" applyFont="1" applyFill="1" applyBorder="1"/>
    <xf numFmtId="0" fontId="3" fillId="0" borderId="14" xfId="0" applyFont="1" applyBorder="1" applyAlignment="1">
      <alignment horizontal="left" indent="3"/>
    </xf>
    <xf numFmtId="0" fontId="3" fillId="0" borderId="26" xfId="0" applyFont="1" applyBorder="1"/>
    <xf numFmtId="0" fontId="5" fillId="0" borderId="14" xfId="0" applyFont="1" applyBorder="1"/>
    <xf numFmtId="167" fontId="3" fillId="0" borderId="0" xfId="2" applyFont="1" applyFill="1"/>
    <xf numFmtId="0" fontId="3" fillId="0" borderId="23" xfId="0" applyFont="1" applyBorder="1"/>
    <xf numFmtId="42" fontId="3" fillId="0" borderId="1" xfId="0" applyNumberFormat="1" applyFont="1" applyBorder="1"/>
    <xf numFmtId="42" fontId="3" fillId="0" borderId="15" xfId="0" applyNumberFormat="1" applyFont="1" applyBorder="1"/>
    <xf numFmtId="42" fontId="3" fillId="0" borderId="15" xfId="0" applyNumberFormat="1" applyFont="1" applyFill="1" applyBorder="1"/>
    <xf numFmtId="0" fontId="4" fillId="0" borderId="15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170" fontId="3" fillId="0" borderId="0" xfId="2" applyNumberFormat="1" applyFont="1" applyFill="1"/>
    <xf numFmtId="0" fontId="3" fillId="0" borderId="4" xfId="0" applyFont="1" applyBorder="1" applyAlignment="1">
      <alignment horizontal="left"/>
    </xf>
    <xf numFmtId="167" fontId="3" fillId="0" borderId="4" xfId="2" applyFont="1" applyBorder="1"/>
    <xf numFmtId="167" fontId="3" fillId="0" borderId="0" xfId="2" applyFont="1" applyBorder="1" applyAlignment="1">
      <alignment horizontal="center"/>
    </xf>
    <xf numFmtId="42" fontId="3" fillId="0" borderId="21" xfId="0" applyNumberFormat="1" applyFont="1" applyFill="1" applyBorder="1"/>
    <xf numFmtId="42" fontId="3" fillId="0" borderId="32" xfId="0" applyNumberFormat="1" applyFont="1" applyFill="1" applyBorder="1"/>
    <xf numFmtId="41" fontId="3" fillId="0" borderId="14" xfId="0" applyNumberFormat="1" applyFont="1" applyFill="1" applyBorder="1"/>
    <xf numFmtId="10" fontId="3" fillId="0" borderId="20" xfId="7" applyNumberFormat="1" applyFont="1" applyBorder="1"/>
    <xf numFmtId="169" fontId="3" fillId="0" borderId="9" xfId="0" applyNumberFormat="1" applyFont="1" applyFill="1" applyBorder="1"/>
    <xf numFmtId="37" fontId="3" fillId="0" borderId="9" xfId="2" applyNumberFormat="1" applyFont="1" applyFill="1" applyBorder="1"/>
    <xf numFmtId="0" fontId="4" fillId="0" borderId="8" xfId="0" applyFont="1" applyBorder="1"/>
    <xf numFmtId="37" fontId="3" fillId="0" borderId="9" xfId="0" applyNumberFormat="1" applyFont="1" applyFill="1" applyBorder="1"/>
    <xf numFmtId="0" fontId="4" fillId="0" borderId="6" xfId="0" applyFont="1" applyBorder="1"/>
    <xf numFmtId="0" fontId="3" fillId="0" borderId="9" xfId="0" applyFont="1" applyBorder="1" applyAlignment="1">
      <alignment horizontal="left" indent="1"/>
    </xf>
    <xf numFmtId="10" fontId="3" fillId="0" borderId="21" xfId="7" applyNumberFormat="1" applyFont="1" applyBorder="1"/>
    <xf numFmtId="0" fontId="3" fillId="0" borderId="3" xfId="0" applyFont="1" applyFill="1" applyBorder="1"/>
    <xf numFmtId="0" fontId="3" fillId="0" borderId="11" xfId="0" applyFont="1" applyFill="1" applyBorder="1"/>
    <xf numFmtId="0" fontId="3" fillId="0" borderId="21" xfId="0" applyFont="1" applyFill="1" applyBorder="1"/>
    <xf numFmtId="0" fontId="4" fillId="0" borderId="2" xfId="0" applyFont="1" applyFill="1" applyBorder="1" applyAlignment="1">
      <alignment horizontal="center"/>
    </xf>
    <xf numFmtId="10" fontId="3" fillId="0" borderId="14" xfId="7" applyNumberFormat="1" applyFont="1" applyFill="1" applyBorder="1"/>
    <xf numFmtId="10" fontId="3" fillId="0" borderId="25" xfId="7" applyNumberFormat="1" applyFont="1" applyFill="1" applyBorder="1"/>
    <xf numFmtId="0" fontId="3" fillId="0" borderId="25" xfId="0" applyFont="1" applyFill="1" applyBorder="1"/>
    <xf numFmtId="10" fontId="3" fillId="0" borderId="23" xfId="0" applyNumberFormat="1" applyFont="1" applyFill="1" applyBorder="1"/>
    <xf numFmtId="10" fontId="3" fillId="0" borderId="33" xfId="7" applyNumberFormat="1" applyFont="1" applyFill="1" applyBorder="1"/>
    <xf numFmtId="10" fontId="3" fillId="0" borderId="0" xfId="0" applyNumberFormat="1" applyFont="1" applyFill="1" applyBorder="1"/>
    <xf numFmtId="41" fontId="3" fillId="0" borderId="34" xfId="0" applyNumberFormat="1" applyFont="1" applyFill="1" applyBorder="1"/>
    <xf numFmtId="42" fontId="3" fillId="0" borderId="2" xfId="0" applyNumberFormat="1" applyFont="1" applyFill="1" applyBorder="1"/>
    <xf numFmtId="0" fontId="3" fillId="0" borderId="32" xfId="0" applyFont="1" applyFill="1" applyBorder="1"/>
    <xf numFmtId="0" fontId="3" fillId="0" borderId="35" xfId="0" applyFont="1" applyFill="1" applyBorder="1"/>
    <xf numFmtId="0" fontId="3" fillId="0" borderId="15" xfId="0" applyFont="1" applyFill="1" applyBorder="1"/>
    <xf numFmtId="42" fontId="3" fillId="0" borderId="34" xfId="0" applyNumberFormat="1" applyFont="1" applyFill="1" applyBorder="1"/>
    <xf numFmtId="41" fontId="3" fillId="0" borderId="2" xfId="0" applyNumberFormat="1" applyFont="1" applyFill="1" applyBorder="1"/>
    <xf numFmtId="10" fontId="3" fillId="0" borderId="14" xfId="7" applyNumberFormat="1" applyFont="1" applyBorder="1"/>
    <xf numFmtId="10" fontId="3" fillId="0" borderId="25" xfId="7" applyNumberFormat="1" applyFont="1" applyBorder="1"/>
    <xf numFmtId="41" fontId="3" fillId="0" borderId="14" xfId="0" applyNumberFormat="1" applyFont="1" applyBorder="1"/>
    <xf numFmtId="41" fontId="3" fillId="0" borderId="0" xfId="0" applyNumberFormat="1" applyFont="1" applyFill="1" applyBorder="1" applyAlignment="1">
      <alignment horizontal="center"/>
    </xf>
    <xf numFmtId="10" fontId="3" fillId="0" borderId="23" xfId="7" applyNumberFormat="1" applyFont="1" applyBorder="1"/>
    <xf numFmtId="41" fontId="3" fillId="0" borderId="9" xfId="0" applyNumberFormat="1" applyFont="1" applyFill="1" applyBorder="1" applyAlignment="1">
      <alignment horizontal="center"/>
    </xf>
    <xf numFmtId="41" fontId="3" fillId="0" borderId="0" xfId="0" applyNumberFormat="1" applyFont="1" applyBorder="1" applyAlignment="1">
      <alignment horizontal="center"/>
    </xf>
    <xf numFmtId="41" fontId="3" fillId="0" borderId="9" xfId="0" applyNumberFormat="1" applyFont="1" applyBorder="1" applyAlignment="1">
      <alignment horizontal="center"/>
    </xf>
    <xf numFmtId="42" fontId="3" fillId="0" borderId="14" xfId="0" applyNumberFormat="1" applyFont="1" applyBorder="1"/>
    <xf numFmtId="41" fontId="3" fillId="0" borderId="25" xfId="0" applyNumberFormat="1" applyFont="1" applyBorder="1"/>
    <xf numFmtId="42" fontId="3" fillId="0" borderId="23" xfId="0" applyNumberFormat="1" applyFont="1" applyBorder="1"/>
    <xf numFmtId="168" fontId="3" fillId="0" borderId="4" xfId="2" applyNumberFormat="1" applyFont="1" applyFill="1" applyBorder="1" applyAlignment="1">
      <alignment horizontal="right" vertical="justify"/>
    </xf>
    <xf numFmtId="42" fontId="3" fillId="0" borderId="9" xfId="3" applyNumberFormat="1" applyFont="1" applyBorder="1" applyAlignment="1">
      <alignment horizontal="center"/>
    </xf>
    <xf numFmtId="172" fontId="3" fillId="0" borderId="13" xfId="3" applyNumberFormat="1" applyFont="1" applyFill="1" applyBorder="1"/>
    <xf numFmtId="0" fontId="3" fillId="0" borderId="14" xfId="0" applyFont="1" applyBorder="1" applyAlignment="1">
      <alignment horizontal="left" indent="1"/>
    </xf>
    <xf numFmtId="0" fontId="3" fillId="0" borderId="25" xfId="0" applyFont="1" applyBorder="1"/>
    <xf numFmtId="0" fontId="3" fillId="0" borderId="33" xfId="0" applyFont="1" applyBorder="1"/>
    <xf numFmtId="0" fontId="4" fillId="0" borderId="25" xfId="0" applyFont="1" applyBorder="1"/>
    <xf numFmtId="0" fontId="3" fillId="0" borderId="16" xfId="0" applyFont="1" applyBorder="1" applyAlignment="1">
      <alignment horizontal="left" indent="1"/>
    </xf>
    <xf numFmtId="0" fontId="4" fillId="0" borderId="36" xfId="0" applyFont="1" applyBorder="1"/>
    <xf numFmtId="0" fontId="4" fillId="0" borderId="16" xfId="0" applyFont="1" applyBorder="1"/>
    <xf numFmtId="0" fontId="3" fillId="0" borderId="14" xfId="0" applyFont="1" applyBorder="1" applyAlignment="1">
      <alignment horizontal="left" indent="2"/>
    </xf>
    <xf numFmtId="0" fontId="4" fillId="0" borderId="33" xfId="0" applyFont="1" applyBorder="1" applyAlignment="1">
      <alignment horizontal="left" indent="1"/>
    </xf>
    <xf numFmtId="0" fontId="3" fillId="0" borderId="24" xfId="0" applyFont="1" applyBorder="1"/>
    <xf numFmtId="41" fontId="3" fillId="0" borderId="0" xfId="0" applyNumberFormat="1" applyFont="1" applyFill="1" applyBorder="1" applyAlignment="1">
      <alignment horizontal="left" indent="1"/>
    </xf>
    <xf numFmtId="0" fontId="3" fillId="0" borderId="23" xfId="0" applyFont="1" applyBorder="1" applyAlignment="1">
      <alignment horizontal="left" indent="2"/>
    </xf>
    <xf numFmtId="0" fontId="3" fillId="0" borderId="33" xfId="0" applyFont="1" applyBorder="1" applyAlignment="1">
      <alignment horizontal="left" indent="2"/>
    </xf>
    <xf numFmtId="42" fontId="3" fillId="0" borderId="37" xfId="0" applyNumberFormat="1" applyFont="1" applyFill="1" applyBorder="1"/>
    <xf numFmtId="0" fontId="4" fillId="0" borderId="4" xfId="0" applyFont="1" applyFill="1" applyBorder="1" applyAlignment="1">
      <alignment horizontal="center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1" fillId="0" borderId="0" xfId="0" applyFont="1"/>
    <xf numFmtId="175" fontId="11" fillId="0" borderId="0" xfId="0" applyNumberFormat="1" applyFont="1" applyAlignment="1">
      <alignment horizontal="centerContinuous"/>
    </xf>
    <xf numFmtId="0" fontId="10" fillId="0" borderId="0" xfId="0" applyFont="1"/>
    <xf numFmtId="0" fontId="12" fillId="0" borderId="0" xfId="0" applyFont="1" applyAlignment="1">
      <alignment horizontal="centerContinuous"/>
    </xf>
    <xf numFmtId="0" fontId="11" fillId="0" borderId="28" xfId="0" applyFont="1" applyBorder="1"/>
    <xf numFmtId="0" fontId="11" fillId="0" borderId="4" xfId="0" applyFont="1" applyBorder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42" fontId="11" fillId="0" borderId="0" xfId="0" applyNumberFormat="1" applyFont="1" applyFill="1"/>
    <xf numFmtId="10" fontId="11" fillId="0" borderId="0" xfId="0" applyNumberFormat="1" applyFont="1" applyFill="1"/>
    <xf numFmtId="10" fontId="11" fillId="0" borderId="0" xfId="7" applyNumberFormat="1" applyFont="1" applyFill="1"/>
    <xf numFmtId="0" fontId="11" fillId="0" borderId="0" xfId="0" applyFont="1" applyFill="1"/>
    <xf numFmtId="3" fontId="11" fillId="0" borderId="0" xfId="0" applyNumberFormat="1" applyFont="1" applyFill="1"/>
    <xf numFmtId="41" fontId="11" fillId="0" borderId="0" xfId="0" applyNumberFormat="1" applyFont="1" applyFill="1"/>
    <xf numFmtId="0" fontId="11" fillId="0" borderId="0" xfId="0" applyFont="1" applyAlignment="1">
      <alignment horizontal="center"/>
    </xf>
    <xf numFmtId="177" fontId="11" fillId="0" borderId="7" xfId="2" applyNumberFormat="1" applyFont="1" applyFill="1" applyBorder="1"/>
    <xf numFmtId="10" fontId="11" fillId="0" borderId="7" xfId="7" applyNumberFormat="1" applyFont="1" applyFill="1" applyBorder="1"/>
    <xf numFmtId="38" fontId="11" fillId="0" borderId="7" xfId="0" applyNumberFormat="1" applyFont="1" applyFill="1" applyBorder="1"/>
    <xf numFmtId="41" fontId="11" fillId="0" borderId="4" xfId="0" applyNumberFormat="1" applyFont="1" applyFill="1" applyBorder="1"/>
    <xf numFmtId="10" fontId="11" fillId="0" borderId="4" xfId="7" applyNumberFormat="1" applyFont="1" applyFill="1" applyBorder="1"/>
    <xf numFmtId="167" fontId="11" fillId="0" borderId="4" xfId="2" applyFont="1" applyFill="1" applyBorder="1"/>
    <xf numFmtId="0" fontId="11" fillId="0" borderId="4" xfId="0" applyFont="1" applyFill="1" applyBorder="1"/>
    <xf numFmtId="42" fontId="11" fillId="0" borderId="13" xfId="0" applyNumberFormat="1" applyFont="1" applyFill="1" applyBorder="1"/>
    <xf numFmtId="172" fontId="11" fillId="0" borderId="13" xfId="0" applyNumberFormat="1" applyFont="1" applyFill="1" applyBorder="1"/>
    <xf numFmtId="38" fontId="11" fillId="0" borderId="0" xfId="0" applyNumberFormat="1" applyFont="1" applyFill="1"/>
    <xf numFmtId="38" fontId="11" fillId="0" borderId="4" xfId="0" applyNumberFormat="1" applyFont="1" applyFill="1" applyBorder="1"/>
    <xf numFmtId="177" fontId="11" fillId="0" borderId="4" xfId="2" applyNumberFormat="1" applyFont="1" applyFill="1" applyBorder="1"/>
    <xf numFmtId="42" fontId="11" fillId="0" borderId="19" xfId="0" applyNumberFormat="1" applyFont="1" applyFill="1" applyBorder="1"/>
    <xf numFmtId="38" fontId="11" fillId="0" borderId="19" xfId="0" applyNumberFormat="1" applyFont="1" applyFill="1" applyBorder="1"/>
    <xf numFmtId="10" fontId="11" fillId="0" borderId="19" xfId="0" applyNumberFormat="1" applyFont="1" applyFill="1" applyBorder="1"/>
    <xf numFmtId="167" fontId="11" fillId="0" borderId="0" xfId="2" applyFont="1" applyFill="1"/>
    <xf numFmtId="6" fontId="11" fillId="0" borderId="0" xfId="0" applyNumberFormat="1" applyFont="1" applyFill="1"/>
    <xf numFmtId="169" fontId="3" fillId="0" borderId="0" xfId="3" applyNumberFormat="1" applyFont="1" applyFill="1"/>
    <xf numFmtId="37" fontId="3" fillId="0" borderId="0" xfId="0" applyNumberFormat="1" applyFont="1" applyFill="1"/>
    <xf numFmtId="37" fontId="3" fillId="0" borderId="7" xfId="0" applyNumberFormat="1" applyFont="1" applyFill="1" applyBorder="1"/>
    <xf numFmtId="37" fontId="3" fillId="0" borderId="4" xfId="0" applyNumberFormat="1" applyFont="1" applyFill="1" applyBorder="1"/>
    <xf numFmtId="10" fontId="3" fillId="0" borderId="4" xfId="7" applyNumberFormat="1" applyFont="1" applyFill="1" applyBorder="1"/>
    <xf numFmtId="169" fontId="3" fillId="0" borderId="19" xfId="3" applyNumberFormat="1" applyFont="1" applyFill="1" applyBorder="1"/>
    <xf numFmtId="172" fontId="3" fillId="0" borderId="0" xfId="0" applyNumberFormat="1" applyFont="1" applyFill="1" applyBorder="1"/>
    <xf numFmtId="3" fontId="3" fillId="0" borderId="0" xfId="0" applyNumberFormat="1" applyFont="1" applyFill="1" applyBorder="1"/>
    <xf numFmtId="0" fontId="5" fillId="0" borderId="0" xfId="0" applyFont="1" applyBorder="1"/>
    <xf numFmtId="0" fontId="3" fillId="0" borderId="0" xfId="0" applyFont="1" applyBorder="1" applyAlignment="1">
      <alignment horizontal="left" indent="1"/>
    </xf>
    <xf numFmtId="41" fontId="3" fillId="0" borderId="38" xfId="0" applyNumberFormat="1" applyFont="1" applyFill="1" applyBorder="1"/>
    <xf numFmtId="0" fontId="4" fillId="0" borderId="3" xfId="0" applyFont="1" applyBorder="1"/>
    <xf numFmtId="167" fontId="3" fillId="0" borderId="4" xfId="2" applyFont="1" applyBorder="1" applyAlignment="1">
      <alignment horizontal="center"/>
    </xf>
    <xf numFmtId="0" fontId="3" fillId="0" borderId="39" xfId="0" applyFont="1" applyBorder="1"/>
    <xf numFmtId="0" fontId="4" fillId="0" borderId="7" xfId="0" applyFont="1" applyFill="1" applyBorder="1"/>
    <xf numFmtId="0" fontId="3" fillId="0" borderId="37" xfId="0" applyFont="1" applyFill="1" applyBorder="1"/>
    <xf numFmtId="42" fontId="3" fillId="0" borderId="5" xfId="3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indent="1"/>
    </xf>
    <xf numFmtId="41" fontId="3" fillId="0" borderId="0" xfId="2" applyNumberFormat="1" applyFont="1" applyFill="1"/>
    <xf numFmtId="0" fontId="3" fillId="0" borderId="23" xfId="0" applyFont="1" applyFill="1" applyBorder="1" applyAlignment="1">
      <alignment horizontal="left" indent="1"/>
    </xf>
    <xf numFmtId="41" fontId="3" fillId="0" borderId="10" xfId="0" applyNumberFormat="1" applyFont="1" applyFill="1" applyBorder="1"/>
    <xf numFmtId="41" fontId="3" fillId="0" borderId="11" xfId="0" applyNumberFormat="1" applyFont="1" applyFill="1" applyBorder="1"/>
    <xf numFmtId="172" fontId="3" fillId="0" borderId="0" xfId="3" applyNumberFormat="1" applyFont="1" applyFill="1"/>
    <xf numFmtId="168" fontId="3" fillId="0" borderId="0" xfId="2" applyNumberFormat="1" applyFont="1" applyFill="1" applyAlignment="1">
      <alignment horizontal="right" vertical="justify"/>
    </xf>
    <xf numFmtId="41" fontId="4" fillId="0" borderId="1" xfId="0" applyNumberFormat="1" applyFont="1" applyFill="1" applyBorder="1"/>
    <xf numFmtId="168" fontId="4" fillId="0" borderId="0" xfId="2" applyNumberFormat="1" applyFont="1" applyFill="1" applyBorder="1" applyAlignment="1">
      <alignment horizontal="right" vertical="justify"/>
    </xf>
    <xf numFmtId="0" fontId="3" fillId="0" borderId="0" xfId="0" applyFont="1" applyFill="1" applyAlignment="1">
      <alignment horizontal="right" vertical="justify"/>
    </xf>
    <xf numFmtId="41" fontId="3" fillId="0" borderId="4" xfId="2" applyNumberFormat="1" applyFont="1" applyFill="1" applyBorder="1"/>
    <xf numFmtId="172" fontId="4" fillId="0" borderId="13" xfId="3" applyNumberFormat="1" applyFont="1" applyFill="1" applyBorder="1" applyProtection="1">
      <protection locked="0"/>
    </xf>
    <xf numFmtId="172" fontId="4" fillId="0" borderId="0" xfId="3" applyNumberFormat="1" applyFont="1" applyFill="1" applyBorder="1" applyProtection="1">
      <protection locked="0"/>
    </xf>
    <xf numFmtId="41" fontId="3" fillId="0" borderId="0" xfId="2" applyNumberFormat="1" applyFont="1" applyFill="1" applyBorder="1" applyAlignment="1">
      <alignment horizontal="right"/>
    </xf>
    <xf numFmtId="41" fontId="3" fillId="0" borderId="0" xfId="2" applyNumberFormat="1" applyFont="1" applyBorder="1" applyAlignment="1">
      <alignment horizontal="right"/>
    </xf>
    <xf numFmtId="41" fontId="3" fillId="0" borderId="0" xfId="2" applyNumberFormat="1" applyFont="1" applyAlignment="1">
      <alignment horizontal="right"/>
    </xf>
    <xf numFmtId="0" fontId="11" fillId="0" borderId="0" xfId="0" applyFont="1" applyFill="1" applyBorder="1"/>
    <xf numFmtId="10" fontId="3" fillId="0" borderId="19" xfId="0" applyNumberFormat="1" applyFont="1" applyBorder="1"/>
    <xf numFmtId="44" fontId="3" fillId="0" borderId="0" xfId="3" applyNumberFormat="1" applyFont="1" applyFill="1" applyBorder="1" applyAlignment="1">
      <alignment horizontal="left"/>
    </xf>
    <xf numFmtId="177" fontId="3" fillId="0" borderId="0" xfId="2" applyNumberFormat="1" applyFont="1" applyFill="1" applyAlignment="1">
      <alignment horizontal="right"/>
    </xf>
    <xf numFmtId="177" fontId="3" fillId="0" borderId="0" xfId="2" applyNumberFormat="1" applyFont="1" applyFill="1"/>
    <xf numFmtId="43" fontId="3" fillId="0" borderId="0" xfId="0" applyNumberFormat="1" applyFont="1"/>
    <xf numFmtId="184" fontId="3" fillId="0" borderId="0" xfId="0" applyNumberFormat="1" applyFont="1"/>
    <xf numFmtId="173" fontId="3" fillId="0" borderId="0" xfId="0" applyNumberFormat="1" applyFont="1"/>
    <xf numFmtId="170" fontId="3" fillId="0" borderId="4" xfId="2" applyNumberFormat="1" applyFont="1" applyFill="1" applyBorder="1"/>
    <xf numFmtId="41" fontId="3" fillId="0" borderId="37" xfId="0" applyNumberFormat="1" applyFont="1" applyFill="1" applyBorder="1"/>
    <xf numFmtId="0" fontId="3" fillId="0" borderId="6" xfId="0" applyFont="1" applyBorder="1"/>
    <xf numFmtId="0" fontId="3" fillId="0" borderId="11" xfId="0" applyFont="1" applyBorder="1"/>
    <xf numFmtId="41" fontId="3" fillId="0" borderId="25" xfId="0" applyNumberFormat="1" applyFont="1" applyFill="1" applyBorder="1"/>
    <xf numFmtId="41" fontId="3" fillId="0" borderId="14" xfId="0" applyNumberFormat="1" applyFont="1" applyFill="1" applyBorder="1" applyAlignment="1">
      <alignment horizontal="left" indent="1"/>
    </xf>
    <xf numFmtId="42" fontId="3" fillId="0" borderId="25" xfId="0" applyNumberFormat="1" applyFont="1" applyFill="1" applyBorder="1"/>
    <xf numFmtId="10" fontId="3" fillId="0" borderId="33" xfId="7" applyNumberFormat="1" applyFont="1" applyFill="1" applyBorder="1" applyAlignment="1"/>
    <xf numFmtId="167" fontId="11" fillId="0" borderId="0" xfId="2" applyFont="1" applyFill="1" applyBorder="1"/>
    <xf numFmtId="3" fontId="11" fillId="0" borderId="0" xfId="0" applyNumberFormat="1" applyFont="1" applyFill="1" applyBorder="1"/>
    <xf numFmtId="42" fontId="11" fillId="0" borderId="0" xfId="0" applyNumberFormat="1" applyFont="1" applyFill="1" applyBorder="1"/>
    <xf numFmtId="172" fontId="11" fillId="0" borderId="0" xfId="0" applyNumberFormat="1" applyFont="1" applyFill="1" applyBorder="1"/>
    <xf numFmtId="38" fontId="11" fillId="0" borderId="0" xfId="0" applyNumberFormat="1" applyFont="1" applyFill="1" applyBorder="1"/>
    <xf numFmtId="10" fontId="11" fillId="0" borderId="0" xfId="0" applyNumberFormat="1" applyFont="1" applyFill="1" applyBorder="1"/>
    <xf numFmtId="170" fontId="3" fillId="0" borderId="4" xfId="2" applyNumberFormat="1" applyFont="1" applyBorder="1"/>
    <xf numFmtId="0" fontId="4" fillId="0" borderId="1" xfId="0" applyFont="1" applyFill="1" applyBorder="1" applyAlignment="1">
      <alignment horizontal="center"/>
    </xf>
    <xf numFmtId="0" fontId="13" fillId="0" borderId="0" xfId="0" applyFont="1"/>
    <xf numFmtId="41" fontId="3" fillId="4" borderId="9" xfId="0" applyNumberFormat="1" applyFont="1" applyFill="1" applyBorder="1"/>
    <xf numFmtId="41" fontId="3" fillId="4" borderId="0" xfId="0" applyNumberFormat="1" applyFont="1" applyFill="1" applyBorder="1"/>
    <xf numFmtId="42" fontId="3" fillId="4" borderId="0" xfId="0" applyNumberFormat="1" applyFont="1" applyFill="1" applyBorder="1"/>
    <xf numFmtId="41" fontId="3" fillId="4" borderId="4" xfId="0" applyNumberFormat="1" applyFont="1" applyFill="1" applyBorder="1"/>
    <xf numFmtId="41" fontId="3" fillId="4" borderId="6" xfId="0" applyNumberFormat="1" applyFont="1" applyFill="1" applyBorder="1"/>
    <xf numFmtId="41" fontId="3" fillId="4" borderId="3" xfId="0" applyNumberFormat="1" applyFont="1" applyFill="1" applyBorder="1"/>
    <xf numFmtId="42" fontId="3" fillId="4" borderId="37" xfId="0" applyNumberFormat="1" applyFont="1" applyFill="1" applyBorder="1"/>
    <xf numFmtId="42" fontId="3" fillId="4" borderId="3" xfId="0" applyNumberFormat="1" applyFont="1" applyFill="1" applyBorder="1"/>
    <xf numFmtId="42" fontId="3" fillId="4" borderId="15" xfId="0" applyNumberFormat="1" applyFont="1" applyFill="1" applyBorder="1"/>
    <xf numFmtId="41" fontId="3" fillId="4" borderId="16" xfId="0" applyNumberFormat="1" applyFont="1" applyFill="1" applyBorder="1"/>
    <xf numFmtId="41" fontId="3" fillId="4" borderId="14" xfId="0" applyNumberFormat="1" applyFont="1" applyFill="1" applyBorder="1"/>
    <xf numFmtId="42" fontId="3" fillId="4" borderId="1" xfId="0" applyNumberFormat="1" applyFont="1" applyFill="1" applyBorder="1"/>
    <xf numFmtId="42" fontId="3" fillId="4" borderId="14" xfId="0" applyNumberFormat="1" applyFont="1" applyFill="1" applyBorder="1"/>
    <xf numFmtId="42" fontId="3" fillId="4" borderId="32" xfId="0" applyNumberFormat="1" applyFont="1" applyFill="1" applyBorder="1"/>
    <xf numFmtId="42" fontId="3" fillId="4" borderId="23" xfId="0" applyNumberFormat="1" applyFont="1" applyFill="1" applyBorder="1"/>
    <xf numFmtId="42" fontId="3" fillId="4" borderId="33" xfId="0" applyNumberFormat="1" applyFont="1" applyFill="1" applyBorder="1"/>
    <xf numFmtId="0" fontId="10" fillId="0" borderId="0" xfId="0" applyFont="1" applyFill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0" fontId="3" fillId="0" borderId="22" xfId="7" applyNumberFormat="1" applyFont="1" applyFill="1" applyBorder="1"/>
    <xf numFmtId="10" fontId="3" fillId="0" borderId="26" xfId="7" applyNumberFormat="1" applyFont="1" applyFill="1" applyBorder="1"/>
    <xf numFmtId="10" fontId="3" fillId="0" borderId="19" xfId="0" applyNumberFormat="1" applyFont="1" applyFill="1" applyBorder="1"/>
    <xf numFmtId="44" fontId="3" fillId="0" borderId="0" xfId="0" applyNumberFormat="1" applyFont="1" applyFill="1" applyBorder="1" applyAlignment="1">
      <alignment horizontal="left"/>
    </xf>
    <xf numFmtId="44" fontId="3" fillId="0" borderId="0" xfId="2" applyNumberFormat="1" applyFont="1" applyFill="1" applyBorder="1" applyAlignment="1"/>
    <xf numFmtId="0" fontId="4" fillId="0" borderId="0" xfId="0" applyFont="1" applyFill="1" applyBorder="1"/>
    <xf numFmtId="0" fontId="4" fillId="0" borderId="1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41" fontId="3" fillId="0" borderId="0" xfId="2" applyNumberFormat="1" applyFont="1" applyFill="1" applyAlignment="1">
      <alignment horizontal="right"/>
    </xf>
    <xf numFmtId="41" fontId="3" fillId="0" borderId="5" xfId="2" applyNumberFormat="1" applyFont="1" applyBorder="1" applyAlignment="1"/>
    <xf numFmtId="42" fontId="3" fillId="0" borderId="23" xfId="0" applyNumberFormat="1" applyFont="1" applyFill="1" applyBorder="1"/>
    <xf numFmtId="0" fontId="4" fillId="0" borderId="1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3" fontId="3" fillId="0" borderId="5" xfId="3" applyNumberFormat="1" applyFont="1" applyFill="1" applyBorder="1" applyAlignment="1">
      <alignment horizontal="left"/>
    </xf>
    <xf numFmtId="43" fontId="3" fillId="0" borderId="5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40" xfId="0" applyFont="1" applyFill="1" applyBorder="1"/>
    <xf numFmtId="0" fontId="5" fillId="0" borderId="14" xfId="0" applyFont="1" applyFill="1" applyBorder="1"/>
    <xf numFmtId="43" fontId="3" fillId="0" borderId="5" xfId="0" applyNumberFormat="1" applyFont="1" applyFill="1" applyBorder="1" applyAlignment="1">
      <alignment horizontal="left"/>
    </xf>
    <xf numFmtId="43" fontId="3" fillId="0" borderId="5" xfId="2" applyNumberFormat="1" applyFont="1" applyFill="1" applyBorder="1" applyAlignment="1"/>
    <xf numFmtId="10" fontId="3" fillId="0" borderId="0" xfId="7" applyNumberFormat="1" applyFont="1" applyFill="1" applyAlignment="1">
      <alignment horizontal="center"/>
    </xf>
    <xf numFmtId="10" fontId="3" fillId="0" borderId="5" xfId="7" applyNumberFormat="1" applyFont="1" applyFill="1" applyBorder="1" applyAlignment="1">
      <alignment horizontal="center"/>
    </xf>
    <xf numFmtId="0" fontId="3" fillId="0" borderId="1" xfId="0" applyFont="1" applyFill="1" applyBorder="1"/>
    <xf numFmtId="0" fontId="4" fillId="0" borderId="4" xfId="0" applyFont="1" applyFill="1" applyBorder="1"/>
    <xf numFmtId="0" fontId="3" fillId="0" borderId="0" xfId="0" applyFont="1" applyFill="1" applyBorder="1" applyAlignment="1">
      <alignment horizontal="left" indent="1"/>
    </xf>
    <xf numFmtId="10" fontId="3" fillId="0" borderId="9" xfId="7" applyNumberFormat="1" applyFont="1" applyBorder="1" applyAlignment="1">
      <alignment horizontal="center"/>
    </xf>
    <xf numFmtId="10" fontId="3" fillId="0" borderId="21" xfId="7" applyNumberFormat="1" applyFont="1" applyBorder="1" applyAlignment="1">
      <alignment horizontal="center"/>
    </xf>
    <xf numFmtId="10" fontId="3" fillId="0" borderId="0" xfId="7" applyNumberFormat="1" applyFont="1" applyAlignment="1">
      <alignment horizontal="center"/>
    </xf>
    <xf numFmtId="10" fontId="3" fillId="0" borderId="5" xfId="7" applyNumberFormat="1" applyFont="1" applyBorder="1" applyAlignment="1">
      <alignment horizontal="center"/>
    </xf>
    <xf numFmtId="0" fontId="4" fillId="0" borderId="9" xfId="0" applyFont="1" applyFill="1" applyBorder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176" fontId="10" fillId="0" borderId="4" xfId="0" applyNumberFormat="1" applyFont="1" applyFill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176" fontId="10" fillId="0" borderId="4" xfId="0" applyNumberFormat="1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9">
    <cellStyle name="Border" xfId="1"/>
    <cellStyle name="Comma" xfId="2" builtinId="3"/>
    <cellStyle name="Currency" xfId="3" builtinId="4"/>
    <cellStyle name="Grey" xfId="4"/>
    <cellStyle name="Input [yellow]" xfId="5"/>
    <cellStyle name="Normal" xfId="0" builtinId="0"/>
    <cellStyle name="Normal - Style1" xfId="6"/>
    <cellStyle name="Percent" xfId="7" builtinId="5"/>
    <cellStyle name="Percent [2]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ADMINIST\MSOFFICE\EXCEL\LAURA\SEC\0602\03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1"/>
      <sheetName val="recaps"/>
      <sheetName val="BSDATA"/>
      <sheetName val="PLDAT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1" zoomScaleSheetLayoutView="7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/>
  </sheetViews>
  <sheetFormatPr defaultColWidth="9.109375" defaultRowHeight="13.8" x14ac:dyDescent="0.3"/>
  <cols>
    <col min="1" max="1" width="1.5546875" style="249" customWidth="1"/>
    <col min="2" max="2" width="41.44140625" style="249" customWidth="1"/>
    <col min="3" max="3" width="11.109375" style="249" customWidth="1"/>
    <col min="4" max="5" width="9.6640625" style="249" customWidth="1"/>
    <col min="6" max="6" width="11.109375" style="249" customWidth="1"/>
    <col min="7" max="8" width="9.6640625" style="249" customWidth="1"/>
    <col min="9" max="9" width="11.109375" style="249" customWidth="1"/>
    <col min="10" max="11" width="9.6640625" style="249" customWidth="1"/>
    <col min="12" max="16384" width="9.109375" style="249"/>
  </cols>
  <sheetData>
    <row r="1" spans="1:11" x14ac:dyDescent="0.3">
      <c r="A1" s="247"/>
      <c r="B1" s="248"/>
      <c r="C1" s="248"/>
      <c r="D1" s="248"/>
      <c r="E1" s="248"/>
      <c r="F1" s="248"/>
      <c r="G1" s="248"/>
      <c r="H1" s="248"/>
    </row>
    <row r="2" spans="1:11" x14ac:dyDescent="0.3">
      <c r="A2" s="247" t="s">
        <v>209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</row>
    <row r="3" spans="1:11" x14ac:dyDescent="0.3">
      <c r="A3" s="247" t="s">
        <v>257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</row>
    <row r="4" spans="1:11" x14ac:dyDescent="0.3">
      <c r="A4" s="247"/>
      <c r="B4" s="250"/>
      <c r="C4" s="250"/>
      <c r="D4" s="250"/>
      <c r="E4" s="250"/>
      <c r="F4" s="250"/>
      <c r="G4" s="250"/>
      <c r="H4" s="250"/>
    </row>
    <row r="5" spans="1:11" ht="16.2" thickBot="1" x14ac:dyDescent="0.35">
      <c r="A5" s="251"/>
      <c r="B5" s="252"/>
      <c r="C5" s="252"/>
      <c r="D5" s="252"/>
      <c r="E5" s="252"/>
      <c r="F5" s="252"/>
      <c r="G5" s="252"/>
      <c r="H5" s="252"/>
    </row>
    <row r="6" spans="1:11" x14ac:dyDescent="0.3">
      <c r="A6" s="253"/>
      <c r="B6" s="253"/>
      <c r="C6" s="253"/>
      <c r="D6" s="253"/>
      <c r="E6" s="253"/>
      <c r="F6" s="253"/>
      <c r="G6" s="253"/>
      <c r="H6" s="253"/>
      <c r="I6" s="253"/>
      <c r="J6" s="253"/>
      <c r="K6" s="253"/>
    </row>
    <row r="7" spans="1:11" x14ac:dyDescent="0.3">
      <c r="A7" s="254" t="s">
        <v>225</v>
      </c>
      <c r="B7" s="254"/>
      <c r="C7" s="396">
        <v>37256</v>
      </c>
      <c r="D7" s="396"/>
      <c r="E7" s="396"/>
      <c r="F7" s="396">
        <v>36891</v>
      </c>
      <c r="G7" s="396"/>
      <c r="H7" s="396"/>
      <c r="I7" s="397">
        <v>36525</v>
      </c>
      <c r="J7" s="397"/>
      <c r="K7" s="397"/>
    </row>
    <row r="8" spans="1:11" x14ac:dyDescent="0.3">
      <c r="C8" s="24" t="s">
        <v>14</v>
      </c>
      <c r="D8" s="24"/>
      <c r="E8" s="24" t="s">
        <v>14</v>
      </c>
      <c r="F8" s="24" t="s">
        <v>14</v>
      </c>
      <c r="G8" s="24"/>
      <c r="H8" s="24" t="s">
        <v>14</v>
      </c>
      <c r="I8" s="255" t="s">
        <v>14</v>
      </c>
      <c r="J8" s="255"/>
      <c r="K8" s="255" t="s">
        <v>14</v>
      </c>
    </row>
    <row r="9" spans="1:11" x14ac:dyDescent="0.3">
      <c r="A9" s="254"/>
      <c r="B9" s="254"/>
      <c r="C9" s="8" t="s">
        <v>226</v>
      </c>
      <c r="D9" s="246" t="s">
        <v>227</v>
      </c>
      <c r="E9" s="8" t="s">
        <v>76</v>
      </c>
      <c r="F9" s="8" t="s">
        <v>226</v>
      </c>
      <c r="G9" s="8" t="s">
        <v>227</v>
      </c>
      <c r="H9" s="8" t="s">
        <v>76</v>
      </c>
      <c r="I9" s="256" t="s">
        <v>226</v>
      </c>
      <c r="J9" s="256" t="s">
        <v>227</v>
      </c>
      <c r="K9" s="256" t="s">
        <v>76</v>
      </c>
    </row>
    <row r="10" spans="1:11" x14ac:dyDescent="0.3">
      <c r="C10" s="1"/>
      <c r="D10" s="121"/>
      <c r="E10" s="1"/>
      <c r="F10" s="1"/>
      <c r="G10" s="1"/>
      <c r="H10" s="1"/>
    </row>
    <row r="11" spans="1:11" x14ac:dyDescent="0.3">
      <c r="A11" s="251" t="s">
        <v>228</v>
      </c>
      <c r="C11" s="1"/>
      <c r="D11" s="121"/>
      <c r="E11" s="1"/>
      <c r="F11" s="1"/>
      <c r="G11" s="1"/>
      <c r="H11" s="1"/>
    </row>
    <row r="12" spans="1:11" x14ac:dyDescent="0.3">
      <c r="A12" s="249" t="s">
        <v>229</v>
      </c>
      <c r="C12" s="1"/>
      <c r="D12" s="121"/>
      <c r="E12" s="1"/>
      <c r="F12" s="1"/>
      <c r="G12" s="1"/>
      <c r="H12" s="1"/>
    </row>
    <row r="13" spans="1:11" x14ac:dyDescent="0.3">
      <c r="B13" s="249" t="s">
        <v>230</v>
      </c>
      <c r="C13" s="281">
        <v>92733</v>
      </c>
      <c r="D13" s="281">
        <v>1671</v>
      </c>
      <c r="E13" s="76">
        <f>+D13/C13*365/365</f>
        <v>1.8019475267704053E-2</v>
      </c>
      <c r="F13" s="281">
        <v>62761</v>
      </c>
      <c r="G13" s="281">
        <v>1716</v>
      </c>
      <c r="H13" s="76">
        <f>+G13/F13*366/366</f>
        <v>2.7341820557352497E-2</v>
      </c>
      <c r="I13" s="257">
        <v>104114</v>
      </c>
      <c r="J13" s="257">
        <v>3818</v>
      </c>
      <c r="K13" s="259">
        <f>+J13/I13*365/365</f>
        <v>3.6671341030024777E-2</v>
      </c>
    </row>
    <row r="14" spans="1:11" x14ac:dyDescent="0.3">
      <c r="B14" s="249" t="s">
        <v>231</v>
      </c>
      <c r="C14" s="282"/>
      <c r="D14" s="282"/>
      <c r="E14" s="121"/>
      <c r="F14" s="282"/>
      <c r="G14" s="282"/>
      <c r="H14" s="121"/>
      <c r="I14" s="260"/>
      <c r="J14" s="261"/>
      <c r="K14" s="259"/>
    </row>
    <row r="15" spans="1:11" x14ac:dyDescent="0.3">
      <c r="B15" s="249" t="s">
        <v>232</v>
      </c>
      <c r="C15" s="282">
        <v>126164</v>
      </c>
      <c r="D15" s="282">
        <v>4399</v>
      </c>
      <c r="E15" s="76">
        <f>+D15/C15*365/365</f>
        <v>3.4867315557528297E-2</v>
      </c>
      <c r="F15" s="282">
        <v>54631</v>
      </c>
      <c r="G15" s="282">
        <v>3530</v>
      </c>
      <c r="H15" s="76">
        <f>+G15/F15*366/366</f>
        <v>6.4615328293459756E-2</v>
      </c>
      <c r="I15" s="262">
        <v>25115</v>
      </c>
      <c r="J15" s="262">
        <v>1281</v>
      </c>
      <c r="K15" s="259">
        <f>+J15/I15*365/365</f>
        <v>5.1005375273740799E-2</v>
      </c>
    </row>
    <row r="16" spans="1:11" x14ac:dyDescent="0.3">
      <c r="B16" s="263" t="s">
        <v>233</v>
      </c>
      <c r="C16" s="283">
        <f>SUM(C13:C15)</f>
        <v>218897</v>
      </c>
      <c r="D16" s="283">
        <f>SUM(D13:D15)</f>
        <v>6070</v>
      </c>
      <c r="E16" s="127">
        <f>+D16/C16*365/365</f>
        <v>2.772993691096726E-2</v>
      </c>
      <c r="F16" s="283">
        <f>SUM(F13:F15)</f>
        <v>117392</v>
      </c>
      <c r="G16" s="283">
        <f>SUM(G13:G15)</f>
        <v>5246</v>
      </c>
      <c r="H16" s="127">
        <f>+G16/F16*366/366</f>
        <v>4.4687883331061745E-2</v>
      </c>
      <c r="I16" s="264">
        <f>SUM(I13:I15)</f>
        <v>129229</v>
      </c>
      <c r="J16" s="264">
        <f>SUM(J13:J15)</f>
        <v>5099</v>
      </c>
      <c r="K16" s="265">
        <f>+J16/I16*365/365</f>
        <v>3.9457087805368767E-2</v>
      </c>
    </row>
    <row r="17" spans="2:11" x14ac:dyDescent="0.3">
      <c r="C17" s="282"/>
      <c r="D17" s="282"/>
      <c r="E17" s="121"/>
      <c r="F17" s="282"/>
      <c r="G17" s="282"/>
      <c r="H17" s="121"/>
      <c r="I17" s="261"/>
      <c r="J17" s="261"/>
      <c r="K17" s="260"/>
    </row>
    <row r="18" spans="2:11" x14ac:dyDescent="0.3">
      <c r="B18" s="249" t="s">
        <v>234</v>
      </c>
      <c r="C18" s="282">
        <v>238655</v>
      </c>
      <c r="D18" s="282">
        <f>9178+623</f>
        <v>9801</v>
      </c>
      <c r="E18" s="76">
        <f>+D18/C18*365/365</f>
        <v>4.1067649954955897E-2</v>
      </c>
      <c r="F18" s="282">
        <v>206707</v>
      </c>
      <c r="G18" s="282">
        <v>13176</v>
      </c>
      <c r="H18" s="76">
        <f>+G18/F18*366/366</f>
        <v>6.3742398660906502E-2</v>
      </c>
      <c r="I18" s="262">
        <v>340765</v>
      </c>
      <c r="J18" s="262">
        <v>17966</v>
      </c>
      <c r="K18" s="259">
        <f>+J18/I18*365/365</f>
        <v>5.272255073144249E-2</v>
      </c>
    </row>
    <row r="19" spans="2:11" x14ac:dyDescent="0.3">
      <c r="B19" s="249" t="s">
        <v>235</v>
      </c>
      <c r="C19" s="282"/>
      <c r="D19" s="282"/>
      <c r="E19" s="121"/>
      <c r="F19" s="282"/>
      <c r="G19" s="282"/>
      <c r="H19" s="121"/>
      <c r="I19" s="261"/>
      <c r="J19" s="261"/>
      <c r="K19" s="259"/>
    </row>
    <row r="20" spans="2:11" x14ac:dyDescent="0.3">
      <c r="B20" s="249" t="s">
        <v>236</v>
      </c>
      <c r="C20" s="282">
        <v>1193043</v>
      </c>
      <c r="D20" s="282">
        <f>66354+16849</f>
        <v>83203</v>
      </c>
      <c r="E20" s="76">
        <f>+D20/C20*365/365</f>
        <v>6.9740151863763505E-2</v>
      </c>
      <c r="F20" s="282">
        <v>1866540</v>
      </c>
      <c r="G20" s="282">
        <v>126206</v>
      </c>
      <c r="H20" s="76">
        <f>+G20/F20*366/366</f>
        <v>6.7614945299859633E-2</v>
      </c>
      <c r="I20" s="262">
        <v>1866999</v>
      </c>
      <c r="J20" s="262">
        <v>131696</v>
      </c>
      <c r="K20" s="259">
        <f>+J20/I20*365/365</f>
        <v>7.0538870133299486E-2</v>
      </c>
    </row>
    <row r="21" spans="2:11" x14ac:dyDescent="0.3">
      <c r="B21" s="249" t="s">
        <v>237</v>
      </c>
      <c r="C21" s="282"/>
      <c r="D21" s="282"/>
      <c r="E21" s="121"/>
      <c r="F21" s="282"/>
      <c r="G21" s="282"/>
      <c r="H21" s="121"/>
      <c r="I21" s="261"/>
      <c r="J21" s="261"/>
      <c r="K21" s="259"/>
    </row>
    <row r="22" spans="2:11" x14ac:dyDescent="0.3">
      <c r="B22" s="249" t="s">
        <v>238</v>
      </c>
      <c r="C22" s="282">
        <v>27379</v>
      </c>
      <c r="D22" s="282">
        <f>1822+759</f>
        <v>2581</v>
      </c>
      <c r="E22" s="76">
        <f>+D22/C22*365/365</f>
        <v>9.426933050878411E-2</v>
      </c>
      <c r="F22" s="282">
        <v>35568</v>
      </c>
      <c r="G22" s="282">
        <v>2822</v>
      </c>
      <c r="H22" s="76">
        <f>+G22/F22*366/366</f>
        <v>7.934098065677013E-2</v>
      </c>
      <c r="I22" s="262">
        <v>45636</v>
      </c>
      <c r="J22" s="262">
        <v>3517</v>
      </c>
      <c r="K22" s="259">
        <f>+J22/I22*365/365</f>
        <v>7.7066351126303792E-2</v>
      </c>
    </row>
    <row r="23" spans="2:11" x14ac:dyDescent="0.3">
      <c r="B23" s="249" t="s">
        <v>239</v>
      </c>
      <c r="C23" s="282"/>
      <c r="D23" s="282"/>
      <c r="E23" s="121"/>
      <c r="F23" s="282"/>
      <c r="G23" s="282"/>
      <c r="H23" s="121"/>
      <c r="I23" s="261"/>
      <c r="J23" s="261"/>
      <c r="K23" s="259"/>
    </row>
    <row r="24" spans="2:11" x14ac:dyDescent="0.3">
      <c r="B24" s="249" t="s">
        <v>240</v>
      </c>
      <c r="C24" s="282">
        <v>477117</v>
      </c>
      <c r="D24" s="282">
        <v>26467</v>
      </c>
      <c r="E24" s="76">
        <f>+D24/C24*365/365</f>
        <v>5.5472766637952538E-2</v>
      </c>
      <c r="F24" s="282">
        <v>612960</v>
      </c>
      <c r="G24" s="282">
        <v>42078</v>
      </c>
      <c r="H24" s="76">
        <f>+G24/F24*366/366</f>
        <v>6.8647220046985119E-2</v>
      </c>
      <c r="I24" s="262">
        <v>780482</v>
      </c>
      <c r="J24" s="262">
        <v>47776</v>
      </c>
      <c r="K24" s="259">
        <f>+J24/I24*365/365</f>
        <v>6.121345527507361E-2</v>
      </c>
    </row>
    <row r="25" spans="2:11" x14ac:dyDescent="0.3">
      <c r="B25" s="249" t="s">
        <v>147</v>
      </c>
      <c r="C25" s="282">
        <v>49120</v>
      </c>
      <c r="D25" s="282">
        <v>4824</v>
      </c>
      <c r="E25" s="76">
        <f>+D25/C25*365/365</f>
        <v>9.8208469055374573E-2</v>
      </c>
      <c r="F25" s="282">
        <v>79888</v>
      </c>
      <c r="G25" s="282">
        <v>5657</v>
      </c>
      <c r="H25" s="76">
        <f>+G25/F25*366/366</f>
        <v>7.0811636290807126E-2</v>
      </c>
      <c r="I25" s="262">
        <v>81324</v>
      </c>
      <c r="J25" s="262">
        <v>5532</v>
      </c>
      <c r="K25" s="259">
        <f>+J25/I25*365/365</f>
        <v>6.8024199498303087E-2</v>
      </c>
    </row>
    <row r="26" spans="2:11" x14ac:dyDescent="0.3">
      <c r="B26" s="263" t="s">
        <v>241</v>
      </c>
      <c r="C26" s="283">
        <f>SUM(C18:C25)</f>
        <v>1985314</v>
      </c>
      <c r="D26" s="283">
        <f>SUM(D18:D25)</f>
        <v>126876</v>
      </c>
      <c r="E26" s="127">
        <f>+D26/C26*365/365</f>
        <v>6.3907271091625806E-2</v>
      </c>
      <c r="F26" s="283">
        <f>SUM(F18:F25)</f>
        <v>2801663</v>
      </c>
      <c r="G26" s="283">
        <f>SUM(G18:G25)</f>
        <v>189939</v>
      </c>
      <c r="H26" s="127">
        <f>+G26/F26*366/366</f>
        <v>6.7795091700893359E-2</v>
      </c>
      <c r="I26" s="264">
        <f>SUM(I18:I25)</f>
        <v>3115206</v>
      </c>
      <c r="J26" s="264">
        <f>SUM(J18:J25)</f>
        <v>206487</v>
      </c>
      <c r="K26" s="265">
        <f>+J26/I26*365/365</f>
        <v>6.6283578036251858E-2</v>
      </c>
    </row>
    <row r="27" spans="2:11" x14ac:dyDescent="0.3">
      <c r="C27" s="282"/>
      <c r="D27" s="282"/>
      <c r="E27" s="121"/>
      <c r="F27" s="282"/>
      <c r="G27" s="282"/>
      <c r="H27" s="121"/>
      <c r="I27" s="261"/>
      <c r="J27" s="261"/>
      <c r="K27" s="260"/>
    </row>
    <row r="28" spans="2:11" x14ac:dyDescent="0.3">
      <c r="B28" s="249" t="s">
        <v>242</v>
      </c>
      <c r="C28" s="284">
        <v>4389189</v>
      </c>
      <c r="D28" s="284">
        <f>370668+4702</f>
        <v>375370</v>
      </c>
      <c r="E28" s="285">
        <f>+D28/C28*365/365</f>
        <v>8.5521493834054538E-2</v>
      </c>
      <c r="F28" s="284">
        <v>4522601</v>
      </c>
      <c r="G28" s="284">
        <v>442203</v>
      </c>
      <c r="H28" s="285">
        <f>+G28/F28*366/366</f>
        <v>9.7776257511993633E-2</v>
      </c>
      <c r="I28" s="267">
        <v>4111060</v>
      </c>
      <c r="J28" s="267">
        <v>377129</v>
      </c>
      <c r="K28" s="268">
        <f>+J28/I28*365/365</f>
        <v>9.1735221573024966E-2</v>
      </c>
    </row>
    <row r="29" spans="2:11" x14ac:dyDescent="0.3">
      <c r="C29" s="282"/>
      <c r="D29" s="282"/>
      <c r="E29" s="121"/>
      <c r="F29" s="282"/>
      <c r="G29" s="282"/>
      <c r="H29" s="121"/>
      <c r="I29" s="261"/>
      <c r="J29" s="261"/>
      <c r="K29" s="260"/>
    </row>
    <row r="30" spans="2:11" x14ac:dyDescent="0.3">
      <c r="B30" s="249" t="s">
        <v>243</v>
      </c>
      <c r="C30" s="284">
        <f>+(C28+C26+C16)</f>
        <v>6593400</v>
      </c>
      <c r="D30" s="284">
        <f>+D28+D26+D16</f>
        <v>508316</v>
      </c>
      <c r="E30" s="285">
        <f>+D30/C30*365/365</f>
        <v>7.7094670428003761E-2</v>
      </c>
      <c r="F30" s="284">
        <f>+(F28+F26+F16)</f>
        <v>7441656</v>
      </c>
      <c r="G30" s="284">
        <f>+G28+G26+G16</f>
        <v>637388</v>
      </c>
      <c r="H30" s="285">
        <f>+G30/F30*366/366</f>
        <v>8.5651365771274565E-2</v>
      </c>
      <c r="I30" s="267">
        <f>+(I28+I26+I16)</f>
        <v>7355495</v>
      </c>
      <c r="J30" s="267">
        <f>+J28+J26+J16</f>
        <v>588715</v>
      </c>
      <c r="K30" s="268">
        <f>+J30/I30*365/365</f>
        <v>8.0037441395854392E-2</v>
      </c>
    </row>
    <row r="31" spans="2:11" x14ac:dyDescent="0.3">
      <c r="C31" s="282"/>
      <c r="D31" s="282"/>
      <c r="E31" s="118"/>
      <c r="F31" s="282"/>
      <c r="G31" s="282"/>
      <c r="H31" s="118"/>
      <c r="I31" s="261"/>
      <c r="J31" s="261"/>
      <c r="K31" s="260"/>
    </row>
    <row r="32" spans="2:11" x14ac:dyDescent="0.3">
      <c r="B32" s="249" t="s">
        <v>244</v>
      </c>
      <c r="C32" s="284">
        <v>331170</v>
      </c>
      <c r="D32" s="101"/>
      <c r="E32" s="118"/>
      <c r="F32" s="284">
        <v>363801</v>
      </c>
      <c r="G32" s="101"/>
      <c r="H32" s="118"/>
      <c r="I32" s="267">
        <v>362697</v>
      </c>
      <c r="J32" s="269"/>
      <c r="K32" s="270"/>
    </row>
    <row r="33" spans="1:11" x14ac:dyDescent="0.3">
      <c r="C33" s="101"/>
      <c r="D33" s="101"/>
      <c r="E33" s="118"/>
      <c r="F33" s="101"/>
      <c r="G33" s="101"/>
      <c r="H33" s="118"/>
      <c r="I33" s="261"/>
      <c r="J33" s="261"/>
      <c r="K33" s="260"/>
    </row>
    <row r="34" spans="1:11" ht="14.4" thickBot="1" x14ac:dyDescent="0.35">
      <c r="B34" s="251" t="s">
        <v>19</v>
      </c>
      <c r="C34" s="286">
        <f>+C32+C30</f>
        <v>6924570</v>
      </c>
      <c r="D34" s="286">
        <f>+D32+D30</f>
        <v>508316</v>
      </c>
      <c r="E34" s="287"/>
      <c r="F34" s="286">
        <f>+F32+F30</f>
        <v>7805457</v>
      </c>
      <c r="G34" s="286">
        <f>SUM(G30:G32)</f>
        <v>637388</v>
      </c>
      <c r="H34" s="287"/>
      <c r="I34" s="271">
        <f>+I32+I30</f>
        <v>7718192</v>
      </c>
      <c r="J34" s="271">
        <f>SUM(J30:J32)</f>
        <v>588715</v>
      </c>
      <c r="K34" s="272"/>
    </row>
    <row r="35" spans="1:11" ht="14.4" thickTop="1" x14ac:dyDescent="0.3">
      <c r="C35" s="282"/>
      <c r="D35" s="282"/>
      <c r="E35" s="118"/>
      <c r="F35" s="282"/>
      <c r="G35" s="282"/>
      <c r="H35" s="118"/>
      <c r="I35" s="261"/>
      <c r="J35" s="261"/>
      <c r="K35" s="260"/>
    </row>
    <row r="36" spans="1:11" x14ac:dyDescent="0.3">
      <c r="A36" s="251" t="s">
        <v>245</v>
      </c>
      <c r="C36" s="282"/>
      <c r="D36" s="282"/>
      <c r="E36" s="121"/>
      <c r="F36" s="282"/>
      <c r="G36" s="282"/>
      <c r="H36" s="121"/>
      <c r="I36" s="261"/>
      <c r="J36" s="261"/>
      <c r="K36" s="260"/>
    </row>
    <row r="37" spans="1:11" x14ac:dyDescent="0.3">
      <c r="A37" s="249" t="s">
        <v>246</v>
      </c>
      <c r="C37" s="282"/>
      <c r="D37" s="282"/>
      <c r="E37" s="121"/>
      <c r="F37" s="282"/>
      <c r="G37" s="282"/>
      <c r="H37" s="121"/>
      <c r="I37" s="261"/>
      <c r="J37" s="260"/>
      <c r="K37" s="260"/>
    </row>
    <row r="38" spans="1:11" x14ac:dyDescent="0.3">
      <c r="B38" s="249" t="s">
        <v>142</v>
      </c>
      <c r="C38" s="281">
        <v>1455542</v>
      </c>
      <c r="D38" s="281">
        <f>40542-1</f>
        <v>40541</v>
      </c>
      <c r="E38" s="76">
        <f t="shared" ref="E38:E43" si="0">+D38/C38*365/365</f>
        <v>2.7852854812846353E-2</v>
      </c>
      <c r="F38" s="281">
        <v>1440686</v>
      </c>
      <c r="G38" s="281">
        <v>56640</v>
      </c>
      <c r="H38" s="76">
        <f t="shared" ref="H38:H43" si="1">+G38/F38*366/366</f>
        <v>3.931460429267724E-2</v>
      </c>
      <c r="I38" s="257">
        <v>1491367</v>
      </c>
      <c r="J38" s="257">
        <v>46611</v>
      </c>
      <c r="K38" s="259">
        <f t="shared" ref="K38:K43" si="2">+J38/I38*365/365</f>
        <v>3.1253876477084448E-2</v>
      </c>
    </row>
    <row r="39" spans="1:11" x14ac:dyDescent="0.3">
      <c r="B39" s="249" t="s">
        <v>247</v>
      </c>
      <c r="C39" s="282">
        <v>1972984</v>
      </c>
      <c r="D39" s="282">
        <v>87025</v>
      </c>
      <c r="E39" s="76">
        <f t="shared" si="0"/>
        <v>4.4108315120649728E-2</v>
      </c>
      <c r="F39" s="282">
        <v>2051311</v>
      </c>
      <c r="G39" s="282">
        <v>119398</v>
      </c>
      <c r="H39" s="76">
        <f t="shared" si="1"/>
        <v>5.8205703572008334E-2</v>
      </c>
      <c r="I39" s="262">
        <v>1582284</v>
      </c>
      <c r="J39" s="262">
        <v>81605</v>
      </c>
      <c r="K39" s="259">
        <f t="shared" si="2"/>
        <v>5.1574180109259779E-2</v>
      </c>
    </row>
    <row r="40" spans="1:11" x14ac:dyDescent="0.3">
      <c r="B40" s="249" t="s">
        <v>248</v>
      </c>
      <c r="C40" s="282">
        <v>1793507</v>
      </c>
      <c r="D40" s="282">
        <v>91462</v>
      </c>
      <c r="E40" s="76">
        <f t="shared" si="0"/>
        <v>5.0996176764294764E-2</v>
      </c>
      <c r="F40" s="282">
        <v>2573586</v>
      </c>
      <c r="G40" s="282">
        <v>161384</v>
      </c>
      <c r="H40" s="76">
        <f t="shared" si="1"/>
        <v>6.2707832572915762E-2</v>
      </c>
      <c r="I40" s="262">
        <v>2869967</v>
      </c>
      <c r="J40" s="262">
        <v>152205</v>
      </c>
      <c r="K40" s="259">
        <f t="shared" si="2"/>
        <v>5.3033710840577619E-2</v>
      </c>
    </row>
    <row r="41" spans="1:11" x14ac:dyDescent="0.3">
      <c r="B41" s="249" t="s">
        <v>249</v>
      </c>
      <c r="C41" s="282">
        <v>388708</v>
      </c>
      <c r="D41" s="282">
        <v>22287</v>
      </c>
      <c r="E41" s="76">
        <f t="shared" si="0"/>
        <v>5.7336098047891991E-2</v>
      </c>
      <c r="F41" s="282">
        <v>421384</v>
      </c>
      <c r="G41" s="282">
        <v>26897</v>
      </c>
      <c r="H41" s="76">
        <f t="shared" si="1"/>
        <v>6.3830140679285399E-2</v>
      </c>
      <c r="I41" s="262">
        <v>393185</v>
      </c>
      <c r="J41" s="262">
        <v>22537</v>
      </c>
      <c r="K41" s="259">
        <f t="shared" si="2"/>
        <v>5.7319073718478573E-2</v>
      </c>
    </row>
    <row r="42" spans="1:11" x14ac:dyDescent="0.3">
      <c r="B42" s="249" t="s">
        <v>250</v>
      </c>
      <c r="C42" s="282">
        <v>20000</v>
      </c>
      <c r="D42" s="282">
        <v>990</v>
      </c>
      <c r="E42" s="76">
        <f t="shared" si="0"/>
        <v>4.9500000000000009E-2</v>
      </c>
      <c r="F42" s="282">
        <v>20000</v>
      </c>
      <c r="G42" s="282">
        <v>1281</v>
      </c>
      <c r="H42" s="76">
        <f t="shared" si="1"/>
        <v>6.4049999999999996E-2</v>
      </c>
      <c r="I42" s="262">
        <v>55853</v>
      </c>
      <c r="J42" s="262">
        <v>3128</v>
      </c>
      <c r="K42" s="259">
        <f t="shared" si="2"/>
        <v>5.6004153760764862E-2</v>
      </c>
    </row>
    <row r="43" spans="1:11" x14ac:dyDescent="0.3">
      <c r="B43" s="249" t="s">
        <v>251</v>
      </c>
      <c r="C43" s="283">
        <f>SUM(C38:C42)</f>
        <v>5630741</v>
      </c>
      <c r="D43" s="283">
        <f>SUM(D38:D42)</f>
        <v>242305</v>
      </c>
      <c r="E43" s="127">
        <f t="shared" si="0"/>
        <v>4.3032524493667887E-2</v>
      </c>
      <c r="F43" s="283">
        <f>SUM(F38:F42)</f>
        <v>6506967</v>
      </c>
      <c r="G43" s="283">
        <f>SUM(G38:G42)</f>
        <v>365600</v>
      </c>
      <c r="H43" s="127">
        <f t="shared" si="1"/>
        <v>5.618593117192696E-2</v>
      </c>
      <c r="I43" s="264">
        <f>SUM(I38:I42)</f>
        <v>6392656</v>
      </c>
      <c r="J43" s="266">
        <f>SUM(J38:J42)</f>
        <v>306086</v>
      </c>
      <c r="K43" s="265">
        <f t="shared" si="2"/>
        <v>4.7880880810730317E-2</v>
      </c>
    </row>
    <row r="44" spans="1:11" x14ac:dyDescent="0.3">
      <c r="C44" s="282"/>
      <c r="D44" s="282"/>
      <c r="E44" s="121"/>
      <c r="F44" s="282"/>
      <c r="G44" s="282"/>
      <c r="H44" s="121"/>
      <c r="I44" s="261"/>
      <c r="J44" s="273"/>
      <c r="K44" s="259"/>
    </row>
    <row r="45" spans="1:11" x14ac:dyDescent="0.3">
      <c r="B45" s="249" t="s">
        <v>252</v>
      </c>
      <c r="C45" s="284">
        <v>696456</v>
      </c>
      <c r="D45" s="101"/>
      <c r="E45" s="118"/>
      <c r="F45" s="284">
        <v>729004</v>
      </c>
      <c r="G45" s="101"/>
      <c r="H45" s="118"/>
      <c r="I45" s="267">
        <v>791274</v>
      </c>
      <c r="J45" s="274"/>
      <c r="K45" s="270"/>
    </row>
    <row r="46" spans="1:11" x14ac:dyDescent="0.3">
      <c r="C46" s="282"/>
      <c r="D46" s="101"/>
      <c r="E46" s="118"/>
      <c r="F46" s="282"/>
      <c r="G46" s="101"/>
      <c r="H46" s="118"/>
      <c r="I46" s="261"/>
      <c r="J46" s="273"/>
      <c r="K46" s="260"/>
    </row>
    <row r="47" spans="1:11" x14ac:dyDescent="0.3">
      <c r="B47" s="249" t="s">
        <v>253</v>
      </c>
      <c r="C47" s="284">
        <f>+C45+C43</f>
        <v>6327197</v>
      </c>
      <c r="D47" s="101"/>
      <c r="E47" s="288"/>
      <c r="F47" s="284">
        <f>+F45+F43</f>
        <v>7235971</v>
      </c>
      <c r="G47" s="101"/>
      <c r="H47" s="288"/>
      <c r="I47" s="275">
        <f>+I45+I43</f>
        <v>7183930</v>
      </c>
      <c r="J47" s="274"/>
      <c r="K47" s="270"/>
    </row>
    <row r="48" spans="1:11" x14ac:dyDescent="0.3">
      <c r="C48" s="282"/>
      <c r="D48" s="101"/>
      <c r="E48" s="118"/>
      <c r="F48" s="282"/>
      <c r="G48" s="101"/>
      <c r="H48" s="118"/>
      <c r="I48" s="261"/>
      <c r="J48" s="273"/>
      <c r="K48" s="260"/>
    </row>
    <row r="49" spans="2:11" x14ac:dyDescent="0.3">
      <c r="B49" s="249" t="s">
        <v>254</v>
      </c>
      <c r="C49" s="284">
        <v>597373</v>
      </c>
      <c r="D49" s="101"/>
      <c r="E49" s="118"/>
      <c r="F49" s="284">
        <v>569486</v>
      </c>
      <c r="G49" s="101"/>
      <c r="H49" s="118"/>
      <c r="I49" s="267">
        <v>534262</v>
      </c>
      <c r="J49" s="274"/>
      <c r="K49" s="270"/>
    </row>
    <row r="50" spans="2:11" x14ac:dyDescent="0.3">
      <c r="C50" s="282"/>
      <c r="D50" s="101"/>
      <c r="E50" s="118"/>
      <c r="F50" s="282"/>
      <c r="G50" s="101"/>
      <c r="H50" s="118"/>
      <c r="I50" s="261"/>
      <c r="J50" s="273"/>
      <c r="K50" s="260"/>
    </row>
    <row r="51" spans="2:11" ht="14.4" thickBot="1" x14ac:dyDescent="0.35">
      <c r="B51" s="251" t="s">
        <v>255</v>
      </c>
      <c r="C51" s="286">
        <f>+C49+C47</f>
        <v>6924570</v>
      </c>
      <c r="D51" s="101"/>
      <c r="E51" s="100"/>
      <c r="F51" s="286">
        <f>+F49+F47</f>
        <v>7805457</v>
      </c>
      <c r="G51" s="101"/>
      <c r="H51" s="100"/>
      <c r="I51" s="276">
        <f>+I49+I47</f>
        <v>7718192</v>
      </c>
      <c r="J51" s="277"/>
      <c r="K51" s="278"/>
    </row>
    <row r="52" spans="2:11" ht="14.4" thickTop="1" x14ac:dyDescent="0.3">
      <c r="C52" s="175"/>
      <c r="D52" s="282"/>
      <c r="E52" s="121"/>
      <c r="F52" s="175"/>
      <c r="G52" s="282"/>
      <c r="H52" s="121"/>
      <c r="I52" s="279"/>
      <c r="J52" s="273"/>
      <c r="K52" s="260"/>
    </row>
    <row r="53" spans="2:11" ht="12.75" hidden="1" customHeight="1" x14ac:dyDescent="0.3">
      <c r="B53" s="249" t="s">
        <v>56</v>
      </c>
      <c r="C53" s="282"/>
      <c r="D53" s="282"/>
      <c r="E53" s="121"/>
      <c r="F53" s="282"/>
      <c r="G53" s="282"/>
      <c r="H53" s="121"/>
      <c r="I53" s="261"/>
      <c r="J53" s="280"/>
      <c r="K53" s="259"/>
    </row>
    <row r="54" spans="2:11" ht="12.75" hidden="1" customHeight="1" x14ac:dyDescent="0.3">
      <c r="C54" s="282"/>
      <c r="D54" s="282"/>
      <c r="E54" s="121"/>
      <c r="F54" s="282"/>
      <c r="G54" s="282"/>
      <c r="H54" s="121"/>
      <c r="I54" s="261"/>
      <c r="J54" s="273"/>
      <c r="K54" s="260"/>
    </row>
    <row r="55" spans="2:11" ht="12.75" hidden="1" customHeight="1" x14ac:dyDescent="0.3">
      <c r="B55" s="249" t="s">
        <v>256</v>
      </c>
      <c r="C55" s="282"/>
      <c r="D55" s="282"/>
      <c r="E55" s="121"/>
      <c r="F55" s="282"/>
      <c r="G55" s="282"/>
      <c r="H55" s="121"/>
      <c r="I55" s="261"/>
      <c r="J55" s="273"/>
      <c r="K55" s="258"/>
    </row>
    <row r="56" spans="2:11" ht="14.4" thickBot="1" x14ac:dyDescent="0.35">
      <c r="B56" s="249" t="s">
        <v>56</v>
      </c>
      <c r="C56" s="282"/>
      <c r="D56" s="286">
        <f>-D43+D30</f>
        <v>266011</v>
      </c>
      <c r="E56" s="121"/>
      <c r="F56" s="282"/>
      <c r="G56" s="286">
        <f>-G43+G34</f>
        <v>271788</v>
      </c>
      <c r="H56" s="121"/>
      <c r="I56" s="261"/>
      <c r="J56" s="257">
        <f>-J43+J34</f>
        <v>282629</v>
      </c>
      <c r="K56" s="260"/>
    </row>
    <row r="57" spans="2:11" ht="14.4" thickTop="1" x14ac:dyDescent="0.3">
      <c r="B57" s="249" t="s">
        <v>256</v>
      </c>
      <c r="C57" s="282"/>
      <c r="D57" s="282"/>
      <c r="E57" s="77">
        <f>+D43/C30*365/365</f>
        <v>3.6749628416295081E-2</v>
      </c>
      <c r="F57" s="282"/>
      <c r="G57" s="282"/>
      <c r="H57" s="77">
        <f>+G43/F30*366/366</f>
        <v>4.9128849815148673E-2</v>
      </c>
      <c r="I57" s="261"/>
      <c r="J57" s="273"/>
      <c r="K57" s="259">
        <f>+J43/I30*365/365</f>
        <v>4.1613242888479972E-2</v>
      </c>
    </row>
    <row r="58" spans="2:11" x14ac:dyDescent="0.3">
      <c r="B58" s="249" t="s">
        <v>84</v>
      </c>
      <c r="C58" s="282"/>
      <c r="D58" s="282"/>
      <c r="E58" s="77">
        <f>(+D56/C30*365/365)</f>
        <v>4.034504201170868E-2</v>
      </c>
      <c r="F58" s="121"/>
      <c r="G58" s="121"/>
      <c r="H58" s="77">
        <f>+G56/F30*366/366</f>
        <v>3.6522515956125892E-2</v>
      </c>
      <c r="I58" s="261"/>
      <c r="J58" s="273"/>
      <c r="K58" s="259">
        <f>+J56/I30*365/365</f>
        <v>3.842419850737442E-2</v>
      </c>
    </row>
  </sheetData>
  <mergeCells count="3">
    <mergeCell ref="C7:E7"/>
    <mergeCell ref="F7:H7"/>
    <mergeCell ref="I7:K7"/>
  </mergeCells>
  <phoneticPr fontId="0" type="noConversion"/>
  <printOptions horizontalCentered="1"/>
  <pageMargins left="0" right="0" top="0" bottom="0" header="0.5" footer="0.5"/>
  <pageSetup scale="80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7.88671875" defaultRowHeight="13.2" x14ac:dyDescent="0.25"/>
  <cols>
    <col min="1" max="1" width="24" style="1" bestFit="1" customWidth="1"/>
    <col min="2" max="2" width="8.5546875" style="1" bestFit="1" customWidth="1"/>
    <col min="3" max="3" width="5.5546875" style="1" bestFit="1" customWidth="1"/>
    <col min="4" max="4" width="8.5546875" style="1" bestFit="1" customWidth="1"/>
    <col min="5" max="5" width="5.5546875" style="1" bestFit="1" customWidth="1"/>
    <col min="6" max="6" width="9.109375" style="1" bestFit="1" customWidth="1"/>
    <col min="7" max="7" width="9.44140625" style="1" customWidth="1"/>
    <col min="8" max="8" width="5.5546875" style="1" bestFit="1" customWidth="1"/>
    <col min="9" max="9" width="9.44140625" style="1" customWidth="1"/>
    <col min="10" max="10" width="5.5546875" style="1" bestFit="1" customWidth="1"/>
    <col min="11" max="11" width="9.109375" style="1" bestFit="1" customWidth="1"/>
    <col min="12" max="12" width="8.5546875" style="1" bestFit="1" customWidth="1"/>
    <col min="13" max="13" width="5.5546875" style="1" bestFit="1" customWidth="1"/>
    <col min="14" max="14" width="9.44140625" style="1" customWidth="1"/>
    <col min="15" max="15" width="5.5546875" style="1" bestFit="1" customWidth="1"/>
    <col min="16" max="16" width="8.33203125" style="1" bestFit="1" customWidth="1"/>
    <col min="17" max="17" width="7.6640625" style="1" bestFit="1" customWidth="1"/>
    <col min="18" max="18" width="7.88671875" style="1" customWidth="1"/>
    <col min="19" max="19" width="8.6640625" style="1" customWidth="1"/>
    <col min="20" max="20" width="7.88671875" style="1" customWidth="1"/>
    <col min="21" max="21" width="8.5546875" style="1" customWidth="1"/>
    <col min="22" max="16384" width="7.88671875" style="1"/>
  </cols>
  <sheetData>
    <row r="1" spans="1:21" x14ac:dyDescent="0.25">
      <c r="A1" s="400" t="s">
        <v>209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</row>
    <row r="2" spans="1:21" x14ac:dyDescent="0.25">
      <c r="A2" s="400" t="s">
        <v>165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</row>
    <row r="3" spans="1:21" x14ac:dyDescent="0.25">
      <c r="A3" s="338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</row>
    <row r="4" spans="1:21" x14ac:dyDescent="0.25">
      <c r="A4" s="121"/>
      <c r="B4" s="402" t="s">
        <v>80</v>
      </c>
      <c r="C4" s="403"/>
      <c r="D4" s="403"/>
      <c r="E4" s="403"/>
      <c r="F4" s="403"/>
      <c r="G4" s="402" t="s">
        <v>199</v>
      </c>
      <c r="H4" s="403"/>
      <c r="I4" s="403"/>
      <c r="J4" s="403"/>
      <c r="K4" s="403"/>
      <c r="L4" s="402" t="s">
        <v>191</v>
      </c>
      <c r="M4" s="403"/>
      <c r="N4" s="403"/>
      <c r="O4" s="403"/>
      <c r="P4" s="403"/>
      <c r="Q4" s="402" t="s">
        <v>200</v>
      </c>
      <c r="R4" s="402"/>
      <c r="S4" s="402"/>
      <c r="T4" s="402"/>
      <c r="U4" s="404"/>
    </row>
    <row r="5" spans="1:21" x14ac:dyDescent="0.25">
      <c r="A5" s="129"/>
      <c r="B5" s="401">
        <v>2003</v>
      </c>
      <c r="C5" s="401"/>
      <c r="D5" s="401">
        <v>2002</v>
      </c>
      <c r="E5" s="401"/>
      <c r="F5" s="295"/>
      <c r="G5" s="401">
        <v>2003</v>
      </c>
      <c r="H5" s="401"/>
      <c r="I5" s="401">
        <v>2002</v>
      </c>
      <c r="J5" s="401"/>
      <c r="K5" s="295"/>
      <c r="L5" s="401">
        <v>2003</v>
      </c>
      <c r="M5" s="401"/>
      <c r="N5" s="401">
        <v>2002</v>
      </c>
      <c r="O5" s="401"/>
      <c r="P5" s="295"/>
      <c r="Q5" s="398">
        <v>2003</v>
      </c>
      <c r="R5" s="399"/>
      <c r="S5" s="401">
        <v>2002</v>
      </c>
      <c r="T5" s="401"/>
      <c r="U5" s="215"/>
    </row>
    <row r="6" spans="1:21" x14ac:dyDescent="0.25">
      <c r="A6" s="129" t="s">
        <v>22</v>
      </c>
      <c r="B6" s="168" t="s">
        <v>77</v>
      </c>
      <c r="C6" s="167" t="s">
        <v>76</v>
      </c>
      <c r="D6" s="168" t="s">
        <v>77</v>
      </c>
      <c r="E6" s="166" t="s">
        <v>76</v>
      </c>
      <c r="F6" s="204" t="s">
        <v>75</v>
      </c>
      <c r="G6" s="168" t="s">
        <v>77</v>
      </c>
      <c r="H6" s="167" t="s">
        <v>76</v>
      </c>
      <c r="I6" s="168" t="s">
        <v>77</v>
      </c>
      <c r="J6" s="166" t="s">
        <v>76</v>
      </c>
      <c r="K6" s="204" t="s">
        <v>75</v>
      </c>
      <c r="L6" s="168" t="s">
        <v>77</v>
      </c>
      <c r="M6" s="167" t="s">
        <v>76</v>
      </c>
      <c r="N6" s="168" t="s">
        <v>77</v>
      </c>
      <c r="O6" s="166" t="s">
        <v>76</v>
      </c>
      <c r="P6" s="204" t="s">
        <v>75</v>
      </c>
      <c r="Q6" s="168" t="s">
        <v>77</v>
      </c>
      <c r="R6" s="167" t="s">
        <v>281</v>
      </c>
      <c r="S6" s="168" t="s">
        <v>77</v>
      </c>
      <c r="T6" s="167" t="s">
        <v>281</v>
      </c>
      <c r="U6" s="204" t="s">
        <v>75</v>
      </c>
    </row>
    <row r="7" spans="1:21" x14ac:dyDescent="0.25">
      <c r="A7" s="121" t="s">
        <v>82</v>
      </c>
      <c r="B7" s="201"/>
      <c r="C7" s="121"/>
      <c r="D7" s="201"/>
      <c r="E7" s="121"/>
      <c r="F7" s="296"/>
      <c r="G7" s="201"/>
      <c r="H7" s="121"/>
      <c r="I7" s="201"/>
      <c r="J7" s="121"/>
      <c r="K7" s="296"/>
      <c r="L7" s="201"/>
      <c r="M7" s="121"/>
      <c r="N7" s="201"/>
      <c r="O7" s="121"/>
      <c r="P7" s="296"/>
      <c r="Q7" s="201"/>
      <c r="R7" s="121"/>
      <c r="S7" s="201"/>
      <c r="T7" s="121"/>
      <c r="U7" s="296"/>
    </row>
    <row r="8" spans="1:21" x14ac:dyDescent="0.25">
      <c r="A8" s="121" t="s">
        <v>141</v>
      </c>
      <c r="B8" s="140">
        <v>640</v>
      </c>
      <c r="C8" s="210">
        <v>0.01</v>
      </c>
      <c r="D8" s="140">
        <v>690</v>
      </c>
      <c r="E8" s="210">
        <v>1.6299999999999999E-2</v>
      </c>
      <c r="F8" s="216">
        <f>-D8+B8</f>
        <v>-50</v>
      </c>
      <c r="G8" s="140">
        <v>649</v>
      </c>
      <c r="H8" s="210">
        <v>1.0699999999999999E-2</v>
      </c>
      <c r="I8" s="140">
        <v>920</v>
      </c>
      <c r="J8" s="210">
        <v>1.6799999999999999E-2</v>
      </c>
      <c r="K8" s="216">
        <f>-I8+G8</f>
        <v>-271</v>
      </c>
      <c r="L8" s="140">
        <v>758</v>
      </c>
      <c r="M8" s="205">
        <v>1.24E-2</v>
      </c>
      <c r="N8" s="140">
        <v>1046</v>
      </c>
      <c r="O8" s="210">
        <v>1.7100000000000001E-2</v>
      </c>
      <c r="P8" s="216">
        <f>-N8+L8</f>
        <v>-288</v>
      </c>
      <c r="Q8" s="140">
        <v>607</v>
      </c>
      <c r="R8" s="205">
        <v>1.1900000000000001E-2</v>
      </c>
      <c r="S8" s="140">
        <v>1744</v>
      </c>
      <c r="T8" s="205">
        <v>1.77E-2</v>
      </c>
      <c r="U8" s="216">
        <f>-S8+Q8</f>
        <v>-1137</v>
      </c>
    </row>
    <row r="9" spans="1:21" x14ac:dyDescent="0.25">
      <c r="A9" s="169" t="s">
        <v>16</v>
      </c>
      <c r="B9" s="51">
        <v>58539</v>
      </c>
      <c r="C9" s="205">
        <v>5.8000000000000003E-2</v>
      </c>
      <c r="D9" s="51">
        <v>65940</v>
      </c>
      <c r="E9" s="205">
        <v>6.83E-2</v>
      </c>
      <c r="F9" s="211">
        <f>-D9+B9</f>
        <v>-7401</v>
      </c>
      <c r="G9" s="51">
        <v>59295</v>
      </c>
      <c r="H9" s="205">
        <v>5.9900000000000002E-2</v>
      </c>
      <c r="I9" s="51">
        <v>71072</v>
      </c>
      <c r="J9" s="205">
        <v>7.0900000000000005E-2</v>
      </c>
      <c r="K9" s="211">
        <f>-I9+G9</f>
        <v>-11777</v>
      </c>
      <c r="L9" s="51">
        <v>61702</v>
      </c>
      <c r="M9" s="205">
        <v>6.1499999999999999E-2</v>
      </c>
      <c r="N9" s="51">
        <v>75961</v>
      </c>
      <c r="O9" s="205">
        <v>7.2300000000000003E-2</v>
      </c>
      <c r="P9" s="211">
        <f>-N9+L9</f>
        <v>-14259</v>
      </c>
      <c r="Q9" s="51">
        <v>60937</v>
      </c>
      <c r="R9" s="205">
        <v>6.4899999999999999E-2</v>
      </c>
      <c r="S9" s="51">
        <v>78854</v>
      </c>
      <c r="T9" s="205">
        <v>7.3700000000000002E-2</v>
      </c>
      <c r="U9" s="211">
        <f>-S9+Q9</f>
        <v>-17917</v>
      </c>
    </row>
    <row r="10" spans="1:21" x14ac:dyDescent="0.25">
      <c r="A10" s="169" t="s">
        <v>79</v>
      </c>
      <c r="B10" s="51">
        <v>32145</v>
      </c>
      <c r="C10" s="205">
        <v>4.9700000000000001E-2</v>
      </c>
      <c r="D10" s="51">
        <v>19887</v>
      </c>
      <c r="E10" s="205">
        <v>4.0099999999999997E-2</v>
      </c>
      <c r="F10" s="211">
        <f>-D10+B10</f>
        <v>12258</v>
      </c>
      <c r="G10" s="51">
        <v>26158</v>
      </c>
      <c r="H10" s="205">
        <v>4.4900000000000002E-2</v>
      </c>
      <c r="I10" s="51">
        <v>20350</v>
      </c>
      <c r="J10" s="205">
        <v>3.9899999999999998E-2</v>
      </c>
      <c r="K10" s="211">
        <f>-I10+G10</f>
        <v>5808</v>
      </c>
      <c r="L10" s="51">
        <v>19999</v>
      </c>
      <c r="M10" s="205">
        <v>4.4299999999999999E-2</v>
      </c>
      <c r="N10" s="51">
        <v>23782</v>
      </c>
      <c r="O10" s="205">
        <v>4.5199999999999997E-2</v>
      </c>
      <c r="P10" s="211">
        <f>-N10+L10</f>
        <v>-3783</v>
      </c>
      <c r="Q10" s="51">
        <v>21869</v>
      </c>
      <c r="R10" s="205">
        <v>4.1700000000000001E-2</v>
      </c>
      <c r="S10" s="51">
        <v>18281</v>
      </c>
      <c r="T10" s="205">
        <v>4.02E-2</v>
      </c>
      <c r="U10" s="211">
        <f>-S10+Q10</f>
        <v>3588</v>
      </c>
    </row>
    <row r="11" spans="1:21" x14ac:dyDescent="0.25">
      <c r="A11" s="129"/>
      <c r="B11" s="151">
        <f>SUM(B8:B10)</f>
        <v>91324</v>
      </c>
      <c r="C11" s="206">
        <v>5.3699999999999998E-2</v>
      </c>
      <c r="D11" s="151">
        <f>SUM(D8:D10)</f>
        <v>86517</v>
      </c>
      <c r="E11" s="206">
        <v>5.7500000000000002E-2</v>
      </c>
      <c r="F11" s="217">
        <f>SUM(F8:F10)</f>
        <v>4807</v>
      </c>
      <c r="G11" s="151">
        <f>SUM(G8:G10)</f>
        <v>86102</v>
      </c>
      <c r="H11" s="206">
        <v>5.2699999999999997E-2</v>
      </c>
      <c r="I11" s="151">
        <f>SUM(I8:I10)</f>
        <v>92342</v>
      </c>
      <c r="J11" s="206">
        <v>5.8900000000000001E-2</v>
      </c>
      <c r="K11" s="217">
        <f>SUM(K8:K10)</f>
        <v>-6240</v>
      </c>
      <c r="L11" s="151">
        <f>SUM(L8:L10)</f>
        <v>82459</v>
      </c>
      <c r="M11" s="206">
        <v>5.4399999999999997E-2</v>
      </c>
      <c r="N11" s="151">
        <f>SUM(N8:N10)</f>
        <v>100789</v>
      </c>
      <c r="O11" s="206">
        <v>6.1600000000000002E-2</v>
      </c>
      <c r="P11" s="217">
        <f>SUM(P8:P10)</f>
        <v>-18330</v>
      </c>
      <c r="Q11" s="151">
        <f>SUM(Q8:Q10)</f>
        <v>83413</v>
      </c>
      <c r="R11" s="206">
        <v>5.5E-2</v>
      </c>
      <c r="S11" s="151">
        <f>SUM(S8:S10)</f>
        <v>98879</v>
      </c>
      <c r="T11" s="206">
        <v>6.0900000000000003E-2</v>
      </c>
      <c r="U11" s="217">
        <f>SUM(U8:U10)</f>
        <v>-15466</v>
      </c>
    </row>
    <row r="12" spans="1:21" x14ac:dyDescent="0.25">
      <c r="A12" s="121" t="s">
        <v>81</v>
      </c>
      <c r="B12" s="51"/>
      <c r="C12" s="171"/>
      <c r="D12" s="51"/>
      <c r="E12" s="171"/>
      <c r="F12" s="211"/>
      <c r="G12" s="51"/>
      <c r="H12" s="171"/>
      <c r="I12" s="51"/>
      <c r="J12" s="121"/>
      <c r="K12" s="211"/>
      <c r="L12" s="51"/>
      <c r="M12" s="171"/>
      <c r="N12" s="51"/>
      <c r="O12" s="121"/>
      <c r="P12" s="211"/>
      <c r="Q12" s="51"/>
      <c r="R12" s="171"/>
      <c r="S12" s="51"/>
      <c r="T12" s="121"/>
      <c r="U12" s="211"/>
    </row>
    <row r="13" spans="1:21" x14ac:dyDescent="0.25">
      <c r="A13" s="169" t="s">
        <v>142</v>
      </c>
      <c r="B13" s="51">
        <v>5801</v>
      </c>
      <c r="C13" s="205">
        <v>1.2500000000000001E-2</v>
      </c>
      <c r="D13" s="51">
        <v>9134</v>
      </c>
      <c r="E13" s="205">
        <v>1.9300000000000001E-2</v>
      </c>
      <c r="F13" s="211">
        <f>-D13+B13</f>
        <v>-3333</v>
      </c>
      <c r="G13" s="51">
        <v>5846</v>
      </c>
      <c r="H13" s="205">
        <v>1.26E-2</v>
      </c>
      <c r="I13" s="51">
        <v>9138</v>
      </c>
      <c r="J13" s="205">
        <v>2.0299999999999999E-2</v>
      </c>
      <c r="K13" s="211">
        <f>-I13+G13</f>
        <v>-3292</v>
      </c>
      <c r="L13" s="51">
        <v>6788</v>
      </c>
      <c r="M13" s="205">
        <v>1.47E-2</v>
      </c>
      <c r="N13" s="51">
        <v>8437</v>
      </c>
      <c r="O13" s="205">
        <v>2.0500000000000001E-2</v>
      </c>
      <c r="P13" s="211">
        <f>-N13+L13</f>
        <v>-1649</v>
      </c>
      <c r="Q13" s="51">
        <v>7520</v>
      </c>
      <c r="R13" s="205">
        <v>1.6799999999999999E-2</v>
      </c>
      <c r="S13" s="51">
        <v>7937</v>
      </c>
      <c r="T13" s="205">
        <v>0.02</v>
      </c>
      <c r="U13" s="211">
        <f>-S13+Q13</f>
        <v>-417</v>
      </c>
    </row>
    <row r="14" spans="1:21" x14ac:dyDescent="0.25">
      <c r="A14" s="170" t="s">
        <v>143</v>
      </c>
      <c r="B14" s="51">
        <v>7306</v>
      </c>
      <c r="C14" s="205">
        <v>2.0899999999999998E-2</v>
      </c>
      <c r="D14" s="51">
        <v>11457</v>
      </c>
      <c r="E14" s="205">
        <v>3.2199999999999999E-2</v>
      </c>
      <c r="F14" s="211">
        <f>-D14+B14</f>
        <v>-4151</v>
      </c>
      <c r="G14" s="51">
        <v>6942</v>
      </c>
      <c r="H14" s="205">
        <v>2.3300000000000001E-2</v>
      </c>
      <c r="I14" s="51">
        <v>12176</v>
      </c>
      <c r="J14" s="205">
        <v>2.7900000000000001E-2</v>
      </c>
      <c r="K14" s="211">
        <f>-I14+G14</f>
        <v>-5234</v>
      </c>
      <c r="L14" s="51">
        <v>7281</v>
      </c>
      <c r="M14" s="205">
        <v>2.4400000000000002E-2</v>
      </c>
      <c r="N14" s="51">
        <v>13222</v>
      </c>
      <c r="O14" s="205">
        <v>2.76E-2</v>
      </c>
      <c r="P14" s="211">
        <f>-N14+L14</f>
        <v>-5941</v>
      </c>
      <c r="Q14" s="51">
        <v>8547</v>
      </c>
      <c r="R14" s="205">
        <v>2.53E-2</v>
      </c>
      <c r="S14" s="51">
        <v>12906</v>
      </c>
      <c r="T14" s="205">
        <v>2.69E-2</v>
      </c>
      <c r="U14" s="211">
        <f>-S14+Q14</f>
        <v>-4359</v>
      </c>
    </row>
    <row r="15" spans="1:21" x14ac:dyDescent="0.25">
      <c r="A15" s="169" t="s">
        <v>45</v>
      </c>
      <c r="B15" s="51">
        <v>16428</v>
      </c>
      <c r="C15" s="205">
        <v>2.7099999999999999E-2</v>
      </c>
      <c r="D15" s="51">
        <v>12942</v>
      </c>
      <c r="E15" s="205">
        <v>3.7699999999999997E-2</v>
      </c>
      <c r="F15" s="211">
        <f>-D15+B15</f>
        <v>3486</v>
      </c>
      <c r="G15" s="51">
        <v>16832</v>
      </c>
      <c r="H15" s="205">
        <v>2.93E-2</v>
      </c>
      <c r="I15" s="51">
        <v>13746</v>
      </c>
      <c r="J15" s="205">
        <v>3.9199999999999999E-2</v>
      </c>
      <c r="K15" s="211">
        <f>-I15+G15</f>
        <v>3086</v>
      </c>
      <c r="L15" s="51">
        <v>14850</v>
      </c>
      <c r="M15" s="205">
        <v>3.4700000000000002E-2</v>
      </c>
      <c r="N15" s="51">
        <v>14284</v>
      </c>
      <c r="O15" s="205">
        <v>3.5400000000000001E-2</v>
      </c>
      <c r="P15" s="211">
        <f>-N15+L15</f>
        <v>566</v>
      </c>
      <c r="Q15" s="51">
        <v>15172</v>
      </c>
      <c r="R15" s="205">
        <v>3.73E-2</v>
      </c>
      <c r="S15" s="51">
        <v>15397</v>
      </c>
      <c r="T15" s="205">
        <v>3.8100000000000002E-2</v>
      </c>
      <c r="U15" s="211">
        <f>-S15+Q15</f>
        <v>-225</v>
      </c>
    </row>
    <row r="16" spans="1:21" x14ac:dyDescent="0.25">
      <c r="A16" s="169" t="s">
        <v>46</v>
      </c>
      <c r="B16" s="51">
        <f>1819+30</f>
        <v>1849</v>
      </c>
      <c r="C16" s="205">
        <v>4.5699999999999998E-2</v>
      </c>
      <c r="D16" s="51">
        <f>4531+250</f>
        <v>4781</v>
      </c>
      <c r="E16" s="205">
        <v>5.4100000000000002E-2</v>
      </c>
      <c r="F16" s="211">
        <f>-D16+B16</f>
        <v>-2932</v>
      </c>
      <c r="G16" s="51">
        <f>2914+172</f>
        <v>3086</v>
      </c>
      <c r="H16" s="205">
        <v>6.9199999999999998E-2</v>
      </c>
      <c r="I16" s="51">
        <f>4296+278</f>
        <v>4574</v>
      </c>
      <c r="J16" s="205">
        <v>5.1499999999999997E-2</v>
      </c>
      <c r="K16" s="211">
        <f>-I16+G16</f>
        <v>-1488</v>
      </c>
      <c r="L16" s="51">
        <f>3924+191</f>
        <v>4115</v>
      </c>
      <c r="M16" s="205">
        <v>5.1299999999999998E-2</v>
      </c>
      <c r="N16" s="51">
        <v>4840</v>
      </c>
      <c r="O16" s="205">
        <v>5.28E-2</v>
      </c>
      <c r="P16" s="211">
        <f>-N16+L16</f>
        <v>-725</v>
      </c>
      <c r="Q16" s="51">
        <f>3929+227</f>
        <v>4156</v>
      </c>
      <c r="R16" s="205">
        <v>4.99E-2</v>
      </c>
      <c r="S16" s="51">
        <v>4943</v>
      </c>
      <c r="T16" s="205">
        <v>5.2400000000000002E-2</v>
      </c>
      <c r="U16" s="211">
        <f>-S16+Q16</f>
        <v>-787</v>
      </c>
    </row>
    <row r="17" spans="1:21" x14ac:dyDescent="0.25">
      <c r="A17" s="129"/>
      <c r="B17" s="151">
        <f>SUM(B13:B16)</f>
        <v>31384</v>
      </c>
      <c r="C17" s="206">
        <v>2.1600000000000001E-2</v>
      </c>
      <c r="D17" s="151">
        <f>SUM(D13:D16)</f>
        <v>38314</v>
      </c>
      <c r="E17" s="206">
        <v>3.04E-2</v>
      </c>
      <c r="F17" s="217">
        <f>SUM(F13:F16)</f>
        <v>-6930</v>
      </c>
      <c r="G17" s="151">
        <f>SUM(G13:G16)</f>
        <v>32706</v>
      </c>
      <c r="H17" s="206">
        <v>2.3800000000000002E-2</v>
      </c>
      <c r="I17" s="151">
        <f>SUM(I13:I16)</f>
        <v>39634</v>
      </c>
      <c r="J17" s="206">
        <v>2.9899999999999999E-2</v>
      </c>
      <c r="K17" s="217">
        <f>SUM(K13:K16)</f>
        <v>-6928</v>
      </c>
      <c r="L17" s="151">
        <f>SUM(L13:L16)</f>
        <v>33034</v>
      </c>
      <c r="M17" s="206">
        <v>2.6100000000000002E-2</v>
      </c>
      <c r="N17" s="151">
        <f>SUM(N13:N16)</f>
        <v>40783</v>
      </c>
      <c r="O17" s="206">
        <v>2.9499999999999998E-2</v>
      </c>
      <c r="P17" s="217">
        <f>SUM(P13:P16)</f>
        <v>-7749</v>
      </c>
      <c r="Q17" s="151">
        <f>SUM(Q13:Q16)</f>
        <v>35395</v>
      </c>
      <c r="R17" s="206">
        <v>2.7799999999999998E-2</v>
      </c>
      <c r="S17" s="151">
        <f>SUM(S13:S16)</f>
        <v>41183</v>
      </c>
      <c r="T17" s="206">
        <v>2.9899999999999999E-2</v>
      </c>
      <c r="U17" s="217">
        <f>SUM(U13:U16)</f>
        <v>-5788</v>
      </c>
    </row>
    <row r="18" spans="1:21" x14ac:dyDescent="0.25">
      <c r="A18" s="129" t="s">
        <v>56</v>
      </c>
      <c r="B18" s="153">
        <f>-B17+B11</f>
        <v>59940</v>
      </c>
      <c r="C18" s="207"/>
      <c r="D18" s="153">
        <f>-D17+D11</f>
        <v>48203</v>
      </c>
      <c r="E18" s="129"/>
      <c r="F18" s="212">
        <f>-F17+F11</f>
        <v>11737</v>
      </c>
      <c r="G18" s="153">
        <f>-G17+G11</f>
        <v>53396</v>
      </c>
      <c r="H18" s="207"/>
      <c r="I18" s="153">
        <f>-I17+I11</f>
        <v>52708</v>
      </c>
      <c r="J18" s="129"/>
      <c r="K18" s="212">
        <f>-K17+K11</f>
        <v>688</v>
      </c>
      <c r="L18" s="153">
        <f>-L17+L11</f>
        <v>49425</v>
      </c>
      <c r="M18" s="207"/>
      <c r="N18" s="153">
        <f>-N17+N11</f>
        <v>60006</v>
      </c>
      <c r="O18" s="129"/>
      <c r="P18" s="212">
        <f>-P17+P11</f>
        <v>-10581</v>
      </c>
      <c r="Q18" s="153">
        <f>-Q17+Q11</f>
        <v>48018</v>
      </c>
      <c r="R18" s="207"/>
      <c r="S18" s="153">
        <f>-S17+S11</f>
        <v>57696</v>
      </c>
      <c r="T18" s="129"/>
      <c r="U18" s="212">
        <f>-U17+U11</f>
        <v>-9678</v>
      </c>
    </row>
    <row r="19" spans="1:21" ht="13.8" thickBot="1" x14ac:dyDescent="0.3">
      <c r="A19" s="130" t="s">
        <v>83</v>
      </c>
      <c r="B19" s="202"/>
      <c r="C19" s="208">
        <f>-C17+C11</f>
        <v>3.2099999999999997E-2</v>
      </c>
      <c r="D19" s="202"/>
      <c r="E19" s="131">
        <f>-E17+E11</f>
        <v>2.7100000000000003E-2</v>
      </c>
      <c r="F19" s="213"/>
      <c r="G19" s="202"/>
      <c r="H19" s="208">
        <f>-H17+H11</f>
        <v>2.8899999999999995E-2</v>
      </c>
      <c r="I19" s="202"/>
      <c r="J19" s="131">
        <f>-J17+J11</f>
        <v>2.9000000000000001E-2</v>
      </c>
      <c r="K19" s="213"/>
      <c r="L19" s="202"/>
      <c r="M19" s="208">
        <f>-M17+M11</f>
        <v>2.8299999999999995E-2</v>
      </c>
      <c r="N19" s="202"/>
      <c r="O19" s="131">
        <f>-O17+O11</f>
        <v>3.2100000000000004E-2</v>
      </c>
      <c r="P19" s="213"/>
      <c r="Q19" s="202"/>
      <c r="R19" s="208">
        <f>-R17+R11</f>
        <v>2.7200000000000002E-2</v>
      </c>
      <c r="S19" s="202"/>
      <c r="T19" s="131">
        <f>-T17+T11</f>
        <v>3.1000000000000003E-2</v>
      </c>
      <c r="U19" s="213"/>
    </row>
    <row r="20" spans="1:21" ht="13.8" thickBot="1" x14ac:dyDescent="0.3">
      <c r="A20" s="132" t="s">
        <v>84</v>
      </c>
      <c r="B20" s="203"/>
      <c r="C20" s="209">
        <v>3.4799999999999998E-2</v>
      </c>
      <c r="D20" s="203"/>
      <c r="E20" s="209">
        <v>3.2000000000000001E-2</v>
      </c>
      <c r="F20" s="214"/>
      <c r="G20" s="203"/>
      <c r="H20" s="209">
        <v>3.27E-2</v>
      </c>
      <c r="I20" s="203"/>
      <c r="J20" s="209">
        <v>3.3599999999999998E-2</v>
      </c>
      <c r="K20" s="214"/>
      <c r="L20" s="203"/>
      <c r="M20" s="209">
        <v>3.2599999999999997E-2</v>
      </c>
      <c r="N20" s="203"/>
      <c r="O20" s="209">
        <v>3.6700000000000003E-2</v>
      </c>
      <c r="P20" s="214"/>
      <c r="Q20" s="203"/>
      <c r="R20" s="209">
        <v>3.1699999999999999E-2</v>
      </c>
      <c r="S20" s="203"/>
      <c r="T20" s="209">
        <v>3.5499999999999997E-2</v>
      </c>
      <c r="U20" s="214"/>
    </row>
    <row r="21" spans="1:21" x14ac:dyDescent="0.25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</row>
    <row r="22" spans="1:21" x14ac:dyDescent="0.25">
      <c r="A22" s="121" t="s">
        <v>167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</row>
    <row r="23" spans="1:21" hidden="1" x14ac:dyDescent="0.25">
      <c r="A23" s="400" t="s">
        <v>166</v>
      </c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</row>
    <row r="24" spans="1:21" x14ac:dyDescent="0.25">
      <c r="A24" s="1" t="s">
        <v>167</v>
      </c>
    </row>
  </sheetData>
  <mergeCells count="15">
    <mergeCell ref="A1:U1"/>
    <mergeCell ref="A2:U2"/>
    <mergeCell ref="G4:K4"/>
    <mergeCell ref="L5:M5"/>
    <mergeCell ref="N5:O5"/>
    <mergeCell ref="G5:H5"/>
    <mergeCell ref="B4:F4"/>
    <mergeCell ref="L4:P4"/>
    <mergeCell ref="Q4:U4"/>
    <mergeCell ref="Q5:R5"/>
    <mergeCell ref="A23:P23"/>
    <mergeCell ref="D5:E5"/>
    <mergeCell ref="I5:J5"/>
    <mergeCell ref="B5:C5"/>
    <mergeCell ref="S5:T5"/>
  </mergeCells>
  <phoneticPr fontId="0" type="noConversion"/>
  <printOptions horizontalCentered="1"/>
  <pageMargins left="0" right="0" top="0.54" bottom="0.25" header="0.5" footer="0.28000000000000003"/>
  <pageSetup scale="90" orientation="landscape" r:id="rId1"/>
  <headerFooter alignWithMargins="0"/>
  <rowBreaks count="1" manualBreakCount="1">
    <brk id="2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workbookViewId="0">
      <selection sqref="A1:P1"/>
    </sheetView>
  </sheetViews>
  <sheetFormatPr defaultColWidth="9.109375" defaultRowHeight="13.2" x14ac:dyDescent="0.25"/>
  <cols>
    <col min="1" max="1" width="16.44140625" style="1" bestFit="1" customWidth="1"/>
    <col min="2" max="2" width="9.88671875" style="1" bestFit="1" customWidth="1"/>
    <col min="3" max="3" width="8.5546875" style="1" bestFit="1" customWidth="1"/>
    <col min="4" max="4" width="7" style="1" bestFit="1" customWidth="1"/>
    <col min="5" max="5" width="9.88671875" style="1" bestFit="1" customWidth="1"/>
    <col min="6" max="6" width="7.6640625" style="1" bestFit="1" customWidth="1"/>
    <col min="7" max="7" width="7" style="1" bestFit="1" customWidth="1"/>
    <col min="8" max="8" width="10.44140625" style="1" customWidth="1"/>
    <col min="9" max="9" width="7.6640625" style="1" bestFit="1" customWidth="1"/>
    <col min="10" max="10" width="7" style="1" bestFit="1" customWidth="1"/>
    <col min="11" max="11" width="10.44140625" style="1" customWidth="1"/>
    <col min="12" max="12" width="7.6640625" style="1" bestFit="1" customWidth="1"/>
    <col min="13" max="13" width="7" style="1" bestFit="1" customWidth="1"/>
    <col min="14" max="14" width="10.44140625" style="1" customWidth="1"/>
    <col min="15" max="15" width="9" style="1" customWidth="1"/>
    <col min="16" max="16" width="7" style="1" bestFit="1" customWidth="1"/>
    <col min="17" max="16384" width="9.109375" style="1"/>
  </cols>
  <sheetData>
    <row r="1" spans="1:16" x14ac:dyDescent="0.25">
      <c r="A1" s="391" t="s">
        <v>209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</row>
    <row r="2" spans="1:16" x14ac:dyDescent="0.25">
      <c r="A2" s="391" t="s">
        <v>195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</row>
    <row r="6" spans="1:16" x14ac:dyDescent="0.25">
      <c r="A6" s="1" t="s">
        <v>30</v>
      </c>
      <c r="B6" s="390">
        <v>2003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  <c r="O6" s="390"/>
      <c r="P6" s="390"/>
    </row>
    <row r="7" spans="1:16" x14ac:dyDescent="0.25">
      <c r="A7" s="2"/>
      <c r="B7" s="405" t="s">
        <v>0</v>
      </c>
      <c r="C7" s="405"/>
      <c r="D7" s="405"/>
      <c r="E7" s="405" t="s">
        <v>80</v>
      </c>
      <c r="F7" s="405"/>
      <c r="G7" s="405"/>
      <c r="H7" s="406" t="s">
        <v>199</v>
      </c>
      <c r="I7" s="405"/>
      <c r="J7" s="407"/>
      <c r="K7" s="406" t="s">
        <v>191</v>
      </c>
      <c r="L7" s="405"/>
      <c r="M7" s="407"/>
      <c r="N7" s="406" t="s">
        <v>200</v>
      </c>
      <c r="O7" s="405"/>
      <c r="P7" s="407"/>
    </row>
    <row r="8" spans="1:16" x14ac:dyDescent="0.25">
      <c r="A8" s="324"/>
      <c r="B8" s="8" t="s">
        <v>196</v>
      </c>
      <c r="C8" s="8" t="s">
        <v>197</v>
      </c>
      <c r="D8" s="8" t="s">
        <v>198</v>
      </c>
      <c r="E8" s="8" t="s">
        <v>196</v>
      </c>
      <c r="F8" s="8" t="s">
        <v>197</v>
      </c>
      <c r="G8" s="8" t="s">
        <v>198</v>
      </c>
      <c r="H8" s="15" t="s">
        <v>196</v>
      </c>
      <c r="I8" s="8" t="s">
        <v>197</v>
      </c>
      <c r="J8" s="81" t="s">
        <v>198</v>
      </c>
      <c r="K8" s="15" t="s">
        <v>196</v>
      </c>
      <c r="L8" s="8" t="s">
        <v>197</v>
      </c>
      <c r="M8" s="81" t="s">
        <v>198</v>
      </c>
      <c r="N8" s="15" t="s">
        <v>196</v>
      </c>
      <c r="O8" s="8" t="s">
        <v>197</v>
      </c>
      <c r="P8" s="81" t="s">
        <v>198</v>
      </c>
    </row>
    <row r="9" spans="1:16" x14ac:dyDescent="0.25">
      <c r="A9" s="19" t="s">
        <v>85</v>
      </c>
      <c r="H9" s="19"/>
      <c r="I9" s="13"/>
      <c r="J9" s="64"/>
      <c r="K9" s="19"/>
      <c r="L9" s="13"/>
      <c r="M9" s="64"/>
      <c r="N9" s="19"/>
      <c r="O9" s="13"/>
      <c r="P9" s="64"/>
    </row>
    <row r="10" spans="1:16" x14ac:dyDescent="0.25">
      <c r="A10" s="199" t="s">
        <v>144</v>
      </c>
      <c r="B10" s="78">
        <v>1338805</v>
      </c>
      <c r="C10" s="78">
        <v>66039</v>
      </c>
      <c r="D10" s="76">
        <f>+C10/B10</f>
        <v>4.9326825041734981E-2</v>
      </c>
      <c r="E10" s="78">
        <v>1402578</v>
      </c>
      <c r="F10" s="78">
        <v>16848</v>
      </c>
      <c r="G10" s="76">
        <f>+F10/E10*365/92</f>
        <v>4.765696360248925E-2</v>
      </c>
      <c r="H10" s="140">
        <f>1395696-29304</f>
        <v>1366392</v>
      </c>
      <c r="I10" s="40">
        <v>16274</v>
      </c>
      <c r="J10" s="218">
        <f>+I10/H10*365/92</f>
        <v>4.7252418110583581E-2</v>
      </c>
      <c r="K10" s="140">
        <f>1285139-275-1</f>
        <v>1284863</v>
      </c>
      <c r="L10" s="40">
        <v>15724</v>
      </c>
      <c r="M10" s="218">
        <f>+L10/K10*365/91</f>
        <v>4.9086004662591429E-2</v>
      </c>
      <c r="N10" s="140">
        <v>1298377</v>
      </c>
      <c r="O10" s="40">
        <v>16087</v>
      </c>
      <c r="P10" s="218">
        <f>+O10/N10*365/90</f>
        <v>5.0248673707422593E-2</v>
      </c>
    </row>
    <row r="11" spans="1:16" x14ac:dyDescent="0.25">
      <c r="A11" s="199" t="s">
        <v>86</v>
      </c>
      <c r="B11" s="50">
        <v>62635</v>
      </c>
      <c r="C11" s="50">
        <v>2455</v>
      </c>
      <c r="D11" s="76">
        <f t="shared" ref="D11:D16" si="0">+C11/B11</f>
        <v>3.9195338069769298E-2</v>
      </c>
      <c r="E11" s="50">
        <v>58441</v>
      </c>
      <c r="F11" s="50">
        <v>518</v>
      </c>
      <c r="G11" s="76">
        <f t="shared" ref="G11:G16" si="1">+F11/E11*365/92</f>
        <v>3.516552926288348E-2</v>
      </c>
      <c r="H11" s="38">
        <v>59974</v>
      </c>
      <c r="I11" s="42">
        <v>551</v>
      </c>
      <c r="J11" s="218">
        <f t="shared" ref="J11:J16" si="2">+I11/H11*365/92</f>
        <v>3.644967166931757E-2</v>
      </c>
      <c r="K11" s="38">
        <v>65048</v>
      </c>
      <c r="L11" s="42">
        <v>770</v>
      </c>
      <c r="M11" s="218">
        <f t="shared" ref="M11:M16" si="3">+L11/K11*365/91</f>
        <v>4.7479730944249447E-2</v>
      </c>
      <c r="N11" s="38">
        <v>67200</v>
      </c>
      <c r="O11" s="42">
        <v>615</v>
      </c>
      <c r="P11" s="218">
        <f t="shared" ref="P11:P16" si="4">+O11/N11*365/90</f>
        <v>3.7115575396825404E-2</v>
      </c>
    </row>
    <row r="12" spans="1:16" x14ac:dyDescent="0.25">
      <c r="A12" s="199" t="s">
        <v>145</v>
      </c>
      <c r="B12" s="50">
        <v>71962</v>
      </c>
      <c r="C12" s="50">
        <v>4923</v>
      </c>
      <c r="D12" s="76">
        <f t="shared" si="0"/>
        <v>6.841110586142686E-2</v>
      </c>
      <c r="E12" s="50">
        <v>72304</v>
      </c>
      <c r="F12" s="50">
        <v>1144</v>
      </c>
      <c r="G12" s="76">
        <f t="shared" si="1"/>
        <v>6.2772400588818236E-2</v>
      </c>
      <c r="H12" s="38">
        <v>73069</v>
      </c>
      <c r="I12" s="42">
        <v>1242</v>
      </c>
      <c r="J12" s="218">
        <f t="shared" si="2"/>
        <v>6.743625887859421E-2</v>
      </c>
      <c r="K12" s="38">
        <v>70035</v>
      </c>
      <c r="L12" s="42">
        <v>1296</v>
      </c>
      <c r="M12" s="218">
        <f t="shared" si="3"/>
        <v>7.4223484803908876E-2</v>
      </c>
      <c r="N12" s="38">
        <v>72429</v>
      </c>
      <c r="O12" s="42">
        <v>1241</v>
      </c>
      <c r="P12" s="218">
        <f t="shared" si="4"/>
        <v>6.9487973663096891E-2</v>
      </c>
    </row>
    <row r="13" spans="1:16" x14ac:dyDescent="0.25">
      <c r="A13" s="199" t="s">
        <v>146</v>
      </c>
      <c r="B13" s="50">
        <v>12578</v>
      </c>
      <c r="C13" s="50">
        <v>559</v>
      </c>
      <c r="D13" s="76">
        <f t="shared" si="0"/>
        <v>4.4442677691206869E-2</v>
      </c>
      <c r="E13" s="50">
        <v>14179</v>
      </c>
      <c r="F13" s="50">
        <v>175</v>
      </c>
      <c r="G13" s="76">
        <f t="shared" si="1"/>
        <v>4.8966321902875351E-2</v>
      </c>
      <c r="H13" s="38">
        <v>10873</v>
      </c>
      <c r="I13" s="42">
        <v>118</v>
      </c>
      <c r="J13" s="218">
        <f t="shared" si="2"/>
        <v>4.3056394179439295E-2</v>
      </c>
      <c r="K13" s="38">
        <v>11725</v>
      </c>
      <c r="L13" s="42">
        <v>124</v>
      </c>
      <c r="M13" s="218">
        <f t="shared" si="3"/>
        <v>4.2418988261205749E-2</v>
      </c>
      <c r="N13" s="38">
        <v>13546</v>
      </c>
      <c r="O13" s="42">
        <v>143</v>
      </c>
      <c r="P13" s="218">
        <f t="shared" si="4"/>
        <v>4.2812966517381104E-2</v>
      </c>
    </row>
    <row r="14" spans="1:16" x14ac:dyDescent="0.25">
      <c r="A14" s="199" t="s">
        <v>148</v>
      </c>
      <c r="B14" s="50">
        <v>510501</v>
      </c>
      <c r="C14" s="50">
        <v>17324</v>
      </c>
      <c r="D14" s="76">
        <f t="shared" si="0"/>
        <v>3.3935291018039139E-2</v>
      </c>
      <c r="E14" s="50">
        <v>515152</v>
      </c>
      <c r="F14" s="50">
        <v>4265</v>
      </c>
      <c r="G14" s="76">
        <f t="shared" si="1"/>
        <v>3.2846468446290571E-2</v>
      </c>
      <c r="H14" s="38">
        <v>521650</v>
      </c>
      <c r="I14" s="42">
        <v>4650</v>
      </c>
      <c r="J14" s="218">
        <f t="shared" si="2"/>
        <v>3.5365416592001132E-2</v>
      </c>
      <c r="K14" s="51">
        <v>498769</v>
      </c>
      <c r="L14" s="42">
        <v>4569</v>
      </c>
      <c r="M14" s="218">
        <f t="shared" si="3"/>
        <v>3.6742878549406215E-2</v>
      </c>
      <c r="N14" s="38">
        <v>506208</v>
      </c>
      <c r="O14" s="42">
        <v>4493</v>
      </c>
      <c r="P14" s="218">
        <f t="shared" si="4"/>
        <v>3.5996292257552451E-2</v>
      </c>
    </row>
    <row r="15" spans="1:16" x14ac:dyDescent="0.25">
      <c r="A15" s="19" t="s">
        <v>149</v>
      </c>
      <c r="B15" s="50">
        <v>257668</v>
      </c>
      <c r="C15" s="50">
        <v>12546</v>
      </c>
      <c r="D15" s="76">
        <f t="shared" si="0"/>
        <v>4.869056305012652E-2</v>
      </c>
      <c r="E15" s="50">
        <v>214135</v>
      </c>
      <c r="F15" s="50">
        <v>2504</v>
      </c>
      <c r="G15" s="76">
        <f t="shared" si="1"/>
        <v>4.6392919541816874E-2</v>
      </c>
      <c r="H15" s="38">
        <v>213110</v>
      </c>
      <c r="I15" s="42">
        <v>2862</v>
      </c>
      <c r="J15" s="218">
        <f t="shared" si="2"/>
        <v>5.3280812317786488E-2</v>
      </c>
      <c r="K15" s="38">
        <v>299115</v>
      </c>
      <c r="L15" s="102">
        <v>4097</v>
      </c>
      <c r="M15" s="218">
        <f t="shared" si="3"/>
        <v>5.4938809414512742E-2</v>
      </c>
      <c r="N15" s="38">
        <v>307094</v>
      </c>
      <c r="O15" s="42">
        <v>3698</v>
      </c>
      <c r="P15" s="218">
        <f t="shared" si="4"/>
        <v>4.8836657324612155E-2</v>
      </c>
    </row>
    <row r="16" spans="1:16" x14ac:dyDescent="0.25">
      <c r="A16" s="199" t="s">
        <v>147</v>
      </c>
      <c r="B16" s="50">
        <v>3423</v>
      </c>
      <c r="C16" s="50">
        <v>123</v>
      </c>
      <c r="D16" s="76">
        <f t="shared" si="0"/>
        <v>3.5933391761612622E-2</v>
      </c>
      <c r="E16" s="50">
        <v>2522</v>
      </c>
      <c r="F16" s="50">
        <v>44</v>
      </c>
      <c r="G16" s="76">
        <f t="shared" si="1"/>
        <v>6.9216977554046141E-2</v>
      </c>
      <c r="H16" s="38">
        <v>2900</v>
      </c>
      <c r="I16" s="42">
        <v>36</v>
      </c>
      <c r="J16" s="218">
        <f t="shared" si="2"/>
        <v>4.92503748125937E-2</v>
      </c>
      <c r="K16" s="38">
        <v>4609</v>
      </c>
      <c r="L16" s="42">
        <v>32</v>
      </c>
      <c r="M16" s="218">
        <f t="shared" si="3"/>
        <v>2.78480469411257E-2</v>
      </c>
      <c r="N16" s="38">
        <v>3976</v>
      </c>
      <c r="O16" s="42">
        <v>17</v>
      </c>
      <c r="P16" s="218">
        <f t="shared" si="4"/>
        <v>1.7340152023250614E-2</v>
      </c>
    </row>
    <row r="17" spans="1:16" x14ac:dyDescent="0.25">
      <c r="A17" s="18"/>
      <c r="B17" s="97">
        <f>SUM(B10:B16)</f>
        <v>2257572</v>
      </c>
      <c r="C17" s="97">
        <f>SUM(C10:C16)</f>
        <v>103969</v>
      </c>
      <c r="D17" s="127">
        <f>+C17/B17</f>
        <v>4.6053459203073036E-2</v>
      </c>
      <c r="E17" s="97">
        <f>SUM(E10:E16)</f>
        <v>2279311</v>
      </c>
      <c r="F17" s="97">
        <f>SUM(F10:F16)</f>
        <v>25498</v>
      </c>
      <c r="G17" s="127">
        <f>+F17/E17*365/92</f>
        <v>4.4382071370804986E-2</v>
      </c>
      <c r="H17" s="48">
        <f>SUM(H10:H16)</f>
        <v>2247968</v>
      </c>
      <c r="I17" s="47">
        <f>SUM(I10:I16)</f>
        <v>25733</v>
      </c>
      <c r="J17" s="219">
        <f>+I17/H17*365/92</f>
        <v>4.541562888563476E-2</v>
      </c>
      <c r="K17" s="48">
        <f>SUM(K10:K16)</f>
        <v>2234164</v>
      </c>
      <c r="L17" s="47">
        <f>SUM(L10:L16)</f>
        <v>26612</v>
      </c>
      <c r="M17" s="219">
        <f>+L17/K17*365/91</f>
        <v>4.7776456679294609E-2</v>
      </c>
      <c r="N17" s="48">
        <f>SUM(N10:N16)</f>
        <v>2268830</v>
      </c>
      <c r="O17" s="47">
        <f>SUM(O10:O16)</f>
        <v>26294</v>
      </c>
      <c r="P17" s="219">
        <f>+O17/N17*365/90</f>
        <v>4.700077915832291E-2</v>
      </c>
    </row>
    <row r="18" spans="1:16" x14ac:dyDescent="0.25">
      <c r="A18" s="19" t="s">
        <v>153</v>
      </c>
      <c r="B18" s="50"/>
      <c r="C18" s="50"/>
      <c r="D18" s="50"/>
      <c r="E18" s="50"/>
      <c r="F18" s="50"/>
      <c r="G18" s="50"/>
      <c r="H18" s="38"/>
      <c r="I18" s="42"/>
      <c r="J18" s="220"/>
      <c r="K18" s="38"/>
      <c r="L18" s="42"/>
      <c r="M18" s="220"/>
      <c r="N18" s="38"/>
      <c r="O18" s="42"/>
      <c r="P18" s="220"/>
    </row>
    <row r="19" spans="1:16" x14ac:dyDescent="0.25">
      <c r="A19" s="199" t="s">
        <v>154</v>
      </c>
      <c r="B19" s="98">
        <f>1008373+277739-B20</f>
        <v>1282311</v>
      </c>
      <c r="C19" s="50">
        <f>75088-C20</f>
        <v>74932</v>
      </c>
      <c r="D19" s="76">
        <f>+C19/B19</f>
        <v>5.8435122212942101E-2</v>
      </c>
      <c r="E19" s="98">
        <f>1084220+286560-1-E20</f>
        <v>1367752</v>
      </c>
      <c r="F19" s="50">
        <f>18787-F20</f>
        <v>18755</v>
      </c>
      <c r="G19" s="76">
        <f>+F19/E19*365/92</f>
        <v>5.4401985091627345E-2</v>
      </c>
      <c r="H19" s="38">
        <f>1306477-H20</f>
        <v>1303055</v>
      </c>
      <c r="I19" s="42">
        <f>18891-I20</f>
        <v>18847</v>
      </c>
      <c r="J19" s="218">
        <f>+I19/H19*365/92</f>
        <v>5.738316794996641E-2</v>
      </c>
      <c r="K19" s="38">
        <f>1374074-K20</f>
        <v>1370017</v>
      </c>
      <c r="L19" s="42">
        <f>19610-L20</f>
        <v>19574</v>
      </c>
      <c r="M19" s="218">
        <f>+L19/K19*365/91</f>
        <v>5.7306660356111559E-2</v>
      </c>
      <c r="N19" s="38">
        <f>1089805-N20</f>
        <v>1085975</v>
      </c>
      <c r="O19" s="42">
        <f>17800-O20</f>
        <v>17756</v>
      </c>
      <c r="P19" s="218">
        <f>+O19/N19*365/90</f>
        <v>6.6309486355067504E-2</v>
      </c>
    </row>
    <row r="20" spans="1:16" x14ac:dyDescent="0.25">
      <c r="A20" s="199" t="s">
        <v>91</v>
      </c>
      <c r="B20" s="317">
        <v>3801</v>
      </c>
      <c r="C20" s="98">
        <v>156</v>
      </c>
      <c r="D20" s="76">
        <f>+C20/B20</f>
        <v>4.1041831097079713E-2</v>
      </c>
      <c r="E20" s="318">
        <v>3027</v>
      </c>
      <c r="F20" s="98">
        <v>32</v>
      </c>
      <c r="G20" s="76">
        <f>+F20/E20*365/92</f>
        <v>4.1941368265322243E-2</v>
      </c>
      <c r="H20" s="223">
        <v>3422</v>
      </c>
      <c r="I20" s="42">
        <v>44</v>
      </c>
      <c r="J20" s="218">
        <f>+I20/H20*365/92</f>
        <v>5.1012629278581051E-2</v>
      </c>
      <c r="K20" s="223">
        <v>4057</v>
      </c>
      <c r="L20" s="221">
        <v>36</v>
      </c>
      <c r="M20" s="218">
        <f>+L20/K20*365/91</f>
        <v>3.5591719101701849E-2</v>
      </c>
      <c r="N20" s="223">
        <v>3830</v>
      </c>
      <c r="O20" s="221">
        <v>44</v>
      </c>
      <c r="P20" s="205">
        <f>+O20/N20*365/90</f>
        <v>4.6591238758340578E-2</v>
      </c>
    </row>
    <row r="21" spans="1:16" x14ac:dyDescent="0.25">
      <c r="A21" s="18"/>
      <c r="B21" s="97">
        <f>SUM(B19:B20)</f>
        <v>1286112</v>
      </c>
      <c r="C21" s="97">
        <f>SUM(C19:C20)</f>
        <v>75088</v>
      </c>
      <c r="D21" s="127">
        <f>+C21/B21</f>
        <v>5.8383717747754471E-2</v>
      </c>
      <c r="E21" s="97">
        <f>SUM(E19:E20)</f>
        <v>1370779</v>
      </c>
      <c r="F21" s="97">
        <f>SUM(F19:F20)</f>
        <v>18787</v>
      </c>
      <c r="G21" s="127">
        <f>+F21/E21*365/92</f>
        <v>5.4374469141110722E-2</v>
      </c>
      <c r="H21" s="48">
        <f>SUM(H19:H20)</f>
        <v>1306477</v>
      </c>
      <c r="I21" s="47">
        <f>SUM(I19:I20)</f>
        <v>18891</v>
      </c>
      <c r="J21" s="219">
        <f>+I21/H21*365/92</f>
        <v>5.7366481867216025E-2</v>
      </c>
      <c r="K21" s="48">
        <f>SUM(K19:K20)</f>
        <v>1374074</v>
      </c>
      <c r="L21" s="47">
        <f>SUM(L19:L20)</f>
        <v>19610</v>
      </c>
      <c r="M21" s="219">
        <f>+L21/K21*365/91</f>
        <v>5.7242546256966148E-2</v>
      </c>
      <c r="N21" s="48">
        <f>SUM(N19:N20)</f>
        <v>1089805</v>
      </c>
      <c r="O21" s="47">
        <f>SUM(O19:O20)</f>
        <v>17800</v>
      </c>
      <c r="P21" s="219">
        <f>+O21/N21*365/90</f>
        <v>6.6240188739167913E-2</v>
      </c>
    </row>
    <row r="22" spans="1:16" x14ac:dyDescent="0.25">
      <c r="A22" s="19" t="s">
        <v>87</v>
      </c>
      <c r="B22" s="50"/>
      <c r="C22" s="50"/>
      <c r="D22" s="50"/>
      <c r="E22" s="50"/>
      <c r="F22" s="50"/>
      <c r="G22" s="50"/>
      <c r="H22" s="38"/>
      <c r="I22" s="42"/>
      <c r="J22" s="220"/>
      <c r="K22" s="38"/>
      <c r="L22" s="42"/>
      <c r="M22" s="220"/>
      <c r="N22" s="38"/>
      <c r="O22" s="42"/>
      <c r="P22" s="220"/>
    </row>
    <row r="23" spans="1:16" x14ac:dyDescent="0.25">
      <c r="A23" s="199" t="s">
        <v>201</v>
      </c>
      <c r="B23" s="50">
        <v>330956</v>
      </c>
      <c r="C23" s="50">
        <v>39281</v>
      </c>
      <c r="D23" s="76">
        <f>+C23/B23</f>
        <v>0.11868949346740956</v>
      </c>
      <c r="E23" s="50">
        <v>300907</v>
      </c>
      <c r="F23" s="50">
        <v>8834</v>
      </c>
      <c r="G23" s="76">
        <f>+F23/E23*365/92</f>
        <v>0.11647430861564768</v>
      </c>
      <c r="H23" s="38">
        <v>314643</v>
      </c>
      <c r="I23" s="42">
        <v>9314</v>
      </c>
      <c r="J23" s="218">
        <f>+I23/H23*365/92</f>
        <v>0.11744193453754144</v>
      </c>
      <c r="K23" s="38">
        <v>344141</v>
      </c>
      <c r="L23" s="42">
        <v>10219</v>
      </c>
      <c r="M23" s="218">
        <f>+L23/K23*365/91</f>
        <v>0.11910320683468899</v>
      </c>
      <c r="N23" s="38">
        <v>365019</v>
      </c>
      <c r="O23" s="42">
        <v>10915</v>
      </c>
      <c r="P23" s="218">
        <f>+O23/N23*365/90</f>
        <v>0.12127146501658513</v>
      </c>
    </row>
    <row r="24" spans="1:16" x14ac:dyDescent="0.25">
      <c r="A24" s="199" t="s">
        <v>151</v>
      </c>
      <c r="B24" s="50">
        <v>33728</v>
      </c>
      <c r="C24" s="50">
        <v>3425</v>
      </c>
      <c r="D24" s="76">
        <f>+C24/B24</f>
        <v>0.10154767552182163</v>
      </c>
      <c r="E24" s="50">
        <v>23954</v>
      </c>
      <c r="F24" s="50">
        <v>659</v>
      </c>
      <c r="G24" s="76">
        <f>+F24/E24*365/92</f>
        <v>0.10914715160579518</v>
      </c>
      <c r="H24" s="38">
        <v>30012</v>
      </c>
      <c r="I24" s="42">
        <v>904</v>
      </c>
      <c r="J24" s="218">
        <f>+I24/H24*365/92</f>
        <v>0.11950292346829385</v>
      </c>
      <c r="K24" s="38">
        <v>36813</v>
      </c>
      <c r="L24" s="42">
        <v>848</v>
      </c>
      <c r="M24" s="218">
        <f>+L24/K24*365/91</f>
        <v>9.2394498718351703E-2</v>
      </c>
      <c r="N24" s="38">
        <v>44400</v>
      </c>
      <c r="O24" s="42">
        <v>1013</v>
      </c>
      <c r="P24" s="218">
        <f>+O24/N24*365/90</f>
        <v>9.252877877877877E-2</v>
      </c>
    </row>
    <row r="25" spans="1:16" x14ac:dyDescent="0.25">
      <c r="A25" s="199" t="s">
        <v>152</v>
      </c>
      <c r="B25" s="50">
        <v>98071</v>
      </c>
      <c r="C25" s="50">
        <v>15949</v>
      </c>
      <c r="D25" s="76">
        <f>+C25/B25</f>
        <v>0.16262707630186293</v>
      </c>
      <c r="E25" s="50">
        <v>95594</v>
      </c>
      <c r="F25" s="50">
        <v>3782</v>
      </c>
      <c r="G25" s="76">
        <f>+F25/E25*365/92</f>
        <v>0.15696250719755928</v>
      </c>
      <c r="H25" s="38">
        <v>96469</v>
      </c>
      <c r="I25" s="42">
        <v>3942</v>
      </c>
      <c r="J25" s="218">
        <f>+I25/H25*365/92</f>
        <v>0.16211898663549046</v>
      </c>
      <c r="K25" s="38">
        <v>98263</v>
      </c>
      <c r="L25" s="42">
        <v>3985</v>
      </c>
      <c r="M25" s="218">
        <f>+L25/K25*365/91</f>
        <v>0.16266337491010052</v>
      </c>
      <c r="N25" s="38">
        <v>102047</v>
      </c>
      <c r="O25" s="42">
        <v>4240</v>
      </c>
      <c r="P25" s="218">
        <f>+O25/N25*365/90</f>
        <v>0.16850623296672665</v>
      </c>
    </row>
    <row r="26" spans="1:16" x14ac:dyDescent="0.25">
      <c r="A26" s="18"/>
      <c r="B26" s="97">
        <f>SUM(B23:B25)</f>
        <v>462755</v>
      </c>
      <c r="C26" s="97">
        <f>SUM(C23:C25)</f>
        <v>58655</v>
      </c>
      <c r="D26" s="127">
        <f>+C26/B26</f>
        <v>0.12675173688020658</v>
      </c>
      <c r="E26" s="97">
        <f>SUM(E23:E25)</f>
        <v>420455</v>
      </c>
      <c r="F26" s="97">
        <f>SUM(F23:F25)</f>
        <v>13275</v>
      </c>
      <c r="G26" s="127">
        <f>+F26/E26*365/92</f>
        <v>0.12526220300678406</v>
      </c>
      <c r="H26" s="48">
        <f>SUM(H23:H25)</f>
        <v>441124</v>
      </c>
      <c r="I26" s="47">
        <f>SUM(I23:I25)</f>
        <v>14160</v>
      </c>
      <c r="J26" s="219">
        <f>+I26/H26*365/92</f>
        <v>0.12735253776617281</v>
      </c>
      <c r="K26" s="48">
        <f>SUM(K23:K25)</f>
        <v>479217</v>
      </c>
      <c r="L26" s="47">
        <f>SUM(L23:L25)</f>
        <v>15052</v>
      </c>
      <c r="M26" s="219">
        <f>+L26/K26*365/91</f>
        <v>0.12598344089088365</v>
      </c>
      <c r="N26" s="48">
        <f>SUM(N23:N25)</f>
        <v>511466</v>
      </c>
      <c r="O26" s="47">
        <f>SUM(O23:O25)</f>
        <v>16168</v>
      </c>
      <c r="P26" s="219">
        <f>+O26/N26*365/90</f>
        <v>0.12820054944458131</v>
      </c>
    </row>
    <row r="27" spans="1:16" ht="13.8" thickBot="1" x14ac:dyDescent="0.3">
      <c r="A27" s="325" t="s">
        <v>88</v>
      </c>
      <c r="B27" s="104">
        <f>+B26+B21+B17</f>
        <v>4006439</v>
      </c>
      <c r="C27" s="104">
        <f>+C26+C21+C17</f>
        <v>237712</v>
      </c>
      <c r="D27" s="135">
        <f>+C27/B27</f>
        <v>5.9332489524987153E-2</v>
      </c>
      <c r="E27" s="104">
        <f>+E26+E21+E17</f>
        <v>4070545</v>
      </c>
      <c r="F27" s="104">
        <f>+F26+F21+F17</f>
        <v>57560</v>
      </c>
      <c r="G27" s="135">
        <f>+F27/E27*365/92</f>
        <v>5.6101343549392245E-2</v>
      </c>
      <c r="H27" s="46">
        <f>+H26+H21+H17</f>
        <v>3995569</v>
      </c>
      <c r="I27" s="45">
        <f>+I26+I21+I17</f>
        <v>58784</v>
      </c>
      <c r="J27" s="222">
        <f>+I27/H27*365/92</f>
        <v>5.8369441357359268E-2</v>
      </c>
      <c r="K27" s="46">
        <f>+K26+K21+K17</f>
        <v>4087455</v>
      </c>
      <c r="L27" s="45">
        <f>+L26+L21+L17</f>
        <v>61274</v>
      </c>
      <c r="M27" s="222">
        <f>+L27/K27*365/91</f>
        <v>6.0127717775324906E-2</v>
      </c>
      <c r="N27" s="46">
        <f>+N26+N21+N17</f>
        <v>3870101</v>
      </c>
      <c r="O27" s="45">
        <f>+O26+O21+O17</f>
        <v>60262</v>
      </c>
      <c r="P27" s="222">
        <f>+O27/N27*365/90</f>
        <v>6.3149744383644998E-2</v>
      </c>
    </row>
    <row r="28" spans="1:16" x14ac:dyDescent="0.25">
      <c r="K28" s="35"/>
    </row>
    <row r="30" spans="1:16" x14ac:dyDescent="0.25">
      <c r="K30" s="35"/>
      <c r="L30" s="35"/>
    </row>
  </sheetData>
  <mergeCells count="8">
    <mergeCell ref="A1:P1"/>
    <mergeCell ref="A2:P2"/>
    <mergeCell ref="B6:P6"/>
    <mergeCell ref="B7:D7"/>
    <mergeCell ref="E7:G7"/>
    <mergeCell ref="H7:J7"/>
    <mergeCell ref="K7:M7"/>
    <mergeCell ref="N7:P7"/>
  </mergeCells>
  <phoneticPr fontId="0" type="noConversion"/>
  <printOptions horizontalCentered="1"/>
  <pageMargins left="0" right="0" top="1" bottom="1" header="0.5" footer="0.5"/>
  <pageSetup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/>
  </sheetViews>
  <sheetFormatPr defaultColWidth="9.109375" defaultRowHeight="13.2" x14ac:dyDescent="0.25"/>
  <cols>
    <col min="1" max="1" width="19.109375" style="1" customWidth="1"/>
    <col min="2" max="2" width="10.6640625" style="1" customWidth="1"/>
    <col min="3" max="3" width="9" style="1" customWidth="1"/>
    <col min="4" max="4" width="7" style="1" customWidth="1"/>
    <col min="5" max="5" width="10.5546875" style="1" customWidth="1"/>
    <col min="6" max="6" width="8.5546875" style="1" customWidth="1"/>
    <col min="7" max="7" width="7.44140625" style="1" customWidth="1"/>
    <col min="8" max="8" width="11.109375" style="1" customWidth="1"/>
    <col min="9" max="9" width="11" style="1" customWidth="1"/>
    <col min="10" max="10" width="7" style="1" bestFit="1" customWidth="1"/>
    <col min="11" max="11" width="10.6640625" style="1" customWidth="1"/>
    <col min="12" max="12" width="8" style="1" customWidth="1"/>
    <col min="13" max="13" width="8.33203125" style="1" customWidth="1"/>
    <col min="14" max="14" width="10.44140625" style="1" customWidth="1"/>
    <col min="15" max="15" width="9" style="1" customWidth="1"/>
    <col min="16" max="16" width="6.44140625" style="1" customWidth="1"/>
    <col min="17" max="16384" width="9.109375" style="1"/>
  </cols>
  <sheetData>
    <row r="1" spans="1:16" x14ac:dyDescent="0.25">
      <c r="A1" s="4" t="s">
        <v>209</v>
      </c>
    </row>
    <row r="2" spans="1:16" x14ac:dyDescent="0.25">
      <c r="A2" s="4" t="s">
        <v>195</v>
      </c>
    </row>
    <row r="6" spans="1:16" x14ac:dyDescent="0.25">
      <c r="A6" s="1" t="s">
        <v>30</v>
      </c>
      <c r="B6" s="390">
        <v>2002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  <c r="O6" s="390"/>
      <c r="P6" s="390"/>
    </row>
    <row r="7" spans="1:16" x14ac:dyDescent="0.25">
      <c r="A7" s="5"/>
      <c r="B7" s="405" t="s">
        <v>0</v>
      </c>
      <c r="C7" s="405"/>
      <c r="D7" s="405"/>
      <c r="E7" s="405" t="s">
        <v>80</v>
      </c>
      <c r="F7" s="405"/>
      <c r="G7" s="405"/>
      <c r="H7" s="406" t="s">
        <v>199</v>
      </c>
      <c r="I7" s="405"/>
      <c r="J7" s="407"/>
      <c r="K7" s="406" t="s">
        <v>191</v>
      </c>
      <c r="L7" s="405"/>
      <c r="M7" s="407"/>
      <c r="N7" s="406" t="s">
        <v>200</v>
      </c>
      <c r="O7" s="405"/>
      <c r="P7" s="407"/>
    </row>
    <row r="8" spans="1:16" x14ac:dyDescent="0.25">
      <c r="A8" s="7"/>
      <c r="B8" s="8" t="s">
        <v>196</v>
      </c>
      <c r="C8" s="8" t="s">
        <v>197</v>
      </c>
      <c r="D8" s="8" t="s">
        <v>198</v>
      </c>
      <c r="E8" s="8" t="s">
        <v>196</v>
      </c>
      <c r="F8" s="8" t="s">
        <v>197</v>
      </c>
      <c r="G8" s="8" t="s">
        <v>198</v>
      </c>
      <c r="H8" s="15" t="s">
        <v>196</v>
      </c>
      <c r="I8" s="8" t="s">
        <v>197</v>
      </c>
      <c r="J8" s="81" t="s">
        <v>198</v>
      </c>
      <c r="K8" s="15" t="s">
        <v>196</v>
      </c>
      <c r="L8" s="8" t="s">
        <v>197</v>
      </c>
      <c r="M8" s="81" t="s">
        <v>198</v>
      </c>
      <c r="N8" s="15" t="s">
        <v>196</v>
      </c>
      <c r="O8" s="8" t="s">
        <v>197</v>
      </c>
      <c r="P8" s="81" t="s">
        <v>198</v>
      </c>
    </row>
    <row r="9" spans="1:16" x14ac:dyDescent="0.25">
      <c r="A9" s="1" t="s">
        <v>85</v>
      </c>
      <c r="H9" s="19"/>
      <c r="I9" s="13"/>
      <c r="J9" s="64"/>
      <c r="K9" s="19"/>
      <c r="L9" s="13"/>
      <c r="M9" s="64"/>
      <c r="N9" s="19"/>
      <c r="O9" s="13"/>
      <c r="P9" s="64"/>
    </row>
    <row r="10" spans="1:16" x14ac:dyDescent="0.25">
      <c r="A10" s="20" t="s">
        <v>144</v>
      </c>
      <c r="B10" s="78">
        <v>1386807</v>
      </c>
      <c r="C10" s="78">
        <v>81092</v>
      </c>
      <c r="D10" s="76">
        <f>+C10/B10</f>
        <v>5.8473890022187655E-2</v>
      </c>
      <c r="E10" s="78">
        <v>1337964</v>
      </c>
      <c r="F10" s="78">
        <v>17999</v>
      </c>
      <c r="G10" s="76">
        <f>+F10/E10*365/92</f>
        <v>5.3371448026222325E-2</v>
      </c>
      <c r="H10" s="41">
        <v>1387074</v>
      </c>
      <c r="I10" s="40">
        <v>20380</v>
      </c>
      <c r="J10" s="218">
        <f>+I10/H10*365/92</f>
        <v>5.8292084476104879E-2</v>
      </c>
      <c r="K10" s="41">
        <v>1404669</v>
      </c>
      <c r="L10" s="40">
        <f>42714-O10</f>
        <v>21163</v>
      </c>
      <c r="M10" s="218">
        <f>+L10/K10*365/91</f>
        <v>6.0430293855392579E-2</v>
      </c>
      <c r="N10" s="41">
        <v>1419182</v>
      </c>
      <c r="O10" s="40">
        <v>21551</v>
      </c>
      <c r="P10" s="218">
        <f>+O10/N10*365/90</f>
        <v>6.1585672435091325E-2</v>
      </c>
    </row>
    <row r="11" spans="1:16" x14ac:dyDescent="0.25">
      <c r="A11" s="20" t="s">
        <v>86</v>
      </c>
      <c r="B11" s="50">
        <v>84533</v>
      </c>
      <c r="C11" s="50">
        <v>3828</v>
      </c>
      <c r="D11" s="76">
        <f t="shared" ref="D11:D16" si="0">+C11/B11</f>
        <v>4.5284090236948883E-2</v>
      </c>
      <c r="E11" s="50">
        <v>71163</v>
      </c>
      <c r="F11" s="50">
        <v>769</v>
      </c>
      <c r="G11" s="76">
        <f t="shared" ref="G11:G16" si="1">+F11/E11*365/92</f>
        <v>4.287233412087009E-2</v>
      </c>
      <c r="H11" s="38">
        <v>82645</v>
      </c>
      <c r="I11" s="42">
        <v>1132</v>
      </c>
      <c r="J11" s="218">
        <f t="shared" ref="J11:J16" si="2">+I11/H11*365/92</f>
        <v>5.4341907635328687E-2</v>
      </c>
      <c r="K11" s="38">
        <v>89314</v>
      </c>
      <c r="L11" s="42">
        <f>1928-O11</f>
        <v>961</v>
      </c>
      <c r="M11" s="218">
        <f t="shared" ref="M11:M16" si="3">+L11/K11*365/91</f>
        <v>4.3157404657281496E-2</v>
      </c>
      <c r="N11" s="38">
        <v>95295</v>
      </c>
      <c r="O11" s="42">
        <v>967</v>
      </c>
      <c r="P11" s="218">
        <f t="shared" ref="P11:P16" si="4">+O11/N11*365/90</f>
        <v>4.1153494120596275E-2</v>
      </c>
    </row>
    <row r="12" spans="1:16" x14ac:dyDescent="0.25">
      <c r="A12" s="20" t="s">
        <v>145</v>
      </c>
      <c r="B12" s="50">
        <v>80366</v>
      </c>
      <c r="C12" s="50">
        <v>5890</v>
      </c>
      <c r="D12" s="76">
        <f t="shared" si="0"/>
        <v>7.3289699624219204E-2</v>
      </c>
      <c r="E12" s="50">
        <v>76530</v>
      </c>
      <c r="F12" s="50">
        <v>1365</v>
      </c>
      <c r="G12" s="76">
        <f t="shared" si="1"/>
        <v>7.0762957408007102E-2</v>
      </c>
      <c r="H12" s="38">
        <v>83357</v>
      </c>
      <c r="I12" s="42">
        <v>1423</v>
      </c>
      <c r="J12" s="218">
        <f t="shared" si="2"/>
        <v>6.7727939178316834E-2</v>
      </c>
      <c r="K12" s="38">
        <v>82757</v>
      </c>
      <c r="L12" s="42">
        <f>3102-O12</f>
        <v>1533</v>
      </c>
      <c r="M12" s="218">
        <f t="shared" si="3"/>
        <v>7.4300012734223736E-2</v>
      </c>
      <c r="N12" s="38">
        <v>78811</v>
      </c>
      <c r="O12" s="42">
        <v>1569</v>
      </c>
      <c r="P12" s="218">
        <f t="shared" si="4"/>
        <v>8.0739575270795533E-2</v>
      </c>
    </row>
    <row r="13" spans="1:16" x14ac:dyDescent="0.25">
      <c r="A13" s="20" t="s">
        <v>146</v>
      </c>
      <c r="B13" s="50">
        <v>13729</v>
      </c>
      <c r="C13" s="50">
        <v>666</v>
      </c>
      <c r="D13" s="76">
        <f t="shared" si="0"/>
        <v>4.8510452327190617E-2</v>
      </c>
      <c r="E13" s="50">
        <v>12525</v>
      </c>
      <c r="F13" s="50">
        <v>151</v>
      </c>
      <c r="G13" s="76">
        <f t="shared" si="1"/>
        <v>4.7830426104313109E-2</v>
      </c>
      <c r="H13" s="38">
        <v>13001</v>
      </c>
      <c r="I13" s="42">
        <v>155</v>
      </c>
      <c r="J13" s="218">
        <f t="shared" si="2"/>
        <v>4.7299873253896854E-2</v>
      </c>
      <c r="K13" s="38">
        <v>13690</v>
      </c>
      <c r="L13" s="42">
        <f>360-O13</f>
        <v>167</v>
      </c>
      <c r="M13" s="218">
        <f t="shared" si="3"/>
        <v>4.8928792172035419E-2</v>
      </c>
      <c r="N13" s="38">
        <v>15791</v>
      </c>
      <c r="O13" s="42">
        <v>193</v>
      </c>
      <c r="P13" s="218">
        <f t="shared" si="4"/>
        <v>4.9567615871206526E-2</v>
      </c>
    </row>
    <row r="14" spans="1:16" x14ac:dyDescent="0.25">
      <c r="A14" s="20" t="s">
        <v>148</v>
      </c>
      <c r="B14" s="50">
        <v>571651</v>
      </c>
      <c r="C14" s="50">
        <v>23924</v>
      </c>
      <c r="D14" s="76">
        <f t="shared" si="0"/>
        <v>4.1850709611283808E-2</v>
      </c>
      <c r="E14" s="50">
        <v>505276</v>
      </c>
      <c r="F14" s="50">
        <v>5761</v>
      </c>
      <c r="G14" s="76">
        <f t="shared" si="1"/>
        <v>4.5234963276205138E-2</v>
      </c>
      <c r="H14" s="38">
        <v>539848</v>
      </c>
      <c r="I14" s="42">
        <v>6044</v>
      </c>
      <c r="J14" s="218">
        <f t="shared" si="2"/>
        <v>4.441789734050744E-2</v>
      </c>
      <c r="K14" s="51">
        <f>599949+1</f>
        <v>599950</v>
      </c>
      <c r="L14" s="42">
        <f>12118-O14</f>
        <v>5913</v>
      </c>
      <c r="M14" s="218">
        <f t="shared" si="3"/>
        <v>3.9531591002546919E-2</v>
      </c>
      <c r="N14" s="38">
        <v>642750</v>
      </c>
      <c r="O14" s="42">
        <v>6205</v>
      </c>
      <c r="P14" s="218">
        <f t="shared" si="4"/>
        <v>3.9151648731578718E-2</v>
      </c>
    </row>
    <row r="15" spans="1:16" x14ac:dyDescent="0.25">
      <c r="A15" s="1" t="s">
        <v>149</v>
      </c>
      <c r="B15" s="50">
        <v>318692</v>
      </c>
      <c r="C15" s="50">
        <v>18312</v>
      </c>
      <c r="D15" s="76">
        <f t="shared" si="0"/>
        <v>5.745986720720947E-2</v>
      </c>
      <c r="E15" s="50">
        <v>311796</v>
      </c>
      <c r="F15" s="50">
        <v>3912</v>
      </c>
      <c r="G15" s="76">
        <f t="shared" si="1"/>
        <v>4.9777530124211648E-2</v>
      </c>
      <c r="H15" s="38">
        <v>321098</v>
      </c>
      <c r="I15" s="42">
        <v>4560</v>
      </c>
      <c r="J15" s="218">
        <f t="shared" si="2"/>
        <v>5.6342002590567632E-2</v>
      </c>
      <c r="K15" s="38">
        <v>320487</v>
      </c>
      <c r="L15" s="42">
        <f>9840-O15</f>
        <v>4801</v>
      </c>
      <c r="M15" s="218">
        <f t="shared" si="3"/>
        <v>6.0085926236503336E-2</v>
      </c>
      <c r="N15" s="38">
        <v>320419</v>
      </c>
      <c r="O15" s="42">
        <v>5039</v>
      </c>
      <c r="P15" s="218">
        <f t="shared" si="4"/>
        <v>6.3778816001686681E-2</v>
      </c>
    </row>
    <row r="16" spans="1:16" x14ac:dyDescent="0.25">
      <c r="A16" s="20" t="s">
        <v>147</v>
      </c>
      <c r="B16" s="50">
        <v>4584</v>
      </c>
      <c r="C16" s="50">
        <v>133</v>
      </c>
      <c r="D16" s="76">
        <f t="shared" si="0"/>
        <v>2.9013961605584643E-2</v>
      </c>
      <c r="E16" s="50">
        <f>4384+1</f>
        <v>4385</v>
      </c>
      <c r="F16" s="50">
        <v>38</v>
      </c>
      <c r="G16" s="76">
        <f t="shared" si="1"/>
        <v>3.4381042090129398E-2</v>
      </c>
      <c r="H16" s="38">
        <v>4112</v>
      </c>
      <c r="I16" s="42">
        <v>19</v>
      </c>
      <c r="J16" s="218">
        <f t="shared" si="2"/>
        <v>1.8331817797327017E-2</v>
      </c>
      <c r="K16" s="38">
        <v>5339</v>
      </c>
      <c r="L16" s="42">
        <f>76-O16</f>
        <v>25</v>
      </c>
      <c r="M16" s="218">
        <f t="shared" si="3"/>
        <v>1.8781555586200649E-2</v>
      </c>
      <c r="N16" s="38">
        <v>5516</v>
      </c>
      <c r="O16" s="42">
        <v>51</v>
      </c>
      <c r="P16" s="218">
        <f t="shared" si="4"/>
        <v>3.7496978486826205E-2</v>
      </c>
    </row>
    <row r="17" spans="1:16" x14ac:dyDescent="0.25">
      <c r="A17" s="17"/>
      <c r="B17" s="97">
        <f>SUM(B10:B16)</f>
        <v>2460362</v>
      </c>
      <c r="C17" s="97">
        <f>SUM(C10:C16)</f>
        <v>133845</v>
      </c>
      <c r="D17" s="127">
        <f>+C17/B17</f>
        <v>5.4400531303930071E-2</v>
      </c>
      <c r="E17" s="97">
        <f>SUM(E10:E16)</f>
        <v>2319639</v>
      </c>
      <c r="F17" s="97">
        <f>SUM(F10:F16)</f>
        <v>29995</v>
      </c>
      <c r="G17" s="127">
        <f>+F17/E17*365/92</f>
        <v>5.1301906104317549E-2</v>
      </c>
      <c r="H17" s="48">
        <f>SUM(H10:H16)</f>
        <v>2431135</v>
      </c>
      <c r="I17" s="47">
        <f>SUM(I10:I16)</f>
        <v>33713</v>
      </c>
      <c r="J17" s="219">
        <f>+I17/H17*365/92</f>
        <v>5.5016551134954766E-2</v>
      </c>
      <c r="K17" s="48">
        <f>SUM(K10:K16)</f>
        <v>2516206</v>
      </c>
      <c r="L17" s="47">
        <f>SUM(L10:L16)</f>
        <v>34563</v>
      </c>
      <c r="M17" s="219">
        <f>+L17/K17*365/91</f>
        <v>5.5095573727593515E-2</v>
      </c>
      <c r="N17" s="48">
        <f>SUM(N10:N16)</f>
        <v>2577764</v>
      </c>
      <c r="O17" s="47">
        <f>SUM(O10:O16)</f>
        <v>35575</v>
      </c>
      <c r="P17" s="219">
        <f>+O17/N17*365/90</f>
        <v>5.596958794090106E-2</v>
      </c>
    </row>
    <row r="18" spans="1:16" x14ac:dyDescent="0.25">
      <c r="A18" s="1" t="s">
        <v>153</v>
      </c>
      <c r="B18" s="50"/>
      <c r="C18" s="50"/>
      <c r="D18" s="50"/>
      <c r="E18" s="50"/>
      <c r="F18" s="50"/>
      <c r="G18" s="50"/>
      <c r="H18" s="38"/>
      <c r="I18" s="42"/>
      <c r="J18" s="220"/>
      <c r="K18" s="38"/>
      <c r="L18" s="42"/>
      <c r="M18" s="220"/>
      <c r="N18" s="38"/>
      <c r="O18" s="42"/>
      <c r="P18" s="220"/>
    </row>
    <row r="19" spans="1:16" x14ac:dyDescent="0.25">
      <c r="A19" s="20" t="s">
        <v>154</v>
      </c>
      <c r="B19" s="98">
        <f>1074170-B20</f>
        <v>1068414</v>
      </c>
      <c r="C19" s="50">
        <f>75538-C20</f>
        <v>75315</v>
      </c>
      <c r="D19" s="76">
        <f>+C19/B19</f>
        <v>7.0492337240058628E-2</v>
      </c>
      <c r="E19" s="98">
        <f>1029240-E20</f>
        <v>1023774</v>
      </c>
      <c r="F19" s="50">
        <f>17477-F20</f>
        <v>17432</v>
      </c>
      <c r="G19" s="76">
        <f>+F19/E19*365/92</f>
        <v>6.755354718657762E-2</v>
      </c>
      <c r="H19" s="38">
        <f>1009939-H20</f>
        <v>1004294</v>
      </c>
      <c r="I19" s="42">
        <v>17777</v>
      </c>
      <c r="J19" s="218">
        <f>+I19/H19*365/92</f>
        <v>7.0226761503495286E-2</v>
      </c>
      <c r="K19" s="38">
        <f>1116159-K20</f>
        <v>1109708</v>
      </c>
      <c r="L19" s="42">
        <f>40283-O21-L20</f>
        <v>19986</v>
      </c>
      <c r="M19" s="218">
        <f>+L19/K19*365/91</f>
        <v>7.2238486497012158E-2</v>
      </c>
      <c r="N19" s="38">
        <f>1143295</f>
        <v>1143295</v>
      </c>
      <c r="O19" s="42">
        <f>20238-O20</f>
        <v>20170</v>
      </c>
      <c r="P19" s="218">
        <f>+O19/N19*365/90</f>
        <v>7.1548074255162103E-2</v>
      </c>
    </row>
    <row r="20" spans="1:16" x14ac:dyDescent="0.25">
      <c r="A20" s="20" t="s">
        <v>91</v>
      </c>
      <c r="B20" s="317">
        <v>5756</v>
      </c>
      <c r="C20" s="98">
        <v>223</v>
      </c>
      <c r="D20" s="76">
        <f>+C20/B20</f>
        <v>3.8742182070882557E-2</v>
      </c>
      <c r="E20" s="318">
        <v>5466</v>
      </c>
      <c r="F20" s="98">
        <v>45</v>
      </c>
      <c r="G20" s="76">
        <f>+F20/E20*365/92</f>
        <v>3.2662387247649499E-2</v>
      </c>
      <c r="H20" s="223">
        <v>5645</v>
      </c>
      <c r="I20" s="221">
        <f>177-L20-O20</f>
        <v>50</v>
      </c>
      <c r="J20" s="218">
        <f>+I20/H20*365/92</f>
        <v>3.5140755574382877E-2</v>
      </c>
      <c r="K20" s="223">
        <v>6451</v>
      </c>
      <c r="L20" s="221">
        <f>127-O20</f>
        <v>59</v>
      </c>
      <c r="M20" s="218">
        <f>+L20/K20*365/91</f>
        <v>3.6683979483545445E-2</v>
      </c>
      <c r="N20" s="223">
        <v>6827</v>
      </c>
      <c r="O20" s="221">
        <v>68</v>
      </c>
      <c r="P20" s="205">
        <f>+O20/N20*365/90</f>
        <v>4.0395162996598476E-2</v>
      </c>
    </row>
    <row r="21" spans="1:16" x14ac:dyDescent="0.25">
      <c r="A21" s="17"/>
      <c r="B21" s="97">
        <f>SUM(B19:B20)</f>
        <v>1074170</v>
      </c>
      <c r="C21" s="97">
        <f>SUM(C19:C20)</f>
        <v>75538</v>
      </c>
      <c r="D21" s="127">
        <f>+C21/B21</f>
        <v>7.0322202258487954E-2</v>
      </c>
      <c r="E21" s="97">
        <f>SUM(E19:E20)</f>
        <v>1029240</v>
      </c>
      <c r="F21" s="97">
        <f>SUM(F19:F20)</f>
        <v>17477</v>
      </c>
      <c r="G21" s="127">
        <f>+F21/E21*365/92</f>
        <v>6.736825019051626E-2</v>
      </c>
      <c r="H21" s="48">
        <f>SUM(H19:H20)</f>
        <v>1009939</v>
      </c>
      <c r="I21" s="47">
        <f>SUM(I19:I20)</f>
        <v>17827</v>
      </c>
      <c r="J21" s="219">
        <f>+I21/H21*365/92</f>
        <v>7.0030650150760279E-2</v>
      </c>
      <c r="K21" s="48">
        <f>SUM(K19:K20)</f>
        <v>1116159</v>
      </c>
      <c r="L21" s="47">
        <f>SUM(L19:L20)</f>
        <v>20045</v>
      </c>
      <c r="M21" s="219">
        <f>+L21/K21*365/91</f>
        <v>7.203299415699263E-2</v>
      </c>
      <c r="N21" s="48">
        <f>SUM(N19:N20)</f>
        <v>1150122</v>
      </c>
      <c r="O21" s="47">
        <f>SUM(O19:O20)</f>
        <v>20238</v>
      </c>
      <c r="P21" s="219">
        <f>+O21/N21*365/90</f>
        <v>7.1363153937872112E-2</v>
      </c>
    </row>
    <row r="22" spans="1:16" x14ac:dyDescent="0.25">
      <c r="A22" s="1" t="s">
        <v>87</v>
      </c>
      <c r="B22" s="50"/>
      <c r="C22" s="50"/>
      <c r="D22" s="50"/>
      <c r="E22" s="50"/>
      <c r="F22" s="50"/>
      <c r="G22" s="50"/>
      <c r="H22" s="38"/>
      <c r="I22" s="42"/>
      <c r="J22" s="220"/>
      <c r="K22" s="38"/>
      <c r="L22" s="42"/>
      <c r="M22" s="220"/>
      <c r="N22" s="38"/>
      <c r="O22" s="42"/>
      <c r="P22" s="220"/>
    </row>
    <row r="23" spans="1:16" x14ac:dyDescent="0.25">
      <c r="A23" s="20" t="s">
        <v>201</v>
      </c>
      <c r="B23" s="50">
        <v>436628</v>
      </c>
      <c r="C23" s="50">
        <v>54761</v>
      </c>
      <c r="D23" s="76">
        <f>+C23/B23</f>
        <v>0.12541797594290793</v>
      </c>
      <c r="E23" s="50">
        <f>392393</f>
        <v>392393</v>
      </c>
      <c r="F23" s="50">
        <v>12022</v>
      </c>
      <c r="G23" s="76">
        <f>+F23/E23*365/92</f>
        <v>0.12155155229800114</v>
      </c>
      <c r="H23" s="38">
        <v>423625</v>
      </c>
      <c r="I23" s="42">
        <v>13238</v>
      </c>
      <c r="J23" s="218">
        <f>+I23/H23*365/92</f>
        <v>0.12397834425956099</v>
      </c>
      <c r="K23" s="38">
        <v>454117</v>
      </c>
      <c r="L23" s="42">
        <f>29500-O23</f>
        <v>14386</v>
      </c>
      <c r="M23" s="218">
        <f>+L23/K23*365/91</f>
        <v>0.12706436427636028</v>
      </c>
      <c r="N23" s="38">
        <v>477325</v>
      </c>
      <c r="O23" s="42">
        <v>15114</v>
      </c>
      <c r="P23" s="218">
        <f>+O23/N23*365/90</f>
        <v>0.12841495137834111</v>
      </c>
    </row>
    <row r="24" spans="1:16" x14ac:dyDescent="0.25">
      <c r="A24" s="20" t="s">
        <v>151</v>
      </c>
      <c r="B24" s="50">
        <v>68864</v>
      </c>
      <c r="C24" s="50">
        <v>6954</v>
      </c>
      <c r="D24" s="76">
        <f>+C24/B24</f>
        <v>0.10098164498141264</v>
      </c>
      <c r="E24" s="50">
        <v>52969</v>
      </c>
      <c r="F24" s="50">
        <v>1302</v>
      </c>
      <c r="G24" s="76">
        <f>+F24/E24*365/92</f>
        <v>9.752012456834884E-2</v>
      </c>
      <c r="H24" s="38">
        <v>62940</v>
      </c>
      <c r="I24" s="42">
        <v>1582</v>
      </c>
      <c r="J24" s="218">
        <f>+I24/H24*365/92</f>
        <v>9.972057584172643E-2</v>
      </c>
      <c r="K24" s="38">
        <v>73601</v>
      </c>
      <c r="L24" s="42">
        <f>4071-O24</f>
        <v>1866</v>
      </c>
      <c r="M24" s="218">
        <f>+L24/K24*365/91</f>
        <v>0.10169026907929911</v>
      </c>
      <c r="N24" s="38">
        <v>86378</v>
      </c>
      <c r="O24" s="42">
        <v>2205</v>
      </c>
      <c r="P24" s="218">
        <f>+O24/N24*365/90</f>
        <v>0.10352751858112019</v>
      </c>
    </row>
    <row r="25" spans="1:16" x14ac:dyDescent="0.25">
      <c r="A25" s="20" t="s">
        <v>152</v>
      </c>
      <c r="B25" s="50">
        <v>106392</v>
      </c>
      <c r="C25" s="50">
        <v>18110</v>
      </c>
      <c r="D25" s="76">
        <f>+C25/B25</f>
        <v>0.1702195653808557</v>
      </c>
      <c r="E25" s="50">
        <v>99827</v>
      </c>
      <c r="F25" s="50">
        <v>4302</v>
      </c>
      <c r="G25" s="76">
        <f>+F25/E25*365/92</f>
        <v>0.17097295712887645</v>
      </c>
      <c r="H25" s="38">
        <v>107285</v>
      </c>
      <c r="I25" s="42">
        <v>4544</v>
      </c>
      <c r="J25" s="218">
        <f>+I25/H25*365/92</f>
        <v>0.16803678134833874</v>
      </c>
      <c r="K25" s="38">
        <v>108128</v>
      </c>
      <c r="L25" s="42">
        <f>9264-O25</f>
        <v>4576</v>
      </c>
      <c r="M25" s="218">
        <f>+L25/K25*365/91</f>
        <v>0.16974590960977465</v>
      </c>
      <c r="N25" s="38">
        <v>110433</v>
      </c>
      <c r="O25" s="42">
        <v>4688</v>
      </c>
      <c r="P25" s="218">
        <f>+O25/N25*365/90</f>
        <v>0.17216270901310701</v>
      </c>
    </row>
    <row r="26" spans="1:16" x14ac:dyDescent="0.25">
      <c r="A26" s="17"/>
      <c r="B26" s="97">
        <f>SUM(B23:B25)</f>
        <v>611884</v>
      </c>
      <c r="C26" s="97">
        <f>SUM(C23:C25)</f>
        <v>79825</v>
      </c>
      <c r="D26" s="127">
        <f>+C26/B26</f>
        <v>0.13045773381882841</v>
      </c>
      <c r="E26" s="97">
        <f>SUM(E23:E25)</f>
        <v>545189</v>
      </c>
      <c r="F26" s="97">
        <f>SUM(F23:F25)</f>
        <v>17626</v>
      </c>
      <c r="G26" s="127">
        <f>+F26/E26*365/92</f>
        <v>0.12826604926077889</v>
      </c>
      <c r="H26" s="48">
        <f>SUM(H23:H25)</f>
        <v>593850</v>
      </c>
      <c r="I26" s="47">
        <f>SUM(I23:I25)</f>
        <v>19364</v>
      </c>
      <c r="J26" s="219">
        <f>+I26/H26*365/92</f>
        <v>0.12936695330031373</v>
      </c>
      <c r="K26" s="48">
        <f>SUM(K23:K25)</f>
        <v>635846</v>
      </c>
      <c r="L26" s="47">
        <f>SUM(L23:L25)</f>
        <v>20828</v>
      </c>
      <c r="M26" s="219">
        <f>+L26/K26*365/91</f>
        <v>0.13138539696857277</v>
      </c>
      <c r="N26" s="48">
        <f>SUM(N23:N25)</f>
        <v>674136</v>
      </c>
      <c r="O26" s="47">
        <f>SUM(O23:O25)</f>
        <v>22007</v>
      </c>
      <c r="P26" s="219">
        <f>+O26/N26*365/90</f>
        <v>0.13239259008732823</v>
      </c>
    </row>
    <row r="27" spans="1:16" ht="13.8" thickBot="1" x14ac:dyDescent="0.3">
      <c r="A27" s="21" t="s">
        <v>88</v>
      </c>
      <c r="B27" s="104">
        <f>+B26+B21+B17</f>
        <v>4146416</v>
      </c>
      <c r="C27" s="104">
        <f>+C26+C21+C17</f>
        <v>289208</v>
      </c>
      <c r="D27" s="135">
        <f>+C27/B27</f>
        <v>6.9748910866637592E-2</v>
      </c>
      <c r="E27" s="104">
        <f>+E26+E21+E17</f>
        <v>3894068</v>
      </c>
      <c r="F27" s="104">
        <f>+F26+F21+F17</f>
        <v>65098</v>
      </c>
      <c r="G27" s="135">
        <f>+F27/E27*365/92</f>
        <v>6.6323761970883618E-2</v>
      </c>
      <c r="H27" s="46">
        <f>+H26+H21+H17</f>
        <v>4034924</v>
      </c>
      <c r="I27" s="45">
        <f>+I26+I21+I17</f>
        <v>70904</v>
      </c>
      <c r="J27" s="222">
        <f>+I27/H27*365/92</f>
        <v>6.9717276717846041E-2</v>
      </c>
      <c r="K27" s="46">
        <f>+K26+K21+K17</f>
        <v>4268211</v>
      </c>
      <c r="L27" s="45">
        <f>+L26+L21+L17</f>
        <v>75436</v>
      </c>
      <c r="M27" s="222">
        <f>+L27/K27*365/91</f>
        <v>7.0889880334633656E-2</v>
      </c>
      <c r="N27" s="46">
        <f>+N26+N21+N17</f>
        <v>4402022</v>
      </c>
      <c r="O27" s="45">
        <f>+O26+O21+O17</f>
        <v>77820</v>
      </c>
      <c r="P27" s="222">
        <f>+O27/N27*365/90</f>
        <v>7.1695083153453881E-2</v>
      </c>
    </row>
    <row r="28" spans="1:16" x14ac:dyDescent="0.25">
      <c r="K28" s="35"/>
    </row>
    <row r="30" spans="1:16" x14ac:dyDescent="0.25">
      <c r="K30" s="35"/>
      <c r="L30" s="35"/>
    </row>
  </sheetData>
  <mergeCells count="6">
    <mergeCell ref="B6:P6"/>
    <mergeCell ref="B7:D7"/>
    <mergeCell ref="E7:G7"/>
    <mergeCell ref="H7:J7"/>
    <mergeCell ref="K7:M7"/>
    <mergeCell ref="N7:P7"/>
  </mergeCells>
  <phoneticPr fontId="0" type="noConversion"/>
  <pageMargins left="0.32" right="0.2" top="1" bottom="1" header="0.5" footer="0.5"/>
  <pageSetup scale="88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workbookViewId="0"/>
  </sheetViews>
  <sheetFormatPr defaultColWidth="9.109375" defaultRowHeight="13.2" x14ac:dyDescent="0.25"/>
  <cols>
    <col min="1" max="1" width="19.33203125" style="1" customWidth="1"/>
    <col min="2" max="2" width="10.6640625" style="1" customWidth="1"/>
    <col min="3" max="3" width="9" style="1" customWidth="1"/>
    <col min="4" max="4" width="7" style="1" customWidth="1"/>
    <col min="5" max="5" width="10.5546875" style="1" customWidth="1"/>
    <col min="6" max="6" width="8.5546875" style="1" customWidth="1"/>
    <col min="7" max="7" width="7" style="1" customWidth="1"/>
    <col min="8" max="8" width="10.6640625" style="1" customWidth="1"/>
    <col min="9" max="9" width="7.6640625" style="1" bestFit="1" customWidth="1"/>
    <col min="10" max="10" width="7" style="1" bestFit="1" customWidth="1"/>
    <col min="11" max="11" width="11" style="1" customWidth="1"/>
    <col min="12" max="12" width="7.6640625" style="1" bestFit="1" customWidth="1"/>
    <col min="13" max="13" width="7" style="1" bestFit="1" customWidth="1"/>
    <col min="14" max="14" width="10.44140625" style="1" customWidth="1"/>
    <col min="15" max="15" width="9" style="1" customWidth="1"/>
    <col min="16" max="16" width="6.44140625" style="1" customWidth="1"/>
    <col min="17" max="16384" width="9.109375" style="1"/>
  </cols>
  <sheetData>
    <row r="1" spans="1:16" x14ac:dyDescent="0.25">
      <c r="A1" s="4" t="s">
        <v>209</v>
      </c>
    </row>
    <row r="2" spans="1:16" x14ac:dyDescent="0.25">
      <c r="A2" s="4" t="s">
        <v>195</v>
      </c>
    </row>
    <row r="6" spans="1:16" x14ac:dyDescent="0.25">
      <c r="A6" s="1" t="s">
        <v>30</v>
      </c>
      <c r="B6" s="390">
        <v>2001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  <c r="O6" s="390"/>
      <c r="P6" s="390"/>
    </row>
    <row r="7" spans="1:16" x14ac:dyDescent="0.25">
      <c r="A7" s="5"/>
      <c r="B7" s="405" t="s">
        <v>0</v>
      </c>
      <c r="C7" s="405"/>
      <c r="D7" s="405"/>
      <c r="E7" s="405" t="s">
        <v>80</v>
      </c>
      <c r="F7" s="405"/>
      <c r="G7" s="405"/>
      <c r="H7" s="406" t="s">
        <v>199</v>
      </c>
      <c r="I7" s="405"/>
      <c r="J7" s="407"/>
      <c r="K7" s="406" t="s">
        <v>191</v>
      </c>
      <c r="L7" s="405"/>
      <c r="M7" s="407"/>
      <c r="N7" s="406" t="s">
        <v>200</v>
      </c>
      <c r="O7" s="405"/>
      <c r="P7" s="407"/>
    </row>
    <row r="8" spans="1:16" x14ac:dyDescent="0.25">
      <c r="A8" s="7"/>
      <c r="B8" s="8" t="s">
        <v>196</v>
      </c>
      <c r="C8" s="8" t="s">
        <v>197</v>
      </c>
      <c r="D8" s="8" t="s">
        <v>198</v>
      </c>
      <c r="E8" s="8" t="s">
        <v>196</v>
      </c>
      <c r="F8" s="8" t="s">
        <v>197</v>
      </c>
      <c r="G8" s="8" t="s">
        <v>198</v>
      </c>
      <c r="H8" s="15" t="s">
        <v>196</v>
      </c>
      <c r="I8" s="8" t="s">
        <v>197</v>
      </c>
      <c r="J8" s="81" t="s">
        <v>198</v>
      </c>
      <c r="K8" s="15" t="s">
        <v>196</v>
      </c>
      <c r="L8" s="8" t="s">
        <v>197</v>
      </c>
      <c r="M8" s="81" t="s">
        <v>198</v>
      </c>
      <c r="N8" s="15" t="s">
        <v>196</v>
      </c>
      <c r="O8" s="8" t="s">
        <v>197</v>
      </c>
      <c r="P8" s="81" t="s">
        <v>198</v>
      </c>
    </row>
    <row r="9" spans="1:16" x14ac:dyDescent="0.25">
      <c r="A9" s="1" t="s">
        <v>85</v>
      </c>
      <c r="H9" s="19"/>
      <c r="I9" s="13"/>
      <c r="J9" s="64"/>
      <c r="K9" s="19"/>
      <c r="L9" s="13"/>
      <c r="M9" s="64"/>
      <c r="N9" s="19"/>
      <c r="O9" s="13"/>
      <c r="P9" s="64"/>
    </row>
    <row r="10" spans="1:16" x14ac:dyDescent="0.25">
      <c r="A10" s="20" t="s">
        <v>144</v>
      </c>
      <c r="B10" s="78">
        <v>1434356</v>
      </c>
      <c r="C10" s="78">
        <v>110262</v>
      </c>
      <c r="D10" s="76">
        <f>+C10/B10</f>
        <v>7.6872129373739856E-2</v>
      </c>
      <c r="E10" s="78">
        <v>1406218</v>
      </c>
      <c r="F10" s="78">
        <v>23530</v>
      </c>
      <c r="G10" s="76">
        <f>+F10/E10*365/92</f>
        <v>6.6385665232065266E-2</v>
      </c>
      <c r="H10" s="41">
        <v>1422484</v>
      </c>
      <c r="I10" s="40">
        <v>26269</v>
      </c>
      <c r="J10" s="218">
        <f>+I10/H10*365/92</f>
        <v>7.326578167059386E-2</v>
      </c>
      <c r="K10" s="41">
        <v>1435533</v>
      </c>
      <c r="L10" s="40">
        <f>60464-31427</f>
        <v>29037</v>
      </c>
      <c r="M10" s="218">
        <f>+L10/K10*365/91</f>
        <v>8.1131599142679353E-2</v>
      </c>
      <c r="N10" s="41">
        <v>1474534</v>
      </c>
      <c r="O10" s="40">
        <v>31427</v>
      </c>
      <c r="P10" s="218">
        <f>+O10/N10*365/90</f>
        <v>8.6436762017318314E-2</v>
      </c>
    </row>
    <row r="11" spans="1:16" x14ac:dyDescent="0.25">
      <c r="A11" s="20" t="s">
        <v>86</v>
      </c>
      <c r="B11" s="50">
        <v>101468</v>
      </c>
      <c r="C11" s="50">
        <v>6317</v>
      </c>
      <c r="D11" s="76">
        <f t="shared" ref="D11:D16" si="0">+C11/B11</f>
        <v>6.2256080734812945E-2</v>
      </c>
      <c r="E11" s="50">
        <v>98599</v>
      </c>
      <c r="F11" s="50">
        <v>1159</v>
      </c>
      <c r="G11" s="76">
        <f t="shared" ref="G11:G16" si="1">+F11/E11*365/92</f>
        <v>4.6635427557471479E-2</v>
      </c>
      <c r="H11" s="38">
        <v>98703</v>
      </c>
      <c r="I11" s="42">
        <v>1468</v>
      </c>
      <c r="J11" s="218">
        <f t="shared" ref="J11:J16" si="2">+I11/H11*365/92</f>
        <v>5.9006620211975405E-2</v>
      </c>
      <c r="K11" s="38">
        <v>102442</v>
      </c>
      <c r="L11" s="42">
        <f>3689-1918</f>
        <v>1771</v>
      </c>
      <c r="M11" s="218">
        <f t="shared" ref="M11:M16" si="3">+L11/K11*365/91</f>
        <v>6.9341300818624579E-2</v>
      </c>
      <c r="N11" s="38">
        <v>106243</v>
      </c>
      <c r="O11" s="42">
        <v>1918</v>
      </c>
      <c r="P11" s="218">
        <f t="shared" ref="P11:P16" si="4">+O11/N11*365/90</f>
        <v>7.3214758201063171E-2</v>
      </c>
    </row>
    <row r="12" spans="1:16" x14ac:dyDescent="0.25">
      <c r="A12" s="20" t="s">
        <v>145</v>
      </c>
      <c r="B12" s="50">
        <v>78337</v>
      </c>
      <c r="C12" s="50">
        <v>6710</v>
      </c>
      <c r="D12" s="76">
        <f t="shared" si="0"/>
        <v>8.5655565058656832E-2</v>
      </c>
      <c r="E12" s="50">
        <v>78047</v>
      </c>
      <c r="F12" s="50">
        <v>1542</v>
      </c>
      <c r="G12" s="76">
        <f t="shared" si="1"/>
        <v>7.8385042234862937E-2</v>
      </c>
      <c r="H12" s="38">
        <v>77445</v>
      </c>
      <c r="I12" s="42">
        <v>1631</v>
      </c>
      <c r="J12" s="218">
        <f t="shared" si="2"/>
        <v>8.3553686066128285E-2</v>
      </c>
      <c r="K12" s="38">
        <v>78937</v>
      </c>
      <c r="L12" s="42">
        <f>3537-1774</f>
        <v>1763</v>
      </c>
      <c r="M12" s="218">
        <f t="shared" si="3"/>
        <v>8.958249776877289E-2</v>
      </c>
      <c r="N12" s="38">
        <v>78938</v>
      </c>
      <c r="O12" s="42">
        <v>1774</v>
      </c>
      <c r="P12" s="218">
        <f t="shared" si="4"/>
        <v>9.1141852536871432E-2</v>
      </c>
    </row>
    <row r="13" spans="1:16" x14ac:dyDescent="0.25">
      <c r="A13" s="20" t="s">
        <v>146</v>
      </c>
      <c r="B13" s="50">
        <v>17925</v>
      </c>
      <c r="C13" s="50">
        <v>1358</v>
      </c>
      <c r="D13" s="76">
        <f t="shared" si="0"/>
        <v>7.576011157601116E-2</v>
      </c>
      <c r="E13" s="50">
        <v>19105</v>
      </c>
      <c r="F13" s="50">
        <v>271</v>
      </c>
      <c r="G13" s="76">
        <f t="shared" si="1"/>
        <v>5.6276526745787009E-2</v>
      </c>
      <c r="H13" s="38">
        <v>16706</v>
      </c>
      <c r="I13" s="42">
        <v>298</v>
      </c>
      <c r="J13" s="218">
        <f t="shared" si="2"/>
        <v>7.0769939464602666E-2</v>
      </c>
      <c r="K13" s="38">
        <v>16814</v>
      </c>
      <c r="L13" s="42">
        <f>788-458</f>
        <v>330</v>
      </c>
      <c r="M13" s="218">
        <f t="shared" si="3"/>
        <v>7.8721682742141891E-2</v>
      </c>
      <c r="N13" s="38">
        <v>19749</v>
      </c>
      <c r="O13" s="42">
        <v>458</v>
      </c>
      <c r="P13" s="218">
        <f t="shared" si="4"/>
        <v>9.405258212792772E-2</v>
      </c>
    </row>
    <row r="14" spans="1:16" x14ac:dyDescent="0.25">
      <c r="A14" s="20" t="s">
        <v>148</v>
      </c>
      <c r="B14" s="50">
        <v>605563</v>
      </c>
      <c r="C14" s="50">
        <v>38897</v>
      </c>
      <c r="D14" s="76">
        <f t="shared" si="0"/>
        <v>6.4232788330859047E-2</v>
      </c>
      <c r="E14" s="50">
        <v>592698</v>
      </c>
      <c r="F14" s="50">
        <v>7734</v>
      </c>
      <c r="G14" s="76">
        <f t="shared" si="1"/>
        <v>5.176971129955911E-2</v>
      </c>
      <c r="H14" s="38">
        <v>598392</v>
      </c>
      <c r="I14" s="42">
        <v>8990</v>
      </c>
      <c r="J14" s="218">
        <f t="shared" si="2"/>
        <v>5.9604486400364566E-2</v>
      </c>
      <c r="K14" s="38">
        <v>599298</v>
      </c>
      <c r="L14" s="42">
        <f>22174-12260</f>
        <v>9914</v>
      </c>
      <c r="M14" s="218">
        <f t="shared" si="3"/>
        <v>6.6352540897758799E-2</v>
      </c>
      <c r="N14" s="38">
        <v>634727</v>
      </c>
      <c r="O14" s="42">
        <v>12260</v>
      </c>
      <c r="P14" s="218">
        <f t="shared" si="4"/>
        <v>7.8334640106866596E-2</v>
      </c>
    </row>
    <row r="15" spans="1:16" x14ac:dyDescent="0.25">
      <c r="A15" s="1" t="s">
        <v>149</v>
      </c>
      <c r="B15" s="50">
        <v>368507</v>
      </c>
      <c r="C15" s="50">
        <v>30576</v>
      </c>
      <c r="D15" s="76">
        <f t="shared" si="0"/>
        <v>8.2972643667555843E-2</v>
      </c>
      <c r="E15" s="50">
        <v>338512</v>
      </c>
      <c r="F15" s="50">
        <v>5835</v>
      </c>
      <c r="G15" s="76">
        <f t="shared" si="1"/>
        <v>6.8386728567582725E-2</v>
      </c>
      <c r="H15" s="38">
        <v>360756</v>
      </c>
      <c r="I15" s="42">
        <v>7184</v>
      </c>
      <c r="J15" s="218">
        <f t="shared" si="2"/>
        <v>7.9005585854247135E-2</v>
      </c>
      <c r="K15" s="38">
        <v>382054</v>
      </c>
      <c r="L15" s="42">
        <f>17558-9562</f>
        <v>7996</v>
      </c>
      <c r="M15" s="218">
        <f t="shared" si="3"/>
        <v>8.3945903280342918E-2</v>
      </c>
      <c r="N15" s="38">
        <v>392301</v>
      </c>
      <c r="O15" s="42">
        <v>9562</v>
      </c>
      <c r="P15" s="218">
        <f t="shared" si="4"/>
        <v>9.8850684097726557E-2</v>
      </c>
    </row>
    <row r="16" spans="1:16" x14ac:dyDescent="0.25">
      <c r="A16" s="20" t="s">
        <v>147</v>
      </c>
      <c r="B16" s="50">
        <v>5967</v>
      </c>
      <c r="C16" s="50">
        <v>421</v>
      </c>
      <c r="D16" s="76">
        <f t="shared" si="0"/>
        <v>7.0554717613541137E-2</v>
      </c>
      <c r="E16" s="50">
        <v>5156</v>
      </c>
      <c r="F16" s="50">
        <v>57</v>
      </c>
      <c r="G16" s="76">
        <f t="shared" si="1"/>
        <v>4.3859834047289777E-2</v>
      </c>
      <c r="H16" s="38">
        <v>2799</v>
      </c>
      <c r="I16" s="42">
        <v>76</v>
      </c>
      <c r="J16" s="218">
        <f t="shared" si="2"/>
        <v>0.10772480854963729</v>
      </c>
      <c r="K16" s="38">
        <v>3940</v>
      </c>
      <c r="L16" s="42">
        <f>288-204</f>
        <v>84</v>
      </c>
      <c r="M16" s="218">
        <f t="shared" si="3"/>
        <v>8.5513471300273328E-2</v>
      </c>
      <c r="N16" s="38">
        <v>9781</v>
      </c>
      <c r="O16" s="42">
        <v>204</v>
      </c>
      <c r="P16" s="218">
        <f t="shared" si="4"/>
        <v>8.4585761510411347E-2</v>
      </c>
    </row>
    <row r="17" spans="1:16" x14ac:dyDescent="0.25">
      <c r="A17" s="17"/>
      <c r="B17" s="97">
        <f>SUM(B10:B16)</f>
        <v>2612123</v>
      </c>
      <c r="C17" s="97">
        <f>SUM(C10:C16)</f>
        <v>194541</v>
      </c>
      <c r="D17" s="127">
        <f>+C17/B17</f>
        <v>7.4476201924641369E-2</v>
      </c>
      <c r="E17" s="97">
        <f>SUM(E10:E16)</f>
        <v>2538335</v>
      </c>
      <c r="F17" s="97">
        <f>SUM(F10:F16)</f>
        <v>40128</v>
      </c>
      <c r="G17" s="127">
        <f>+F17/E17*365/92</f>
        <v>6.2719648218564364E-2</v>
      </c>
      <c r="H17" s="48">
        <f>SUM(H10:H16)</f>
        <v>2577285</v>
      </c>
      <c r="I17" s="47">
        <f>SUM(I10:I16)</f>
        <v>45916</v>
      </c>
      <c r="J17" s="219">
        <f>+I17/H17*365/92</f>
        <v>7.0681643330262181E-2</v>
      </c>
      <c r="K17" s="48">
        <f>SUM(K10:K16)</f>
        <v>2619018</v>
      </c>
      <c r="L17" s="47">
        <f>SUM(L10:L16)</f>
        <v>50895</v>
      </c>
      <c r="M17" s="219">
        <f>+L17/K17*365/91</f>
        <v>7.7944972395869644E-2</v>
      </c>
      <c r="N17" s="48">
        <f>SUM(N10:N16)</f>
        <v>2716273</v>
      </c>
      <c r="O17" s="47">
        <f>SUM(O10:O16)</f>
        <v>57603</v>
      </c>
      <c r="P17" s="219">
        <f>+O17/N17*365/90</f>
        <v>8.6004671351762749E-2</v>
      </c>
    </row>
    <row r="18" spans="1:16" x14ac:dyDescent="0.25">
      <c r="A18" s="1" t="s">
        <v>153</v>
      </c>
      <c r="B18" s="50"/>
      <c r="C18" s="50"/>
      <c r="D18" s="50"/>
      <c r="E18" s="50"/>
      <c r="F18" s="50"/>
      <c r="G18" s="50"/>
      <c r="H18" s="38"/>
      <c r="I18" s="42"/>
      <c r="J18" s="220"/>
      <c r="K18" s="38"/>
      <c r="L18" s="42"/>
      <c r="M18" s="220"/>
      <c r="N18" s="38"/>
      <c r="O18" s="42"/>
      <c r="P18" s="220"/>
    </row>
    <row r="19" spans="1:16" x14ac:dyDescent="0.25">
      <c r="A19" s="20" t="s">
        <v>154</v>
      </c>
      <c r="B19" s="50">
        <v>1035880</v>
      </c>
      <c r="C19" s="50">
        <v>75499</v>
      </c>
      <c r="D19" s="76">
        <f>+C19/B19</f>
        <v>7.2883924778931922E-2</v>
      </c>
      <c r="E19" s="50">
        <v>1087738</v>
      </c>
      <c r="F19" s="50">
        <v>18928</v>
      </c>
      <c r="G19" s="76">
        <f>+F19/E19*365/92</f>
        <v>6.9037564752445588E-2</v>
      </c>
      <c r="H19" s="38">
        <v>1090594</v>
      </c>
      <c r="I19" s="42">
        <v>20182</v>
      </c>
      <c r="J19" s="218">
        <f>+I19/H19*365/92</f>
        <v>7.3418606103048276E-2</v>
      </c>
      <c r="K19" s="38">
        <v>1018184</v>
      </c>
      <c r="L19" s="42">
        <v>18572</v>
      </c>
      <c r="M19" s="218">
        <f>+L19/K19*365/91</f>
        <v>7.316171528141073E-2</v>
      </c>
      <c r="N19" s="38">
        <f>975618-N20-N21</f>
        <v>944160</v>
      </c>
      <c r="O19" s="42">
        <f>18331-O20-O21</f>
        <v>17815</v>
      </c>
      <c r="P19" s="218">
        <f>+O19/N19*365/90</f>
        <v>7.6522752734941357E-2</v>
      </c>
    </row>
    <row r="20" spans="1:16" x14ac:dyDescent="0.25">
      <c r="A20" s="20" t="s">
        <v>91</v>
      </c>
      <c r="B20" s="98">
        <v>12686</v>
      </c>
      <c r="C20" s="98">
        <v>842</v>
      </c>
      <c r="D20" s="76">
        <f>+C20/B20</f>
        <v>6.6372379000472964E-2</v>
      </c>
      <c r="E20" s="98">
        <v>8175</v>
      </c>
      <c r="F20" s="98">
        <v>144</v>
      </c>
      <c r="G20" s="76">
        <f>+F20/E20*365/92</f>
        <v>6.9884323893099329E-2</v>
      </c>
      <c r="H20" s="223">
        <v>12342</v>
      </c>
      <c r="I20" s="221">
        <v>221</v>
      </c>
      <c r="J20" s="218">
        <f>+I20/H20*365/92</f>
        <v>7.1041442088872919E-2</v>
      </c>
      <c r="K20" s="223">
        <v>14004</v>
      </c>
      <c r="L20" s="221">
        <v>228</v>
      </c>
      <c r="M20" s="218">
        <f>+L20/K20*365/91</f>
        <v>6.530316298953831E-2</v>
      </c>
      <c r="N20" s="223">
        <v>16989</v>
      </c>
      <c r="O20" s="224">
        <v>250</v>
      </c>
      <c r="P20" s="218">
        <f>+O20/N20*365/90</f>
        <v>5.9679138789151154E-2</v>
      </c>
    </row>
    <row r="21" spans="1:16" x14ac:dyDescent="0.25">
      <c r="A21" s="20" t="s">
        <v>155</v>
      </c>
      <c r="B21" s="98">
        <v>26947</v>
      </c>
      <c r="C21" s="98">
        <v>1363</v>
      </c>
      <c r="D21" s="76">
        <f>+C21/B21</f>
        <v>5.0580769658960183E-2</v>
      </c>
      <c r="E21" s="98">
        <v>37282</v>
      </c>
      <c r="F21" s="98">
        <v>334</v>
      </c>
      <c r="G21" s="76">
        <f>+F21/E21*365/92</f>
        <v>3.554285434397763E-2</v>
      </c>
      <c r="H21" s="223">
        <v>34111</v>
      </c>
      <c r="I21" s="221">
        <v>433</v>
      </c>
      <c r="J21" s="218">
        <f>+I21/H21*365/92</f>
        <v>5.0361479721573947E-2</v>
      </c>
      <c r="K21" s="223">
        <v>21596</v>
      </c>
      <c r="L21" s="221">
        <v>331</v>
      </c>
      <c r="M21" s="218">
        <f>+L21/K21*365/91</f>
        <v>6.1476077173428539E-2</v>
      </c>
      <c r="N21" s="223">
        <v>14469</v>
      </c>
      <c r="O21" s="224">
        <v>266</v>
      </c>
      <c r="P21" s="218">
        <f>+O21/N21*365/90</f>
        <v>7.4557867010697207E-2</v>
      </c>
    </row>
    <row r="22" spans="1:16" x14ac:dyDescent="0.25">
      <c r="A22" s="17"/>
      <c r="B22" s="97">
        <f>SUM(B19:B21)</f>
        <v>1075513</v>
      </c>
      <c r="C22" s="97">
        <f>SUM(C19:C21)</f>
        <v>77704</v>
      </c>
      <c r="D22" s="127">
        <f>+C22/B22</f>
        <v>7.2248313130571173E-2</v>
      </c>
      <c r="E22" s="97">
        <f>SUM(E19:E21)</f>
        <v>1133195</v>
      </c>
      <c r="F22" s="97">
        <f>SUM(F19:F21)</f>
        <v>19406</v>
      </c>
      <c r="G22" s="127">
        <f>+F22/E22*365/92</f>
        <v>6.7941700812458511E-2</v>
      </c>
      <c r="H22" s="48">
        <f>SUM(H19:H21)</f>
        <v>1137047</v>
      </c>
      <c r="I22" s="47">
        <f>SUM(I19:I21)</f>
        <v>20836</v>
      </c>
      <c r="J22" s="219">
        <f>+I22/H22*365/92</f>
        <v>7.2701097859095801E-2</v>
      </c>
      <c r="K22" s="48">
        <f>SUM(K19:K21)</f>
        <v>1053784</v>
      </c>
      <c r="L22" s="47">
        <f>SUM(L19:L21)</f>
        <v>19131</v>
      </c>
      <c r="M22" s="219">
        <f>+L22/K22*365/91</f>
        <v>7.2817798305184728E-2</v>
      </c>
      <c r="N22" s="48">
        <f>SUM(N19:N21)</f>
        <v>975618</v>
      </c>
      <c r="O22" s="47">
        <f>SUM(O19:O21)</f>
        <v>18331</v>
      </c>
      <c r="P22" s="219">
        <f>+O22/N22*365/90</f>
        <v>7.6200304718536241E-2</v>
      </c>
    </row>
    <row r="23" spans="1:16" x14ac:dyDescent="0.25">
      <c r="A23" s="1" t="s">
        <v>87</v>
      </c>
      <c r="B23" s="50"/>
      <c r="C23" s="50"/>
      <c r="D23" s="50"/>
      <c r="E23" s="50"/>
      <c r="F23" s="50"/>
      <c r="G23" s="50"/>
      <c r="H23" s="38"/>
      <c r="I23" s="42"/>
      <c r="J23" s="220"/>
      <c r="K23" s="38"/>
      <c r="L23" s="42"/>
      <c r="M23" s="220"/>
      <c r="N23" s="38"/>
      <c r="O23" s="42"/>
      <c r="P23" s="220"/>
    </row>
    <row r="24" spans="1:16" x14ac:dyDescent="0.25">
      <c r="A24" s="20" t="s">
        <v>201</v>
      </c>
      <c r="B24" s="50">
        <v>519119</v>
      </c>
      <c r="C24" s="50">
        <v>67575</v>
      </c>
      <c r="D24" s="76">
        <f>+C24/B24</f>
        <v>0.13017246527289503</v>
      </c>
      <c r="E24" s="50">
        <v>499689</v>
      </c>
      <c r="F24" s="50">
        <v>16241</v>
      </c>
      <c r="G24" s="76">
        <f>+F24/E24*365/92</f>
        <v>0.12894901063243946</v>
      </c>
      <c r="H24" s="38">
        <v>514012</v>
      </c>
      <c r="I24" s="42">
        <v>16785</v>
      </c>
      <c r="J24" s="218">
        <f>+I24/H24*365/92</f>
        <v>0.12955468557830996</v>
      </c>
      <c r="K24" s="38">
        <v>527188</v>
      </c>
      <c r="L24" s="42">
        <f>34548-17409</f>
        <v>17139</v>
      </c>
      <c r="M24" s="218">
        <f>+L24/K24*365/91</f>
        <v>0.13039815143618719</v>
      </c>
      <c r="N24" s="38">
        <v>535963</v>
      </c>
      <c r="O24" s="42">
        <v>17409</v>
      </c>
      <c r="P24" s="218">
        <f>+O24/N24*365/90</f>
        <v>0.13173141927085763</v>
      </c>
    </row>
    <row r="25" spans="1:16" x14ac:dyDescent="0.25">
      <c r="A25" s="20" t="s">
        <v>151</v>
      </c>
      <c r="B25" s="50">
        <v>123479</v>
      </c>
      <c r="C25" s="50">
        <v>12927</v>
      </c>
      <c r="D25" s="76">
        <f>+C25/B25</f>
        <v>0.10468986629305388</v>
      </c>
      <c r="E25" s="50">
        <v>100120</v>
      </c>
      <c r="F25" s="50">
        <v>2642</v>
      </c>
      <c r="G25" s="76">
        <f>+F25/E25*365/92</f>
        <v>0.10469284684465598</v>
      </c>
      <c r="H25" s="38">
        <v>114910</v>
      </c>
      <c r="I25" s="42">
        <v>2989</v>
      </c>
      <c r="J25" s="218">
        <f>+I25/H25*365/92</f>
        <v>0.10319843885384782</v>
      </c>
      <c r="K25" s="38">
        <v>130948</v>
      </c>
      <c r="L25" s="42">
        <f>7296-3850</f>
        <v>3446</v>
      </c>
      <c r="M25" s="218">
        <f>+L25/K25*365/91</f>
        <v>0.10555234239444765</v>
      </c>
      <c r="N25" s="38">
        <v>148565</v>
      </c>
      <c r="O25" s="42">
        <f>3849+1</f>
        <v>3850</v>
      </c>
      <c r="P25" s="218">
        <f>+O25/N25*365/90</f>
        <v>0.10509803041691439</v>
      </c>
    </row>
    <row r="26" spans="1:16" x14ac:dyDescent="0.25">
      <c r="A26" s="20" t="s">
        <v>152</v>
      </c>
      <c r="B26" s="50">
        <v>112465</v>
      </c>
      <c r="C26" s="50">
        <v>17921</v>
      </c>
      <c r="D26" s="76">
        <f>+C26/B26</f>
        <v>0.15934735250966967</v>
      </c>
      <c r="E26" s="50">
        <v>111855</v>
      </c>
      <c r="F26" s="50">
        <v>4763</v>
      </c>
      <c r="G26" s="76">
        <f>+F26/E26*365/92</f>
        <v>0.16893911566410708</v>
      </c>
      <c r="H26" s="38">
        <v>113388</v>
      </c>
      <c r="I26" s="42">
        <v>4382</v>
      </c>
      <c r="J26" s="218">
        <f>+I26/H26*365/92</f>
        <v>0.15332406159075188</v>
      </c>
      <c r="K26" s="38">
        <v>112469</v>
      </c>
      <c r="L26" s="42">
        <f>8776-4452</f>
        <v>4324</v>
      </c>
      <c r="M26" s="218">
        <f>+L26/K26*365/91</f>
        <v>0.15420708358317833</v>
      </c>
      <c r="N26" s="38">
        <v>112140</v>
      </c>
      <c r="O26" s="42">
        <v>4452</v>
      </c>
      <c r="P26" s="218">
        <f>+O26/N26*365/90</f>
        <v>0.16100707449022053</v>
      </c>
    </row>
    <row r="27" spans="1:16" x14ac:dyDescent="0.25">
      <c r="A27" s="17"/>
      <c r="B27" s="97">
        <f>SUM(B24:B26)</f>
        <v>755063</v>
      </c>
      <c r="C27" s="97">
        <f>SUM(C24:C26)</f>
        <v>98423</v>
      </c>
      <c r="D27" s="127">
        <f>+C27/B27</f>
        <v>0.13035071245710622</v>
      </c>
      <c r="E27" s="97">
        <f>SUM(E24:E26)</f>
        <v>711664</v>
      </c>
      <c r="F27" s="97">
        <f>SUM(F24:F26)</f>
        <v>23646</v>
      </c>
      <c r="G27" s="127">
        <f>+F27/E27*365/92</f>
        <v>0.13182194797349411</v>
      </c>
      <c r="H27" s="48">
        <f>SUM(H24:H26)</f>
        <v>742310</v>
      </c>
      <c r="I27" s="47">
        <f>SUM(I24:I26)</f>
        <v>24156</v>
      </c>
      <c r="J27" s="219">
        <f>+I27/H27*365/92</f>
        <v>0.12910550086598063</v>
      </c>
      <c r="K27" s="48">
        <f>SUM(K24:K26)</f>
        <v>770605</v>
      </c>
      <c r="L27" s="47">
        <f>SUM(L24:L26)</f>
        <v>24909</v>
      </c>
      <c r="M27" s="219">
        <f>+L27/K27*365/91</f>
        <v>0.12965102130757686</v>
      </c>
      <c r="N27" s="48">
        <f>SUM(N24:N26)</f>
        <v>796668</v>
      </c>
      <c r="O27" s="47">
        <f>SUM(O24:O26)</f>
        <v>25711</v>
      </c>
      <c r="P27" s="219">
        <f>+O27/N27*365/90</f>
        <v>0.1308856247381455</v>
      </c>
    </row>
    <row r="28" spans="1:16" ht="13.8" thickBot="1" x14ac:dyDescent="0.3">
      <c r="A28" s="21" t="s">
        <v>88</v>
      </c>
      <c r="B28" s="104">
        <f>+B27+B22+B17</f>
        <v>4442699</v>
      </c>
      <c r="C28" s="104">
        <f>+C27+C22+C17</f>
        <v>370668</v>
      </c>
      <c r="D28" s="135">
        <f>+C28/B28</f>
        <v>8.3433066250943405E-2</v>
      </c>
      <c r="E28" s="104">
        <f>+E27+E22+E17</f>
        <v>4383194</v>
      </c>
      <c r="F28" s="104">
        <f>+F27+F22+F17</f>
        <v>83180</v>
      </c>
      <c r="G28" s="135">
        <f>+F28/E28*365/92</f>
        <v>7.5289300153187882E-2</v>
      </c>
      <c r="H28" s="46">
        <f>+H27+H22+H17</f>
        <v>4456642</v>
      </c>
      <c r="I28" s="45">
        <f>+I27+I22+I17</f>
        <v>90908</v>
      </c>
      <c r="J28" s="222">
        <f>+I28/H28*365/92</f>
        <v>8.0928108808302784E-2</v>
      </c>
      <c r="K28" s="46">
        <f>+K27+K22+K17</f>
        <v>4443407</v>
      </c>
      <c r="L28" s="45">
        <f>+L27+L22+L17</f>
        <v>94935</v>
      </c>
      <c r="M28" s="222">
        <f>+L28/K28*365/91</f>
        <v>8.5696233038801486E-2</v>
      </c>
      <c r="N28" s="46">
        <f>+N27+N22+N17</f>
        <v>4488559</v>
      </c>
      <c r="O28" s="45">
        <f>+O27+O22+O17</f>
        <v>101645</v>
      </c>
      <c r="P28" s="222">
        <f>+O28/N28*365/90</f>
        <v>9.1839484441319466E-2</v>
      </c>
    </row>
    <row r="31" spans="1:16" x14ac:dyDescent="0.25">
      <c r="K31" s="35"/>
      <c r="L31" s="35"/>
    </row>
  </sheetData>
  <mergeCells count="6">
    <mergeCell ref="B6:P6"/>
    <mergeCell ref="B7:D7"/>
    <mergeCell ref="E7:G7"/>
    <mergeCell ref="H7:J7"/>
    <mergeCell ref="K7:M7"/>
    <mergeCell ref="N7:P7"/>
  </mergeCells>
  <phoneticPr fontId="0" type="noConversion"/>
  <printOptions horizontalCentered="1"/>
  <pageMargins left="0" right="0" top="1" bottom="1" header="0.5" footer="0.5"/>
  <pageSetup scale="9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workbookViewId="0"/>
  </sheetViews>
  <sheetFormatPr defaultColWidth="9.109375" defaultRowHeight="13.2" x14ac:dyDescent="0.25"/>
  <cols>
    <col min="1" max="1" width="19.33203125" style="1" customWidth="1"/>
    <col min="2" max="2" width="10.6640625" style="1" customWidth="1"/>
    <col min="3" max="3" width="9" style="1" customWidth="1"/>
    <col min="4" max="4" width="7" style="1" customWidth="1"/>
    <col min="5" max="5" width="10.6640625" style="1" customWidth="1"/>
    <col min="6" max="6" width="8.5546875" style="1" customWidth="1"/>
    <col min="7" max="7" width="7" style="1" bestFit="1" customWidth="1"/>
    <col min="8" max="8" width="10.88671875" style="1" customWidth="1"/>
    <col min="9" max="9" width="8.5546875" style="1" bestFit="1" customWidth="1"/>
    <col min="10" max="10" width="7" style="1" bestFit="1" customWidth="1"/>
    <col min="11" max="11" width="10.6640625" style="1" customWidth="1"/>
    <col min="12" max="12" width="8.5546875" style="1" bestFit="1" customWidth="1"/>
    <col min="13" max="13" width="7" style="1" bestFit="1" customWidth="1"/>
    <col min="14" max="14" width="10.6640625" style="1" customWidth="1"/>
    <col min="15" max="15" width="8.5546875" style="1" bestFit="1" customWidth="1"/>
    <col min="16" max="16" width="6.44140625" style="1" customWidth="1"/>
    <col min="17" max="16384" width="9.109375" style="1"/>
  </cols>
  <sheetData>
    <row r="1" spans="1:16" x14ac:dyDescent="0.25">
      <c r="A1" s="4" t="s">
        <v>209</v>
      </c>
    </row>
    <row r="2" spans="1:16" x14ac:dyDescent="0.25">
      <c r="A2" s="4" t="s">
        <v>195</v>
      </c>
    </row>
    <row r="6" spans="1:16" x14ac:dyDescent="0.25">
      <c r="A6" s="1" t="s">
        <v>30</v>
      </c>
      <c r="B6" s="390">
        <v>2000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  <c r="O6" s="390"/>
      <c r="P6" s="390"/>
    </row>
    <row r="7" spans="1:16" x14ac:dyDescent="0.25">
      <c r="A7" s="5"/>
      <c r="B7" s="406" t="s">
        <v>0</v>
      </c>
      <c r="C7" s="405"/>
      <c r="D7" s="405"/>
      <c r="E7" s="406" t="s">
        <v>80</v>
      </c>
      <c r="F7" s="405"/>
      <c r="G7" s="405"/>
      <c r="H7" s="406" t="s">
        <v>199</v>
      </c>
      <c r="I7" s="405"/>
      <c r="J7" s="405"/>
      <c r="K7" s="406" t="s">
        <v>191</v>
      </c>
      <c r="L7" s="405"/>
      <c r="M7" s="405"/>
      <c r="N7" s="406" t="s">
        <v>200</v>
      </c>
      <c r="O7" s="405"/>
      <c r="P7" s="407"/>
    </row>
    <row r="8" spans="1:16" x14ac:dyDescent="0.25">
      <c r="A8" s="7"/>
      <c r="B8" s="15" t="s">
        <v>196</v>
      </c>
      <c r="C8" s="8" t="s">
        <v>197</v>
      </c>
      <c r="D8" s="8" t="s">
        <v>198</v>
      </c>
      <c r="E8" s="15" t="s">
        <v>196</v>
      </c>
      <c r="F8" s="8" t="s">
        <v>197</v>
      </c>
      <c r="G8" s="8" t="s">
        <v>198</v>
      </c>
      <c r="H8" s="15" t="s">
        <v>196</v>
      </c>
      <c r="I8" s="8" t="s">
        <v>197</v>
      </c>
      <c r="J8" s="8" t="s">
        <v>198</v>
      </c>
      <c r="K8" s="15" t="s">
        <v>196</v>
      </c>
      <c r="L8" s="8" t="s">
        <v>197</v>
      </c>
      <c r="M8" s="8" t="s">
        <v>198</v>
      </c>
      <c r="N8" s="15" t="s">
        <v>196</v>
      </c>
      <c r="O8" s="8" t="s">
        <v>197</v>
      </c>
      <c r="P8" s="81" t="s">
        <v>198</v>
      </c>
    </row>
    <row r="9" spans="1:16" x14ac:dyDescent="0.25">
      <c r="A9" s="1" t="s">
        <v>85</v>
      </c>
      <c r="B9" s="19"/>
      <c r="C9" s="13"/>
      <c r="D9" s="13"/>
      <c r="E9" s="19"/>
      <c r="F9" s="13"/>
      <c r="G9" s="13"/>
      <c r="H9" s="19"/>
      <c r="I9" s="13"/>
      <c r="J9" s="13"/>
      <c r="K9" s="19"/>
      <c r="L9" s="13"/>
      <c r="M9" s="13"/>
      <c r="N9" s="19"/>
      <c r="O9" s="13"/>
      <c r="P9" s="64"/>
    </row>
    <row r="10" spans="1:16" x14ac:dyDescent="0.25">
      <c r="A10" s="20" t="s">
        <v>144</v>
      </c>
      <c r="B10" s="140">
        <v>1440776</v>
      </c>
      <c r="C10" s="100">
        <v>129485</v>
      </c>
      <c r="D10" s="86">
        <f>+C10/B10</f>
        <v>8.9871708024009289E-2</v>
      </c>
      <c r="E10" s="140">
        <v>1471650</v>
      </c>
      <c r="F10" s="100">
        <v>34070</v>
      </c>
      <c r="G10" s="86">
        <f>+F10/E10*366/92</f>
        <v>9.2100260133922446E-2</v>
      </c>
      <c r="H10" s="41">
        <v>1453314</v>
      </c>
      <c r="I10" s="40">
        <v>33258</v>
      </c>
      <c r="J10" s="73">
        <f>+I10/H10*366/92</f>
        <v>9.1039513828394966E-2</v>
      </c>
      <c r="K10" s="41">
        <v>1436390</v>
      </c>
      <c r="L10" s="40">
        <v>31972</v>
      </c>
      <c r="M10" s="73">
        <f>+L10/K10*366/91</f>
        <v>8.9523514726976186E-2</v>
      </c>
      <c r="N10" s="41">
        <v>1397419</v>
      </c>
      <c r="O10" s="40">
        <v>30185</v>
      </c>
      <c r="P10" s="218">
        <f t="shared" ref="P10:P17" si="0">+O10/N10*366/91</f>
        <v>8.6876882734102365E-2</v>
      </c>
    </row>
    <row r="11" spans="1:16" x14ac:dyDescent="0.25">
      <c r="A11" s="20" t="s">
        <v>86</v>
      </c>
      <c r="B11" s="51">
        <v>112150</v>
      </c>
      <c r="C11" s="102">
        <v>10120</v>
      </c>
      <c r="D11" s="86">
        <f t="shared" ref="D11:D16" si="1">+C11/B11</f>
        <v>9.0236290682122161E-2</v>
      </c>
      <c r="E11" s="51">
        <v>111213</v>
      </c>
      <c r="F11" s="102">
        <v>2792</v>
      </c>
      <c r="G11" s="86">
        <f t="shared" ref="G11:G16" si="2">+F11/E11*366/92</f>
        <v>9.9874154530730119E-2</v>
      </c>
      <c r="H11" s="38">
        <v>111628</v>
      </c>
      <c r="I11" s="42">
        <v>2341</v>
      </c>
      <c r="J11" s="73">
        <f t="shared" ref="J11:J16" si="3">+I11/H11*366/92</f>
        <v>8.3429862540331939E-2</v>
      </c>
      <c r="K11" s="38">
        <v>111464</v>
      </c>
      <c r="L11" s="42">
        <v>2419</v>
      </c>
      <c r="M11" s="73">
        <f t="shared" ref="M11:M16" si="4">+L11/K11*366/91</f>
        <v>8.7285265513213542E-2</v>
      </c>
      <c r="N11" s="38">
        <v>114310</v>
      </c>
      <c r="O11" s="42">
        <v>2568</v>
      </c>
      <c r="P11" s="218">
        <f t="shared" si="0"/>
        <v>9.0354645791615437E-2</v>
      </c>
    </row>
    <row r="12" spans="1:16" x14ac:dyDescent="0.25">
      <c r="A12" s="20" t="s">
        <v>145</v>
      </c>
      <c r="B12" s="51">
        <v>77137</v>
      </c>
      <c r="C12" s="102">
        <v>7177</v>
      </c>
      <c r="D12" s="86">
        <f t="shared" si="1"/>
        <v>9.3042249504129024E-2</v>
      </c>
      <c r="E12" s="51">
        <v>77099</v>
      </c>
      <c r="F12" s="102">
        <v>1763</v>
      </c>
      <c r="G12" s="86">
        <f t="shared" si="2"/>
        <v>9.0969713135624047E-2</v>
      </c>
      <c r="H12" s="38">
        <v>76507</v>
      </c>
      <c r="I12" s="42">
        <v>1818</v>
      </c>
      <c r="J12" s="73">
        <f t="shared" si="3"/>
        <v>9.4533549359791455E-2</v>
      </c>
      <c r="K12" s="38">
        <v>77354</v>
      </c>
      <c r="L12" s="42">
        <v>1844</v>
      </c>
      <c r="M12" s="73">
        <f t="shared" si="4"/>
        <v>9.5877749987427568E-2</v>
      </c>
      <c r="N12" s="38">
        <v>77593</v>
      </c>
      <c r="O12" s="42">
        <v>1752</v>
      </c>
      <c r="P12" s="218">
        <f t="shared" si="0"/>
        <v>9.0813675131848168E-2</v>
      </c>
    </row>
    <row r="13" spans="1:16" x14ac:dyDescent="0.25">
      <c r="A13" s="20" t="s">
        <v>146</v>
      </c>
      <c r="B13" s="51">
        <v>36622</v>
      </c>
      <c r="C13" s="102">
        <v>3470</v>
      </c>
      <c r="D13" s="86">
        <f t="shared" si="1"/>
        <v>9.4751788542406207E-2</v>
      </c>
      <c r="E13" s="51">
        <v>23123</v>
      </c>
      <c r="F13" s="102">
        <v>638</v>
      </c>
      <c r="G13" s="86">
        <f t="shared" si="2"/>
        <v>0.10976648509201266</v>
      </c>
      <c r="H13" s="38">
        <v>41844</v>
      </c>
      <c r="I13" s="42">
        <v>1005</v>
      </c>
      <c r="J13" s="73">
        <f t="shared" si="3"/>
        <v>9.5548995648433305E-2</v>
      </c>
      <c r="K13" s="38">
        <v>42418</v>
      </c>
      <c r="L13" s="42">
        <v>969</v>
      </c>
      <c r="M13" s="73">
        <f t="shared" si="4"/>
        <v>9.1878370109309812E-2</v>
      </c>
      <c r="N13" s="38">
        <v>39195</v>
      </c>
      <c r="O13" s="42">
        <v>858</v>
      </c>
      <c r="P13" s="218">
        <f t="shared" si="0"/>
        <v>8.80432999835985E-2</v>
      </c>
    </row>
    <row r="14" spans="1:16" x14ac:dyDescent="0.25">
      <c r="A14" s="20" t="s">
        <v>148</v>
      </c>
      <c r="B14" s="51">
        <v>664604</v>
      </c>
      <c r="C14" s="102">
        <v>55183</v>
      </c>
      <c r="D14" s="86">
        <f t="shared" si="1"/>
        <v>8.30313991489669E-2</v>
      </c>
      <c r="E14" s="51">
        <v>672915</v>
      </c>
      <c r="F14" s="102">
        <v>14240</v>
      </c>
      <c r="G14" s="86">
        <f t="shared" si="2"/>
        <v>8.4186613142237424E-2</v>
      </c>
      <c r="H14" s="38">
        <v>663472</v>
      </c>
      <c r="I14" s="42">
        <v>14563</v>
      </c>
      <c r="J14" s="73">
        <f t="shared" si="3"/>
        <v>8.732156450231246E-2</v>
      </c>
      <c r="K14" s="38">
        <v>672628</v>
      </c>
      <c r="L14" s="42">
        <v>13932</v>
      </c>
      <c r="M14" s="73">
        <f t="shared" si="4"/>
        <v>8.3306371132628745E-2</v>
      </c>
      <c r="N14" s="38">
        <v>652070</v>
      </c>
      <c r="O14" s="42">
        <v>12448</v>
      </c>
      <c r="P14" s="218">
        <f t="shared" si="0"/>
        <v>7.6779459900903915E-2</v>
      </c>
    </row>
    <row r="15" spans="1:16" x14ac:dyDescent="0.25">
      <c r="A15" s="1" t="s">
        <v>149</v>
      </c>
      <c r="B15" s="51">
        <v>384525</v>
      </c>
      <c r="C15" s="102">
        <v>40404</v>
      </c>
      <c r="D15" s="86">
        <f t="shared" si="1"/>
        <v>0.10507509264677199</v>
      </c>
      <c r="E15" s="51">
        <v>388414</v>
      </c>
      <c r="F15" s="102">
        <v>10373</v>
      </c>
      <c r="G15" s="86">
        <f t="shared" si="2"/>
        <v>0.10624359575092555</v>
      </c>
      <c r="H15" s="38">
        <v>395504</v>
      </c>
      <c r="I15" s="42">
        <v>10302</v>
      </c>
      <c r="J15" s="73">
        <f t="shared" si="3"/>
        <v>0.10362485203249744</v>
      </c>
      <c r="K15" s="38">
        <v>388246</v>
      </c>
      <c r="L15" s="42">
        <v>10074</v>
      </c>
      <c r="M15" s="73">
        <f t="shared" si="4"/>
        <v>0.10436013917311859</v>
      </c>
      <c r="N15" s="38">
        <v>365487</v>
      </c>
      <c r="O15" s="42">
        <v>9655</v>
      </c>
      <c r="P15" s="218">
        <f t="shared" si="0"/>
        <v>0.10624782222677633</v>
      </c>
    </row>
    <row r="16" spans="1:16" x14ac:dyDescent="0.25">
      <c r="A16" s="20" t="s">
        <v>147</v>
      </c>
      <c r="B16" s="51">
        <v>11284</v>
      </c>
      <c r="C16" s="102">
        <v>990</v>
      </c>
      <c r="D16" s="86">
        <f t="shared" si="1"/>
        <v>8.773484579936193E-2</v>
      </c>
      <c r="E16" s="51">
        <v>8925</v>
      </c>
      <c r="F16" s="102">
        <v>181</v>
      </c>
      <c r="G16" s="86">
        <f t="shared" si="2"/>
        <v>8.0679576178297407E-2</v>
      </c>
      <c r="H16" s="38">
        <v>11843</v>
      </c>
      <c r="I16" s="42">
        <v>268</v>
      </c>
      <c r="J16" s="73">
        <f t="shared" si="3"/>
        <v>9.0025661829222184E-2</v>
      </c>
      <c r="K16" s="38">
        <v>13195</v>
      </c>
      <c r="L16" s="42">
        <v>300</v>
      </c>
      <c r="M16" s="73">
        <f t="shared" si="4"/>
        <v>9.1443228995332082E-2</v>
      </c>
      <c r="N16" s="38">
        <v>11479</v>
      </c>
      <c r="O16" s="42">
        <v>241</v>
      </c>
      <c r="P16" s="218">
        <f t="shared" si="0"/>
        <v>8.444086621628219E-2</v>
      </c>
    </row>
    <row r="17" spans="1:16" x14ac:dyDescent="0.25">
      <c r="A17" s="17"/>
      <c r="B17" s="151">
        <f>SUM(B10:B16)</f>
        <v>2727098</v>
      </c>
      <c r="C17" s="97">
        <f>SUM(C10:C16)</f>
        <v>246829</v>
      </c>
      <c r="D17" s="127">
        <f>+C17/B17</f>
        <v>9.0509765325631861E-2</v>
      </c>
      <c r="E17" s="151">
        <f>SUM(E10:E16)</f>
        <v>2753339</v>
      </c>
      <c r="F17" s="97">
        <f>SUM(F10:F16)</f>
        <v>64057</v>
      </c>
      <c r="G17" s="127">
        <f>+F17/E17*366/92</f>
        <v>9.2555060064067343E-2</v>
      </c>
      <c r="H17" s="48">
        <f>SUM(H10:H16)</f>
        <v>2754112</v>
      </c>
      <c r="I17" s="47">
        <f>SUM(I10:I16)</f>
        <v>63555</v>
      </c>
      <c r="J17" s="54">
        <f>+I17/H17*366/92</f>
        <v>9.1803953348744485E-2</v>
      </c>
      <c r="K17" s="48">
        <f>SUM(K10:K16)</f>
        <v>2741695</v>
      </c>
      <c r="L17" s="47">
        <f>SUM(L10:L16)</f>
        <v>61510</v>
      </c>
      <c r="M17" s="54">
        <f>+L17/K17*366/91</f>
        <v>9.0233183534954881E-2</v>
      </c>
      <c r="N17" s="48">
        <f>SUM(N10:N16)</f>
        <v>2657553</v>
      </c>
      <c r="O17" s="47">
        <f>SUM(O10:O16)</f>
        <v>57707</v>
      </c>
      <c r="P17" s="219">
        <f t="shared" si="0"/>
        <v>8.7334584000501869E-2</v>
      </c>
    </row>
    <row r="18" spans="1:16" x14ac:dyDescent="0.25">
      <c r="A18" s="1" t="s">
        <v>153</v>
      </c>
      <c r="B18" s="51"/>
      <c r="C18" s="102"/>
      <c r="D18" s="102"/>
      <c r="E18" s="51"/>
      <c r="F18" s="102"/>
      <c r="G18" s="102"/>
      <c r="H18" s="38"/>
      <c r="I18" s="42"/>
      <c r="J18" s="42"/>
      <c r="K18" s="38"/>
      <c r="L18" s="42"/>
      <c r="M18" s="42"/>
      <c r="N18" s="38"/>
      <c r="O18" s="42"/>
      <c r="P18" s="220"/>
    </row>
    <row r="19" spans="1:16" x14ac:dyDescent="0.25">
      <c r="A19" s="20" t="s">
        <v>154</v>
      </c>
      <c r="B19" s="51">
        <f>984565-B20-B21</f>
        <v>923714</v>
      </c>
      <c r="C19" s="102">
        <v>70242</v>
      </c>
      <c r="D19" s="86">
        <f>+C19/B19</f>
        <v>7.604301764398938E-2</v>
      </c>
      <c r="E19" s="51">
        <f>982315-E20-E21</f>
        <v>948467</v>
      </c>
      <c r="F19" s="102">
        <v>18199</v>
      </c>
      <c r="G19" s="86">
        <f>+F19/E19*366/92</f>
        <v>7.6334094454754239E-2</v>
      </c>
      <c r="H19" s="38">
        <v>920345</v>
      </c>
      <c r="I19" s="42">
        <v>17527</v>
      </c>
      <c r="J19" s="73">
        <f>+I19/H19*366/92</f>
        <v>7.5761783093154803E-2</v>
      </c>
      <c r="K19" s="38">
        <v>906494</v>
      </c>
      <c r="L19" s="42">
        <f>18357-L20-L21</f>
        <v>17044</v>
      </c>
      <c r="M19" s="73">
        <f>+L19/K19*366/91</f>
        <v>7.5621673620115973E-2</v>
      </c>
      <c r="N19" s="38">
        <v>928540</v>
      </c>
      <c r="O19" s="42">
        <v>17472</v>
      </c>
      <c r="P19" s="218">
        <f>+O19/N19*366/91</f>
        <v>7.5680099941844187E-2</v>
      </c>
    </row>
    <row r="20" spans="1:16" x14ac:dyDescent="0.25">
      <c r="A20" s="20" t="s">
        <v>91</v>
      </c>
      <c r="B20" s="223">
        <v>16079</v>
      </c>
      <c r="C20" s="221">
        <v>1109</v>
      </c>
      <c r="D20" s="86">
        <f>+C20/B20</f>
        <v>6.8971950991977116E-2</v>
      </c>
      <c r="E20" s="223">
        <v>15400</v>
      </c>
      <c r="F20" s="221">
        <v>252</v>
      </c>
      <c r="G20" s="86">
        <f>+F20/E20*366/92</f>
        <v>6.5098814229249014E-2</v>
      </c>
      <c r="H20" s="223">
        <v>12785</v>
      </c>
      <c r="I20" s="224">
        <v>246</v>
      </c>
      <c r="J20" s="73">
        <f>+I20/H20*366/92</f>
        <v>7.6546904490656514E-2</v>
      </c>
      <c r="K20" s="223">
        <v>12907</v>
      </c>
      <c r="L20" s="221">
        <v>290</v>
      </c>
      <c r="M20" s="86">
        <f>+L20/K20*366/91</f>
        <v>9.0367523543319631E-2</v>
      </c>
      <c r="N20" s="223">
        <v>14038</v>
      </c>
      <c r="O20" s="224">
        <v>320</v>
      </c>
      <c r="P20" s="205">
        <f>+O20/N20*366/91</f>
        <v>9.1682074870563249E-2</v>
      </c>
    </row>
    <row r="21" spans="1:16" x14ac:dyDescent="0.25">
      <c r="A21" s="20" t="s">
        <v>155</v>
      </c>
      <c r="B21" s="223">
        <v>44772</v>
      </c>
      <c r="C21" s="221">
        <v>3342</v>
      </c>
      <c r="D21" s="86">
        <f>+C21/B21</f>
        <v>7.4644867327794157E-2</v>
      </c>
      <c r="E21" s="223">
        <v>18448</v>
      </c>
      <c r="F21" s="221">
        <v>392</v>
      </c>
      <c r="G21" s="86">
        <f>+F21/E21*366/92</f>
        <v>8.4533730532825521E-2</v>
      </c>
      <c r="H21" s="223">
        <v>44739</v>
      </c>
      <c r="I21" s="224">
        <v>910</v>
      </c>
      <c r="J21" s="73">
        <f>+I21/H21*366/92</f>
        <v>8.0918603261233998E-2</v>
      </c>
      <c r="K21" s="223">
        <v>57086</v>
      </c>
      <c r="L21" s="221">
        <v>1023</v>
      </c>
      <c r="M21" s="86">
        <f>+L21/K21*366/91</f>
        <v>7.2075176338918759E-2</v>
      </c>
      <c r="N21" s="223">
        <v>59106</v>
      </c>
      <c r="O21" s="224">
        <v>1017</v>
      </c>
      <c r="P21" s="205">
        <f>+O21/N21*366/91</f>
        <v>6.9203662036876945E-2</v>
      </c>
    </row>
    <row r="22" spans="1:16" x14ac:dyDescent="0.25">
      <c r="A22" s="17"/>
      <c r="B22" s="151">
        <f>SUM(B19:B21)</f>
        <v>984565</v>
      </c>
      <c r="C22" s="97">
        <f>SUM(C19:C21)</f>
        <v>74693</v>
      </c>
      <c r="D22" s="127">
        <f>+C22/B22</f>
        <v>7.5863960226089697E-2</v>
      </c>
      <c r="E22" s="151">
        <f>SUM(E19:E21)</f>
        <v>982315</v>
      </c>
      <c r="F22" s="97">
        <f>SUM(F19:F21)</f>
        <v>18843</v>
      </c>
      <c r="G22" s="127">
        <f>+F22/E22*366/92</f>
        <v>7.6311946336172595E-2</v>
      </c>
      <c r="H22" s="48">
        <f>SUM(H19:H21)</f>
        <v>977869</v>
      </c>
      <c r="I22" s="47">
        <f>SUM(I19:I21)</f>
        <v>18683</v>
      </c>
      <c r="J22" s="54">
        <f>+I22/H22*366/92</f>
        <v>7.6007980441231859E-2</v>
      </c>
      <c r="K22" s="48">
        <f>SUM(K19:K21)</f>
        <v>976487</v>
      </c>
      <c r="L22" s="47">
        <f>SUM(L19:L21)</f>
        <v>18357</v>
      </c>
      <c r="M22" s="54">
        <f>+L22/K22*366/91</f>
        <v>7.5609250865040237E-2</v>
      </c>
      <c r="N22" s="48">
        <f>SUM(N19:N21)</f>
        <v>1001684</v>
      </c>
      <c r="O22" s="47">
        <f>SUM(O19:O21)</f>
        <v>18809</v>
      </c>
      <c r="P22" s="219">
        <f>+O22/N22*366/91</f>
        <v>7.5522205221791122E-2</v>
      </c>
    </row>
    <row r="23" spans="1:16" x14ac:dyDescent="0.25">
      <c r="A23" s="1" t="s">
        <v>87</v>
      </c>
      <c r="B23" s="51"/>
      <c r="C23" s="102"/>
      <c r="D23" s="102"/>
      <c r="E23" s="51"/>
      <c r="F23" s="102"/>
      <c r="G23" s="102"/>
      <c r="H23" s="38"/>
      <c r="I23" s="42"/>
      <c r="J23" s="42"/>
      <c r="K23" s="38"/>
      <c r="L23" s="42"/>
      <c r="M23" s="42"/>
      <c r="N23" s="38"/>
      <c r="O23" s="42"/>
      <c r="P23" s="220"/>
    </row>
    <row r="24" spans="1:16" x14ac:dyDescent="0.25">
      <c r="A24" s="20" t="s">
        <v>201</v>
      </c>
      <c r="B24" s="51">
        <v>569584</v>
      </c>
      <c r="C24" s="102">
        <v>75516</v>
      </c>
      <c r="D24" s="86">
        <f>+C24/B24</f>
        <v>0.13258097137560043</v>
      </c>
      <c r="E24" s="51">
        <v>551586</v>
      </c>
      <c r="F24" s="102">
        <v>18720</v>
      </c>
      <c r="G24" s="86">
        <f>+F24/E24*366/92</f>
        <v>0.13501619598441741</v>
      </c>
      <c r="H24" s="38">
        <v>569994</v>
      </c>
      <c r="I24" s="42">
        <v>19138</v>
      </c>
      <c r="J24" s="73">
        <f>+I24/H24*366/92</f>
        <v>0.13357325958122213</v>
      </c>
      <c r="K24" s="38">
        <v>578723</v>
      </c>
      <c r="L24" s="42">
        <v>19111</v>
      </c>
      <c r="M24" s="73">
        <f>+L24/K24*366/91</f>
        <v>0.13281660134126685</v>
      </c>
      <c r="N24" s="38">
        <v>579335</v>
      </c>
      <c r="O24" s="42">
        <v>18547</v>
      </c>
      <c r="P24" s="218">
        <f>+O24/N24*366/91</f>
        <v>0.12876077981414272</v>
      </c>
    </row>
    <row r="25" spans="1:16" x14ac:dyDescent="0.25">
      <c r="A25" s="20" t="s">
        <v>151</v>
      </c>
      <c r="B25" s="51">
        <v>191794</v>
      </c>
      <c r="C25" s="102">
        <v>20244</v>
      </c>
      <c r="D25" s="86">
        <f>+C25/B25</f>
        <v>0.10555074715580258</v>
      </c>
      <c r="E25" s="51">
        <v>166634</v>
      </c>
      <c r="F25" s="102">
        <v>4382</v>
      </c>
      <c r="G25" s="86">
        <f>+F25/E25*366/92</f>
        <v>0.10461693970279044</v>
      </c>
      <c r="H25" s="38">
        <v>186014</v>
      </c>
      <c r="I25" s="42">
        <v>4927</v>
      </c>
      <c r="J25" s="73">
        <f>+I25/H25*366/92</f>
        <v>0.10537320472839584</v>
      </c>
      <c r="K25" s="38">
        <v>203161</v>
      </c>
      <c r="L25" s="42">
        <v>5332</v>
      </c>
      <c r="M25" s="73">
        <f>+L25/K25*366/91</f>
        <v>0.10555759625709074</v>
      </c>
      <c r="N25" s="38">
        <v>211706</v>
      </c>
      <c r="O25" s="42">
        <v>5603</v>
      </c>
      <c r="P25" s="218">
        <f>+O25/N25*366/91</f>
        <v>0.10644546142831501</v>
      </c>
    </row>
    <row r="26" spans="1:16" x14ac:dyDescent="0.25">
      <c r="A26" s="20" t="s">
        <v>152</v>
      </c>
      <c r="B26" s="51">
        <v>104678</v>
      </c>
      <c r="C26" s="102">
        <v>17675</v>
      </c>
      <c r="D26" s="86">
        <f>+C26/B26</f>
        <v>0.16885114350675404</v>
      </c>
      <c r="E26" s="51">
        <v>108309</v>
      </c>
      <c r="F26" s="102">
        <v>4793</v>
      </c>
      <c r="G26" s="86">
        <f>+F26/E26*366/92</f>
        <v>0.17605004522085962</v>
      </c>
      <c r="H26" s="38">
        <v>106627</v>
      </c>
      <c r="I26" s="42">
        <v>4725</v>
      </c>
      <c r="J26" s="73">
        <f>+I26/H26*366/92</f>
        <v>0.17629008233088853</v>
      </c>
      <c r="K26" s="38">
        <v>102896</v>
      </c>
      <c r="L26" s="42">
        <v>4356</v>
      </c>
      <c r="M26" s="73">
        <f>+L26/K26*366/91</f>
        <v>0.17026644635103663</v>
      </c>
      <c r="N26" s="38">
        <v>100820</v>
      </c>
      <c r="O26" s="42">
        <v>3802</v>
      </c>
      <c r="P26" s="218">
        <f>+O26/N26*366/91</f>
        <v>0.15167189485777066</v>
      </c>
    </row>
    <row r="27" spans="1:16" x14ac:dyDescent="0.25">
      <c r="A27" s="17"/>
      <c r="B27" s="151">
        <f>SUM(B24:B26)</f>
        <v>866056</v>
      </c>
      <c r="C27" s="97">
        <f>SUM(C24:C26)</f>
        <v>113435</v>
      </c>
      <c r="D27" s="127">
        <f>+C27/B27</f>
        <v>0.13097882815891812</v>
      </c>
      <c r="E27" s="151">
        <f>SUM(E24:E26)</f>
        <v>826529</v>
      </c>
      <c r="F27" s="97">
        <f>SUM(F24:F26)</f>
        <v>27895</v>
      </c>
      <c r="G27" s="127">
        <f>+F27/E27*366/92</f>
        <v>0.13426460167340981</v>
      </c>
      <c r="H27" s="48">
        <f>SUM(H24:H26)</f>
        <v>862635</v>
      </c>
      <c r="I27" s="47">
        <f>SUM(I24:I26)</f>
        <v>28790</v>
      </c>
      <c r="J27" s="54">
        <f>+I27/H27*366/92</f>
        <v>0.13277241293801273</v>
      </c>
      <c r="K27" s="48">
        <f>SUM(K24:K26)</f>
        <v>884780</v>
      </c>
      <c r="L27" s="47">
        <f>SUM(L24:L26)</f>
        <v>28799</v>
      </c>
      <c r="M27" s="54">
        <f>+L27/K27*366/91</f>
        <v>0.13091270717573303</v>
      </c>
      <c r="N27" s="48">
        <f>SUM(N24:N26)</f>
        <v>891861</v>
      </c>
      <c r="O27" s="47">
        <f>SUM(O24:O26)</f>
        <v>27952</v>
      </c>
      <c r="P27" s="219">
        <f>+O27/N27*366/91</f>
        <v>0.12605364476115635</v>
      </c>
    </row>
    <row r="28" spans="1:16" ht="13.8" thickBot="1" x14ac:dyDescent="0.3">
      <c r="A28" s="21" t="s">
        <v>88</v>
      </c>
      <c r="B28" s="122">
        <f>+B27+B22+B17</f>
        <v>4577719</v>
      </c>
      <c r="C28" s="104">
        <f>+C27+C22+C17</f>
        <v>434957</v>
      </c>
      <c r="D28" s="135">
        <f>+C28/B28</f>
        <v>9.5016098629033374E-2</v>
      </c>
      <c r="E28" s="122">
        <f>+E27+E22+E17</f>
        <v>4562183</v>
      </c>
      <c r="F28" s="104">
        <f>+F27+F22+F17</f>
        <v>110795</v>
      </c>
      <c r="G28" s="135">
        <f>+F28/E28*366/92</f>
        <v>9.6614145693734402E-2</v>
      </c>
      <c r="H28" s="46">
        <f>+H27+H22+H17</f>
        <v>4594616</v>
      </c>
      <c r="I28" s="45">
        <f>+I27+I22+I17</f>
        <v>111028</v>
      </c>
      <c r="J28" s="85">
        <f>+I28/H28*366/92</f>
        <v>9.6133898420692171E-2</v>
      </c>
      <c r="K28" s="46">
        <f>+K27+K22+K17</f>
        <v>4602962</v>
      </c>
      <c r="L28" s="45">
        <f>+L27+L22+L17</f>
        <v>108666</v>
      </c>
      <c r="M28" s="85">
        <f>+L28/K28*366/91</f>
        <v>9.4950221995372494E-2</v>
      </c>
      <c r="N28" s="46">
        <f>+N27+N22+N17</f>
        <v>4551098</v>
      </c>
      <c r="O28" s="45">
        <f>+O27+O22+O17</f>
        <v>104468</v>
      </c>
      <c r="P28" s="222">
        <f>+O28/N28*366/91</f>
        <v>9.2322336280167991E-2</v>
      </c>
    </row>
  </sheetData>
  <mergeCells count="6">
    <mergeCell ref="B6:P6"/>
    <mergeCell ref="B7:D7"/>
    <mergeCell ref="E7:G7"/>
    <mergeCell ref="H7:J7"/>
    <mergeCell ref="K7:M7"/>
    <mergeCell ref="N7:P7"/>
  </mergeCells>
  <phoneticPr fontId="0" type="noConversion"/>
  <printOptions horizontalCentered="1"/>
  <pageMargins left="0" right="0" top="1" bottom="1" header="0.5" footer="0.5"/>
  <pageSetup scale="91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8"/>
  <sheetViews>
    <sheetView workbookViewId="0">
      <selection sqref="A1:Z1"/>
    </sheetView>
  </sheetViews>
  <sheetFormatPr defaultColWidth="7.88671875" defaultRowHeight="13.2" x14ac:dyDescent="0.25"/>
  <cols>
    <col min="1" max="1" width="31.44140625" style="1" customWidth="1"/>
    <col min="2" max="2" width="9.88671875" style="1" bestFit="1" customWidth="1"/>
    <col min="3" max="4" width="10.5546875" style="1" customWidth="1"/>
    <col min="5" max="5" width="11.5546875" style="1" customWidth="1"/>
    <col min="6" max="6" width="11" style="1" customWidth="1"/>
    <col min="7" max="7" width="11.5546875" style="1" customWidth="1"/>
    <col min="8" max="8" width="11.44140625" style="1" customWidth="1"/>
    <col min="9" max="9" width="10.88671875" style="1" customWidth="1"/>
    <col min="10" max="11" width="10.44140625" style="1" customWidth="1"/>
    <col min="12" max="13" width="10.6640625" style="1" customWidth="1"/>
    <col min="14" max="14" width="11.33203125" style="1" hidden="1" customWidth="1"/>
    <col min="15" max="15" width="11" style="1" hidden="1" customWidth="1"/>
    <col min="16" max="16" width="10.88671875" style="1" hidden="1" customWidth="1"/>
    <col min="17" max="17" width="10.109375" style="1" hidden="1" customWidth="1"/>
    <col min="18" max="19" width="10.6640625" style="1" hidden="1" customWidth="1"/>
    <col min="20" max="26" width="10.5546875" style="1" hidden="1" customWidth="1"/>
    <col min="27" max="16384" width="7.88671875" style="1"/>
  </cols>
  <sheetData>
    <row r="1" spans="1:26" x14ac:dyDescent="0.25">
      <c r="A1" s="391" t="s">
        <v>209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</row>
    <row r="2" spans="1:26" x14ac:dyDescent="0.25">
      <c r="A2" s="391" t="s">
        <v>222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</row>
    <row r="3" spans="1:2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6" x14ac:dyDescent="0.25">
      <c r="A4" s="1" t="s">
        <v>30</v>
      </c>
      <c r="B4" s="390">
        <v>2003</v>
      </c>
      <c r="C4" s="390"/>
      <c r="D4" s="390"/>
      <c r="E4" s="390"/>
      <c r="F4" s="390">
        <v>2002</v>
      </c>
      <c r="G4" s="390"/>
      <c r="H4" s="390"/>
      <c r="I4" s="390"/>
      <c r="J4" s="390">
        <v>2001</v>
      </c>
      <c r="K4" s="390"/>
      <c r="L4" s="390"/>
      <c r="M4" s="390"/>
      <c r="N4" s="390">
        <v>2000</v>
      </c>
      <c r="O4" s="390"/>
      <c r="P4" s="390"/>
      <c r="Q4" s="390"/>
      <c r="R4" s="390">
        <v>1999</v>
      </c>
      <c r="S4" s="390"/>
      <c r="T4" s="390"/>
      <c r="U4" s="390"/>
      <c r="V4" s="390">
        <v>1998</v>
      </c>
      <c r="W4" s="390"/>
      <c r="X4" s="390"/>
      <c r="Y4" s="390"/>
      <c r="Z4" s="24">
        <v>1997</v>
      </c>
    </row>
    <row r="5" spans="1:26" x14ac:dyDescent="0.25">
      <c r="A5" s="162"/>
      <c r="B5" s="6" t="s">
        <v>1</v>
      </c>
      <c r="C5" s="6" t="s">
        <v>4</v>
      </c>
      <c r="D5" s="6" t="s">
        <v>2</v>
      </c>
      <c r="E5" s="6" t="s">
        <v>3</v>
      </c>
      <c r="F5" s="6" t="s">
        <v>1</v>
      </c>
      <c r="G5" s="6" t="s">
        <v>4</v>
      </c>
      <c r="H5" s="6" t="s">
        <v>2</v>
      </c>
      <c r="I5" s="6" t="s">
        <v>3</v>
      </c>
      <c r="J5" s="6" t="s">
        <v>1</v>
      </c>
      <c r="K5" s="6" t="s">
        <v>4</v>
      </c>
      <c r="L5" s="6" t="s">
        <v>2</v>
      </c>
      <c r="M5" s="6" t="s">
        <v>3</v>
      </c>
      <c r="N5" s="14" t="s">
        <v>1</v>
      </c>
      <c r="O5" s="6" t="s">
        <v>4</v>
      </c>
      <c r="P5" s="6" t="s">
        <v>2</v>
      </c>
      <c r="Q5" s="6" t="s">
        <v>3</v>
      </c>
      <c r="R5" s="14" t="s">
        <v>1</v>
      </c>
      <c r="S5" s="6" t="s">
        <v>4</v>
      </c>
      <c r="T5" s="6" t="s">
        <v>2</v>
      </c>
      <c r="U5" s="6" t="s">
        <v>3</v>
      </c>
      <c r="V5" s="14" t="s">
        <v>1</v>
      </c>
      <c r="W5" s="6" t="s">
        <v>4</v>
      </c>
      <c r="X5" s="6" t="s">
        <v>2</v>
      </c>
      <c r="Y5" s="80" t="s">
        <v>3</v>
      </c>
      <c r="Z5" s="14" t="s">
        <v>1</v>
      </c>
    </row>
    <row r="6" spans="1:26" x14ac:dyDescent="0.25">
      <c r="A6" s="159"/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8" t="s">
        <v>5</v>
      </c>
      <c r="M6" s="8" t="s">
        <v>5</v>
      </c>
      <c r="N6" s="15" t="s">
        <v>5</v>
      </c>
      <c r="O6" s="8" t="s">
        <v>5</v>
      </c>
      <c r="P6" s="8" t="s">
        <v>5</v>
      </c>
      <c r="Q6" s="8" t="s">
        <v>5</v>
      </c>
      <c r="R6" s="15" t="s">
        <v>5</v>
      </c>
      <c r="S6" s="8" t="s">
        <v>5</v>
      </c>
      <c r="T6" s="8" t="s">
        <v>5</v>
      </c>
      <c r="U6" s="8" t="s">
        <v>5</v>
      </c>
      <c r="V6" s="15" t="s">
        <v>5</v>
      </c>
      <c r="W6" s="8" t="s">
        <v>5</v>
      </c>
      <c r="X6" s="8" t="s">
        <v>5</v>
      </c>
      <c r="Y6" s="81" t="s">
        <v>5</v>
      </c>
      <c r="Z6" s="15" t="s">
        <v>5</v>
      </c>
    </row>
    <row r="7" spans="1:26" x14ac:dyDescent="0.25">
      <c r="A7" s="64" t="s">
        <v>85</v>
      </c>
      <c r="B7" s="13"/>
      <c r="C7" s="13"/>
      <c r="D7" s="13"/>
      <c r="E7" s="13"/>
      <c r="F7" s="13"/>
      <c r="G7" s="13"/>
      <c r="H7" s="13"/>
      <c r="I7" s="13"/>
      <c r="N7" s="19"/>
      <c r="R7" s="19"/>
      <c r="V7" s="19"/>
      <c r="Y7" s="64"/>
      <c r="Z7" s="2"/>
    </row>
    <row r="8" spans="1:26" x14ac:dyDescent="0.25">
      <c r="A8" s="232" t="s">
        <v>144</v>
      </c>
      <c r="B8" s="78">
        <f>1488811-37000</f>
        <v>1451811</v>
      </c>
      <c r="C8" s="78">
        <f>1451872-37000-1</f>
        <v>1414871</v>
      </c>
      <c r="D8" s="78">
        <f>1327046-25000</f>
        <v>1302046</v>
      </c>
      <c r="E8" s="78">
        <v>1297116</v>
      </c>
      <c r="F8" s="78">
        <v>1309074</v>
      </c>
      <c r="G8" s="78">
        <v>1362299</v>
      </c>
      <c r="H8" s="78">
        <v>1428206</v>
      </c>
      <c r="I8" s="78">
        <v>1409587</v>
      </c>
      <c r="J8" s="78">
        <v>1435194</v>
      </c>
      <c r="K8" s="78">
        <v>1411213</v>
      </c>
      <c r="L8" s="78">
        <v>1431877</v>
      </c>
      <c r="M8" s="78">
        <v>1467785</v>
      </c>
      <c r="N8" s="140">
        <v>1496690</v>
      </c>
      <c r="O8" s="78">
        <v>1467143</v>
      </c>
      <c r="P8" s="78">
        <v>1445127</v>
      </c>
      <c r="Q8" s="78">
        <v>1436115</v>
      </c>
      <c r="R8" s="140">
        <v>1368947</v>
      </c>
      <c r="S8" s="35">
        <v>1312663</v>
      </c>
      <c r="T8" s="35">
        <v>1258680</v>
      </c>
      <c r="U8" s="35">
        <v>1196449</v>
      </c>
      <c r="V8" s="41">
        <v>1171749</v>
      </c>
      <c r="W8" s="35">
        <v>1100609</v>
      </c>
      <c r="X8" s="35">
        <f>1024704+100543+1</f>
        <v>1125248</v>
      </c>
      <c r="Y8" s="226">
        <v>1091962</v>
      </c>
      <c r="Z8" s="41">
        <v>1116181</v>
      </c>
    </row>
    <row r="9" spans="1:26" x14ac:dyDescent="0.25">
      <c r="A9" s="232" t="s">
        <v>86</v>
      </c>
      <c r="B9" s="50">
        <v>62925</v>
      </c>
      <c r="C9" s="50">
        <v>58202</v>
      </c>
      <c r="D9" s="50">
        <v>62065</v>
      </c>
      <c r="E9" s="50">
        <v>66287</v>
      </c>
      <c r="F9" s="50">
        <v>67768</v>
      </c>
      <c r="G9" s="50">
        <v>76708</v>
      </c>
      <c r="H9" s="50">
        <v>87349</v>
      </c>
      <c r="I9" s="50">
        <v>91933</v>
      </c>
      <c r="J9" s="50">
        <v>96356</v>
      </c>
      <c r="K9" s="50">
        <v>100155</v>
      </c>
      <c r="L9" s="50">
        <v>99124</v>
      </c>
      <c r="M9" s="50">
        <v>104786</v>
      </c>
      <c r="N9" s="51">
        <v>108130</v>
      </c>
      <c r="O9" s="50">
        <v>111095</v>
      </c>
      <c r="P9" s="50">
        <v>109617</v>
      </c>
      <c r="Q9" s="50">
        <v>112083</v>
      </c>
      <c r="R9" s="51">
        <v>117791</v>
      </c>
      <c r="S9" s="37">
        <v>116891</v>
      </c>
      <c r="T9" s="37">
        <v>124783</v>
      </c>
      <c r="U9" s="37">
        <v>113112</v>
      </c>
      <c r="V9" s="38">
        <v>115328</v>
      </c>
      <c r="W9" s="37">
        <v>105705</v>
      </c>
      <c r="X9" s="37">
        <v>102772</v>
      </c>
      <c r="Y9" s="220">
        <v>112943</v>
      </c>
      <c r="Z9" s="38">
        <v>121567</v>
      </c>
    </row>
    <row r="10" spans="1:26" x14ac:dyDescent="0.25">
      <c r="A10" s="232" t="s">
        <v>145</v>
      </c>
      <c r="B10" s="50">
        <v>72060</v>
      </c>
      <c r="C10" s="50">
        <v>72403</v>
      </c>
      <c r="D10" s="50">
        <v>73318</v>
      </c>
      <c r="E10" s="50">
        <v>70126</v>
      </c>
      <c r="F10" s="50">
        <v>74159</v>
      </c>
      <c r="G10" s="50">
        <v>78937</v>
      </c>
      <c r="H10" s="50">
        <v>83242</v>
      </c>
      <c r="I10" s="50">
        <v>83573</v>
      </c>
      <c r="J10" s="50">
        <v>78606</v>
      </c>
      <c r="K10" s="50">
        <v>77857</v>
      </c>
      <c r="L10" s="50">
        <v>78420</v>
      </c>
      <c r="M10" s="50">
        <v>78338</v>
      </c>
      <c r="N10" s="51">
        <v>78693</v>
      </c>
      <c r="O10" s="50">
        <v>77057</v>
      </c>
      <c r="P10" s="50">
        <v>77144</v>
      </c>
      <c r="Q10" s="50">
        <v>77694</v>
      </c>
      <c r="R10" s="51">
        <v>76997</v>
      </c>
      <c r="S10" s="37">
        <v>75203</v>
      </c>
      <c r="T10" s="37">
        <v>71855</v>
      </c>
      <c r="U10" s="37">
        <v>71641</v>
      </c>
      <c r="V10" s="38">
        <v>72844</v>
      </c>
      <c r="W10" s="37">
        <v>73962</v>
      </c>
      <c r="X10" s="37">
        <v>74813</v>
      </c>
      <c r="Y10" s="220">
        <v>59822</v>
      </c>
      <c r="Z10" s="38">
        <v>57807</v>
      </c>
    </row>
    <row r="11" spans="1:26" x14ac:dyDescent="0.25">
      <c r="A11" s="232" t="s">
        <v>146</v>
      </c>
      <c r="B11" s="50">
        <v>18291</v>
      </c>
      <c r="C11" s="50">
        <v>12906</v>
      </c>
      <c r="D11" s="50">
        <v>9786</v>
      </c>
      <c r="E11" s="50">
        <v>16037</v>
      </c>
      <c r="F11" s="50">
        <v>14026</v>
      </c>
      <c r="G11" s="50">
        <v>12171</v>
      </c>
      <c r="H11" s="50">
        <f>13952</f>
        <v>13952</v>
      </c>
      <c r="I11" s="50">
        <v>14530</v>
      </c>
      <c r="J11" s="50">
        <v>19179</v>
      </c>
      <c r="K11" s="50">
        <v>19429</v>
      </c>
      <c r="L11" s="50">
        <v>13680</v>
      </c>
      <c r="M11" s="50">
        <v>21236</v>
      </c>
      <c r="N11" s="51">
        <v>18976</v>
      </c>
      <c r="O11" s="50">
        <v>38252</v>
      </c>
      <c r="P11" s="50">
        <v>41596</v>
      </c>
      <c r="Q11" s="50">
        <v>40462</v>
      </c>
      <c r="R11" s="51">
        <v>37835</v>
      </c>
      <c r="S11" s="37">
        <v>36654</v>
      </c>
      <c r="T11" s="37">
        <v>32392</v>
      </c>
      <c r="U11" s="37">
        <v>38414</v>
      </c>
      <c r="V11" s="38">
        <v>39974</v>
      </c>
      <c r="W11" s="37">
        <v>39120</v>
      </c>
      <c r="X11" s="37">
        <v>43865</v>
      </c>
      <c r="Y11" s="220">
        <v>45375</v>
      </c>
      <c r="Z11" s="38">
        <v>51156</v>
      </c>
    </row>
    <row r="12" spans="1:26" x14ac:dyDescent="0.25">
      <c r="A12" s="232" t="s">
        <v>148</v>
      </c>
      <c r="B12" s="50">
        <v>531980</v>
      </c>
      <c r="C12" s="50">
        <v>500690</v>
      </c>
      <c r="D12" s="50">
        <v>519744</v>
      </c>
      <c r="E12" s="50">
        <v>498899</v>
      </c>
      <c r="F12" s="50">
        <v>484529</v>
      </c>
      <c r="G12" s="50">
        <v>519514</v>
      </c>
      <c r="H12" s="50">
        <v>557087</v>
      </c>
      <c r="I12" s="50">
        <v>603964</v>
      </c>
      <c r="J12" s="50">
        <v>615997</v>
      </c>
      <c r="K12" s="50">
        <v>587414</v>
      </c>
      <c r="L12" s="50">
        <v>591344</v>
      </c>
      <c r="M12" s="50">
        <v>629775</v>
      </c>
      <c r="N12" s="51">
        <v>647073</v>
      </c>
      <c r="O12" s="50">
        <v>683199</v>
      </c>
      <c r="P12" s="50">
        <v>685347</v>
      </c>
      <c r="Q12" s="50">
        <v>658403</v>
      </c>
      <c r="R12" s="51">
        <v>662001</v>
      </c>
      <c r="S12" s="37">
        <v>632717</v>
      </c>
      <c r="T12" s="37">
        <v>595013</v>
      </c>
      <c r="U12" s="37">
        <v>575523</v>
      </c>
      <c r="V12" s="38">
        <v>547104</v>
      </c>
      <c r="W12" s="37">
        <v>542934</v>
      </c>
      <c r="X12" s="37">
        <v>507270</v>
      </c>
      <c r="Y12" s="220">
        <v>492307</v>
      </c>
      <c r="Z12" s="38">
        <v>498350</v>
      </c>
    </row>
    <row r="13" spans="1:26" x14ac:dyDescent="0.25">
      <c r="A13" s="64" t="s">
        <v>149</v>
      </c>
      <c r="B13" s="50">
        <v>209655</v>
      </c>
      <c r="C13" s="50">
        <v>220947</v>
      </c>
      <c r="D13" s="50">
        <v>285507</v>
      </c>
      <c r="E13" s="50">
        <v>302127</v>
      </c>
      <c r="F13" s="50">
        <v>309505</v>
      </c>
      <c r="G13" s="50">
        <v>323722</v>
      </c>
      <c r="H13" s="50">
        <v>325835</v>
      </c>
      <c r="I13" s="50">
        <v>320286</v>
      </c>
      <c r="J13" s="50">
        <v>327348</v>
      </c>
      <c r="K13" s="50">
        <v>353660</v>
      </c>
      <c r="L13" s="50">
        <v>370952</v>
      </c>
      <c r="M13" s="50">
        <v>393136</v>
      </c>
      <c r="N13" s="51">
        <v>396895</v>
      </c>
      <c r="O13" s="50">
        <v>395940</v>
      </c>
      <c r="P13" s="50">
        <v>393491</v>
      </c>
      <c r="Q13" s="50">
        <v>383867</v>
      </c>
      <c r="R13" s="51">
        <v>353514</v>
      </c>
      <c r="S13" s="37">
        <v>295840</v>
      </c>
      <c r="T13" s="37">
        <v>260985</v>
      </c>
      <c r="U13" s="37">
        <v>218868</v>
      </c>
      <c r="V13" s="38">
        <v>222342</v>
      </c>
      <c r="W13" s="37">
        <v>217997</v>
      </c>
      <c r="X13" s="37">
        <v>218475</v>
      </c>
      <c r="Y13" s="220">
        <v>210539</v>
      </c>
      <c r="Z13" s="38">
        <v>181694</v>
      </c>
    </row>
    <row r="14" spans="1:26" x14ac:dyDescent="0.25">
      <c r="A14" s="232" t="s">
        <v>147</v>
      </c>
      <c r="B14" s="50">
        <v>2754</v>
      </c>
      <c r="C14" s="50">
        <v>4893</v>
      </c>
      <c r="D14" s="50">
        <v>3475</v>
      </c>
      <c r="E14" s="50">
        <v>571</v>
      </c>
      <c r="F14" s="50">
        <f>4699+1</f>
        <v>4700</v>
      </c>
      <c r="G14" s="50">
        <v>3819</v>
      </c>
      <c r="H14" s="50">
        <v>4760</v>
      </c>
      <c r="I14" s="50">
        <v>5469</v>
      </c>
      <c r="J14" s="50">
        <v>4336</v>
      </c>
      <c r="K14" s="50">
        <v>5785</v>
      </c>
      <c r="L14" s="50">
        <v>5132</v>
      </c>
      <c r="M14" s="50">
        <v>6049</v>
      </c>
      <c r="N14" s="51">
        <v>6704</v>
      </c>
      <c r="O14" s="50">
        <v>9743</v>
      </c>
      <c r="P14" s="50">
        <v>15351</v>
      </c>
      <c r="Q14" s="50">
        <v>12751</v>
      </c>
      <c r="R14" s="51">
        <v>11122</v>
      </c>
      <c r="S14" s="37">
        <v>14245</v>
      </c>
      <c r="T14" s="37">
        <v>13680</v>
      </c>
      <c r="U14" s="37">
        <v>12863</v>
      </c>
      <c r="V14" s="38">
        <v>19519</v>
      </c>
      <c r="W14" s="37">
        <v>24045</v>
      </c>
      <c r="X14" s="37">
        <f>8517+9476+6576</f>
        <v>24569</v>
      </c>
      <c r="Y14" s="220">
        <v>32130</v>
      </c>
      <c r="Z14" s="38">
        <v>31855</v>
      </c>
    </row>
    <row r="15" spans="1:26" x14ac:dyDescent="0.25">
      <c r="A15" s="233"/>
      <c r="B15" s="97">
        <f t="shared" ref="B15:I15" si="0">SUM(B8:B14)</f>
        <v>2349476</v>
      </c>
      <c r="C15" s="97">
        <f t="shared" si="0"/>
        <v>2284912</v>
      </c>
      <c r="D15" s="97">
        <f t="shared" si="0"/>
        <v>2255941</v>
      </c>
      <c r="E15" s="97">
        <f t="shared" si="0"/>
        <v>2251163</v>
      </c>
      <c r="F15" s="97">
        <f t="shared" si="0"/>
        <v>2263761</v>
      </c>
      <c r="G15" s="97">
        <f t="shared" si="0"/>
        <v>2377170</v>
      </c>
      <c r="H15" s="97">
        <f t="shared" si="0"/>
        <v>2500431</v>
      </c>
      <c r="I15" s="97">
        <f t="shared" si="0"/>
        <v>2529342</v>
      </c>
      <c r="J15" s="97">
        <f t="shared" ref="J15:Q15" si="1">SUM(J8:J14)</f>
        <v>2577016</v>
      </c>
      <c r="K15" s="97">
        <f t="shared" si="1"/>
        <v>2555513</v>
      </c>
      <c r="L15" s="97">
        <f t="shared" si="1"/>
        <v>2590529</v>
      </c>
      <c r="M15" s="97">
        <f t="shared" si="1"/>
        <v>2701105</v>
      </c>
      <c r="N15" s="151">
        <f t="shared" si="1"/>
        <v>2753161</v>
      </c>
      <c r="O15" s="97">
        <f t="shared" si="1"/>
        <v>2782429</v>
      </c>
      <c r="P15" s="97">
        <f t="shared" si="1"/>
        <v>2767673</v>
      </c>
      <c r="Q15" s="97">
        <f t="shared" si="1"/>
        <v>2721375</v>
      </c>
      <c r="R15" s="151">
        <f t="shared" ref="R15:Z15" si="2">SUM(R8:R14)</f>
        <v>2628207</v>
      </c>
      <c r="S15" s="47">
        <f t="shared" si="2"/>
        <v>2484213</v>
      </c>
      <c r="T15" s="47">
        <f t="shared" si="2"/>
        <v>2357388</v>
      </c>
      <c r="U15" s="47">
        <f t="shared" si="2"/>
        <v>2226870</v>
      </c>
      <c r="V15" s="48">
        <f t="shared" si="2"/>
        <v>2188860</v>
      </c>
      <c r="W15" s="47">
        <f t="shared" si="2"/>
        <v>2104372</v>
      </c>
      <c r="X15" s="47">
        <f t="shared" si="2"/>
        <v>2097012</v>
      </c>
      <c r="Y15" s="227">
        <f t="shared" si="2"/>
        <v>2045078</v>
      </c>
      <c r="Z15" s="48">
        <f t="shared" si="2"/>
        <v>2058610</v>
      </c>
    </row>
    <row r="16" spans="1:26" x14ac:dyDescent="0.25">
      <c r="A16" s="64" t="s">
        <v>153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1"/>
      <c r="O16" s="50"/>
      <c r="P16" s="50"/>
      <c r="Q16" s="50"/>
      <c r="R16" s="51"/>
      <c r="S16" s="37"/>
      <c r="T16" s="37"/>
      <c r="U16" s="37"/>
      <c r="V16" s="38"/>
      <c r="W16" s="37"/>
      <c r="X16" s="37"/>
      <c r="Y16" s="220"/>
      <c r="Z16" s="38"/>
    </row>
    <row r="17" spans="1:26" x14ac:dyDescent="0.25">
      <c r="A17" s="232" t="s">
        <v>154</v>
      </c>
      <c r="B17" s="50">
        <f>1163906+297201-B18</f>
        <v>1458271</v>
      </c>
      <c r="C17" s="50">
        <f>1350699-C18-C19</f>
        <v>1347461</v>
      </c>
      <c r="D17" s="50">
        <f>1311946-D18</f>
        <v>1308258</v>
      </c>
      <c r="E17" s="50">
        <f>1354978-E18</f>
        <v>1350893</v>
      </c>
      <c r="F17" s="50">
        <f>1058597-F18</f>
        <v>1054115</v>
      </c>
      <c r="G17" s="50">
        <f>1011729-G18</f>
        <v>1007079</v>
      </c>
      <c r="H17" s="50">
        <f>1007506-H18</f>
        <v>1001988</v>
      </c>
      <c r="I17" s="50">
        <f>1114674-I18</f>
        <v>1108171</v>
      </c>
      <c r="J17" s="50">
        <f>1168306-J18-J19</f>
        <v>1125232</v>
      </c>
      <c r="K17" s="50">
        <f>1099487-K19-K18</f>
        <v>1062095</v>
      </c>
      <c r="L17" s="50">
        <f>1106939-29484-14870</f>
        <v>1062585</v>
      </c>
      <c r="M17" s="50">
        <f>1029999-M18-M19</f>
        <v>996418</v>
      </c>
      <c r="N17" s="51">
        <f>934437-N18-N19</f>
        <v>914155</v>
      </c>
      <c r="O17" s="50">
        <v>939392</v>
      </c>
      <c r="P17" s="50">
        <v>914119</v>
      </c>
      <c r="Q17" s="50">
        <v>898266</v>
      </c>
      <c r="R17" s="51">
        <v>931228</v>
      </c>
      <c r="S17" s="37">
        <v>1033127</v>
      </c>
      <c r="T17" s="50">
        <v>927842</v>
      </c>
      <c r="U17" s="37">
        <v>805281</v>
      </c>
      <c r="V17" s="38">
        <v>779017</v>
      </c>
      <c r="W17" s="37">
        <v>746276</v>
      </c>
      <c r="X17" s="37">
        <v>755269</v>
      </c>
      <c r="Y17" s="220">
        <v>763327</v>
      </c>
      <c r="Z17" s="38">
        <v>772850</v>
      </c>
    </row>
    <row r="18" spans="1:26" x14ac:dyDescent="0.25">
      <c r="A18" s="232" t="s">
        <v>91</v>
      </c>
      <c r="B18" s="98">
        <v>2836</v>
      </c>
      <c r="C18" s="98">
        <v>3238</v>
      </c>
      <c r="D18" s="98">
        <v>3688</v>
      </c>
      <c r="E18" s="98">
        <v>4085</v>
      </c>
      <c r="F18" s="98">
        <v>4482</v>
      </c>
      <c r="G18" s="98">
        <v>4650</v>
      </c>
      <c r="H18" s="98">
        <v>5518</v>
      </c>
      <c r="I18" s="98">
        <v>6503</v>
      </c>
      <c r="J18" s="98">
        <v>7063</v>
      </c>
      <c r="K18" s="98">
        <v>9152</v>
      </c>
      <c r="L18" s="98">
        <v>14870</v>
      </c>
      <c r="M18" s="98">
        <v>16737</v>
      </c>
      <c r="N18" s="223">
        <v>17332</v>
      </c>
      <c r="O18" s="98">
        <v>13097</v>
      </c>
      <c r="P18" s="98">
        <v>12532</v>
      </c>
      <c r="Q18" s="98">
        <v>12924</v>
      </c>
      <c r="R18" s="223">
        <v>14468</v>
      </c>
      <c r="S18" s="98">
        <v>17325</v>
      </c>
      <c r="T18" s="98">
        <v>18349</v>
      </c>
      <c r="U18" s="49">
        <v>21962</v>
      </c>
      <c r="V18" s="225">
        <v>22997</v>
      </c>
      <c r="W18" s="37">
        <v>28820</v>
      </c>
      <c r="X18" s="37">
        <v>30427</v>
      </c>
      <c r="Y18" s="220">
        <v>33052</v>
      </c>
      <c r="Z18" s="38">
        <v>35180</v>
      </c>
    </row>
    <row r="19" spans="1:26" x14ac:dyDescent="0.25">
      <c r="A19" s="232" t="s">
        <v>155</v>
      </c>
      <c r="B19" s="98">
        <v>0</v>
      </c>
      <c r="C19" s="98">
        <v>0</v>
      </c>
      <c r="D19" s="98">
        <v>0</v>
      </c>
      <c r="E19" s="98">
        <v>0</v>
      </c>
      <c r="F19" s="98">
        <v>0</v>
      </c>
      <c r="G19" s="98" t="s">
        <v>259</v>
      </c>
      <c r="H19" s="98" t="s">
        <v>259</v>
      </c>
      <c r="I19" s="98" t="s">
        <v>259</v>
      </c>
      <c r="J19" s="98">
        <v>36011</v>
      </c>
      <c r="K19" s="98">
        <v>28240</v>
      </c>
      <c r="L19" s="98">
        <v>29484</v>
      </c>
      <c r="M19" s="98">
        <v>16844</v>
      </c>
      <c r="N19" s="223">
        <v>2950</v>
      </c>
      <c r="O19" s="98">
        <v>25387</v>
      </c>
      <c r="P19" s="98">
        <v>37294</v>
      </c>
      <c r="Q19" s="98">
        <v>33036</v>
      </c>
      <c r="R19" s="223">
        <v>39798</v>
      </c>
      <c r="S19" s="98">
        <v>49231</v>
      </c>
      <c r="T19" s="98">
        <v>60321</v>
      </c>
      <c r="U19" s="49">
        <v>60602</v>
      </c>
      <c r="V19" s="225">
        <v>45332</v>
      </c>
      <c r="W19" s="37">
        <v>21463</v>
      </c>
      <c r="X19" s="37">
        <v>34285</v>
      </c>
      <c r="Y19" s="220">
        <v>8046</v>
      </c>
      <c r="Z19" s="38">
        <v>7274</v>
      </c>
    </row>
    <row r="20" spans="1:26" x14ac:dyDescent="0.25">
      <c r="A20" s="233"/>
      <c r="B20" s="97">
        <f t="shared" ref="B20:H20" si="3">SUM(B17:B19)</f>
        <v>1461107</v>
      </c>
      <c r="C20" s="97">
        <f t="shared" si="3"/>
        <v>1350699</v>
      </c>
      <c r="D20" s="97">
        <f t="shared" si="3"/>
        <v>1311946</v>
      </c>
      <c r="E20" s="97">
        <f t="shared" si="3"/>
        <v>1354978</v>
      </c>
      <c r="F20" s="97">
        <f t="shared" si="3"/>
        <v>1058597</v>
      </c>
      <c r="G20" s="97">
        <f t="shared" si="3"/>
        <v>1011729</v>
      </c>
      <c r="H20" s="97">
        <f t="shared" si="3"/>
        <v>1007506</v>
      </c>
      <c r="I20" s="97">
        <f>SUM(I17:I18)</f>
        <v>1114674</v>
      </c>
      <c r="J20" s="97">
        <f t="shared" ref="J20:Q20" si="4">SUM(J17:J19)</f>
        <v>1168306</v>
      </c>
      <c r="K20" s="97">
        <f t="shared" si="4"/>
        <v>1099487</v>
      </c>
      <c r="L20" s="97">
        <f t="shared" si="4"/>
        <v>1106939</v>
      </c>
      <c r="M20" s="97">
        <f t="shared" si="4"/>
        <v>1029999</v>
      </c>
      <c r="N20" s="151">
        <f t="shared" si="4"/>
        <v>934437</v>
      </c>
      <c r="O20" s="97">
        <f t="shared" si="4"/>
        <v>977876</v>
      </c>
      <c r="P20" s="97">
        <f t="shared" si="4"/>
        <v>963945</v>
      </c>
      <c r="Q20" s="97">
        <f t="shared" si="4"/>
        <v>944226</v>
      </c>
      <c r="R20" s="151">
        <f t="shared" ref="R20:Z20" si="5">SUM(R17:R19)</f>
        <v>985494</v>
      </c>
      <c r="S20" s="47">
        <f t="shared" si="5"/>
        <v>1099683</v>
      </c>
      <c r="T20" s="47">
        <f t="shared" si="5"/>
        <v>1006512</v>
      </c>
      <c r="U20" s="47">
        <f t="shared" si="5"/>
        <v>887845</v>
      </c>
      <c r="V20" s="48">
        <f t="shared" si="5"/>
        <v>847346</v>
      </c>
      <c r="W20" s="47">
        <f t="shared" si="5"/>
        <v>796559</v>
      </c>
      <c r="X20" s="47">
        <f t="shared" si="5"/>
        <v>819981</v>
      </c>
      <c r="Y20" s="227">
        <f t="shared" si="5"/>
        <v>804425</v>
      </c>
      <c r="Z20" s="48">
        <f t="shared" si="5"/>
        <v>815304</v>
      </c>
    </row>
    <row r="21" spans="1:26" x14ac:dyDescent="0.25">
      <c r="A21" s="64" t="s">
        <v>87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1"/>
      <c r="O21" s="50"/>
      <c r="P21" s="50"/>
      <c r="Q21" s="50"/>
      <c r="R21" s="51"/>
      <c r="S21" s="37"/>
      <c r="T21" s="37"/>
      <c r="U21" s="37"/>
      <c r="V21" s="38"/>
      <c r="W21" s="37"/>
      <c r="X21" s="37"/>
      <c r="Y21" s="220"/>
      <c r="Z21" s="38"/>
    </row>
    <row r="22" spans="1:26" x14ac:dyDescent="0.25">
      <c r="A22" s="232" t="s">
        <v>150</v>
      </c>
      <c r="B22" s="50">
        <v>287590</v>
      </c>
      <c r="C22" s="50">
        <v>307107</v>
      </c>
      <c r="D22" s="50">
        <v>324948</v>
      </c>
      <c r="E22" s="50">
        <v>354353</v>
      </c>
      <c r="F22" s="50">
        <v>379678</v>
      </c>
      <c r="G22" s="50">
        <v>405377</v>
      </c>
      <c r="H22" s="50">
        <v>440015</v>
      </c>
      <c r="I22" s="50">
        <v>466723</v>
      </c>
      <c r="J22" s="50">
        <v>490939</v>
      </c>
      <c r="K22" s="50">
        <v>508257</v>
      </c>
      <c r="L22" s="50">
        <v>519193</v>
      </c>
      <c r="M22" s="50">
        <v>530795</v>
      </c>
      <c r="N22" s="51">
        <v>532617</v>
      </c>
      <c r="O22" s="50">
        <v>562939</v>
      </c>
      <c r="P22" s="50">
        <v>568236</v>
      </c>
      <c r="Q22" s="50">
        <v>578097</v>
      </c>
      <c r="R22" s="51">
        <v>582585</v>
      </c>
      <c r="S22" s="37">
        <v>570423</v>
      </c>
      <c r="T22" s="37">
        <v>537602</v>
      </c>
      <c r="U22" s="37">
        <v>503904</v>
      </c>
      <c r="V22" s="38">
        <f>5555+492547-1</f>
        <v>498101</v>
      </c>
      <c r="W22" s="37">
        <v>493004</v>
      </c>
      <c r="X22" s="37">
        <v>473148</v>
      </c>
      <c r="Y22" s="220">
        <v>468236</v>
      </c>
      <c r="Z22" s="38">
        <v>475315</v>
      </c>
    </row>
    <row r="23" spans="1:26" x14ac:dyDescent="0.25">
      <c r="A23" s="232" t="s">
        <v>151</v>
      </c>
      <c r="B23" s="50">
        <v>21232</v>
      </c>
      <c r="C23" s="50">
        <v>26804</v>
      </c>
      <c r="D23" s="50">
        <v>33232</v>
      </c>
      <c r="E23" s="50">
        <v>40418</v>
      </c>
      <c r="F23" s="50">
        <v>48384</v>
      </c>
      <c r="G23" s="50">
        <v>57805</v>
      </c>
      <c r="H23" s="50">
        <v>68143</v>
      </c>
      <c r="I23" s="50">
        <v>79853</v>
      </c>
      <c r="J23" s="50">
        <v>92966</v>
      </c>
      <c r="K23" s="50">
        <v>107353</v>
      </c>
      <c r="L23" s="50">
        <v>122478</v>
      </c>
      <c r="M23" s="50">
        <v>139470</v>
      </c>
      <c r="N23" s="51">
        <v>157236</v>
      </c>
      <c r="O23" s="50">
        <v>176051</v>
      </c>
      <c r="P23" s="50">
        <v>195057</v>
      </c>
      <c r="Q23" s="50">
        <v>208650</v>
      </c>
      <c r="R23" s="51">
        <v>212856</v>
      </c>
      <c r="S23" s="37">
        <v>207073</v>
      </c>
      <c r="T23" s="37">
        <v>206117</v>
      </c>
      <c r="U23" s="37">
        <v>204554</v>
      </c>
      <c r="V23" s="38">
        <v>210332</v>
      </c>
      <c r="W23" s="37">
        <v>217132</v>
      </c>
      <c r="X23" s="37">
        <v>218924</v>
      </c>
      <c r="Y23" s="220">
        <v>209098</v>
      </c>
      <c r="Z23" s="38">
        <v>212273</v>
      </c>
    </row>
    <row r="24" spans="1:26" x14ac:dyDescent="0.25">
      <c r="A24" s="232" t="s">
        <v>152</v>
      </c>
      <c r="B24" s="50">
        <v>95362</v>
      </c>
      <c r="C24" s="50">
        <v>94880</v>
      </c>
      <c r="D24" s="50">
        <v>97265</v>
      </c>
      <c r="E24" s="50">
        <v>99005</v>
      </c>
      <c r="F24" s="50">
        <v>102462</v>
      </c>
      <c r="G24" s="50">
        <v>105115</v>
      </c>
      <c r="H24" s="50">
        <v>108313</v>
      </c>
      <c r="I24" s="50">
        <v>106598</v>
      </c>
      <c r="J24" s="50">
        <v>112588</v>
      </c>
      <c r="K24" s="50">
        <v>112240</v>
      </c>
      <c r="L24" s="50">
        <v>114012</v>
      </c>
      <c r="M24" s="50">
        <v>113176</v>
      </c>
      <c r="N24" s="51">
        <v>111233</v>
      </c>
      <c r="O24" s="50">
        <v>107469</v>
      </c>
      <c r="P24" s="50">
        <v>105688</v>
      </c>
      <c r="Q24" s="50">
        <v>100792</v>
      </c>
      <c r="R24" s="51">
        <v>99904</v>
      </c>
      <c r="S24" s="37">
        <v>96973</v>
      </c>
      <c r="T24" s="37">
        <v>93695</v>
      </c>
      <c r="U24" s="37">
        <v>87110</v>
      </c>
      <c r="V24" s="38">
        <v>81687</v>
      </c>
      <c r="W24" s="37">
        <v>71262</v>
      </c>
      <c r="X24" s="37">
        <v>69277</v>
      </c>
      <c r="Y24" s="220">
        <v>67356</v>
      </c>
      <c r="Z24" s="38">
        <v>64724</v>
      </c>
    </row>
    <row r="25" spans="1:26" x14ac:dyDescent="0.25">
      <c r="A25" s="233"/>
      <c r="B25" s="97">
        <f t="shared" ref="B25:I25" si="6">SUM(B22:B24)</f>
        <v>404184</v>
      </c>
      <c r="C25" s="97">
        <f t="shared" si="6"/>
        <v>428791</v>
      </c>
      <c r="D25" s="97">
        <f t="shared" si="6"/>
        <v>455445</v>
      </c>
      <c r="E25" s="97">
        <f t="shared" si="6"/>
        <v>493776</v>
      </c>
      <c r="F25" s="97">
        <f t="shared" si="6"/>
        <v>530524</v>
      </c>
      <c r="G25" s="97">
        <f t="shared" si="6"/>
        <v>568297</v>
      </c>
      <c r="H25" s="97">
        <f t="shared" si="6"/>
        <v>616471</v>
      </c>
      <c r="I25" s="97">
        <f t="shared" si="6"/>
        <v>653174</v>
      </c>
      <c r="J25" s="97">
        <f t="shared" ref="J25:Q25" si="7">SUM(J22:J24)</f>
        <v>696493</v>
      </c>
      <c r="K25" s="97">
        <f t="shared" si="7"/>
        <v>727850</v>
      </c>
      <c r="L25" s="97">
        <f t="shared" si="7"/>
        <v>755683</v>
      </c>
      <c r="M25" s="97">
        <f t="shared" si="7"/>
        <v>783441</v>
      </c>
      <c r="N25" s="151">
        <f t="shared" si="7"/>
        <v>801086</v>
      </c>
      <c r="O25" s="97">
        <f t="shared" si="7"/>
        <v>846459</v>
      </c>
      <c r="P25" s="97">
        <f t="shared" si="7"/>
        <v>868981</v>
      </c>
      <c r="Q25" s="97">
        <f t="shared" si="7"/>
        <v>887539</v>
      </c>
      <c r="R25" s="151">
        <f t="shared" ref="R25:Z25" si="8">SUM(R22:R24)</f>
        <v>895345</v>
      </c>
      <c r="S25" s="47">
        <f t="shared" si="8"/>
        <v>874469</v>
      </c>
      <c r="T25" s="47">
        <f t="shared" si="8"/>
        <v>837414</v>
      </c>
      <c r="U25" s="47">
        <f t="shared" si="8"/>
        <v>795568</v>
      </c>
      <c r="V25" s="48">
        <f t="shared" si="8"/>
        <v>790120</v>
      </c>
      <c r="W25" s="47">
        <f t="shared" si="8"/>
        <v>781398</v>
      </c>
      <c r="X25" s="47">
        <f t="shared" si="8"/>
        <v>761349</v>
      </c>
      <c r="Y25" s="227">
        <f t="shared" si="8"/>
        <v>744690</v>
      </c>
      <c r="Z25" s="48">
        <f t="shared" si="8"/>
        <v>752312</v>
      </c>
    </row>
    <row r="26" spans="1:26" ht="13.8" thickBot="1" x14ac:dyDescent="0.3">
      <c r="A26" s="176" t="s">
        <v>88</v>
      </c>
      <c r="B26" s="104">
        <f t="shared" ref="B26:I26" si="9">+B25+B20+B15</f>
        <v>4214767</v>
      </c>
      <c r="C26" s="104">
        <f t="shared" si="9"/>
        <v>4064402</v>
      </c>
      <c r="D26" s="104">
        <f t="shared" si="9"/>
        <v>4023332</v>
      </c>
      <c r="E26" s="104">
        <f t="shared" si="9"/>
        <v>4099917</v>
      </c>
      <c r="F26" s="104">
        <f t="shared" si="9"/>
        <v>3852882</v>
      </c>
      <c r="G26" s="104">
        <f t="shared" si="9"/>
        <v>3957196</v>
      </c>
      <c r="H26" s="104">
        <f t="shared" si="9"/>
        <v>4124408</v>
      </c>
      <c r="I26" s="104">
        <f t="shared" si="9"/>
        <v>4297190</v>
      </c>
      <c r="J26" s="104">
        <f t="shared" ref="J26:Q26" si="10">+J25+J20+J15</f>
        <v>4441815</v>
      </c>
      <c r="K26" s="104">
        <f t="shared" si="10"/>
        <v>4382850</v>
      </c>
      <c r="L26" s="104">
        <f t="shared" si="10"/>
        <v>4453151</v>
      </c>
      <c r="M26" s="104">
        <f t="shared" si="10"/>
        <v>4514545</v>
      </c>
      <c r="N26" s="122">
        <f t="shared" si="10"/>
        <v>4488684</v>
      </c>
      <c r="O26" s="104">
        <f t="shared" si="10"/>
        <v>4606764</v>
      </c>
      <c r="P26" s="104">
        <f t="shared" si="10"/>
        <v>4600599</v>
      </c>
      <c r="Q26" s="104">
        <f t="shared" si="10"/>
        <v>4553140</v>
      </c>
      <c r="R26" s="122">
        <f t="shared" ref="R26:Z26" si="11">+R25+R20+R15</f>
        <v>4509046</v>
      </c>
      <c r="S26" s="45">
        <f t="shared" si="11"/>
        <v>4458365</v>
      </c>
      <c r="T26" s="45">
        <f t="shared" si="11"/>
        <v>4201314</v>
      </c>
      <c r="U26" s="45">
        <f t="shared" si="11"/>
        <v>3910283</v>
      </c>
      <c r="V26" s="46">
        <f t="shared" si="11"/>
        <v>3826326</v>
      </c>
      <c r="W26" s="45">
        <f t="shared" si="11"/>
        <v>3682329</v>
      </c>
      <c r="X26" s="45">
        <f t="shared" si="11"/>
        <v>3678342</v>
      </c>
      <c r="Y26" s="228">
        <f t="shared" si="11"/>
        <v>3594193</v>
      </c>
      <c r="Z26" s="46">
        <f t="shared" si="11"/>
        <v>3626226</v>
      </c>
    </row>
    <row r="27" spans="1:26" x14ac:dyDescent="0.25">
      <c r="H27" s="35"/>
    </row>
    <row r="28" spans="1:26" x14ac:dyDescent="0.25">
      <c r="A28" s="1" t="s">
        <v>260</v>
      </c>
    </row>
  </sheetData>
  <mergeCells count="8">
    <mergeCell ref="V4:Y4"/>
    <mergeCell ref="A1:Z1"/>
    <mergeCell ref="A2:Z2"/>
    <mergeCell ref="R4:U4"/>
    <mergeCell ref="N4:Q4"/>
    <mergeCell ref="J4:M4"/>
    <mergeCell ref="F4:I4"/>
    <mergeCell ref="B4:E4"/>
  </mergeCells>
  <phoneticPr fontId="0" type="noConversion"/>
  <printOptions horizontalCentered="1"/>
  <pageMargins left="0" right="0" top="1" bottom="1" header="0.5" footer="0.5"/>
  <pageSetup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zoomScaleNormal="100" workbookViewId="0">
      <selection sqref="A1:Z1"/>
    </sheetView>
  </sheetViews>
  <sheetFormatPr defaultColWidth="7.88671875" defaultRowHeight="13.2" x14ac:dyDescent="0.25"/>
  <cols>
    <col min="1" max="1" width="36.88671875" style="1" bestFit="1" customWidth="1"/>
    <col min="2" max="2" width="9.5546875" style="1" bestFit="1" customWidth="1"/>
    <col min="3" max="3" width="10.44140625" style="1" customWidth="1"/>
    <col min="4" max="4" width="10.33203125" style="1" customWidth="1"/>
    <col min="5" max="5" width="10.6640625" style="1" customWidth="1"/>
    <col min="6" max="6" width="10.109375" style="1" customWidth="1"/>
    <col min="7" max="7" width="10.6640625" style="1" customWidth="1"/>
    <col min="8" max="8" width="10.5546875" style="1" customWidth="1"/>
    <col min="9" max="10" width="10.109375" style="1" customWidth="1"/>
    <col min="11" max="11" width="10" style="1" customWidth="1"/>
    <col min="12" max="12" width="10.109375" style="1" customWidth="1"/>
    <col min="13" max="13" width="9.6640625" style="1" customWidth="1"/>
    <col min="14" max="14" width="9.109375" style="1" hidden="1" customWidth="1"/>
    <col min="15" max="15" width="8.88671875" style="1" hidden="1" customWidth="1"/>
    <col min="16" max="16" width="9.109375" style="1" hidden="1" customWidth="1"/>
    <col min="17" max="17" width="10.109375" style="1" hidden="1" customWidth="1"/>
    <col min="18" max="18" width="9.33203125" style="1" hidden="1" customWidth="1"/>
    <col min="19" max="19" width="9.6640625" style="1" hidden="1" customWidth="1"/>
    <col min="20" max="20" width="9.88671875" style="1" hidden="1" customWidth="1"/>
    <col min="21" max="26" width="9.109375" style="1" hidden="1" customWidth="1"/>
    <col min="27" max="16384" width="7.88671875" style="1"/>
  </cols>
  <sheetData>
    <row r="1" spans="1:26" x14ac:dyDescent="0.25">
      <c r="A1" s="391" t="s">
        <v>209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</row>
    <row r="2" spans="1:26" x14ac:dyDescent="0.25">
      <c r="A2" s="391" t="s">
        <v>111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</row>
    <row r="4" spans="1:26" x14ac:dyDescent="0.25">
      <c r="A4" s="1" t="s">
        <v>30</v>
      </c>
      <c r="B4" s="390">
        <v>2003</v>
      </c>
      <c r="C4" s="390"/>
      <c r="D4" s="390"/>
      <c r="E4" s="390"/>
      <c r="F4" s="390">
        <v>2002</v>
      </c>
      <c r="G4" s="390"/>
      <c r="H4" s="390"/>
      <c r="I4" s="390"/>
      <c r="J4" s="390">
        <v>2001</v>
      </c>
      <c r="K4" s="390"/>
      <c r="L4" s="390"/>
      <c r="M4" s="390"/>
      <c r="N4" s="390">
        <v>2000</v>
      </c>
      <c r="O4" s="390"/>
      <c r="P4" s="390"/>
      <c r="Q4" s="390"/>
      <c r="R4" s="390">
        <v>1999</v>
      </c>
      <c r="S4" s="390"/>
      <c r="T4" s="390"/>
      <c r="U4" s="390"/>
      <c r="V4" s="390">
        <v>1998</v>
      </c>
      <c r="W4" s="390"/>
      <c r="X4" s="390"/>
      <c r="Y4" s="390"/>
      <c r="Z4" s="24">
        <v>1997</v>
      </c>
    </row>
    <row r="5" spans="1:26" x14ac:dyDescent="0.25">
      <c r="A5" s="162"/>
      <c r="B5" s="337" t="s">
        <v>1</v>
      </c>
      <c r="C5" s="6" t="s">
        <v>4</v>
      </c>
      <c r="D5" s="6" t="s">
        <v>2</v>
      </c>
      <c r="E5" s="80" t="s">
        <v>3</v>
      </c>
      <c r="F5" s="6" t="s">
        <v>1</v>
      </c>
      <c r="G5" s="6" t="s">
        <v>4</v>
      </c>
      <c r="H5" s="6" t="s">
        <v>2</v>
      </c>
      <c r="I5" s="80" t="s">
        <v>3</v>
      </c>
      <c r="J5" s="6" t="s">
        <v>1</v>
      </c>
      <c r="K5" s="6" t="s">
        <v>4</v>
      </c>
      <c r="L5" s="6" t="s">
        <v>2</v>
      </c>
      <c r="M5" s="80" t="s">
        <v>3</v>
      </c>
      <c r="N5" s="6" t="s">
        <v>1</v>
      </c>
      <c r="O5" s="6" t="s">
        <v>4</v>
      </c>
      <c r="P5" s="6" t="s">
        <v>2</v>
      </c>
      <c r="Q5" s="6" t="s">
        <v>3</v>
      </c>
      <c r="R5" s="14" t="s">
        <v>1</v>
      </c>
      <c r="S5" s="6" t="s">
        <v>4</v>
      </c>
      <c r="T5" s="6" t="s">
        <v>2</v>
      </c>
      <c r="U5" s="6" t="s">
        <v>3</v>
      </c>
      <c r="V5" s="14" t="s">
        <v>1</v>
      </c>
      <c r="W5" s="6" t="s">
        <v>4</v>
      </c>
      <c r="X5" s="6" t="s">
        <v>2</v>
      </c>
      <c r="Y5" s="6" t="s">
        <v>3</v>
      </c>
      <c r="Z5" s="14" t="s">
        <v>1</v>
      </c>
    </row>
    <row r="6" spans="1:26" x14ac:dyDescent="0.25">
      <c r="A6" s="159"/>
      <c r="B6" s="246" t="s">
        <v>5</v>
      </c>
      <c r="C6" s="8" t="s">
        <v>5</v>
      </c>
      <c r="D6" s="8" t="s">
        <v>5</v>
      </c>
      <c r="E6" s="81" t="s">
        <v>5</v>
      </c>
      <c r="F6" s="8" t="s">
        <v>5</v>
      </c>
      <c r="G6" s="8" t="s">
        <v>5</v>
      </c>
      <c r="H6" s="8" t="s">
        <v>5</v>
      </c>
      <c r="I6" s="81" t="s">
        <v>5</v>
      </c>
      <c r="J6" s="8" t="s">
        <v>5</v>
      </c>
      <c r="K6" s="8" t="s">
        <v>5</v>
      </c>
      <c r="L6" s="8" t="s">
        <v>5</v>
      </c>
      <c r="M6" s="81" t="s">
        <v>5</v>
      </c>
      <c r="N6" s="8" t="s">
        <v>5</v>
      </c>
      <c r="O6" s="8" t="s">
        <v>5</v>
      </c>
      <c r="P6" s="8" t="s">
        <v>5</v>
      </c>
      <c r="Q6" s="8" t="s">
        <v>5</v>
      </c>
      <c r="R6" s="15" t="s">
        <v>5</v>
      </c>
      <c r="S6" s="8" t="s">
        <v>5</v>
      </c>
      <c r="T6" s="8" t="s">
        <v>5</v>
      </c>
      <c r="U6" s="8" t="s">
        <v>5</v>
      </c>
      <c r="V6" s="15" t="s">
        <v>5</v>
      </c>
      <c r="W6" s="8" t="s">
        <v>5</v>
      </c>
      <c r="X6" s="8" t="s">
        <v>5</v>
      </c>
      <c r="Y6" s="8" t="s">
        <v>5</v>
      </c>
      <c r="Z6" s="15" t="s">
        <v>5</v>
      </c>
    </row>
    <row r="7" spans="1:26" x14ac:dyDescent="0.25">
      <c r="A7" s="158" t="s">
        <v>172</v>
      </c>
      <c r="B7" s="364"/>
      <c r="C7" s="23"/>
      <c r="D7" s="23"/>
      <c r="E7" s="23"/>
      <c r="F7" s="292"/>
      <c r="G7" s="23"/>
      <c r="H7" s="23"/>
      <c r="I7" s="23"/>
      <c r="J7" s="292"/>
      <c r="K7" s="23"/>
      <c r="L7" s="23"/>
      <c r="M7" s="180"/>
      <c r="N7" s="23"/>
      <c r="O7" s="23"/>
      <c r="P7" s="23"/>
      <c r="Q7" s="23"/>
      <c r="R7" s="139"/>
      <c r="S7" s="23"/>
      <c r="T7" s="23"/>
      <c r="U7" s="23"/>
      <c r="V7" s="63"/>
      <c r="W7" s="62"/>
      <c r="X7" s="62"/>
      <c r="Y7" s="62"/>
      <c r="Z7" s="63"/>
    </row>
    <row r="8" spans="1:26" x14ac:dyDescent="0.25">
      <c r="A8" s="158" t="s">
        <v>173</v>
      </c>
      <c r="B8" s="364"/>
      <c r="C8" s="23"/>
      <c r="D8" s="23"/>
      <c r="E8" s="23"/>
      <c r="F8" s="139"/>
      <c r="G8" s="23"/>
      <c r="H8" s="23"/>
      <c r="I8" s="23"/>
      <c r="J8" s="139"/>
      <c r="K8" s="23"/>
      <c r="L8" s="23"/>
      <c r="M8" s="158"/>
      <c r="N8" s="23"/>
      <c r="O8" s="23"/>
      <c r="P8" s="23"/>
      <c r="Q8" s="23"/>
      <c r="R8" s="139"/>
      <c r="S8" s="23"/>
      <c r="T8" s="23"/>
      <c r="U8" s="23"/>
      <c r="V8" s="63"/>
      <c r="W8" s="62"/>
      <c r="X8" s="62"/>
      <c r="Y8" s="62"/>
      <c r="Z8" s="63"/>
    </row>
    <row r="9" spans="1:26" x14ac:dyDescent="0.25">
      <c r="A9" s="64" t="s">
        <v>174</v>
      </c>
      <c r="B9" s="140">
        <v>29915</v>
      </c>
      <c r="C9" s="78">
        <v>30746</v>
      </c>
      <c r="D9" s="35">
        <v>32866</v>
      </c>
      <c r="E9" s="78">
        <v>37060</v>
      </c>
      <c r="F9" s="140">
        <v>33192</v>
      </c>
      <c r="G9" s="78">
        <v>34702</v>
      </c>
      <c r="H9" s="35">
        <v>32172</v>
      </c>
      <c r="I9" s="35">
        <v>36868</v>
      </c>
      <c r="J9" s="140">
        <v>30578</v>
      </c>
      <c r="K9" s="35">
        <v>31212</v>
      </c>
      <c r="L9" s="35">
        <v>31284</v>
      </c>
      <c r="M9" s="35">
        <v>34597</v>
      </c>
      <c r="N9" s="140">
        <v>31443</v>
      </c>
      <c r="O9" s="35">
        <v>19992</v>
      </c>
      <c r="P9" s="35">
        <v>16018</v>
      </c>
      <c r="Q9" s="35">
        <v>16355</v>
      </c>
      <c r="R9" s="140">
        <v>10439</v>
      </c>
      <c r="S9" s="35">
        <v>11458</v>
      </c>
      <c r="T9" s="35">
        <v>11886</v>
      </c>
      <c r="U9" s="35">
        <v>12564</v>
      </c>
      <c r="V9" s="41">
        <v>13070</v>
      </c>
      <c r="W9" s="35">
        <v>15514</v>
      </c>
      <c r="X9" s="35">
        <v>9315</v>
      </c>
      <c r="Y9" s="35">
        <v>10419</v>
      </c>
      <c r="Z9" s="41">
        <v>11795</v>
      </c>
    </row>
    <row r="10" spans="1:26" x14ac:dyDescent="0.25">
      <c r="A10" s="64" t="s">
        <v>175</v>
      </c>
      <c r="B10" s="51">
        <v>4996</v>
      </c>
      <c r="C10" s="50">
        <v>5751</v>
      </c>
      <c r="D10" s="37">
        <v>5643</v>
      </c>
      <c r="E10" s="50">
        <v>7923</v>
      </c>
      <c r="F10" s="51">
        <v>6289</v>
      </c>
      <c r="G10" s="50">
        <v>2557</v>
      </c>
      <c r="H10" s="37">
        <v>2292</v>
      </c>
      <c r="I10" s="37">
        <v>4065</v>
      </c>
      <c r="J10" s="51">
        <v>3035</v>
      </c>
      <c r="K10" s="37">
        <v>2565</v>
      </c>
      <c r="L10" s="37">
        <v>1825</v>
      </c>
      <c r="M10" s="37">
        <v>1943</v>
      </c>
      <c r="N10" s="51">
        <v>1179</v>
      </c>
      <c r="O10" s="37">
        <v>6208</v>
      </c>
      <c r="P10" s="37">
        <v>1023</v>
      </c>
      <c r="Q10" s="37">
        <v>807</v>
      </c>
      <c r="R10" s="51">
        <v>2086</v>
      </c>
      <c r="S10" s="37">
        <v>2348</v>
      </c>
      <c r="T10" s="37">
        <v>2218</v>
      </c>
      <c r="U10" s="37">
        <v>3526</v>
      </c>
      <c r="V10" s="38">
        <v>3311</v>
      </c>
      <c r="W10" s="37">
        <v>4708</v>
      </c>
      <c r="X10" s="37">
        <v>3057</v>
      </c>
      <c r="Y10" s="37">
        <v>2007</v>
      </c>
      <c r="Z10" s="38">
        <v>655</v>
      </c>
    </row>
    <row r="11" spans="1:26" x14ac:dyDescent="0.25">
      <c r="A11" s="64" t="s">
        <v>188</v>
      </c>
      <c r="B11" s="51"/>
      <c r="C11" s="50"/>
      <c r="D11" s="37"/>
      <c r="E11" s="50"/>
      <c r="F11" s="51"/>
      <c r="G11" s="50"/>
      <c r="H11" s="37"/>
      <c r="I11" s="37"/>
      <c r="J11" s="51"/>
      <c r="K11" s="37"/>
      <c r="L11" s="37"/>
      <c r="M11" s="37"/>
      <c r="N11" s="51"/>
      <c r="O11" s="37"/>
      <c r="P11" s="37"/>
      <c r="Q11" s="37"/>
      <c r="R11" s="51"/>
      <c r="S11" s="37"/>
      <c r="T11" s="37"/>
      <c r="U11" s="37"/>
      <c r="V11" s="38"/>
      <c r="W11" s="37"/>
      <c r="X11" s="37"/>
      <c r="Y11" s="37"/>
      <c r="Z11" s="38"/>
    </row>
    <row r="12" spans="1:26" x14ac:dyDescent="0.25">
      <c r="A12" s="157" t="s">
        <v>189</v>
      </c>
      <c r="B12" s="51">
        <v>39843</v>
      </c>
      <c r="C12" s="50">
        <v>44707</v>
      </c>
      <c r="D12" s="37">
        <v>44911</v>
      </c>
      <c r="E12" s="50">
        <v>45256</v>
      </c>
      <c r="F12" s="51">
        <v>57740</v>
      </c>
      <c r="G12" s="50">
        <f>49023-1448</f>
        <v>47575</v>
      </c>
      <c r="H12" s="37">
        <f>52176-H13-H14</f>
        <v>42274</v>
      </c>
      <c r="I12" s="37">
        <f>51892-I13-I14</f>
        <v>41848</v>
      </c>
      <c r="J12" s="51">
        <f>49238-J13-J14</f>
        <v>39583</v>
      </c>
      <c r="K12" s="50">
        <v>40878</v>
      </c>
      <c r="L12" s="37">
        <v>38011</v>
      </c>
      <c r="M12" s="37">
        <v>24793</v>
      </c>
      <c r="N12" s="51">
        <v>16426</v>
      </c>
      <c r="O12" s="37">
        <f>15014+1</f>
        <v>15015</v>
      </c>
      <c r="P12" s="37">
        <v>16663</v>
      </c>
      <c r="Q12" s="37">
        <v>17949</v>
      </c>
      <c r="R12" s="51">
        <v>14644</v>
      </c>
      <c r="S12" s="37">
        <v>12910</v>
      </c>
      <c r="T12" s="37">
        <v>14226</v>
      </c>
      <c r="U12" s="37">
        <v>14735</v>
      </c>
      <c r="V12" s="38">
        <v>14224</v>
      </c>
      <c r="W12" s="37">
        <v>18500</v>
      </c>
      <c r="X12" s="37">
        <v>26716</v>
      </c>
      <c r="Y12" s="37">
        <v>21644</v>
      </c>
      <c r="Z12" s="38">
        <v>19652</v>
      </c>
    </row>
    <row r="13" spans="1:26" x14ac:dyDescent="0.25">
      <c r="A13" s="157" t="s">
        <v>190</v>
      </c>
      <c r="B13" s="51">
        <v>183</v>
      </c>
      <c r="C13" s="50">
        <v>205</v>
      </c>
      <c r="D13" s="50">
        <v>91</v>
      </c>
      <c r="E13" s="50">
        <v>105</v>
      </c>
      <c r="F13" s="51">
        <v>99</v>
      </c>
      <c r="G13" s="50">
        <v>110</v>
      </c>
      <c r="H13" s="50">
        <v>184</v>
      </c>
      <c r="I13" s="50">
        <v>240</v>
      </c>
      <c r="J13" s="51">
        <v>228</v>
      </c>
      <c r="K13" s="50">
        <v>205</v>
      </c>
      <c r="L13" s="50">
        <v>335</v>
      </c>
      <c r="M13" s="50">
        <v>266</v>
      </c>
      <c r="N13" s="51">
        <v>268</v>
      </c>
      <c r="O13" s="37">
        <v>356</v>
      </c>
      <c r="P13" s="37">
        <v>355</v>
      </c>
      <c r="Q13" s="37">
        <v>376</v>
      </c>
      <c r="R13" s="51">
        <v>434</v>
      </c>
      <c r="S13" s="37">
        <v>411</v>
      </c>
      <c r="T13" s="37">
        <v>383</v>
      </c>
      <c r="U13" s="37">
        <v>345</v>
      </c>
      <c r="V13" s="38">
        <v>395</v>
      </c>
      <c r="W13" s="37">
        <v>270</v>
      </c>
      <c r="X13" s="37">
        <v>159</v>
      </c>
      <c r="Y13" s="37">
        <v>189</v>
      </c>
      <c r="Z13" s="38">
        <v>169</v>
      </c>
    </row>
    <row r="14" spans="1:26" x14ac:dyDescent="0.25">
      <c r="A14" s="157" t="s">
        <v>203</v>
      </c>
      <c r="B14" s="51">
        <v>12166</v>
      </c>
      <c r="C14" s="50">
        <v>12105</v>
      </c>
      <c r="D14" s="50">
        <v>10011</v>
      </c>
      <c r="E14" s="50">
        <v>11000</v>
      </c>
      <c r="F14" s="51">
        <v>10188</v>
      </c>
      <c r="G14" s="50">
        <v>10070</v>
      </c>
      <c r="H14" s="50">
        <v>9718</v>
      </c>
      <c r="I14" s="50">
        <v>9804</v>
      </c>
      <c r="J14" s="51">
        <v>9427</v>
      </c>
      <c r="K14" s="50">
        <v>8663</v>
      </c>
      <c r="L14" s="50">
        <v>7196</v>
      </c>
      <c r="M14" s="50">
        <v>6424</v>
      </c>
      <c r="N14" s="51">
        <v>5627</v>
      </c>
      <c r="O14" s="37">
        <v>6795</v>
      </c>
      <c r="P14" s="37">
        <v>6804</v>
      </c>
      <c r="Q14" s="37">
        <v>7875</v>
      </c>
      <c r="R14" s="51">
        <v>7994</v>
      </c>
      <c r="S14" s="37">
        <v>8727</v>
      </c>
      <c r="T14" s="37">
        <v>8185</v>
      </c>
      <c r="U14" s="37">
        <v>8165</v>
      </c>
      <c r="V14" s="38">
        <v>8366</v>
      </c>
      <c r="W14" s="37">
        <v>6344</v>
      </c>
      <c r="X14" s="37">
        <v>8155</v>
      </c>
      <c r="Y14" s="37">
        <v>8460</v>
      </c>
      <c r="Z14" s="38">
        <v>9106</v>
      </c>
    </row>
    <row r="15" spans="1:26" x14ac:dyDescent="0.25">
      <c r="A15" s="157" t="s">
        <v>187</v>
      </c>
      <c r="B15" s="51"/>
      <c r="C15" s="50"/>
      <c r="D15" s="37"/>
      <c r="E15" s="50"/>
      <c r="F15" s="51"/>
      <c r="G15" s="50"/>
      <c r="H15" s="37"/>
      <c r="I15" s="37"/>
      <c r="J15" s="51"/>
      <c r="K15" s="37"/>
      <c r="L15" s="37"/>
      <c r="M15" s="37"/>
      <c r="N15" s="51"/>
      <c r="O15" s="37"/>
      <c r="P15" s="37"/>
      <c r="Q15" s="37"/>
      <c r="R15" s="51"/>
      <c r="S15" s="37"/>
      <c r="T15" s="37"/>
      <c r="U15" s="37"/>
      <c r="V15" s="38"/>
      <c r="W15" s="37"/>
      <c r="X15" s="37"/>
      <c r="Y15" s="37"/>
      <c r="Z15" s="38"/>
    </row>
    <row r="16" spans="1:26" x14ac:dyDescent="0.25">
      <c r="A16" s="157" t="s">
        <v>177</v>
      </c>
      <c r="B16" s="120">
        <v>9312</v>
      </c>
      <c r="C16" s="103">
        <v>11453</v>
      </c>
      <c r="D16" s="43">
        <v>12990</v>
      </c>
      <c r="E16" s="103">
        <v>15703</v>
      </c>
      <c r="F16" s="120">
        <v>15930</v>
      </c>
      <c r="G16" s="103">
        <v>15302</v>
      </c>
      <c r="H16" s="43">
        <v>12558</v>
      </c>
      <c r="I16" s="43">
        <v>12581</v>
      </c>
      <c r="J16" s="120">
        <v>12361</v>
      </c>
      <c r="K16" s="43">
        <v>12047</v>
      </c>
      <c r="L16" s="43">
        <v>11225</v>
      </c>
      <c r="M16" s="43">
        <v>13867</v>
      </c>
      <c r="N16" s="120">
        <v>13167</v>
      </c>
      <c r="O16" s="43">
        <v>9789</v>
      </c>
      <c r="P16" s="43">
        <v>7315</v>
      </c>
      <c r="Q16" s="43">
        <v>7059</v>
      </c>
      <c r="R16" s="120">
        <v>8503</v>
      </c>
      <c r="S16" s="43">
        <v>6965</v>
      </c>
      <c r="T16" s="43">
        <v>5311</v>
      </c>
      <c r="U16" s="43">
        <v>5287</v>
      </c>
      <c r="V16" s="44">
        <v>4054</v>
      </c>
      <c r="W16" s="43">
        <v>5668</v>
      </c>
      <c r="X16" s="43">
        <v>3005</v>
      </c>
      <c r="Y16" s="43">
        <v>2709</v>
      </c>
      <c r="Z16" s="44">
        <v>795</v>
      </c>
    </row>
    <row r="17" spans="1:26" x14ac:dyDescent="0.25">
      <c r="A17" s="157" t="s">
        <v>178</v>
      </c>
      <c r="B17" s="50">
        <f t="shared" ref="B17:I17" si="0">SUM(B9:B16)</f>
        <v>96415</v>
      </c>
      <c r="C17" s="50">
        <f t="shared" si="0"/>
        <v>104967</v>
      </c>
      <c r="D17" s="50">
        <f t="shared" si="0"/>
        <v>106512</v>
      </c>
      <c r="E17" s="50">
        <f t="shared" si="0"/>
        <v>117047</v>
      </c>
      <c r="F17" s="38">
        <f t="shared" si="0"/>
        <v>123438</v>
      </c>
      <c r="G17" s="50">
        <f t="shared" si="0"/>
        <v>110316</v>
      </c>
      <c r="H17" s="37">
        <f t="shared" si="0"/>
        <v>99198</v>
      </c>
      <c r="I17" s="37">
        <f t="shared" si="0"/>
        <v>105406</v>
      </c>
      <c r="J17" s="38">
        <f t="shared" ref="J17:Q17" si="1">SUM(J9:J16)</f>
        <v>95212</v>
      </c>
      <c r="K17" s="37">
        <f t="shared" si="1"/>
        <v>95570</v>
      </c>
      <c r="L17" s="37">
        <f t="shared" si="1"/>
        <v>89876</v>
      </c>
      <c r="M17" s="37">
        <f t="shared" si="1"/>
        <v>81890</v>
      </c>
      <c r="N17" s="51">
        <f t="shared" si="1"/>
        <v>68110</v>
      </c>
      <c r="O17" s="37">
        <f t="shared" si="1"/>
        <v>58155</v>
      </c>
      <c r="P17" s="37">
        <f t="shared" si="1"/>
        <v>48178</v>
      </c>
      <c r="Q17" s="37">
        <f t="shared" si="1"/>
        <v>50421</v>
      </c>
      <c r="R17" s="51">
        <f t="shared" ref="R17:Z17" si="2">SUM(R9:R16)</f>
        <v>44100</v>
      </c>
      <c r="S17" s="37">
        <f t="shared" si="2"/>
        <v>42819</v>
      </c>
      <c r="T17" s="37">
        <f t="shared" si="2"/>
        <v>42209</v>
      </c>
      <c r="U17" s="37">
        <f t="shared" si="2"/>
        <v>44622</v>
      </c>
      <c r="V17" s="38">
        <f t="shared" si="2"/>
        <v>43420</v>
      </c>
      <c r="W17" s="37">
        <f t="shared" si="2"/>
        <v>51004</v>
      </c>
      <c r="X17" s="37">
        <f t="shared" si="2"/>
        <v>50407</v>
      </c>
      <c r="Y17" s="37">
        <f t="shared" si="2"/>
        <v>45428</v>
      </c>
      <c r="Z17" s="38">
        <f t="shared" si="2"/>
        <v>42172</v>
      </c>
    </row>
    <row r="18" spans="1:26" x14ac:dyDescent="0.25">
      <c r="A18" s="157"/>
      <c r="B18" s="51"/>
      <c r="C18" s="50"/>
      <c r="D18" s="37"/>
      <c r="E18" s="50"/>
      <c r="F18" s="51"/>
      <c r="G18" s="50"/>
      <c r="H18" s="37"/>
      <c r="I18" s="37"/>
      <c r="J18" s="51"/>
      <c r="K18" s="37"/>
      <c r="L18" s="37"/>
      <c r="M18" s="37"/>
      <c r="N18" s="51"/>
      <c r="O18" s="37"/>
      <c r="P18" s="37"/>
      <c r="Q18" s="37"/>
      <c r="R18" s="51"/>
      <c r="S18" s="37"/>
      <c r="T18" s="37"/>
      <c r="U18" s="37"/>
      <c r="V18" s="38"/>
      <c r="W18" s="37"/>
      <c r="X18" s="37"/>
      <c r="Y18" s="37"/>
      <c r="Z18" s="38"/>
    </row>
    <row r="19" spans="1:26" x14ac:dyDescent="0.25">
      <c r="A19" s="64" t="s">
        <v>170</v>
      </c>
      <c r="B19" s="51">
        <v>1953</v>
      </c>
      <c r="C19" s="50">
        <v>1033</v>
      </c>
      <c r="D19" s="50">
        <v>1033</v>
      </c>
      <c r="E19" s="50">
        <v>1033</v>
      </c>
      <c r="F19" s="51">
        <v>0</v>
      </c>
      <c r="G19" s="50">
        <v>0</v>
      </c>
      <c r="H19" s="50"/>
      <c r="I19" s="37">
        <v>0</v>
      </c>
      <c r="J19" s="51">
        <v>0</v>
      </c>
      <c r="K19" s="50">
        <v>0</v>
      </c>
      <c r="L19" s="50">
        <v>0</v>
      </c>
      <c r="M19" s="37">
        <v>0</v>
      </c>
      <c r="N19" s="51">
        <v>0</v>
      </c>
      <c r="O19" s="50">
        <v>0</v>
      </c>
      <c r="P19" s="50">
        <v>0</v>
      </c>
      <c r="Q19" s="37">
        <v>0</v>
      </c>
      <c r="R19" s="51">
        <v>248</v>
      </c>
      <c r="S19" s="37">
        <v>1000</v>
      </c>
      <c r="T19" s="50">
        <v>499</v>
      </c>
      <c r="U19" s="37">
        <v>1849</v>
      </c>
      <c r="V19" s="38">
        <v>3321</v>
      </c>
      <c r="W19" s="37">
        <v>1908</v>
      </c>
      <c r="X19" s="37">
        <v>1053</v>
      </c>
      <c r="Y19" s="37">
        <v>1488</v>
      </c>
      <c r="Z19" s="38">
        <v>1524</v>
      </c>
    </row>
    <row r="20" spans="1:26" x14ac:dyDescent="0.25">
      <c r="A20" s="64" t="s">
        <v>171</v>
      </c>
      <c r="B20" s="305">
        <f t="shared" ref="B20:I20" si="3">SUM(B17:B19)</f>
        <v>98368</v>
      </c>
      <c r="C20" s="305">
        <f t="shared" si="3"/>
        <v>106000</v>
      </c>
      <c r="D20" s="305">
        <f t="shared" si="3"/>
        <v>107545</v>
      </c>
      <c r="E20" s="305">
        <f t="shared" si="3"/>
        <v>118080</v>
      </c>
      <c r="F20" s="70">
        <f t="shared" si="3"/>
        <v>123438</v>
      </c>
      <c r="G20" s="305">
        <f t="shared" si="3"/>
        <v>110316</v>
      </c>
      <c r="H20" s="69">
        <f t="shared" si="3"/>
        <v>99198</v>
      </c>
      <c r="I20" s="69">
        <f t="shared" si="3"/>
        <v>105406</v>
      </c>
      <c r="J20" s="70">
        <f t="shared" ref="J20:Q20" si="4">SUM(J17:J19)</f>
        <v>95212</v>
      </c>
      <c r="K20" s="69">
        <f t="shared" si="4"/>
        <v>95570</v>
      </c>
      <c r="L20" s="69">
        <f t="shared" si="4"/>
        <v>89876</v>
      </c>
      <c r="M20" s="69">
        <f t="shared" si="4"/>
        <v>81890</v>
      </c>
      <c r="N20" s="141">
        <f t="shared" si="4"/>
        <v>68110</v>
      </c>
      <c r="O20" s="69">
        <f t="shared" si="4"/>
        <v>58155</v>
      </c>
      <c r="P20" s="69">
        <f t="shared" si="4"/>
        <v>48178</v>
      </c>
      <c r="Q20" s="69">
        <f t="shared" si="4"/>
        <v>50421</v>
      </c>
      <c r="R20" s="141">
        <f t="shared" ref="R20:Z20" si="5">SUM(R17:R19)</f>
        <v>44348</v>
      </c>
      <c r="S20" s="69">
        <f t="shared" si="5"/>
        <v>43819</v>
      </c>
      <c r="T20" s="69">
        <f t="shared" si="5"/>
        <v>42708</v>
      </c>
      <c r="U20" s="69">
        <f t="shared" si="5"/>
        <v>46471</v>
      </c>
      <c r="V20" s="70">
        <f t="shared" si="5"/>
        <v>46741</v>
      </c>
      <c r="W20" s="69">
        <f t="shared" si="5"/>
        <v>52912</v>
      </c>
      <c r="X20" s="69">
        <f t="shared" si="5"/>
        <v>51460</v>
      </c>
      <c r="Y20" s="69">
        <f t="shared" si="5"/>
        <v>46916</v>
      </c>
      <c r="Z20" s="70">
        <f t="shared" si="5"/>
        <v>43696</v>
      </c>
    </row>
    <row r="21" spans="1:26" x14ac:dyDescent="0.25">
      <c r="A21" s="64"/>
      <c r="B21" s="51"/>
      <c r="C21" s="102"/>
      <c r="D21" s="42"/>
      <c r="E21" s="102"/>
      <c r="F21" s="51"/>
      <c r="G21" s="102"/>
      <c r="H21" s="42"/>
      <c r="I21" s="42"/>
      <c r="J21" s="51"/>
      <c r="K21" s="42"/>
      <c r="L21" s="42"/>
      <c r="M21" s="42"/>
      <c r="N21" s="51"/>
      <c r="O21" s="42"/>
      <c r="P21" s="42"/>
      <c r="Q21" s="42"/>
      <c r="R21" s="51"/>
      <c r="S21" s="42"/>
      <c r="T21" s="42"/>
      <c r="U21" s="42"/>
      <c r="V21" s="38"/>
      <c r="W21" s="42"/>
      <c r="X21" s="42"/>
      <c r="Y21" s="42"/>
      <c r="Z21" s="38"/>
    </row>
    <row r="22" spans="1:26" x14ac:dyDescent="0.25">
      <c r="A22" s="64" t="s">
        <v>215</v>
      </c>
      <c r="B22" s="120">
        <v>4989</v>
      </c>
      <c r="C22" s="103">
        <v>4265</v>
      </c>
      <c r="D22" s="43">
        <v>9496</v>
      </c>
      <c r="E22" s="103">
        <f>16585+1358</f>
        <v>17943</v>
      </c>
      <c r="F22" s="120">
        <v>17563</v>
      </c>
      <c r="G22" s="103">
        <v>15989</v>
      </c>
      <c r="H22" s="43">
        <v>12694</v>
      </c>
      <c r="I22" s="43">
        <v>4967</v>
      </c>
      <c r="J22" s="120">
        <v>4790</v>
      </c>
      <c r="K22" s="43">
        <v>4916</v>
      </c>
      <c r="L22" s="43">
        <v>5281</v>
      </c>
      <c r="M22" s="43">
        <v>8318</v>
      </c>
      <c r="N22" s="120">
        <v>10345</v>
      </c>
      <c r="O22" s="43">
        <v>8590</v>
      </c>
      <c r="P22" s="43">
        <v>8278</v>
      </c>
      <c r="Q22" s="43">
        <v>9981</v>
      </c>
      <c r="R22" s="120">
        <v>7959</v>
      </c>
      <c r="S22" s="43">
        <v>7307</v>
      </c>
      <c r="T22" s="43">
        <v>7603</v>
      </c>
      <c r="U22" s="43">
        <v>7925</v>
      </c>
      <c r="V22" s="44">
        <v>7005</v>
      </c>
      <c r="W22" s="43">
        <v>7849</v>
      </c>
      <c r="X22" s="43">
        <v>6702</v>
      </c>
      <c r="Y22" s="43">
        <v>7720</v>
      </c>
      <c r="Z22" s="44">
        <v>7601</v>
      </c>
    </row>
    <row r="23" spans="1:26" x14ac:dyDescent="0.25">
      <c r="A23" s="158" t="s">
        <v>89</v>
      </c>
      <c r="B23" s="306">
        <f t="shared" ref="B23:I23" si="6">SUM(B20:B22)</f>
        <v>103357</v>
      </c>
      <c r="C23" s="306">
        <f t="shared" si="6"/>
        <v>110265</v>
      </c>
      <c r="D23" s="306">
        <f t="shared" si="6"/>
        <v>117041</v>
      </c>
      <c r="E23" s="306">
        <f t="shared" si="6"/>
        <v>136023</v>
      </c>
      <c r="F23" s="87">
        <f t="shared" si="6"/>
        <v>141001</v>
      </c>
      <c r="G23" s="306">
        <f t="shared" si="6"/>
        <v>126305</v>
      </c>
      <c r="H23" s="67">
        <f t="shared" si="6"/>
        <v>111892</v>
      </c>
      <c r="I23" s="67">
        <f t="shared" si="6"/>
        <v>110373</v>
      </c>
      <c r="J23" s="87">
        <f t="shared" ref="J23:Q23" si="7">SUM(J20:J22)</f>
        <v>100002</v>
      </c>
      <c r="K23" s="67">
        <f t="shared" si="7"/>
        <v>100486</v>
      </c>
      <c r="L23" s="67">
        <f t="shared" si="7"/>
        <v>95157</v>
      </c>
      <c r="M23" s="67">
        <f t="shared" si="7"/>
        <v>90208</v>
      </c>
      <c r="N23" s="142">
        <f t="shared" si="7"/>
        <v>78455</v>
      </c>
      <c r="O23" s="67">
        <f t="shared" si="7"/>
        <v>66745</v>
      </c>
      <c r="P23" s="67">
        <f t="shared" si="7"/>
        <v>56456</v>
      </c>
      <c r="Q23" s="67">
        <f t="shared" si="7"/>
        <v>60402</v>
      </c>
      <c r="R23" s="142">
        <f t="shared" ref="R23:Z23" si="8">SUM(R20:R22)</f>
        <v>52307</v>
      </c>
      <c r="S23" s="67">
        <f>SUM(S20:S22)</f>
        <v>51126</v>
      </c>
      <c r="T23" s="67">
        <f t="shared" si="8"/>
        <v>50311</v>
      </c>
      <c r="U23" s="67">
        <f t="shared" si="8"/>
        <v>54396</v>
      </c>
      <c r="V23" s="87">
        <f t="shared" si="8"/>
        <v>53746</v>
      </c>
      <c r="W23" s="67">
        <f t="shared" si="8"/>
        <v>60761</v>
      </c>
      <c r="X23" s="67">
        <f t="shared" si="8"/>
        <v>58162</v>
      </c>
      <c r="Y23" s="68">
        <f t="shared" si="8"/>
        <v>54636</v>
      </c>
      <c r="Z23" s="67">
        <f t="shared" si="8"/>
        <v>51297</v>
      </c>
    </row>
    <row r="24" spans="1:26" x14ac:dyDescent="0.25">
      <c r="A24" s="64"/>
      <c r="B24" s="143"/>
      <c r="C24" s="307"/>
      <c r="D24" s="65"/>
      <c r="E24" s="307"/>
      <c r="F24" s="143"/>
      <c r="G24" s="307"/>
      <c r="H24" s="65"/>
      <c r="I24" s="65"/>
      <c r="J24" s="143"/>
      <c r="K24" s="65"/>
      <c r="L24" s="65"/>
      <c r="M24" s="65"/>
      <c r="N24" s="143"/>
      <c r="O24" s="65"/>
      <c r="P24" s="65"/>
      <c r="Q24" s="65"/>
      <c r="R24" s="143"/>
      <c r="S24" s="65"/>
      <c r="T24" s="65"/>
      <c r="U24" s="65"/>
      <c r="V24" s="88"/>
      <c r="W24" s="65"/>
      <c r="X24" s="65"/>
      <c r="Y24" s="66"/>
      <c r="Z24" s="65"/>
    </row>
    <row r="25" spans="1:26" x14ac:dyDescent="0.25">
      <c r="A25" s="64"/>
      <c r="B25" s="138"/>
      <c r="C25" s="121"/>
      <c r="E25" s="121"/>
      <c r="F25" s="138"/>
      <c r="G25" s="121"/>
      <c r="J25" s="138"/>
      <c r="N25" s="138"/>
      <c r="R25" s="138"/>
      <c r="V25" s="19"/>
      <c r="Y25" s="64"/>
    </row>
    <row r="26" spans="1:26" x14ac:dyDescent="0.25">
      <c r="A26" s="159" t="s">
        <v>212</v>
      </c>
      <c r="B26" s="144">
        <v>2404</v>
      </c>
      <c r="C26" s="308">
        <v>3211</v>
      </c>
      <c r="D26" s="55">
        <v>4352</v>
      </c>
      <c r="E26" s="308">
        <v>2529</v>
      </c>
      <c r="F26" s="144">
        <v>3928</v>
      </c>
      <c r="G26" s="308">
        <v>2831</v>
      </c>
      <c r="H26" s="55">
        <v>4461</v>
      </c>
      <c r="I26" s="55">
        <v>3313</v>
      </c>
      <c r="J26" s="144">
        <v>5528</v>
      </c>
      <c r="K26" s="55">
        <v>5701</v>
      </c>
      <c r="L26" s="55">
        <v>4745</v>
      </c>
      <c r="M26" s="55">
        <v>1872</v>
      </c>
      <c r="N26" s="144">
        <v>4661</v>
      </c>
      <c r="O26" s="55">
        <v>4596</v>
      </c>
      <c r="P26" s="55">
        <v>5233</v>
      </c>
      <c r="Q26" s="55">
        <v>4879</v>
      </c>
      <c r="R26" s="144">
        <v>3406</v>
      </c>
      <c r="S26" s="55">
        <v>3079</v>
      </c>
      <c r="T26" s="55">
        <v>3353</v>
      </c>
      <c r="U26" s="55">
        <v>2524</v>
      </c>
      <c r="V26" s="89">
        <v>5241</v>
      </c>
      <c r="W26" s="43">
        <v>5818</v>
      </c>
      <c r="X26" s="43">
        <v>3603</v>
      </c>
      <c r="Y26" s="43">
        <v>7691</v>
      </c>
      <c r="Z26" s="44">
        <v>9585</v>
      </c>
    </row>
    <row r="27" spans="1:26" ht="13.8" thickBot="1" x14ac:dyDescent="0.3">
      <c r="A27" s="160" t="s">
        <v>90</v>
      </c>
      <c r="B27" s="309">
        <f t="shared" ref="B27:I27" si="9">+B23+B26</f>
        <v>105761</v>
      </c>
      <c r="C27" s="309">
        <f t="shared" si="9"/>
        <v>113476</v>
      </c>
      <c r="D27" s="309">
        <f t="shared" si="9"/>
        <v>121393</v>
      </c>
      <c r="E27" s="309">
        <f t="shared" si="9"/>
        <v>138552</v>
      </c>
      <c r="F27" s="90">
        <f t="shared" si="9"/>
        <v>144929</v>
      </c>
      <c r="G27" s="309">
        <f t="shared" si="9"/>
        <v>129136</v>
      </c>
      <c r="H27" s="71">
        <f t="shared" si="9"/>
        <v>116353</v>
      </c>
      <c r="I27" s="71">
        <f t="shared" si="9"/>
        <v>113686</v>
      </c>
      <c r="J27" s="90">
        <f t="shared" ref="J27:Q27" si="10">+J23+J26</f>
        <v>105530</v>
      </c>
      <c r="K27" s="71">
        <f t="shared" si="10"/>
        <v>106187</v>
      </c>
      <c r="L27" s="71">
        <f t="shared" si="10"/>
        <v>99902</v>
      </c>
      <c r="M27" s="71">
        <f t="shared" si="10"/>
        <v>92080</v>
      </c>
      <c r="N27" s="145">
        <f t="shared" si="10"/>
        <v>83116</v>
      </c>
      <c r="O27" s="71">
        <f t="shared" si="10"/>
        <v>71341</v>
      </c>
      <c r="P27" s="71">
        <f t="shared" si="10"/>
        <v>61689</v>
      </c>
      <c r="Q27" s="71">
        <f t="shared" si="10"/>
        <v>65281</v>
      </c>
      <c r="R27" s="145">
        <f t="shared" ref="R27:Z27" si="11">+R23+R26</f>
        <v>55713</v>
      </c>
      <c r="S27" s="71">
        <f t="shared" si="11"/>
        <v>54205</v>
      </c>
      <c r="T27" s="71">
        <f t="shared" si="11"/>
        <v>53664</v>
      </c>
      <c r="U27" s="71">
        <f t="shared" si="11"/>
        <v>56920</v>
      </c>
      <c r="V27" s="90">
        <f t="shared" si="11"/>
        <v>58987</v>
      </c>
      <c r="W27" s="71">
        <f t="shared" si="11"/>
        <v>66579</v>
      </c>
      <c r="X27" s="71">
        <f t="shared" si="11"/>
        <v>61765</v>
      </c>
      <c r="Y27" s="71">
        <f t="shared" si="11"/>
        <v>62327</v>
      </c>
      <c r="Z27" s="90">
        <f t="shared" si="11"/>
        <v>60882</v>
      </c>
    </row>
    <row r="28" spans="1:26" ht="13.8" thickTop="1" x14ac:dyDescent="0.25">
      <c r="A28" s="64"/>
      <c r="B28" s="146"/>
      <c r="C28" s="310"/>
      <c r="D28" s="72"/>
      <c r="E28" s="72"/>
      <c r="F28" s="146"/>
      <c r="G28" s="310"/>
      <c r="H28" s="72"/>
      <c r="I28" s="72"/>
      <c r="J28" s="146"/>
      <c r="K28" s="72"/>
      <c r="L28" s="72"/>
      <c r="M28" s="72"/>
      <c r="N28" s="146"/>
      <c r="O28" s="72"/>
      <c r="P28" s="72"/>
      <c r="Q28" s="72"/>
      <c r="R28" s="146"/>
      <c r="S28" s="72"/>
      <c r="T28" s="72"/>
      <c r="U28" s="72"/>
      <c r="V28" s="91"/>
      <c r="W28" s="72"/>
      <c r="X28" s="72"/>
      <c r="Y28" s="72"/>
      <c r="Z28" s="96"/>
    </row>
    <row r="29" spans="1:26" x14ac:dyDescent="0.25">
      <c r="A29" s="158" t="s">
        <v>179</v>
      </c>
      <c r="B29" s="146"/>
      <c r="C29" s="310"/>
      <c r="D29" s="72"/>
      <c r="E29" s="72"/>
      <c r="F29" s="146"/>
      <c r="G29" s="310"/>
      <c r="H29" s="72"/>
      <c r="I29" s="72"/>
      <c r="J29" s="146"/>
      <c r="K29" s="72"/>
      <c r="L29" s="72"/>
      <c r="M29" s="72"/>
      <c r="N29" s="146"/>
      <c r="O29" s="72"/>
      <c r="P29" s="72"/>
      <c r="Q29" s="72"/>
      <c r="R29" s="146"/>
      <c r="S29" s="72"/>
      <c r="T29" s="72"/>
      <c r="U29" s="72"/>
      <c r="V29" s="91"/>
      <c r="W29" s="72"/>
      <c r="X29" s="72"/>
      <c r="Y29" s="72"/>
      <c r="Z29" s="91"/>
    </row>
    <row r="30" spans="1:26" x14ac:dyDescent="0.25">
      <c r="A30" s="64" t="s">
        <v>181</v>
      </c>
      <c r="B30" s="86">
        <f>+B23/B44</f>
        <v>2.4522589267686683E-2</v>
      </c>
      <c r="C30" s="86">
        <f>+C23/C44</f>
        <v>2.712945225398472E-2</v>
      </c>
      <c r="D30" s="86">
        <f>+D23/D44</f>
        <v>2.9090564735895521E-2</v>
      </c>
      <c r="E30" s="86">
        <f>+E23/E44</f>
        <v>3.317701309563096E-2</v>
      </c>
      <c r="F30" s="114">
        <f t="shared" ref="F30:L30" si="12">+F23/F44</f>
        <v>3.6596241462884149E-2</v>
      </c>
      <c r="G30" s="86">
        <f t="shared" si="12"/>
        <v>3.1917802403520067E-2</v>
      </c>
      <c r="H30" s="86">
        <f t="shared" si="12"/>
        <v>2.7129226788426362E-2</v>
      </c>
      <c r="I30" s="86">
        <f t="shared" si="12"/>
        <v>2.5684924334274259E-2</v>
      </c>
      <c r="J30" s="114">
        <f t="shared" si="12"/>
        <v>2.2513769709004091E-2</v>
      </c>
      <c r="K30" s="86">
        <f t="shared" si="12"/>
        <v>2.2927090819900294E-2</v>
      </c>
      <c r="L30" s="86">
        <f t="shared" si="12"/>
        <v>2.1368464711841121E-2</v>
      </c>
      <c r="M30" s="86">
        <f t="shared" ref="M30:U30" si="13">+M23/M44</f>
        <v>1.9981637130652149E-2</v>
      </c>
      <c r="N30" s="114">
        <f t="shared" si="13"/>
        <v>1.747839678622955E-2</v>
      </c>
      <c r="O30" s="86">
        <f t="shared" si="13"/>
        <v>1.4488478246335172E-2</v>
      </c>
      <c r="P30" s="86">
        <f t="shared" si="13"/>
        <v>1.2271445522637378E-2</v>
      </c>
      <c r="Q30" s="73">
        <f t="shared" si="13"/>
        <v>1.3266009830578457E-2</v>
      </c>
      <c r="R30" s="114">
        <f t="shared" si="13"/>
        <v>1.1600458278757856E-2</v>
      </c>
      <c r="S30" s="86">
        <f t="shared" si="13"/>
        <v>1.1467432567768677E-2</v>
      </c>
      <c r="T30" s="86">
        <f t="shared" si="13"/>
        <v>1.1975063039801358E-2</v>
      </c>
      <c r="U30" s="73">
        <f t="shared" si="13"/>
        <v>1.3911013601828819E-2</v>
      </c>
      <c r="V30" s="32">
        <v>1.3899999999999999E-2</v>
      </c>
      <c r="W30" s="74">
        <v>1.6500000000000001E-2</v>
      </c>
      <c r="X30" s="74">
        <v>1.5800000000000002E-2</v>
      </c>
      <c r="Y30" s="74">
        <v>1.52E-2</v>
      </c>
      <c r="Z30" s="39">
        <v>1.41E-2</v>
      </c>
    </row>
    <row r="31" spans="1:26" x14ac:dyDescent="0.25">
      <c r="A31" s="64" t="s">
        <v>182</v>
      </c>
      <c r="B31" s="86">
        <f>+B27/B44</f>
        <v>2.5092964806832738E-2</v>
      </c>
      <c r="C31" s="86">
        <f>+C27/C44</f>
        <v>2.7919482374036821E-2</v>
      </c>
      <c r="D31" s="86">
        <f>+D27/D44</f>
        <v>3.0172255235213004E-2</v>
      </c>
      <c r="E31" s="86">
        <f>+E27/E44</f>
        <v>3.3793854851207963E-2</v>
      </c>
      <c r="F31" s="114">
        <f t="shared" ref="F31:L31" si="14">+F27/F44</f>
        <v>3.7615738037136873E-2</v>
      </c>
      <c r="G31" s="86">
        <f t="shared" si="14"/>
        <v>3.2633207958362435E-2</v>
      </c>
      <c r="H31" s="86">
        <f t="shared" si="14"/>
        <v>2.8210836561271338E-2</v>
      </c>
      <c r="I31" s="86">
        <f t="shared" si="14"/>
        <v>2.6455893269787933E-2</v>
      </c>
      <c r="J31" s="114">
        <f t="shared" si="14"/>
        <v>2.3758306007791861E-2</v>
      </c>
      <c r="K31" s="86">
        <f t="shared" si="14"/>
        <v>2.4227842613824338E-2</v>
      </c>
      <c r="L31" s="86">
        <f t="shared" si="14"/>
        <v>2.2434002350245928E-2</v>
      </c>
      <c r="M31" s="86">
        <f t="shared" ref="M31:U31" si="15">+M27/M44</f>
        <v>2.0396296858265894E-2</v>
      </c>
      <c r="N31" s="114">
        <f t="shared" si="15"/>
        <v>1.8516785766162197E-2</v>
      </c>
      <c r="O31" s="86">
        <f t="shared" si="15"/>
        <v>1.5486141682100494E-2</v>
      </c>
      <c r="P31" s="86">
        <f t="shared" si="15"/>
        <v>1.3408906101140308E-2</v>
      </c>
      <c r="Q31" s="73">
        <f t="shared" si="15"/>
        <v>1.4337578023078579E-2</v>
      </c>
      <c r="R31" s="114">
        <f t="shared" si="15"/>
        <v>1.2355828705229444E-2</v>
      </c>
      <c r="S31" s="86">
        <f t="shared" si="15"/>
        <v>1.2158044484917677E-2</v>
      </c>
      <c r="T31" s="86">
        <f t="shared" si="15"/>
        <v>1.2773146686965078E-2</v>
      </c>
      <c r="U31" s="73">
        <f t="shared" si="15"/>
        <v>1.4556491179794403E-2</v>
      </c>
      <c r="V31" s="32">
        <v>1.5299999999999999E-2</v>
      </c>
      <c r="W31" s="74">
        <f>+W27/3682329</f>
        <v>1.808067665871246E-2</v>
      </c>
      <c r="X31" s="74">
        <f>+X27/3678342</f>
        <v>1.6791532706855426E-2</v>
      </c>
      <c r="Y31" s="74">
        <f>+Y27/3594193</f>
        <v>1.7341027596459065E-2</v>
      </c>
      <c r="Z31" s="39">
        <f>+Z27/3626228</f>
        <v>1.6789346946744662E-2</v>
      </c>
    </row>
    <row r="32" spans="1:26" x14ac:dyDescent="0.25">
      <c r="A32" s="64" t="s">
        <v>183</v>
      </c>
      <c r="B32" s="114"/>
      <c r="C32" s="76"/>
      <c r="D32" s="76"/>
      <c r="E32" s="31"/>
      <c r="F32" s="114"/>
      <c r="G32" s="76"/>
      <c r="H32" s="76"/>
      <c r="I32" s="31"/>
      <c r="J32" s="114"/>
      <c r="K32" s="31"/>
      <c r="L32" s="76"/>
      <c r="M32" s="31"/>
      <c r="N32" s="114"/>
      <c r="O32" s="31"/>
      <c r="P32" s="31"/>
      <c r="Q32" s="31"/>
      <c r="R32" s="114"/>
      <c r="S32" s="31"/>
      <c r="T32" s="31"/>
      <c r="U32" s="31"/>
      <c r="V32" s="32"/>
      <c r="W32" s="31"/>
      <c r="X32" s="31"/>
      <c r="Y32" s="31"/>
      <c r="Z32" s="32"/>
    </row>
    <row r="33" spans="1:26" x14ac:dyDescent="0.25">
      <c r="A33" s="64" t="s">
        <v>184</v>
      </c>
      <c r="B33" s="114"/>
      <c r="C33" s="76"/>
      <c r="D33" s="76"/>
      <c r="E33" s="31"/>
      <c r="F33" s="114"/>
      <c r="G33" s="76"/>
      <c r="H33" s="76"/>
      <c r="I33" s="31"/>
      <c r="J33" s="114"/>
      <c r="K33" s="31"/>
      <c r="L33" s="76"/>
      <c r="M33" s="31"/>
      <c r="N33" s="114"/>
      <c r="O33" s="31"/>
      <c r="P33" s="31"/>
      <c r="Q33" s="31"/>
      <c r="R33" s="114"/>
      <c r="S33" s="31"/>
      <c r="T33" s="31"/>
      <c r="U33" s="31"/>
      <c r="V33" s="32"/>
      <c r="W33" s="31"/>
      <c r="X33" s="31"/>
      <c r="Y33" s="31"/>
      <c r="Z33" s="32"/>
    </row>
    <row r="34" spans="1:26" x14ac:dyDescent="0.25">
      <c r="A34" s="64" t="s">
        <v>185</v>
      </c>
      <c r="B34" s="76">
        <f>+(B19+B9+B10+B12)/B41</f>
        <v>3.2648556529200554E-2</v>
      </c>
      <c r="C34" s="76">
        <f>+(C19+C9+C10+C12)/C41</f>
        <v>3.5991320453479171E-2</v>
      </c>
      <c r="D34" s="76">
        <f>+(D19+D9+D10+D12)/D41</f>
        <v>3.7435819465136723E-2</v>
      </c>
      <c r="E34" s="76">
        <f>+(E19+E9+E10+E12)/E41</f>
        <v>4.0544376395667485E-2</v>
      </c>
      <c r="F34" s="32">
        <f t="shared" ref="F34:K34" si="16">+(F19+F9+F10+F12)/F41</f>
        <v>4.2946671490497454E-2</v>
      </c>
      <c r="G34" s="76">
        <f t="shared" si="16"/>
        <v>3.5686972324234276E-2</v>
      </c>
      <c r="H34" s="31">
        <f t="shared" si="16"/>
        <v>3.0689909059678111E-2</v>
      </c>
      <c r="I34" s="31">
        <f t="shared" si="16"/>
        <v>3.2728274784509175E-2</v>
      </c>
      <c r="J34" s="32">
        <f t="shared" si="16"/>
        <v>2.8403393692549832E-2</v>
      </c>
      <c r="K34" s="31">
        <f t="shared" si="16"/>
        <v>2.9213312552117714E-2</v>
      </c>
      <c r="L34" s="31">
        <f t="shared" ref="L34:Q34" si="17">+(L19+L9+L10+L12)/L41</f>
        <v>2.7453852089669717E-2</v>
      </c>
      <c r="M34" s="31">
        <f t="shared" si="17"/>
        <v>2.2706633026113386E-2</v>
      </c>
      <c r="N34" s="114">
        <f t="shared" si="17"/>
        <v>1.7815158648549795E-2</v>
      </c>
      <c r="O34" s="31">
        <f t="shared" si="17"/>
        <v>1.4812597194753217E-2</v>
      </c>
      <c r="P34" s="31">
        <f t="shared" si="17"/>
        <v>1.2177739205462494E-2</v>
      </c>
      <c r="Q34" s="31">
        <f t="shared" si="17"/>
        <v>1.2901933765100362E-2</v>
      </c>
      <c r="R34" s="114">
        <f t="shared" ref="R34:Z34" si="18">+(R19+R9+R10+R12)/R41</f>
        <v>1.0431826716845363E-2</v>
      </c>
      <c r="S34" s="31">
        <f t="shared" si="18"/>
        <v>1.1156853297201166E-2</v>
      </c>
      <c r="T34" s="31">
        <f t="shared" si="18"/>
        <v>1.2229213010331775E-2</v>
      </c>
      <c r="U34" s="31">
        <f t="shared" si="18"/>
        <v>1.467261223151778E-2</v>
      </c>
      <c r="V34" s="32">
        <f t="shared" si="18"/>
        <v>1.5499392377767422E-2</v>
      </c>
      <c r="W34" s="31">
        <f t="shared" si="18"/>
        <v>1.9307422832084822E-2</v>
      </c>
      <c r="X34" s="31">
        <f t="shared" si="18"/>
        <v>1.9141998233677252E-2</v>
      </c>
      <c r="Y34" s="31">
        <f t="shared" si="18"/>
        <v>1.7387111885219048E-2</v>
      </c>
      <c r="Z34" s="32">
        <f t="shared" si="18"/>
        <v>1.6334306804779142E-2</v>
      </c>
    </row>
    <row r="35" spans="1:26" x14ac:dyDescent="0.25">
      <c r="A35" s="64" t="s">
        <v>177</v>
      </c>
      <c r="B35" s="76">
        <f>+(B16+B13)/B42</f>
        <v>2.3491776022801496E-2</v>
      </c>
      <c r="C35" s="76">
        <f>+(C16+C13)/C42</f>
        <v>2.7188070645139475E-2</v>
      </c>
      <c r="D35" s="76">
        <f>+(D16+D13)/D42</f>
        <v>2.8721360427713553E-2</v>
      </c>
      <c r="E35" s="76">
        <f>+(E16+E13)/E42</f>
        <v>3.2014516703930525E-2</v>
      </c>
      <c r="F35" s="32">
        <f t="shared" ref="F35:K35" si="19">+(F16+F13)/F42</f>
        <v>3.0213524741576254E-2</v>
      </c>
      <c r="G35" s="76">
        <f t="shared" si="19"/>
        <v>2.7119622310165282E-2</v>
      </c>
      <c r="H35" s="31">
        <f t="shared" si="19"/>
        <v>2.0669261003356199E-2</v>
      </c>
      <c r="I35" s="31">
        <f t="shared" si="19"/>
        <v>1.9628766607366489E-2</v>
      </c>
      <c r="J35" s="32">
        <f t="shared" si="19"/>
        <v>1.8074840666022485E-2</v>
      </c>
      <c r="K35" s="31">
        <f t="shared" si="19"/>
        <v>1.6833138696159922E-2</v>
      </c>
      <c r="L35" s="31">
        <f t="shared" ref="L35:Q35" si="20">+(L16+L13)/L42</f>
        <v>1.5297419685238386E-2</v>
      </c>
      <c r="M35" s="31">
        <f t="shared" si="20"/>
        <v>1.8039648167507191E-2</v>
      </c>
      <c r="N35" s="114">
        <f t="shared" si="20"/>
        <v>1.6770983390048011E-2</v>
      </c>
      <c r="O35" s="31">
        <f t="shared" si="20"/>
        <v>1.1985223147252259E-2</v>
      </c>
      <c r="P35" s="31">
        <f t="shared" si="20"/>
        <v>8.8264300370203726E-3</v>
      </c>
      <c r="Q35" s="31">
        <f t="shared" si="20"/>
        <v>8.3770966684280912E-3</v>
      </c>
      <c r="R35" s="114">
        <f t="shared" ref="R35:Z35" si="21">+(R16+R13)/R42</f>
        <v>9.9816271939866755E-3</v>
      </c>
      <c r="S35" s="31">
        <f t="shared" si="21"/>
        <v>8.4348330243839403E-3</v>
      </c>
      <c r="T35" s="31">
        <f t="shared" si="21"/>
        <v>6.799504187892727E-3</v>
      </c>
      <c r="U35" s="31">
        <f t="shared" si="21"/>
        <v>7.0792188725539492E-3</v>
      </c>
      <c r="V35" s="32">
        <f t="shared" si="21"/>
        <v>5.6307902597073859E-3</v>
      </c>
      <c r="W35" s="31">
        <f t="shared" si="21"/>
        <v>7.5992004074748078E-3</v>
      </c>
      <c r="X35" s="31">
        <f t="shared" si="21"/>
        <v>4.1557813827824037E-3</v>
      </c>
      <c r="Y35" s="31">
        <f t="shared" si="21"/>
        <v>3.8915521895016717E-3</v>
      </c>
      <c r="Z35" s="32">
        <f t="shared" si="21"/>
        <v>1.2813832558831973E-3</v>
      </c>
    </row>
    <row r="36" spans="1:26" x14ac:dyDescent="0.25">
      <c r="A36" s="64" t="s">
        <v>176</v>
      </c>
      <c r="B36" s="86">
        <f t="shared" ref="B36:I36" si="22">(+B14+B13+B12)/B43</f>
        <v>3.572086096363921E-2</v>
      </c>
      <c r="C36" s="86">
        <f t="shared" si="22"/>
        <v>4.2212957883288577E-2</v>
      </c>
      <c r="D36" s="86">
        <f t="shared" si="22"/>
        <v>4.193236611872745E-2</v>
      </c>
      <c r="E36" s="86">
        <f t="shared" si="22"/>
        <v>4.1595509299781987E-2</v>
      </c>
      <c r="F36" s="114">
        <f t="shared" si="22"/>
        <v>6.426147060685039E-2</v>
      </c>
      <c r="G36" s="86">
        <f t="shared" si="22"/>
        <v>5.7085444817732811E-2</v>
      </c>
      <c r="H36" s="86">
        <f t="shared" si="22"/>
        <v>5.1787284641481045E-2</v>
      </c>
      <c r="I36" s="86">
        <f t="shared" si="22"/>
        <v>4.6553521478028555E-2</v>
      </c>
      <c r="J36" s="114">
        <f t="shared" ref="J36:O36" si="23">(+J14+J13+J12)/J43</f>
        <v>4.214478056262657E-2</v>
      </c>
      <c r="K36" s="86">
        <f t="shared" si="23"/>
        <v>4.5244736863646412E-2</v>
      </c>
      <c r="L36" s="86">
        <f t="shared" si="23"/>
        <v>4.1142285166571958E-2</v>
      </c>
      <c r="M36" s="86">
        <f t="shared" si="23"/>
        <v>3.0566049093251547E-2</v>
      </c>
      <c r="N36" s="114">
        <f t="shared" si="23"/>
        <v>2.3887110634531809E-2</v>
      </c>
      <c r="O36" s="86">
        <f t="shared" si="23"/>
        <v>2.2667495674298172E-2</v>
      </c>
      <c r="P36" s="31">
        <f>+P14/P43</f>
        <v>7.058494001213762E-3</v>
      </c>
      <c r="Q36" s="31">
        <f>+Q14/Q43</f>
        <v>8.3401643250662454E-3</v>
      </c>
      <c r="R36" s="114">
        <f t="shared" ref="R36:Z36" si="24">+R14/R43</f>
        <v>8.1116678538885063E-3</v>
      </c>
      <c r="S36" s="31">
        <f t="shared" si="24"/>
        <v>7.9359233524570263E-3</v>
      </c>
      <c r="T36" s="31">
        <f t="shared" si="24"/>
        <v>8.1320441286343338E-3</v>
      </c>
      <c r="U36" s="31">
        <f t="shared" si="24"/>
        <v>9.1964250516700548E-3</v>
      </c>
      <c r="V36" s="32">
        <f t="shared" si="24"/>
        <v>9.8731804953348448E-3</v>
      </c>
      <c r="W36" s="31">
        <f t="shared" si="24"/>
        <v>7.9642562572263959E-3</v>
      </c>
      <c r="X36" s="31">
        <f t="shared" si="24"/>
        <v>9.9453523923115298E-3</v>
      </c>
      <c r="Y36" s="31">
        <f t="shared" si="24"/>
        <v>1.0516828790751158E-2</v>
      </c>
      <c r="Z36" s="32">
        <f t="shared" si="24"/>
        <v>1.1168840089095602E-2</v>
      </c>
    </row>
    <row r="37" spans="1:26" x14ac:dyDescent="0.25">
      <c r="A37" s="64"/>
      <c r="B37" s="32"/>
      <c r="C37" s="76"/>
      <c r="D37" s="76"/>
      <c r="E37" s="31"/>
      <c r="F37" s="32"/>
      <c r="G37" s="76"/>
      <c r="H37" s="76"/>
      <c r="I37" s="31"/>
      <c r="J37" s="32"/>
      <c r="K37" s="31"/>
      <c r="L37" s="76"/>
      <c r="M37" s="31"/>
      <c r="N37" s="114"/>
      <c r="O37" s="31"/>
      <c r="P37" s="31"/>
      <c r="Q37" s="31"/>
      <c r="R37" s="114"/>
      <c r="S37" s="31"/>
      <c r="T37" s="31"/>
      <c r="U37" s="31"/>
      <c r="V37" s="32"/>
      <c r="W37" s="31"/>
      <c r="X37" s="31"/>
      <c r="Y37" s="31"/>
      <c r="Z37" s="32"/>
    </row>
    <row r="38" spans="1:26" x14ac:dyDescent="0.25">
      <c r="A38" s="64" t="s">
        <v>186</v>
      </c>
      <c r="B38" s="76">
        <f t="shared" ref="B38:J38" si="25">+B20/B44</f>
        <v>2.3338893941230916E-2</v>
      </c>
      <c r="C38" s="76">
        <f t="shared" si="25"/>
        <v>2.6080097391941053E-2</v>
      </c>
      <c r="D38" s="76">
        <f t="shared" si="25"/>
        <v>2.6730331973598004E-2</v>
      </c>
      <c r="E38" s="76">
        <f t="shared" si="25"/>
        <v>2.8800583036193171E-2</v>
      </c>
      <c r="F38" s="114">
        <f t="shared" si="25"/>
        <v>3.2037835573474609E-2</v>
      </c>
      <c r="G38" s="76">
        <f t="shared" si="25"/>
        <v>2.7877315149413877E-2</v>
      </c>
      <c r="H38" s="76">
        <f t="shared" si="25"/>
        <v>2.4051451747741738E-2</v>
      </c>
      <c r="I38" s="76">
        <f t="shared" si="25"/>
        <v>2.4529052706536131E-2</v>
      </c>
      <c r="J38" s="114">
        <f t="shared" si="25"/>
        <v>2.143538170770282E-2</v>
      </c>
      <c r="K38" s="76">
        <f t="shared" ref="K38:Q38" si="26">+K20/K44</f>
        <v>2.1805446227911061E-2</v>
      </c>
      <c r="L38" s="76">
        <f t="shared" si="26"/>
        <v>2.0182562863913664E-2</v>
      </c>
      <c r="M38" s="31">
        <f t="shared" si="26"/>
        <v>1.8139148020453889E-2</v>
      </c>
      <c r="N38" s="114">
        <f t="shared" si="26"/>
        <v>1.5173712384297936E-2</v>
      </c>
      <c r="O38" s="31">
        <f t="shared" si="26"/>
        <v>1.2623828787409122E-2</v>
      </c>
      <c r="P38" s="31">
        <f t="shared" si="26"/>
        <v>1.0472114609423686E-2</v>
      </c>
      <c r="Q38" s="31">
        <f t="shared" si="26"/>
        <v>1.1073896256210001E-2</v>
      </c>
      <c r="R38" s="114">
        <f t="shared" ref="R38:Z38" si="27">+R20/R44</f>
        <v>9.8353398922965077E-3</v>
      </c>
      <c r="S38" s="31">
        <f t="shared" si="27"/>
        <v>9.8284909378213766E-3</v>
      </c>
      <c r="T38" s="31">
        <f t="shared" si="27"/>
        <v>1.016539111335168E-2</v>
      </c>
      <c r="U38" s="31">
        <f t="shared" si="27"/>
        <v>1.1884306071964612E-2</v>
      </c>
      <c r="V38" s="32">
        <f t="shared" si="27"/>
        <v>1.22156345277428E-2</v>
      </c>
      <c r="W38" s="31">
        <f t="shared" si="27"/>
        <v>1.4369166904966937E-2</v>
      </c>
      <c r="X38" s="31">
        <f t="shared" si="27"/>
        <v>1.3989998754873799E-2</v>
      </c>
      <c r="Y38" s="31">
        <f t="shared" si="27"/>
        <v>1.3053277884632239E-2</v>
      </c>
      <c r="Z38" s="32">
        <f t="shared" si="27"/>
        <v>1.2049986928565992E-2</v>
      </c>
    </row>
    <row r="39" spans="1:26" x14ac:dyDescent="0.25">
      <c r="A39" s="64"/>
      <c r="B39" s="138"/>
      <c r="C39" s="121"/>
      <c r="D39" s="121"/>
      <c r="F39" s="138"/>
      <c r="G39" s="121"/>
      <c r="H39" s="121"/>
      <c r="J39" s="138"/>
      <c r="L39" s="121"/>
      <c r="N39" s="138"/>
      <c r="R39" s="138"/>
      <c r="V39" s="19"/>
      <c r="Z39" s="19"/>
    </row>
    <row r="40" spans="1:26" x14ac:dyDescent="0.25">
      <c r="A40" s="158" t="s">
        <v>180</v>
      </c>
      <c r="B40" s="138"/>
      <c r="C40" s="121"/>
      <c r="D40" s="121"/>
      <c r="F40" s="138"/>
      <c r="G40" s="121"/>
      <c r="H40" s="121"/>
      <c r="J40" s="138"/>
      <c r="L40" s="121"/>
      <c r="N40" s="138"/>
      <c r="R40" s="138"/>
      <c r="V40" s="19"/>
      <c r="Z40" s="19"/>
    </row>
    <row r="41" spans="1:26" x14ac:dyDescent="0.25">
      <c r="A41" s="64" t="s">
        <v>168</v>
      </c>
      <c r="B41" s="58">
        <f>+'PERIOD-END LOAN PORFOLIO ANALYS'!B15</f>
        <v>2349476</v>
      </c>
      <c r="C41" s="58">
        <f>+'PERIOD-END LOAN PORFOLIO ANALYS'!C15</f>
        <v>2284912</v>
      </c>
      <c r="D41" s="58">
        <f>+'PERIOD-END LOAN PORFOLIO ANALYS'!D15</f>
        <v>2255941</v>
      </c>
      <c r="E41" s="58">
        <f>+'PERIOD-END LOAN PORFOLIO ANALYS'!E15</f>
        <v>2251163</v>
      </c>
      <c r="F41" s="92">
        <f>+'PERIOD-END LOAN PORFOLIO ANALYS'!F15</f>
        <v>2263761</v>
      </c>
      <c r="G41" s="303">
        <f>+'PERIOD-END LOAN PORFOLIO ANALYS'!G15</f>
        <v>2377170</v>
      </c>
      <c r="H41" s="58">
        <f>+'PERIOD-END LOAN PORFOLIO ANALYS'!H15</f>
        <v>2500431</v>
      </c>
      <c r="I41" s="58">
        <f>+'PERIOD-END LOAN PORFOLIO ANALYS'!I15</f>
        <v>2529342</v>
      </c>
      <c r="J41" s="92">
        <f>+'PERIOD-END LOAN PORFOLIO ANALYS'!J15</f>
        <v>2577016</v>
      </c>
      <c r="K41" s="58">
        <f>+'PERIOD-END LOAN PORFOLIO ANALYS'!K15</f>
        <v>2555513</v>
      </c>
      <c r="L41" s="58">
        <f>+'PERIOD-END LOAN PORFOLIO ANALYS'!L15</f>
        <v>2590529</v>
      </c>
      <c r="M41" s="58">
        <f>+'PERIOD-END LOAN PORFOLIO ANALYS'!M15</f>
        <v>2701105</v>
      </c>
      <c r="N41" s="147">
        <f>+'PERIOD-END LOAN PORFOLIO ANALYS'!N15</f>
        <v>2753161</v>
      </c>
      <c r="O41" s="58">
        <f>+'PERIOD-END LOAN PORFOLIO ANALYS'!O15</f>
        <v>2782429</v>
      </c>
      <c r="P41" s="58">
        <f>+'PERIOD-END LOAN PORFOLIO ANALYS'!P15</f>
        <v>2767673</v>
      </c>
      <c r="Q41" s="58">
        <f>+'PERIOD-END LOAN PORFOLIO ANALYS'!Q15</f>
        <v>2721375</v>
      </c>
      <c r="R41" s="147">
        <f>+'PERIOD-END LOAN PORFOLIO ANALYS'!R15</f>
        <v>2628207</v>
      </c>
      <c r="S41" s="58">
        <f>+'PERIOD-END LOAN PORFOLIO ANALYS'!S15</f>
        <v>2484213</v>
      </c>
      <c r="T41" s="58">
        <f>+'PERIOD-END LOAN PORFOLIO ANALYS'!T15</f>
        <v>2357388</v>
      </c>
      <c r="U41" s="58">
        <f>+'PERIOD-END LOAN PORFOLIO ANALYS'!U15</f>
        <v>2226870</v>
      </c>
      <c r="V41" s="92">
        <f>+'PERIOD-END LOAN PORFOLIO ANALYS'!V15</f>
        <v>2188860</v>
      </c>
      <c r="W41" s="58">
        <f>+'PERIOD-END LOAN PORFOLIO ANALYS'!W15</f>
        <v>2104372</v>
      </c>
      <c r="X41" s="58">
        <f>+'PERIOD-END LOAN PORFOLIO ANALYS'!X15</f>
        <v>2097012</v>
      </c>
      <c r="Y41" s="58">
        <f>+'PERIOD-END LOAN PORFOLIO ANALYS'!Y15</f>
        <v>2045078</v>
      </c>
      <c r="Z41" s="92">
        <v>2058612</v>
      </c>
    </row>
    <row r="42" spans="1:26" x14ac:dyDescent="0.25">
      <c r="A42" s="64" t="s">
        <v>78</v>
      </c>
      <c r="B42" s="304">
        <f>+'PERIOD-END LOAN PORFOLIO ANALYS'!B25</f>
        <v>404184</v>
      </c>
      <c r="C42" s="304">
        <f>+'PERIOD-END LOAN PORFOLIO ANALYS'!C25</f>
        <v>428791</v>
      </c>
      <c r="D42" s="304">
        <f>+'PERIOD-END LOAN PORFOLIO ANALYS'!D25</f>
        <v>455445</v>
      </c>
      <c r="E42" s="304">
        <f>+'PERIOD-END LOAN PORFOLIO ANALYS'!E25</f>
        <v>493776</v>
      </c>
      <c r="F42" s="93">
        <f>+'PERIOD-END LOAN PORFOLIO ANALYS'!F25</f>
        <v>530524</v>
      </c>
      <c r="G42" s="304">
        <f>+'PERIOD-END LOAN PORFOLIO ANALYS'!G25</f>
        <v>568297</v>
      </c>
      <c r="H42" s="59">
        <f>+'PERIOD-END LOAN PORFOLIO ANALYS'!H25</f>
        <v>616471</v>
      </c>
      <c r="I42" s="59">
        <f>+'PERIOD-END LOAN PORFOLIO ANALYS'!I25</f>
        <v>653174</v>
      </c>
      <c r="J42" s="93">
        <f>+'PERIOD-END LOAN PORFOLIO ANALYS'!J25</f>
        <v>696493</v>
      </c>
      <c r="K42" s="59">
        <f>+'PERIOD-END LOAN PORFOLIO ANALYS'!K25</f>
        <v>727850</v>
      </c>
      <c r="L42" s="59">
        <f>+'PERIOD-END LOAN PORFOLIO ANALYS'!L25</f>
        <v>755683</v>
      </c>
      <c r="M42" s="59">
        <f>+'PERIOD-END LOAN PORFOLIO ANALYS'!M25</f>
        <v>783441</v>
      </c>
      <c r="N42" s="148">
        <f>+'PERIOD-END LOAN PORFOLIO ANALYS'!N25</f>
        <v>801086</v>
      </c>
      <c r="O42" s="59">
        <f>+'PERIOD-END LOAN PORFOLIO ANALYS'!O25</f>
        <v>846459</v>
      </c>
      <c r="P42" s="59">
        <f>+'PERIOD-END LOAN PORFOLIO ANALYS'!P25</f>
        <v>868981</v>
      </c>
      <c r="Q42" s="59">
        <f>+'PERIOD-END LOAN PORFOLIO ANALYS'!Q25</f>
        <v>887539</v>
      </c>
      <c r="R42" s="148">
        <f>+'PERIOD-END LOAN PORFOLIO ANALYS'!R25</f>
        <v>895345</v>
      </c>
      <c r="S42" s="59">
        <f>+'PERIOD-END LOAN PORFOLIO ANALYS'!S25</f>
        <v>874469</v>
      </c>
      <c r="T42" s="59">
        <f>+'PERIOD-END LOAN PORFOLIO ANALYS'!T25</f>
        <v>837414</v>
      </c>
      <c r="U42" s="59">
        <f>+'PERIOD-END LOAN PORFOLIO ANALYS'!U25</f>
        <v>795568</v>
      </c>
      <c r="V42" s="93">
        <f>+'PERIOD-END LOAN PORFOLIO ANALYS'!V25</f>
        <v>790120</v>
      </c>
      <c r="W42" s="59">
        <f>+'PERIOD-END LOAN PORFOLIO ANALYS'!W25</f>
        <v>781398</v>
      </c>
      <c r="X42" s="59">
        <f>+'PERIOD-END LOAN PORFOLIO ANALYS'!X25</f>
        <v>761349</v>
      </c>
      <c r="Y42" s="59">
        <f>+'PERIOD-END LOAN PORFOLIO ANALYS'!Y25</f>
        <v>744690</v>
      </c>
      <c r="Z42" s="93">
        <v>752312</v>
      </c>
    </row>
    <row r="43" spans="1:26" x14ac:dyDescent="0.25">
      <c r="A43" s="64" t="s">
        <v>156</v>
      </c>
      <c r="B43" s="229">
        <f>+'PERIOD-END LOAN PORFOLIO ANALYS'!B20</f>
        <v>1461107</v>
      </c>
      <c r="C43" s="229">
        <f>+'PERIOD-END LOAN PORFOLIO ANALYS'!C20</f>
        <v>1350699</v>
      </c>
      <c r="D43" s="229">
        <f>+'PERIOD-END LOAN PORFOLIO ANALYS'!D20</f>
        <v>1311946</v>
      </c>
      <c r="E43" s="229">
        <f>+'PERIOD-END LOAN PORFOLIO ANALYS'!E20</f>
        <v>1354978</v>
      </c>
      <c r="F43" s="149">
        <f>+'PERIOD-END LOAN PORFOLIO ANALYS'!F20</f>
        <v>1058597</v>
      </c>
      <c r="G43" s="229">
        <f>+'PERIOD-END LOAN PORFOLIO ANALYS'!G20</f>
        <v>1011729</v>
      </c>
      <c r="H43" s="229">
        <f>+'PERIOD-END LOAN PORFOLIO ANALYS'!H20</f>
        <v>1007506</v>
      </c>
      <c r="I43" s="229">
        <f>+'PERIOD-END LOAN PORFOLIO ANALYS'!I20</f>
        <v>1114674</v>
      </c>
      <c r="J43" s="149">
        <f>+'PERIOD-END LOAN PORFOLIO ANALYS'!J20</f>
        <v>1168306</v>
      </c>
      <c r="K43" s="229">
        <f>+'PERIOD-END LOAN PORFOLIO ANALYS'!K20</f>
        <v>1099487</v>
      </c>
      <c r="L43" s="229">
        <f>+'PERIOD-END LOAN PORFOLIO ANALYS'!L20</f>
        <v>1106939</v>
      </c>
      <c r="M43" s="229">
        <f>+'PERIOD-END LOAN PORFOLIO ANALYS'!M20</f>
        <v>1029999</v>
      </c>
      <c r="N43" s="149">
        <f>+'PERIOD-END LOAN PORFOLIO ANALYS'!N20</f>
        <v>934437</v>
      </c>
      <c r="O43" s="59">
        <f>+'PERIOD-END LOAN PORFOLIO ANALYS'!O20</f>
        <v>977876</v>
      </c>
      <c r="P43" s="59">
        <f>+'PERIOD-END LOAN PORFOLIO ANALYS'!P20</f>
        <v>963945</v>
      </c>
      <c r="Q43" s="60">
        <f>+'PERIOD-END LOAN PORFOLIO ANALYS'!Q20</f>
        <v>944226</v>
      </c>
      <c r="R43" s="149">
        <f>+'PERIOD-END LOAN PORFOLIO ANALYS'!R20</f>
        <v>985494</v>
      </c>
      <c r="S43" s="60">
        <f>+'PERIOD-END LOAN PORFOLIO ANALYS'!S20</f>
        <v>1099683</v>
      </c>
      <c r="T43" s="59">
        <f>+'PERIOD-END LOAN PORFOLIO ANALYS'!T20</f>
        <v>1006512</v>
      </c>
      <c r="U43" s="60">
        <f>+'PERIOD-END LOAN PORFOLIO ANALYS'!U20</f>
        <v>887845</v>
      </c>
      <c r="V43" s="94">
        <f>+'PERIOD-END LOAN PORFOLIO ANALYS'!V20</f>
        <v>847346</v>
      </c>
      <c r="W43" s="60">
        <f>+'PERIOD-END LOAN PORFOLIO ANALYS'!W20</f>
        <v>796559</v>
      </c>
      <c r="X43" s="60">
        <f>+'PERIOD-END LOAN PORFOLIO ANALYS'!X20</f>
        <v>819981</v>
      </c>
      <c r="Y43" s="60">
        <f>+'PERIOD-END LOAN PORFOLIO ANALYS'!Y20</f>
        <v>804425</v>
      </c>
      <c r="Z43" s="94">
        <v>815304</v>
      </c>
    </row>
    <row r="44" spans="1:26" ht="13.8" thickBot="1" x14ac:dyDescent="0.3">
      <c r="A44" s="64" t="s">
        <v>169</v>
      </c>
      <c r="B44" s="231">
        <f t="shared" ref="B44:G44" si="28">SUM(B41:B43)</f>
        <v>4214767</v>
      </c>
      <c r="C44" s="231">
        <f t="shared" si="28"/>
        <v>4064402</v>
      </c>
      <c r="D44" s="231">
        <f t="shared" si="28"/>
        <v>4023332</v>
      </c>
      <c r="E44" s="231">
        <f t="shared" si="28"/>
        <v>4099917</v>
      </c>
      <c r="F44" s="150">
        <f t="shared" si="28"/>
        <v>3852882</v>
      </c>
      <c r="G44" s="231">
        <f t="shared" si="28"/>
        <v>3957196</v>
      </c>
      <c r="H44" s="231">
        <f t="shared" ref="H44:Q44" si="29">SUM(H41:H43)</f>
        <v>4124408</v>
      </c>
      <c r="I44" s="231">
        <f t="shared" si="29"/>
        <v>4297190</v>
      </c>
      <c r="J44" s="150">
        <f t="shared" si="29"/>
        <v>4441815</v>
      </c>
      <c r="K44" s="231">
        <f t="shared" si="29"/>
        <v>4382850</v>
      </c>
      <c r="L44" s="231">
        <f t="shared" si="29"/>
        <v>4453151</v>
      </c>
      <c r="M44" s="231">
        <f t="shared" si="29"/>
        <v>4514545</v>
      </c>
      <c r="N44" s="150">
        <f t="shared" si="29"/>
        <v>4488684</v>
      </c>
      <c r="O44" s="61">
        <f t="shared" si="29"/>
        <v>4606764</v>
      </c>
      <c r="P44" s="61">
        <f t="shared" si="29"/>
        <v>4600599</v>
      </c>
      <c r="Q44" s="61">
        <f t="shared" si="29"/>
        <v>4553140</v>
      </c>
      <c r="R44" s="150">
        <f t="shared" ref="R44:Z44" si="30">SUM(R41:R43)</f>
        <v>4509046</v>
      </c>
      <c r="S44" s="61">
        <f t="shared" si="30"/>
        <v>4458365</v>
      </c>
      <c r="T44" s="61">
        <f t="shared" si="30"/>
        <v>4201314</v>
      </c>
      <c r="U44" s="61">
        <f t="shared" si="30"/>
        <v>3910283</v>
      </c>
      <c r="V44" s="95">
        <f t="shared" si="30"/>
        <v>3826326</v>
      </c>
      <c r="W44" s="61">
        <f t="shared" si="30"/>
        <v>3682329</v>
      </c>
      <c r="X44" s="61">
        <f t="shared" si="30"/>
        <v>3678342</v>
      </c>
      <c r="Y44" s="61">
        <f t="shared" si="30"/>
        <v>3594193</v>
      </c>
      <c r="Z44" s="95">
        <f t="shared" si="30"/>
        <v>3626228</v>
      </c>
    </row>
    <row r="45" spans="1:26" ht="13.8" thickTop="1" x14ac:dyDescent="0.25"/>
    <row r="52" spans="15:16" x14ac:dyDescent="0.25">
      <c r="O52" s="13"/>
      <c r="P52" s="13"/>
    </row>
  </sheetData>
  <mergeCells count="8">
    <mergeCell ref="V4:Y4"/>
    <mergeCell ref="A2:Z2"/>
    <mergeCell ref="A1:Z1"/>
    <mergeCell ref="R4:U4"/>
    <mergeCell ref="N4:Q4"/>
    <mergeCell ref="J4:M4"/>
    <mergeCell ref="F4:I4"/>
    <mergeCell ref="B4:E4"/>
  </mergeCells>
  <phoneticPr fontId="0" type="noConversion"/>
  <printOptions horizontalCentered="1"/>
  <pageMargins left="0" right="0" top="0.53" bottom="0.51" header="0.53" footer="0.5"/>
  <pageSetup scale="9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Normal="100" workbookViewId="0">
      <selection sqref="A1:M1"/>
    </sheetView>
  </sheetViews>
  <sheetFormatPr defaultColWidth="7.88671875" defaultRowHeight="13.2" x14ac:dyDescent="0.25"/>
  <cols>
    <col min="1" max="1" width="38.33203125" style="1" bestFit="1" customWidth="1"/>
    <col min="2" max="4" width="7.6640625" style="1" bestFit="1" customWidth="1"/>
    <col min="5" max="5" width="9" style="1" customWidth="1"/>
    <col min="6" max="6" width="7.6640625" style="1" customWidth="1"/>
    <col min="7" max="7" width="9" style="1" customWidth="1"/>
    <col min="8" max="8" width="9.109375" style="1" customWidth="1"/>
    <col min="9" max="9" width="7.6640625" style="1" customWidth="1"/>
    <col min="10" max="12" width="7.6640625" style="1" bestFit="1" customWidth="1"/>
    <col min="13" max="13" width="8.6640625" style="1" customWidth="1"/>
    <col min="14" max="16384" width="7.88671875" style="1"/>
  </cols>
  <sheetData>
    <row r="1" spans="1:13" x14ac:dyDescent="0.25">
      <c r="A1" s="391" t="s">
        <v>209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13" x14ac:dyDescent="0.25">
      <c r="A2" s="391" t="s">
        <v>92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</row>
    <row r="5" spans="1:13" x14ac:dyDescent="0.25">
      <c r="A5" s="1" t="s">
        <v>30</v>
      </c>
      <c r="B5" s="390">
        <v>2003</v>
      </c>
      <c r="C5" s="390"/>
      <c r="D5" s="390"/>
      <c r="E5" s="390"/>
      <c r="F5" s="390">
        <v>2002</v>
      </c>
      <c r="G5" s="390"/>
      <c r="H5" s="390"/>
      <c r="I5" s="390"/>
      <c r="J5" s="390">
        <v>2001</v>
      </c>
      <c r="K5" s="390"/>
      <c r="L5" s="390"/>
      <c r="M5" s="390"/>
    </row>
    <row r="6" spans="1:13" x14ac:dyDescent="0.25">
      <c r="A6" s="162"/>
      <c r="B6" s="6" t="s">
        <v>1</v>
      </c>
      <c r="C6" s="6" t="s">
        <v>4</v>
      </c>
      <c r="D6" s="6" t="s">
        <v>2</v>
      </c>
      <c r="E6" s="80" t="s">
        <v>3</v>
      </c>
      <c r="F6" s="6" t="s">
        <v>1</v>
      </c>
      <c r="G6" s="6" t="s">
        <v>4</v>
      </c>
      <c r="H6" s="6" t="s">
        <v>2</v>
      </c>
      <c r="I6" s="80" t="s">
        <v>3</v>
      </c>
      <c r="J6" s="6" t="s">
        <v>1</v>
      </c>
      <c r="K6" s="6" t="s">
        <v>4</v>
      </c>
      <c r="L6" s="6" t="s">
        <v>2</v>
      </c>
      <c r="M6" s="80" t="s">
        <v>3</v>
      </c>
    </row>
    <row r="7" spans="1:13" x14ac:dyDescent="0.25">
      <c r="A7" s="159"/>
      <c r="B7" s="8" t="s">
        <v>5</v>
      </c>
      <c r="C7" s="8" t="s">
        <v>5</v>
      </c>
      <c r="D7" s="8" t="s">
        <v>5</v>
      </c>
      <c r="E7" s="81" t="s">
        <v>5</v>
      </c>
      <c r="F7" s="8" t="s">
        <v>5</v>
      </c>
      <c r="G7" s="8" t="s">
        <v>5</v>
      </c>
      <c r="H7" s="8" t="s">
        <v>5</v>
      </c>
      <c r="I7" s="81" t="s">
        <v>5</v>
      </c>
      <c r="J7" s="8" t="s">
        <v>5</v>
      </c>
      <c r="K7" s="8" t="s">
        <v>5</v>
      </c>
      <c r="L7" s="8" t="s">
        <v>5</v>
      </c>
      <c r="M7" s="81" t="s">
        <v>5</v>
      </c>
    </row>
    <row r="8" spans="1:13" x14ac:dyDescent="0.25">
      <c r="A8" s="64" t="s">
        <v>93</v>
      </c>
      <c r="B8" s="40">
        <f t="shared" ref="B8:H8" si="0">+C23</f>
        <v>64425</v>
      </c>
      <c r="C8" s="40">
        <f t="shared" si="0"/>
        <v>61986</v>
      </c>
      <c r="D8" s="40">
        <f t="shared" si="0"/>
        <v>58967</v>
      </c>
      <c r="E8" s="40">
        <f t="shared" si="0"/>
        <v>57956</v>
      </c>
      <c r="F8" s="36">
        <f t="shared" si="0"/>
        <v>58230</v>
      </c>
      <c r="G8" s="40">
        <f t="shared" si="0"/>
        <v>53259</v>
      </c>
      <c r="H8" s="40">
        <f t="shared" si="0"/>
        <v>53027</v>
      </c>
      <c r="I8" s="40">
        <v>52857</v>
      </c>
      <c r="J8" s="36">
        <v>54186</v>
      </c>
      <c r="K8" s="35">
        <v>51204</v>
      </c>
      <c r="L8" s="35">
        <v>47970</v>
      </c>
      <c r="M8" s="226">
        <v>51526</v>
      </c>
    </row>
    <row r="9" spans="1:13" x14ac:dyDescent="0.25">
      <c r="A9" s="64" t="s">
        <v>94</v>
      </c>
      <c r="B9" s="13"/>
      <c r="C9" s="13"/>
      <c r="D9" s="13"/>
      <c r="E9" s="13"/>
      <c r="F9" s="38"/>
      <c r="G9" s="42"/>
      <c r="H9" s="42"/>
      <c r="I9" s="42"/>
      <c r="J9" s="38"/>
      <c r="K9" s="37"/>
      <c r="L9" s="37"/>
      <c r="M9" s="220"/>
    </row>
    <row r="10" spans="1:13" x14ac:dyDescent="0.25">
      <c r="A10" s="232" t="s">
        <v>91</v>
      </c>
      <c r="B10" s="102">
        <v>2893</v>
      </c>
      <c r="C10" s="102">
        <v>1486</v>
      </c>
      <c r="D10" s="102">
        <v>2838</v>
      </c>
      <c r="E10" s="102">
        <v>2562</v>
      </c>
      <c r="F10" s="51">
        <v>6796</v>
      </c>
      <c r="G10" s="102">
        <v>3616</v>
      </c>
      <c r="H10" s="102">
        <f>11421-I10</f>
        <v>7191</v>
      </c>
      <c r="I10" s="102">
        <v>4230</v>
      </c>
      <c r="J10" s="51">
        <v>6620</v>
      </c>
      <c r="K10" s="50">
        <v>7095</v>
      </c>
      <c r="L10" s="50">
        <f>9703-4073</f>
        <v>5630</v>
      </c>
      <c r="M10" s="192">
        <v>4073</v>
      </c>
    </row>
    <row r="11" spans="1:13" x14ac:dyDescent="0.25">
      <c r="A11" s="232" t="s">
        <v>157</v>
      </c>
      <c r="B11" s="102">
        <v>0</v>
      </c>
      <c r="C11" s="102">
        <v>0</v>
      </c>
      <c r="D11" s="102">
        <v>499</v>
      </c>
      <c r="E11" s="102">
        <v>0</v>
      </c>
      <c r="F11" s="51">
        <v>1528</v>
      </c>
      <c r="G11" s="102">
        <v>0</v>
      </c>
      <c r="H11" s="102">
        <v>0</v>
      </c>
      <c r="I11" s="102">
        <v>0</v>
      </c>
      <c r="J11" s="51">
        <v>0</v>
      </c>
      <c r="K11" s="50">
        <v>0</v>
      </c>
      <c r="L11" s="50">
        <v>0</v>
      </c>
      <c r="M11" s="192">
        <v>0</v>
      </c>
    </row>
    <row r="12" spans="1:13" x14ac:dyDescent="0.25">
      <c r="A12" s="232" t="s">
        <v>78</v>
      </c>
      <c r="B12" s="102">
        <v>9310</v>
      </c>
      <c r="C12" s="102">
        <v>7896</v>
      </c>
      <c r="D12" s="102">
        <v>9112</v>
      </c>
      <c r="E12" s="102">
        <v>11079</v>
      </c>
      <c r="F12" s="51">
        <v>12042</v>
      </c>
      <c r="G12" s="102">
        <v>10799</v>
      </c>
      <c r="H12" s="102">
        <f>23285-I12</f>
        <v>11760</v>
      </c>
      <c r="I12" s="102">
        <v>11525</v>
      </c>
      <c r="J12" s="51">
        <v>12510</v>
      </c>
      <c r="K12" s="50">
        <v>11900</v>
      </c>
      <c r="L12" s="50">
        <f>26918-15818</f>
        <v>11100</v>
      </c>
      <c r="M12" s="192">
        <v>15818</v>
      </c>
    </row>
    <row r="13" spans="1:13" x14ac:dyDescent="0.25">
      <c r="A13" s="232" t="s">
        <v>156</v>
      </c>
      <c r="B13" s="102">
        <v>0</v>
      </c>
      <c r="C13" s="102">
        <v>0</v>
      </c>
      <c r="D13" s="102">
        <v>0</v>
      </c>
      <c r="E13" s="102">
        <v>0</v>
      </c>
      <c r="F13" s="51">
        <v>0</v>
      </c>
      <c r="G13" s="102">
        <v>0</v>
      </c>
      <c r="H13" s="102">
        <v>0</v>
      </c>
      <c r="I13" s="102">
        <v>0</v>
      </c>
      <c r="J13" s="51">
        <v>0</v>
      </c>
      <c r="K13" s="50">
        <v>48</v>
      </c>
      <c r="L13" s="50">
        <v>26</v>
      </c>
      <c r="M13" s="192">
        <v>0</v>
      </c>
    </row>
    <row r="14" spans="1:13" x14ac:dyDescent="0.25">
      <c r="A14" s="233" t="s">
        <v>95</v>
      </c>
      <c r="B14" s="97">
        <f t="shared" ref="B14:I14" si="1">SUM(B10:B13)</f>
        <v>12203</v>
      </c>
      <c r="C14" s="97">
        <f t="shared" si="1"/>
        <v>9382</v>
      </c>
      <c r="D14" s="97">
        <f t="shared" si="1"/>
        <v>12449</v>
      </c>
      <c r="E14" s="97">
        <f t="shared" si="1"/>
        <v>13641</v>
      </c>
      <c r="F14" s="151">
        <f t="shared" si="1"/>
        <v>20366</v>
      </c>
      <c r="G14" s="97">
        <f t="shared" si="1"/>
        <v>14415</v>
      </c>
      <c r="H14" s="97">
        <f t="shared" si="1"/>
        <v>18951</v>
      </c>
      <c r="I14" s="97">
        <f t="shared" si="1"/>
        <v>15755</v>
      </c>
      <c r="J14" s="151">
        <f>SUM(J10:J13)</f>
        <v>19130</v>
      </c>
      <c r="K14" s="97">
        <f>SUM(K10:K13)</f>
        <v>19043</v>
      </c>
      <c r="L14" s="97">
        <f>SUM(L10:L13)</f>
        <v>16756</v>
      </c>
      <c r="M14" s="326">
        <f>SUM(M10:M13)</f>
        <v>19891</v>
      </c>
    </row>
    <row r="15" spans="1:13" x14ac:dyDescent="0.25">
      <c r="A15" s="64" t="s">
        <v>96</v>
      </c>
      <c r="B15" s="102"/>
      <c r="C15" s="102"/>
      <c r="D15" s="102"/>
      <c r="E15" s="102"/>
      <c r="F15" s="51"/>
      <c r="G15" s="102"/>
      <c r="H15" s="102"/>
      <c r="I15" s="102"/>
      <c r="J15" s="51"/>
      <c r="K15" s="50"/>
      <c r="L15" s="50"/>
      <c r="M15" s="192"/>
    </row>
    <row r="16" spans="1:13" x14ac:dyDescent="0.25">
      <c r="A16" s="232" t="s">
        <v>91</v>
      </c>
      <c r="B16" s="242">
        <v>1925</v>
      </c>
      <c r="C16" s="242">
        <v>1000</v>
      </c>
      <c r="D16" s="242">
        <v>637</v>
      </c>
      <c r="E16" s="242">
        <v>1417</v>
      </c>
      <c r="F16" s="152">
        <v>706</v>
      </c>
      <c r="G16" s="242">
        <v>881</v>
      </c>
      <c r="H16" s="242">
        <f>2306-I16</f>
        <v>1307</v>
      </c>
      <c r="I16" s="242">
        <v>999</v>
      </c>
      <c r="J16" s="152">
        <v>653</v>
      </c>
      <c r="K16" s="134">
        <v>1303</v>
      </c>
      <c r="L16" s="134">
        <f>2252-1440</f>
        <v>812</v>
      </c>
      <c r="M16" s="327">
        <v>1440</v>
      </c>
    </row>
    <row r="17" spans="1:13" x14ac:dyDescent="0.25">
      <c r="A17" s="232" t="s">
        <v>157</v>
      </c>
      <c r="B17" s="242">
        <v>0</v>
      </c>
      <c r="C17" s="242">
        <v>433</v>
      </c>
      <c r="D17" s="242">
        <v>0</v>
      </c>
      <c r="E17" s="242">
        <v>0</v>
      </c>
      <c r="F17" s="152">
        <v>4</v>
      </c>
      <c r="G17" s="242">
        <v>6</v>
      </c>
      <c r="H17" s="242">
        <f>8-I17</f>
        <v>6</v>
      </c>
      <c r="I17" s="242">
        <v>2</v>
      </c>
      <c r="J17" s="152">
        <v>104</v>
      </c>
      <c r="K17" s="134">
        <v>0</v>
      </c>
      <c r="L17" s="134">
        <v>0</v>
      </c>
      <c r="M17" s="327">
        <v>0</v>
      </c>
    </row>
    <row r="18" spans="1:13" x14ac:dyDescent="0.25">
      <c r="A18" s="232" t="s">
        <v>78</v>
      </c>
      <c r="B18" s="242">
        <v>1425</v>
      </c>
      <c r="C18" s="242">
        <v>1416</v>
      </c>
      <c r="D18" s="242">
        <v>1116</v>
      </c>
      <c r="E18" s="242">
        <v>1170</v>
      </c>
      <c r="F18" s="152">
        <v>1252</v>
      </c>
      <c r="G18" s="242">
        <v>1420</v>
      </c>
      <c r="H18" s="242">
        <f>4372-I18</f>
        <v>1420</v>
      </c>
      <c r="I18" s="242">
        <v>2952</v>
      </c>
      <c r="J18" s="152">
        <v>1359</v>
      </c>
      <c r="K18" s="134">
        <v>1322</v>
      </c>
      <c r="L18" s="134">
        <f>3728-1750</f>
        <v>1978</v>
      </c>
      <c r="M18" s="327">
        <v>1750</v>
      </c>
    </row>
    <row r="19" spans="1:13" x14ac:dyDescent="0.25">
      <c r="A19" s="232" t="s">
        <v>156</v>
      </c>
      <c r="B19" s="242">
        <v>0</v>
      </c>
      <c r="C19" s="242">
        <v>7</v>
      </c>
      <c r="D19" s="242">
        <v>0</v>
      </c>
      <c r="E19" s="242">
        <v>0</v>
      </c>
      <c r="F19" s="152">
        <v>0</v>
      </c>
      <c r="G19" s="242">
        <v>1</v>
      </c>
      <c r="H19" s="242">
        <v>0</v>
      </c>
      <c r="I19" s="242">
        <v>0</v>
      </c>
      <c r="J19" s="152">
        <v>0</v>
      </c>
      <c r="K19" s="134">
        <v>0</v>
      </c>
      <c r="L19" s="134">
        <v>0</v>
      </c>
      <c r="M19" s="327">
        <v>0</v>
      </c>
    </row>
    <row r="20" spans="1:13" x14ac:dyDescent="0.25">
      <c r="A20" s="233" t="s">
        <v>97</v>
      </c>
      <c r="B20" s="97">
        <f>SUM(B16:B19)</f>
        <v>3350</v>
      </c>
      <c r="C20" s="105">
        <f>SUM(C16:C19)</f>
        <v>2856</v>
      </c>
      <c r="D20" s="105">
        <f>SUM(D16:D19)</f>
        <v>1753</v>
      </c>
      <c r="E20" s="97">
        <f>SUM(E16:E19)</f>
        <v>2587</v>
      </c>
      <c r="F20" s="151">
        <f t="shared" ref="F20:M20" si="2">SUM(F16:F19)</f>
        <v>1962</v>
      </c>
      <c r="G20" s="97">
        <f t="shared" si="2"/>
        <v>2308</v>
      </c>
      <c r="H20" s="97">
        <f t="shared" si="2"/>
        <v>2733</v>
      </c>
      <c r="I20" s="97">
        <f t="shared" si="2"/>
        <v>3953</v>
      </c>
      <c r="J20" s="151">
        <f t="shared" si="2"/>
        <v>2116</v>
      </c>
      <c r="K20" s="97">
        <f t="shared" si="2"/>
        <v>2625</v>
      </c>
      <c r="L20" s="97">
        <f t="shared" si="2"/>
        <v>2790</v>
      </c>
      <c r="M20" s="326">
        <f t="shared" si="2"/>
        <v>3190</v>
      </c>
    </row>
    <row r="21" spans="1:13" x14ac:dyDescent="0.25">
      <c r="A21" s="64" t="s">
        <v>98</v>
      </c>
      <c r="B21" s="105">
        <f t="shared" ref="B21:M21" si="3">-B20+B14</f>
        <v>8853</v>
      </c>
      <c r="C21" s="105">
        <f t="shared" si="3"/>
        <v>6526</v>
      </c>
      <c r="D21" s="105">
        <f t="shared" si="3"/>
        <v>10696</v>
      </c>
      <c r="E21" s="102">
        <f t="shared" si="3"/>
        <v>11054</v>
      </c>
      <c r="F21" s="51">
        <f t="shared" si="3"/>
        <v>18404</v>
      </c>
      <c r="G21" s="50">
        <f t="shared" si="3"/>
        <v>12107</v>
      </c>
      <c r="H21" s="50">
        <f t="shared" si="3"/>
        <v>16218</v>
      </c>
      <c r="I21" s="50">
        <f t="shared" si="3"/>
        <v>11802</v>
      </c>
      <c r="J21" s="51">
        <f t="shared" si="3"/>
        <v>17014</v>
      </c>
      <c r="K21" s="50">
        <f t="shared" si="3"/>
        <v>16418</v>
      </c>
      <c r="L21" s="50">
        <f t="shared" si="3"/>
        <v>13966</v>
      </c>
      <c r="M21" s="192">
        <f t="shared" si="3"/>
        <v>16701</v>
      </c>
    </row>
    <row r="22" spans="1:13" x14ac:dyDescent="0.25">
      <c r="A22" s="64" t="s">
        <v>57</v>
      </c>
      <c r="B22" s="102">
        <v>15000</v>
      </c>
      <c r="C22" s="102">
        <v>8965</v>
      </c>
      <c r="D22" s="102">
        <v>13715</v>
      </c>
      <c r="E22" s="102">
        <v>12065</v>
      </c>
      <c r="F22" s="51">
        <v>18130</v>
      </c>
      <c r="G22" s="102">
        <v>17078</v>
      </c>
      <c r="H22" s="102">
        <v>16450</v>
      </c>
      <c r="I22" s="102">
        <v>11972</v>
      </c>
      <c r="J22" s="51">
        <v>15685</v>
      </c>
      <c r="K22" s="50">
        <v>19400</v>
      </c>
      <c r="L22" s="50">
        <f>30345-13145</f>
        <v>17200</v>
      </c>
      <c r="M22" s="192">
        <v>13145</v>
      </c>
    </row>
    <row r="23" spans="1:13" x14ac:dyDescent="0.25">
      <c r="A23" s="233" t="s">
        <v>99</v>
      </c>
      <c r="B23" s="128">
        <f>+B8-B21+B22</f>
        <v>70572</v>
      </c>
      <c r="C23" s="128">
        <f>+C8-C21+C22</f>
        <v>64425</v>
      </c>
      <c r="D23" s="128">
        <f>+D8-D21+D22</f>
        <v>61986</v>
      </c>
      <c r="E23" s="128">
        <f>+E8-E21+E22</f>
        <v>58967</v>
      </c>
      <c r="F23" s="153">
        <f t="shared" ref="F23:M23" si="4">+F8-F21+F22</f>
        <v>57956</v>
      </c>
      <c r="G23" s="128">
        <f t="shared" si="4"/>
        <v>58230</v>
      </c>
      <c r="H23" s="128">
        <f t="shared" si="4"/>
        <v>53259</v>
      </c>
      <c r="I23" s="128">
        <f t="shared" si="4"/>
        <v>53027</v>
      </c>
      <c r="J23" s="153">
        <f t="shared" si="4"/>
        <v>52857</v>
      </c>
      <c r="K23" s="128">
        <f t="shared" si="4"/>
        <v>54186</v>
      </c>
      <c r="L23" s="128">
        <f t="shared" si="4"/>
        <v>51204</v>
      </c>
      <c r="M23" s="328">
        <f t="shared" si="4"/>
        <v>47970</v>
      </c>
    </row>
    <row r="24" spans="1:13" ht="13.8" thickBot="1" x14ac:dyDescent="0.3">
      <c r="A24" s="243" t="s">
        <v>158</v>
      </c>
      <c r="B24" s="110">
        <f>+B21/'STATEMENTS OF CONDITION'!B10*365/92</f>
        <v>8.6286517450098951E-3</v>
      </c>
      <c r="C24" s="110">
        <f>+C21/'STATEMENTS OF CONDITION'!C10*365/92</f>
        <v>6.4799771076845146E-3</v>
      </c>
      <c r="D24" s="110">
        <f>+D21/'STATEMENTS OF CONDITION'!D10*365/91</f>
        <v>1.049590477730971E-2</v>
      </c>
      <c r="E24" s="110">
        <f>+E21/'STATEMENTS OF CONDITION'!E10*365/90</f>
        <v>1.1583705725279808E-2</v>
      </c>
      <c r="F24" s="154">
        <f>+F21/'STATEMENTS OF CONDITION'!F10*365/92</f>
        <v>1.8750537886143073E-2</v>
      </c>
      <c r="G24" s="110">
        <f>+G21/'STATEMENTS OF CONDITION'!G10*365/92</f>
        <v>1.1904364622912136E-2</v>
      </c>
      <c r="H24" s="110">
        <f>+H21/'STATEMENTS OF CONDITION'!H10*365/91</f>
        <v>1.5240628867743366E-2</v>
      </c>
      <c r="I24" s="110">
        <f>+I21/'STATEMENTS OF CONDITION'!I10*365/90</f>
        <v>1.0889998433895804E-2</v>
      </c>
      <c r="J24" s="154" t="e">
        <f>+J21/'STATEMENTS OF CONDITION'!#REF!*365/92</f>
        <v>#REF!</v>
      </c>
      <c r="K24" s="110" t="e">
        <f>+K21/'STATEMENTS OF CONDITION'!#REF!*365/92</f>
        <v>#REF!</v>
      </c>
      <c r="L24" s="110" t="e">
        <f>+L21/'STATEMENTS OF CONDITION'!#REF!*365/91</f>
        <v>#REF!</v>
      </c>
      <c r="M24" s="329" t="e">
        <f>+M21/'STATEMENTS OF CONDITION'!#REF!*365/90</f>
        <v>#REF!</v>
      </c>
    </row>
    <row r="25" spans="1:13" ht="13.8" thickBot="1" x14ac:dyDescent="0.3">
      <c r="A25" s="244" t="s">
        <v>160</v>
      </c>
      <c r="B25" s="110">
        <f>+B22/'STATEMENTS OF CONDITION'!B10*365/92</f>
        <v>1.4619877575414936E-2</v>
      </c>
      <c r="C25" s="110">
        <f>+C22/'STATEMENTS OF CONDITION'!C10*365/92</f>
        <v>8.9017767040134362E-3</v>
      </c>
      <c r="D25" s="110">
        <f>+D22/'STATEMENTS OF CONDITION'!D10*365/91</f>
        <v>1.3458426890501373E-2</v>
      </c>
      <c r="E25" s="110">
        <f>+E22/'STATEMENTS OF CONDITION'!E10*365/90</f>
        <v>1.2643152666500894E-2</v>
      </c>
      <c r="F25" s="154">
        <f>+F22/'STATEMENTS OF CONDITION'!F10*365/92</f>
        <v>1.8471378606594976E-2</v>
      </c>
      <c r="G25" s="110">
        <f>+G22/'STATEMENTS OF CONDITION'!G10*365/92</f>
        <v>1.6792164783191003E-2</v>
      </c>
      <c r="H25" s="110">
        <f>+H22/'STATEMENTS OF CONDITION'!H10*365/91</f>
        <v>1.5458647482696902E-2</v>
      </c>
      <c r="I25" s="110">
        <f>+I22/'STATEMENTS OF CONDITION'!I10*365/90</f>
        <v>1.1046861654855158E-2</v>
      </c>
      <c r="J25" s="154" t="e">
        <f>+J22/'STATEMENTS OF CONDITION'!#REF!*365/92</f>
        <v>#REF!</v>
      </c>
      <c r="K25" s="110" t="e">
        <f>+K22/'STATEMENTS OF CONDITION'!#REF!*365/92</f>
        <v>#REF!</v>
      </c>
      <c r="L25" s="110" t="e">
        <f>+L22/'STATEMENTS OF CONDITION'!#REF!*365/91</f>
        <v>#REF!</v>
      </c>
      <c r="M25" s="329" t="e">
        <f>+M22/'STATEMENTS OF CONDITION'!#REF!*365/90</f>
        <v>#REF!</v>
      </c>
    </row>
    <row r="26" spans="1:13" ht="13.8" thickBot="1" x14ac:dyDescent="0.3">
      <c r="A26" s="244" t="s">
        <v>10</v>
      </c>
      <c r="B26" s="110">
        <f>+B23/'COMPONENTS OF NONPERFORMING '!B44</f>
        <v>1.674398608511455E-2</v>
      </c>
      <c r="C26" s="110">
        <f>+C23/'COMPONENTS OF NONPERFORMING '!C44</f>
        <v>1.5851040325243419E-2</v>
      </c>
      <c r="D26" s="110">
        <f>+D23/'COMPONENTS OF NONPERFORMING '!D44</f>
        <v>1.5406633109074766E-2</v>
      </c>
      <c r="E26" s="110">
        <f>+E23/'COMPONENTS OF NONPERFORMING '!E44</f>
        <v>1.4382486279600294E-2</v>
      </c>
      <c r="F26" s="154">
        <f>+F23/'COMPONENTS OF NONPERFORMING '!F44</f>
        <v>1.5042246297706495E-2</v>
      </c>
      <c r="G26" s="110">
        <f>+G23/'COMPONENTS OF NONPERFORMING '!G44</f>
        <v>1.4714964838739349E-2</v>
      </c>
      <c r="H26" s="110">
        <f>+H23/'COMPONENTS OF NONPERFORMING '!H44</f>
        <v>1.2913125956500909E-2</v>
      </c>
      <c r="I26" s="110">
        <f>+I23/'COMPONENTS OF NONPERFORMING '!I44</f>
        <v>1.2339924462264876E-2</v>
      </c>
      <c r="J26" s="154">
        <f>+J23/'COMPONENTS OF NONPERFORMING '!J44</f>
        <v>1.1899865257783136E-2</v>
      </c>
      <c r="K26" s="110">
        <f>+K23/'COMPONENTS OF NONPERFORMING '!K44</f>
        <v>1.236318833635648E-2</v>
      </c>
      <c r="L26" s="110">
        <f>+L23/'COMPONENTS OF NONPERFORMING '!L44</f>
        <v>1.1498374970891397E-2</v>
      </c>
      <c r="M26" s="329">
        <f>+M23/'COMPONENTS OF NONPERFORMING '!M44</f>
        <v>1.0625655520102247E-2</v>
      </c>
    </row>
    <row r="27" spans="1:13" x14ac:dyDescent="0.25">
      <c r="A27" s="1" t="s">
        <v>159</v>
      </c>
    </row>
    <row r="28" spans="1:13" x14ac:dyDescent="0.25">
      <c r="F28" s="321"/>
      <c r="J28" s="320"/>
    </row>
    <row r="29" spans="1:13" x14ac:dyDescent="0.25">
      <c r="F29" s="321"/>
      <c r="J29" s="319"/>
    </row>
  </sheetData>
  <mergeCells count="5">
    <mergeCell ref="A1:M1"/>
    <mergeCell ref="A2:M2"/>
    <mergeCell ref="J5:M5"/>
    <mergeCell ref="F5:I5"/>
    <mergeCell ref="B5:E5"/>
  </mergeCells>
  <phoneticPr fontId="0" type="noConversion"/>
  <printOptions horizontalCentered="1"/>
  <pageMargins left="0" right="0" top="1" bottom="1" header="0.5" footer="0.5"/>
  <pageSetup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workbookViewId="0">
      <selection sqref="A1:M1"/>
    </sheetView>
  </sheetViews>
  <sheetFormatPr defaultRowHeight="13.2" x14ac:dyDescent="0.25"/>
  <cols>
    <col min="1" max="1" width="39.33203125" bestFit="1" customWidth="1"/>
    <col min="2" max="2" width="8.5546875" bestFit="1" customWidth="1"/>
    <col min="3" max="3" width="8.5546875" customWidth="1"/>
    <col min="4" max="4" width="8.5546875" bestFit="1" customWidth="1"/>
    <col min="5" max="5" width="8.6640625" customWidth="1"/>
    <col min="6" max="6" width="8.5546875" customWidth="1"/>
    <col min="7" max="7" width="8.6640625" customWidth="1"/>
    <col min="8" max="8" width="8.5546875" bestFit="1" customWidth="1"/>
    <col min="9" max="9" width="10.109375" customWidth="1"/>
    <col min="10" max="10" width="11.109375" customWidth="1"/>
    <col min="11" max="11" width="10" customWidth="1"/>
    <col min="12" max="12" width="10.109375" customWidth="1"/>
    <col min="13" max="13" width="9.6640625" customWidth="1"/>
  </cols>
  <sheetData>
    <row r="1" spans="1:13" x14ac:dyDescent="0.25">
      <c r="A1" s="391" t="s">
        <v>213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 t="s">
        <v>30</v>
      </c>
      <c r="B4" s="390">
        <v>2003</v>
      </c>
      <c r="C4" s="390"/>
      <c r="D4" s="390"/>
      <c r="E4" s="390"/>
      <c r="F4" s="390">
        <v>2002</v>
      </c>
      <c r="G4" s="390"/>
      <c r="H4" s="390"/>
      <c r="I4" s="390"/>
      <c r="J4" s="390">
        <v>2001</v>
      </c>
      <c r="K4" s="390"/>
      <c r="L4" s="390"/>
      <c r="M4" s="390"/>
    </row>
    <row r="5" spans="1:13" x14ac:dyDescent="0.25">
      <c r="A5" s="162"/>
      <c r="B5" s="26" t="s">
        <v>1</v>
      </c>
      <c r="C5" s="6" t="s">
        <v>4</v>
      </c>
      <c r="D5" s="6" t="s">
        <v>2</v>
      </c>
      <c r="E5" s="6" t="s">
        <v>3</v>
      </c>
      <c r="F5" s="27" t="s">
        <v>1</v>
      </c>
      <c r="G5" s="6" t="s">
        <v>4</v>
      </c>
      <c r="H5" s="6" t="s">
        <v>2</v>
      </c>
      <c r="I5" s="6" t="s">
        <v>3</v>
      </c>
      <c r="J5" s="27" t="s">
        <v>1</v>
      </c>
      <c r="K5" s="6" t="s">
        <v>4</v>
      </c>
      <c r="L5" s="6" t="s">
        <v>2</v>
      </c>
      <c r="M5" s="6" t="s">
        <v>3</v>
      </c>
    </row>
    <row r="6" spans="1:13" x14ac:dyDescent="0.25">
      <c r="A6" s="159"/>
      <c r="B6" s="28" t="s">
        <v>5</v>
      </c>
      <c r="C6" s="8" t="s">
        <v>5</v>
      </c>
      <c r="D6" s="8" t="s">
        <v>5</v>
      </c>
      <c r="E6" s="8" t="s">
        <v>5</v>
      </c>
      <c r="F6" s="29" t="s">
        <v>5</v>
      </c>
      <c r="G6" s="8" t="s">
        <v>5</v>
      </c>
      <c r="H6" s="8" t="s">
        <v>5</v>
      </c>
      <c r="I6" s="8" t="s">
        <v>5</v>
      </c>
      <c r="J6" s="29" t="s">
        <v>5</v>
      </c>
      <c r="K6" s="8" t="s">
        <v>5</v>
      </c>
      <c r="L6" s="8" t="s">
        <v>5</v>
      </c>
      <c r="M6" s="8" t="s">
        <v>5</v>
      </c>
    </row>
    <row r="7" spans="1:13" x14ac:dyDescent="0.25">
      <c r="A7" s="64" t="s">
        <v>214</v>
      </c>
      <c r="B7" s="111">
        <v>145481</v>
      </c>
      <c r="C7" s="111">
        <v>158030</v>
      </c>
      <c r="D7" s="111">
        <v>173542</v>
      </c>
      <c r="E7" s="79">
        <v>142123</v>
      </c>
      <c r="F7" s="230">
        <v>142028</v>
      </c>
      <c r="G7" s="111">
        <v>105908</v>
      </c>
      <c r="H7" s="111">
        <f>237489-I7</f>
        <v>124398</v>
      </c>
      <c r="I7" s="79">
        <v>113091</v>
      </c>
      <c r="J7" s="230">
        <v>134636</v>
      </c>
      <c r="K7" s="79">
        <v>116289</v>
      </c>
      <c r="L7" s="79">
        <v>131418</v>
      </c>
      <c r="M7" s="79">
        <v>129395</v>
      </c>
    </row>
    <row r="8" spans="1:13" x14ac:dyDescent="0.25">
      <c r="A8" s="64" t="s">
        <v>101</v>
      </c>
      <c r="B8" s="111">
        <v>5031</v>
      </c>
      <c r="C8" s="111">
        <v>3885</v>
      </c>
      <c r="D8" s="111">
        <v>5016</v>
      </c>
      <c r="E8" s="111">
        <v>2512</v>
      </c>
      <c r="F8" s="155">
        <v>0</v>
      </c>
      <c r="G8" s="111">
        <v>7529</v>
      </c>
      <c r="H8" s="111">
        <f>7508-I8</f>
        <v>0</v>
      </c>
      <c r="I8" s="111">
        <v>7508</v>
      </c>
      <c r="J8" s="155">
        <v>6485</v>
      </c>
      <c r="K8" s="111">
        <v>4942</v>
      </c>
      <c r="L8" s="111">
        <v>5196</v>
      </c>
      <c r="M8" s="111">
        <v>18037</v>
      </c>
    </row>
    <row r="9" spans="1:13" x14ac:dyDescent="0.25">
      <c r="A9" s="64" t="s">
        <v>224</v>
      </c>
      <c r="B9" s="111">
        <v>31445</v>
      </c>
      <c r="C9" s="111">
        <v>110058</v>
      </c>
      <c r="D9" s="111">
        <v>102197</v>
      </c>
      <c r="E9" s="111">
        <v>17353</v>
      </c>
      <c r="F9" s="155">
        <v>31904</v>
      </c>
      <c r="G9" s="111">
        <v>42590</v>
      </c>
      <c r="H9" s="111">
        <f>146049+88955-I9</f>
        <v>174762</v>
      </c>
      <c r="I9" s="111">
        <v>60242</v>
      </c>
      <c r="J9" s="155">
        <v>0</v>
      </c>
      <c r="K9" s="111">
        <f>78384-4942</f>
        <v>73442</v>
      </c>
      <c r="L9" s="111">
        <f>65647-5196</f>
        <v>60451</v>
      </c>
      <c r="M9" s="111">
        <f>78073-18037</f>
        <v>60036</v>
      </c>
    </row>
    <row r="10" spans="1:13" ht="13.8" thickBot="1" x14ac:dyDescent="0.3">
      <c r="A10" s="234" t="s">
        <v>102</v>
      </c>
      <c r="B10" s="297">
        <v>437272</v>
      </c>
      <c r="C10" s="297">
        <v>437812</v>
      </c>
      <c r="D10" s="297">
        <v>271670</v>
      </c>
      <c r="E10" s="82">
        <v>293665</v>
      </c>
      <c r="F10" s="156">
        <v>525984</v>
      </c>
      <c r="G10" s="297">
        <v>535263</v>
      </c>
      <c r="H10" s="297">
        <v>524236</v>
      </c>
      <c r="I10" s="82">
        <v>380670</v>
      </c>
      <c r="J10" s="156">
        <v>349832</v>
      </c>
      <c r="K10" s="82">
        <v>384228</v>
      </c>
      <c r="L10" s="82">
        <v>400528</v>
      </c>
      <c r="M10" s="82">
        <v>371824</v>
      </c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</sheetData>
  <mergeCells count="4">
    <mergeCell ref="A1:M1"/>
    <mergeCell ref="J4:M4"/>
    <mergeCell ref="F4:I4"/>
    <mergeCell ref="B4:E4"/>
  </mergeCells>
  <phoneticPr fontId="0" type="noConversion"/>
  <printOptions horizontalCentered="1"/>
  <pageMargins left="0" right="0" top="1" bottom="1" header="0.5" footer="0.5"/>
  <pageSetup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2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3.2" x14ac:dyDescent="0.25"/>
  <cols>
    <col min="1" max="1" width="38.5546875" customWidth="1"/>
    <col min="2" max="2" width="7.33203125" bestFit="1" customWidth="1"/>
    <col min="3" max="5" width="7.44140625" bestFit="1" customWidth="1"/>
    <col min="6" max="7" width="7.6640625" customWidth="1"/>
    <col min="8" max="9" width="7.5546875" customWidth="1"/>
    <col min="10" max="10" width="7.44140625" bestFit="1" customWidth="1"/>
    <col min="11" max="11" width="7.33203125" customWidth="1"/>
  </cols>
  <sheetData>
    <row r="1" spans="1:12" x14ac:dyDescent="0.25">
      <c r="A1" s="30" t="s">
        <v>209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2" x14ac:dyDescent="0.25">
      <c r="A2" s="30" t="s">
        <v>113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4" spans="1:12" x14ac:dyDescent="0.25">
      <c r="A4" s="338"/>
    </row>
    <row r="5" spans="1:12" x14ac:dyDescent="0.25">
      <c r="A5" s="1"/>
      <c r="B5" s="390">
        <v>2003</v>
      </c>
      <c r="C5" s="390"/>
      <c r="D5" s="390"/>
      <c r="E5" s="390"/>
      <c r="F5" s="390"/>
      <c r="G5" s="390">
        <v>2002</v>
      </c>
      <c r="H5" s="390"/>
      <c r="I5" s="390"/>
      <c r="J5" s="390"/>
      <c r="K5" s="390"/>
    </row>
    <row r="6" spans="1:12" x14ac:dyDescent="0.25">
      <c r="A6" s="162"/>
      <c r="B6" s="14"/>
      <c r="C6" s="6" t="s">
        <v>1</v>
      </c>
      <c r="D6" s="6" t="s">
        <v>4</v>
      </c>
      <c r="E6" s="6" t="s">
        <v>2</v>
      </c>
      <c r="F6" s="6" t="s">
        <v>3</v>
      </c>
      <c r="G6" s="14"/>
      <c r="H6" s="6" t="s">
        <v>1</v>
      </c>
      <c r="I6" s="6" t="s">
        <v>4</v>
      </c>
      <c r="J6" s="6" t="s">
        <v>2</v>
      </c>
      <c r="K6" s="6" t="s">
        <v>3</v>
      </c>
    </row>
    <row r="7" spans="1:12" x14ac:dyDescent="0.25">
      <c r="A7" s="159"/>
      <c r="B7" s="15" t="s">
        <v>0</v>
      </c>
      <c r="C7" s="8" t="s">
        <v>5</v>
      </c>
      <c r="D7" s="8" t="s">
        <v>5</v>
      </c>
      <c r="E7" s="8" t="s">
        <v>5</v>
      </c>
      <c r="F7" s="8" t="s">
        <v>5</v>
      </c>
      <c r="G7" s="15" t="s">
        <v>0</v>
      </c>
      <c r="H7" s="8" t="s">
        <v>5</v>
      </c>
      <c r="I7" s="246" t="s">
        <v>5</v>
      </c>
      <c r="J7" s="246" t="s">
        <v>5</v>
      </c>
      <c r="K7" s="246" t="s">
        <v>5</v>
      </c>
    </row>
    <row r="8" spans="1:12" x14ac:dyDescent="0.25">
      <c r="A8" s="162"/>
      <c r="B8" s="13"/>
      <c r="C8" s="13"/>
      <c r="D8" s="13"/>
      <c r="E8" s="13"/>
      <c r="F8" s="162"/>
      <c r="G8" s="13"/>
      <c r="H8" s="13"/>
      <c r="I8" s="118"/>
      <c r="J8" s="118"/>
      <c r="K8" s="118"/>
    </row>
    <row r="9" spans="1:12" x14ac:dyDescent="0.25">
      <c r="A9" s="171" t="s">
        <v>206</v>
      </c>
      <c r="B9" s="112">
        <v>0.76</v>
      </c>
      <c r="C9" s="113">
        <v>0.28000000000000003</v>
      </c>
      <c r="D9" s="113">
        <v>0.25</v>
      </c>
      <c r="E9" s="113">
        <v>0.14000000000000001</v>
      </c>
      <c r="F9" s="113">
        <v>0.09</v>
      </c>
      <c r="G9" s="112">
        <v>0.49</v>
      </c>
      <c r="H9" s="113">
        <v>-0.06</v>
      </c>
      <c r="I9" s="113">
        <v>7.0000000000000007E-2</v>
      </c>
      <c r="J9" s="113">
        <v>0.17</v>
      </c>
      <c r="K9" s="113">
        <v>0.32</v>
      </c>
    </row>
    <row r="10" spans="1:12" x14ac:dyDescent="0.25">
      <c r="A10" s="64" t="s">
        <v>114</v>
      </c>
      <c r="B10" s="56" t="s">
        <v>115</v>
      </c>
      <c r="C10" s="56" t="s">
        <v>115</v>
      </c>
      <c r="D10" s="357" t="s">
        <v>115</v>
      </c>
      <c r="E10" s="357" t="s">
        <v>115</v>
      </c>
      <c r="F10" s="357" t="s">
        <v>115</v>
      </c>
      <c r="G10" s="372" t="s">
        <v>115</v>
      </c>
      <c r="H10" s="357" t="s">
        <v>115</v>
      </c>
      <c r="I10" s="357" t="s">
        <v>115</v>
      </c>
      <c r="J10" s="357" t="s">
        <v>115</v>
      </c>
      <c r="K10" s="357" t="s">
        <v>115</v>
      </c>
    </row>
    <row r="11" spans="1:12" x14ac:dyDescent="0.25">
      <c r="A11" s="64" t="s">
        <v>116</v>
      </c>
      <c r="B11" s="114">
        <v>5.8999999999999999E-3</v>
      </c>
      <c r="C11" s="76">
        <v>8.6999999999999994E-3</v>
      </c>
      <c r="D11" s="76">
        <v>6.7000000000000002E-3</v>
      </c>
      <c r="E11" s="76">
        <v>4.4000000000000003E-3</v>
      </c>
      <c r="F11" s="76">
        <v>3.2000000000000002E-3</v>
      </c>
      <c r="G11" s="114">
        <v>3.8E-3</v>
      </c>
      <c r="H11" s="76">
        <v>-8.9999999999999998E-4</v>
      </c>
      <c r="I11" s="76">
        <v>2.3999999999999998E-3</v>
      </c>
      <c r="J11" s="76">
        <v>4.8999999999999998E-3</v>
      </c>
      <c r="K11" s="76">
        <v>8.6E-3</v>
      </c>
      <c r="L11" s="31"/>
    </row>
    <row r="12" spans="1:12" x14ac:dyDescent="0.25">
      <c r="A12" s="64" t="s">
        <v>117</v>
      </c>
      <c r="B12" s="114">
        <v>6.08E-2</v>
      </c>
      <c r="C12" s="76">
        <v>8.8900000000000007E-2</v>
      </c>
      <c r="D12" s="76">
        <v>8.3199999999999996E-2</v>
      </c>
      <c r="E12" s="76">
        <v>4.6300000000000001E-2</v>
      </c>
      <c r="F12" s="76">
        <v>3.1600000000000003E-2</v>
      </c>
      <c r="G12" s="114">
        <v>3.9600000000000003E-2</v>
      </c>
      <c r="H12" s="76">
        <v>-1.9400000000000001E-2</v>
      </c>
      <c r="I12" s="76">
        <v>2.0899999999999998E-2</v>
      </c>
      <c r="J12" s="76">
        <v>5.2600000000000001E-2</v>
      </c>
      <c r="K12" s="76">
        <v>0.104</v>
      </c>
      <c r="L12" s="31"/>
    </row>
    <row r="13" spans="1:12" x14ac:dyDescent="0.25">
      <c r="A13" s="64"/>
      <c r="B13" s="13"/>
      <c r="C13" s="13"/>
      <c r="D13" s="118"/>
      <c r="E13" s="118"/>
      <c r="F13" s="118"/>
      <c r="G13" s="138"/>
      <c r="H13" s="121"/>
      <c r="I13" s="121"/>
      <c r="J13" s="121"/>
      <c r="K13" s="121"/>
    </row>
    <row r="14" spans="1:12" x14ac:dyDescent="0.25">
      <c r="A14" s="171" t="s">
        <v>118</v>
      </c>
      <c r="B14" s="114">
        <v>3.3000000000000002E-2</v>
      </c>
      <c r="C14" s="76">
        <v>3.4799999999999998E-2</v>
      </c>
      <c r="D14" s="76">
        <v>3.27E-2</v>
      </c>
      <c r="E14" s="76">
        <v>3.2599999999999997E-2</v>
      </c>
      <c r="F14" s="76">
        <v>3.1699999999999999E-2</v>
      </c>
      <c r="G14" s="114">
        <v>3.4500000000000003E-2</v>
      </c>
      <c r="H14" s="76">
        <v>3.2000000000000001E-2</v>
      </c>
      <c r="I14" s="76">
        <v>3.3599999999999998E-2</v>
      </c>
      <c r="J14" s="76">
        <v>3.6700000000000003E-2</v>
      </c>
      <c r="K14" s="76">
        <v>3.5499999999999997E-2</v>
      </c>
      <c r="L14" s="31"/>
    </row>
    <row r="15" spans="1:12" x14ac:dyDescent="0.25">
      <c r="A15" s="64" t="s">
        <v>6</v>
      </c>
      <c r="B15" s="114">
        <v>0.26919999999999999</v>
      </c>
      <c r="C15" s="31">
        <v>0.24410000000000001</v>
      </c>
      <c r="D15" s="76">
        <v>0.27829999999999999</v>
      </c>
      <c r="E15" s="76">
        <v>0.2878</v>
      </c>
      <c r="F15" s="76">
        <v>0.26669999999999999</v>
      </c>
      <c r="G15" s="114">
        <v>0.21679999999999999</v>
      </c>
      <c r="H15" s="76">
        <v>0.2069</v>
      </c>
      <c r="I15" s="76">
        <v>0.21079999999999999</v>
      </c>
      <c r="J15" s="76">
        <v>0.2079</v>
      </c>
      <c r="K15" s="76">
        <v>0.23899999999999999</v>
      </c>
      <c r="L15" s="31"/>
    </row>
    <row r="16" spans="1:12" x14ac:dyDescent="0.25">
      <c r="A16" s="64" t="s">
        <v>119</v>
      </c>
      <c r="B16" s="114">
        <v>1.24E-2</v>
      </c>
      <c r="C16" s="76">
        <v>1.46E-2</v>
      </c>
      <c r="D16" s="76">
        <v>8.8999999999999999E-3</v>
      </c>
      <c r="E16" s="76">
        <v>1.35E-2</v>
      </c>
      <c r="F16" s="76">
        <v>1.26E-2</v>
      </c>
      <c r="G16" s="114">
        <v>1.5299999999999999E-2</v>
      </c>
      <c r="H16" s="76">
        <v>1.8499999999999999E-2</v>
      </c>
      <c r="I16" s="76">
        <v>1.6799999999999999E-2</v>
      </c>
      <c r="J16" s="76">
        <v>1.55E-2</v>
      </c>
      <c r="K16" s="76">
        <v>1.0999999999999999E-2</v>
      </c>
      <c r="L16" s="31"/>
    </row>
    <row r="17" spans="1:12" x14ac:dyDescent="0.25">
      <c r="A17" s="64" t="s">
        <v>7</v>
      </c>
      <c r="B17" s="114">
        <v>0.50339999999999996</v>
      </c>
      <c r="C17" s="31">
        <v>0.50490000000000002</v>
      </c>
      <c r="D17" s="76">
        <v>0.50749999999999995</v>
      </c>
      <c r="E17" s="76">
        <v>0.4945</v>
      </c>
      <c r="F17" s="76">
        <v>0.50580000000000003</v>
      </c>
      <c r="G17" s="114">
        <v>0.45850000000000002</v>
      </c>
      <c r="H17" s="76">
        <v>0.50829999999999997</v>
      </c>
      <c r="I17" s="76">
        <v>0.46529999999999999</v>
      </c>
      <c r="J17" s="76">
        <v>0.44790000000000002</v>
      </c>
      <c r="K17" s="76">
        <v>0.42149999999999999</v>
      </c>
      <c r="L17" s="31"/>
    </row>
    <row r="18" spans="1:12" x14ac:dyDescent="0.25">
      <c r="A18" s="64" t="s">
        <v>210</v>
      </c>
      <c r="B18" s="114">
        <v>0.70099999999999996</v>
      </c>
      <c r="C18" s="76">
        <v>0.66149999999999998</v>
      </c>
      <c r="D18" s="76">
        <v>0.67649999999999999</v>
      </c>
      <c r="E18" s="76">
        <v>0.72119999999999995</v>
      </c>
      <c r="F18" s="76">
        <v>0.75619999999999998</v>
      </c>
      <c r="G18" s="114">
        <v>0.6956</v>
      </c>
      <c r="H18" s="76">
        <v>0.75870000000000004</v>
      </c>
      <c r="I18" s="76">
        <v>0.69269999999999998</v>
      </c>
      <c r="J18" s="76">
        <v>0.67269999999999996</v>
      </c>
      <c r="K18" s="76">
        <v>0.66649999999999998</v>
      </c>
      <c r="L18" s="31"/>
    </row>
    <row r="19" spans="1:12" x14ac:dyDescent="0.25">
      <c r="A19" s="64"/>
      <c r="B19" s="32"/>
      <c r="C19" s="1"/>
      <c r="D19" s="121"/>
      <c r="E19" s="121"/>
      <c r="F19" s="121"/>
      <c r="G19" s="114"/>
      <c r="H19" s="121"/>
      <c r="I19" s="121"/>
      <c r="J19" s="121"/>
      <c r="K19" s="121"/>
      <c r="L19" s="31"/>
    </row>
    <row r="20" spans="1:12" x14ac:dyDescent="0.25">
      <c r="A20" s="64" t="s">
        <v>8</v>
      </c>
      <c r="B20" s="34">
        <v>0</v>
      </c>
      <c r="C20" s="76">
        <v>2.4500000000000001E-2</v>
      </c>
      <c r="D20" s="76">
        <v>2.7099999999999999E-2</v>
      </c>
      <c r="E20" s="76">
        <v>2.9100000000000001E-2</v>
      </c>
      <c r="F20" s="205">
        <v>3.32E-2</v>
      </c>
      <c r="G20" s="115">
        <v>0</v>
      </c>
      <c r="H20" s="76">
        <v>3.6600000000000001E-2</v>
      </c>
      <c r="I20" s="76">
        <v>3.1899999999999998E-2</v>
      </c>
      <c r="J20" s="76">
        <v>2.7099999999999999E-2</v>
      </c>
      <c r="K20" s="76">
        <v>2.5700000000000001E-2</v>
      </c>
      <c r="L20" s="31"/>
    </row>
    <row r="21" spans="1:12" x14ac:dyDescent="0.25">
      <c r="A21" s="64" t="s">
        <v>211</v>
      </c>
      <c r="B21" s="34">
        <v>0</v>
      </c>
      <c r="C21" s="76">
        <v>5.9999999999999995E-4</v>
      </c>
      <c r="D21" s="76">
        <v>8.0000000000000004E-4</v>
      </c>
      <c r="E21" s="76">
        <v>1.1000000000000001E-3</v>
      </c>
      <c r="F21" s="205">
        <v>5.9999999999999995E-4</v>
      </c>
      <c r="G21" s="115">
        <v>0</v>
      </c>
      <c r="H21" s="76">
        <v>1E-3</v>
      </c>
      <c r="I21" s="76">
        <v>6.9999999999999999E-4</v>
      </c>
      <c r="J21" s="76">
        <v>1.1000000000000001E-3</v>
      </c>
      <c r="K21" s="76">
        <v>8.0000000000000004E-4</v>
      </c>
      <c r="L21" s="31"/>
    </row>
    <row r="22" spans="1:12" ht="13.8" thickBot="1" x14ac:dyDescent="0.3">
      <c r="A22" s="160" t="s">
        <v>9</v>
      </c>
      <c r="B22" s="133">
        <v>0</v>
      </c>
      <c r="C22" s="136">
        <v>2.5100000000000001E-2</v>
      </c>
      <c r="D22" s="136">
        <v>2.7900000000000001E-2</v>
      </c>
      <c r="E22" s="136">
        <v>3.0200000000000001E-2</v>
      </c>
      <c r="F22" s="359">
        <v>3.3799999999999997E-2</v>
      </c>
      <c r="G22" s="133">
        <v>0</v>
      </c>
      <c r="H22" s="136">
        <v>3.7600000000000001E-2</v>
      </c>
      <c r="I22" s="136">
        <v>3.2599999999999997E-2</v>
      </c>
      <c r="J22" s="136">
        <v>2.8199999999999999E-2</v>
      </c>
      <c r="K22" s="136">
        <v>2.6499999999999999E-2</v>
      </c>
      <c r="L22" s="31"/>
    </row>
    <row r="23" spans="1:12" ht="13.8" thickTop="1" x14ac:dyDescent="0.25">
      <c r="A23" s="64"/>
      <c r="B23" s="13"/>
      <c r="C23" s="13"/>
      <c r="D23" s="118"/>
      <c r="E23" s="118"/>
      <c r="F23" s="118"/>
      <c r="G23" s="19"/>
      <c r="H23" s="1"/>
      <c r="I23" s="1"/>
      <c r="J23" s="1"/>
      <c r="K23" s="1"/>
    </row>
    <row r="24" spans="1:12" x14ac:dyDescent="0.25">
      <c r="A24" s="64" t="s">
        <v>10</v>
      </c>
      <c r="B24" s="115">
        <v>0</v>
      </c>
      <c r="C24" s="31">
        <v>1.67E-2</v>
      </c>
      <c r="D24" s="76">
        <v>1.5900000000000001E-2</v>
      </c>
      <c r="E24" s="76">
        <v>1.54E-2</v>
      </c>
      <c r="F24" s="205">
        <v>1.44E-2</v>
      </c>
      <c r="G24" s="115">
        <v>0</v>
      </c>
      <c r="H24" s="31">
        <v>1.4999999999999999E-2</v>
      </c>
      <c r="I24" s="31">
        <v>1.47E-2</v>
      </c>
      <c r="J24" s="31">
        <v>1.29E-2</v>
      </c>
      <c r="K24" s="31">
        <v>1.23E-2</v>
      </c>
    </row>
    <row r="25" spans="1:12" x14ac:dyDescent="0.25">
      <c r="A25" s="64" t="s">
        <v>11</v>
      </c>
      <c r="B25" s="13"/>
      <c r="C25" s="1"/>
      <c r="D25" s="121"/>
      <c r="E25" s="121"/>
      <c r="F25" s="171"/>
      <c r="G25" s="19"/>
      <c r="H25" s="1"/>
      <c r="I25" s="1"/>
      <c r="J25" s="1"/>
      <c r="K25" s="1"/>
    </row>
    <row r="26" spans="1:12" x14ac:dyDescent="0.25">
      <c r="A26" s="172" t="s">
        <v>12</v>
      </c>
      <c r="B26" s="115">
        <v>0</v>
      </c>
      <c r="C26" s="76">
        <v>0.71740000000000004</v>
      </c>
      <c r="D26" s="76">
        <v>0.60780000000000001</v>
      </c>
      <c r="E26" s="76">
        <v>0.57640000000000002</v>
      </c>
      <c r="F26" s="205">
        <v>0.49940000000000001</v>
      </c>
      <c r="G26" s="115">
        <v>0</v>
      </c>
      <c r="H26" s="76">
        <v>0.46949999999999997</v>
      </c>
      <c r="I26" s="76">
        <v>0.52780000000000005</v>
      </c>
      <c r="J26" s="76">
        <v>0.53690000000000004</v>
      </c>
      <c r="K26" s="76">
        <v>0.50309999999999999</v>
      </c>
    </row>
    <row r="27" spans="1:12" x14ac:dyDescent="0.25">
      <c r="A27" s="64" t="s">
        <v>11</v>
      </c>
      <c r="B27" s="1"/>
      <c r="C27" s="1"/>
      <c r="D27" s="121"/>
      <c r="E27" s="121"/>
      <c r="F27" s="171"/>
      <c r="G27" s="34"/>
      <c r="H27" s="1"/>
      <c r="I27" s="1"/>
      <c r="J27" s="1"/>
      <c r="K27" s="121"/>
    </row>
    <row r="28" spans="1:12" x14ac:dyDescent="0.25">
      <c r="A28" s="172" t="s">
        <v>192</v>
      </c>
      <c r="B28" s="115">
        <v>0</v>
      </c>
      <c r="C28" s="76">
        <v>0.68279999999999996</v>
      </c>
      <c r="D28" s="76">
        <v>0.58430000000000004</v>
      </c>
      <c r="E28" s="76">
        <v>0.52959999999999996</v>
      </c>
      <c r="F28" s="205">
        <v>0.4335</v>
      </c>
      <c r="G28" s="115">
        <v>0</v>
      </c>
      <c r="H28" s="76">
        <v>0.41099999999999998</v>
      </c>
      <c r="I28" s="76">
        <v>0.46100000000000002</v>
      </c>
      <c r="J28" s="76">
        <v>0.47599999999999998</v>
      </c>
      <c r="K28" s="76">
        <v>0.48039999999999999</v>
      </c>
    </row>
    <row r="29" spans="1:12" x14ac:dyDescent="0.25">
      <c r="A29" s="64" t="s">
        <v>40</v>
      </c>
      <c r="B29" s="76">
        <v>9.2999999999999992E-3</v>
      </c>
      <c r="C29" s="76">
        <v>8.6E-3</v>
      </c>
      <c r="D29" s="76">
        <v>6.4999999999999997E-3</v>
      </c>
      <c r="E29" s="76">
        <v>1.0500000000000001E-2</v>
      </c>
      <c r="F29" s="205">
        <v>1.1599999999999999E-2</v>
      </c>
      <c r="G29" s="76">
        <v>1.41E-2</v>
      </c>
      <c r="H29" s="76">
        <v>1.8800000000000001E-2</v>
      </c>
      <c r="I29" s="76">
        <v>1.1900000000000001E-2</v>
      </c>
      <c r="J29" s="76">
        <v>1.52E-2</v>
      </c>
      <c r="K29" s="31">
        <v>1.09E-2</v>
      </c>
    </row>
    <row r="30" spans="1:12" x14ac:dyDescent="0.25">
      <c r="A30" s="64"/>
      <c r="B30" s="1"/>
      <c r="C30" s="1"/>
      <c r="D30" s="121"/>
      <c r="E30" s="121"/>
      <c r="F30" s="171"/>
      <c r="G30" s="1"/>
      <c r="H30" s="1"/>
      <c r="I30" s="1"/>
      <c r="J30" s="1"/>
      <c r="K30" s="1"/>
    </row>
    <row r="31" spans="1:12" ht="13.8" thickBot="1" x14ac:dyDescent="0.3">
      <c r="A31" s="173" t="s">
        <v>121</v>
      </c>
      <c r="B31" s="99">
        <v>8.8599999999999998E-2</v>
      </c>
      <c r="C31" s="99">
        <v>8.3699999999999997E-2</v>
      </c>
      <c r="D31" s="99">
        <v>8.2199999999999995E-2</v>
      </c>
      <c r="E31" s="99">
        <v>8.9499999999999996E-2</v>
      </c>
      <c r="F31" s="360">
        <v>8.8900000000000007E-2</v>
      </c>
      <c r="G31" s="99">
        <v>8.9499999999999996E-2</v>
      </c>
      <c r="H31" s="99">
        <v>9.2499999999999999E-2</v>
      </c>
      <c r="I31" s="99">
        <v>9.06E-2</v>
      </c>
      <c r="J31" s="99">
        <v>8.9300000000000004E-2</v>
      </c>
      <c r="K31" s="99">
        <v>8.6099999999999996E-2</v>
      </c>
    </row>
    <row r="32" spans="1:12" ht="13.8" thickTop="1" x14ac:dyDescent="0.25">
      <c r="A32" s="174"/>
      <c r="B32" s="289"/>
      <c r="C32" s="289"/>
      <c r="D32" s="375"/>
      <c r="E32" s="375"/>
      <c r="F32" s="376"/>
      <c r="G32" s="289"/>
      <c r="H32" s="289"/>
      <c r="I32" s="289"/>
      <c r="J32" s="289"/>
      <c r="K32" s="289"/>
    </row>
    <row r="33" spans="1:24" x14ac:dyDescent="0.25">
      <c r="A33" s="64" t="s">
        <v>193</v>
      </c>
      <c r="B33" s="13"/>
      <c r="C33" s="13"/>
      <c r="D33" s="118"/>
      <c r="E33" s="118"/>
      <c r="F33" s="171"/>
      <c r="G33" s="13"/>
      <c r="H33" s="13"/>
      <c r="I33" s="13"/>
      <c r="J33" s="13"/>
      <c r="K33" s="13"/>
    </row>
    <row r="34" spans="1:24" x14ac:dyDescent="0.25">
      <c r="A34" s="174"/>
      <c r="B34" s="289"/>
      <c r="C34" s="289"/>
      <c r="D34" s="375"/>
      <c r="E34" s="375"/>
      <c r="F34" s="377"/>
      <c r="G34" s="289"/>
      <c r="H34" s="289"/>
      <c r="I34" s="289"/>
      <c r="J34" s="289"/>
      <c r="K34" s="289"/>
    </row>
    <row r="35" spans="1:24" x14ac:dyDescent="0.25">
      <c r="A35" s="64" t="s">
        <v>275</v>
      </c>
      <c r="B35" s="115">
        <v>0</v>
      </c>
      <c r="C35" s="73">
        <v>1.6908000000000001</v>
      </c>
      <c r="D35" s="86">
        <v>1.026</v>
      </c>
      <c r="E35" s="86">
        <v>1.0412999999999999</v>
      </c>
      <c r="F35" s="205">
        <v>1.0364</v>
      </c>
      <c r="G35" s="115">
        <v>0</v>
      </c>
      <c r="H35" s="73">
        <v>1.0299</v>
      </c>
      <c r="I35" s="73">
        <v>1.0338000000000001</v>
      </c>
      <c r="J35" s="73">
        <v>1.0119</v>
      </c>
      <c r="K35" s="76">
        <v>0.997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64" t="s">
        <v>161</v>
      </c>
      <c r="B36" s="210">
        <v>0.57899999999999996</v>
      </c>
      <c r="C36" s="210">
        <v>0.39300000000000002</v>
      </c>
      <c r="D36" s="210">
        <v>0.44</v>
      </c>
      <c r="E36" s="86">
        <v>0.78600000000000003</v>
      </c>
      <c r="F36" s="205">
        <v>1.222</v>
      </c>
      <c r="G36" s="210">
        <v>0.89800000000000002</v>
      </c>
      <c r="H36" s="210">
        <v>-1.833</v>
      </c>
      <c r="I36" s="210">
        <v>1.571</v>
      </c>
      <c r="J36" s="86">
        <v>0.64700000000000002</v>
      </c>
      <c r="K36" s="205">
        <v>0.34399999999999997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8" thickBot="1" x14ac:dyDescent="0.3">
      <c r="A37" s="173" t="s">
        <v>194</v>
      </c>
      <c r="B37" s="315">
        <v>1.0511999999999999</v>
      </c>
      <c r="C37" s="315">
        <v>1.0347</v>
      </c>
      <c r="D37" s="361">
        <v>1.0671999999999999</v>
      </c>
      <c r="E37" s="99">
        <v>1.095</v>
      </c>
      <c r="F37" s="360">
        <v>1.0015000000000001</v>
      </c>
      <c r="G37" s="361">
        <v>0.99790000000000001</v>
      </c>
      <c r="H37" s="361">
        <v>0.9819</v>
      </c>
      <c r="I37" s="361">
        <v>0.96450000000000002</v>
      </c>
      <c r="J37" s="99">
        <v>1.0051000000000001</v>
      </c>
      <c r="K37" s="360">
        <v>1.0374000000000001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8" thickTop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 t="s">
        <v>120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 t="s">
        <v>270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</sheetData>
  <mergeCells count="2">
    <mergeCell ref="B5:F5"/>
    <mergeCell ref="G5:K5"/>
  </mergeCells>
  <phoneticPr fontId="0" type="noConversion"/>
  <printOptions horizontalCentered="1"/>
  <pageMargins left="0" right="0" top="0.25" bottom="0" header="0" footer="0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zoomScaleNormal="100" workbookViewId="0">
      <selection activeCell="G15" sqref="G15"/>
    </sheetView>
  </sheetViews>
  <sheetFormatPr defaultRowHeight="13.2" x14ac:dyDescent="0.25"/>
  <cols>
    <col min="1" max="1" width="6" customWidth="1"/>
    <col min="2" max="2" width="10.88671875" customWidth="1"/>
    <col min="3" max="3" width="12.5546875" customWidth="1"/>
    <col min="4" max="4" width="12.33203125" customWidth="1"/>
    <col min="5" max="5" width="10.88671875" customWidth="1"/>
  </cols>
  <sheetData>
    <row r="1" spans="1:5" x14ac:dyDescent="0.25">
      <c r="A1" s="391" t="s">
        <v>209</v>
      </c>
      <c r="B1" s="391"/>
      <c r="C1" s="391"/>
      <c r="D1" s="391"/>
      <c r="E1" s="391"/>
    </row>
    <row r="2" spans="1:5" ht="13.8" thickBot="1" x14ac:dyDescent="0.3">
      <c r="A2" s="408" t="s">
        <v>100</v>
      </c>
      <c r="B2" s="408"/>
      <c r="C2" s="408"/>
      <c r="D2" s="408"/>
      <c r="E2" s="408"/>
    </row>
    <row r="3" spans="1:5" x14ac:dyDescent="0.25">
      <c r="A3" s="62"/>
      <c r="B3" s="62"/>
      <c r="C3" s="62"/>
      <c r="D3" s="62"/>
      <c r="E3" s="62"/>
    </row>
    <row r="4" spans="1:5" ht="13.8" thickBot="1" x14ac:dyDescent="0.3">
      <c r="A4" s="13"/>
      <c r="B4" s="13"/>
      <c r="C4" s="393" t="s">
        <v>218</v>
      </c>
      <c r="D4" s="393"/>
      <c r="E4" s="13"/>
    </row>
    <row r="5" spans="1:5" x14ac:dyDescent="0.25">
      <c r="A5" s="181"/>
      <c r="B5" s="182"/>
      <c r="C5" s="182"/>
      <c r="D5" s="182"/>
      <c r="E5" s="183" t="s">
        <v>106</v>
      </c>
    </row>
    <row r="6" spans="1:5" ht="13.8" thickBot="1" x14ac:dyDescent="0.3">
      <c r="A6" s="184"/>
      <c r="B6" s="11" t="s">
        <v>5</v>
      </c>
      <c r="C6" s="11" t="s">
        <v>103</v>
      </c>
      <c r="D6" s="11" t="s">
        <v>104</v>
      </c>
      <c r="E6" s="185" t="s">
        <v>105</v>
      </c>
    </row>
    <row r="7" spans="1:5" ht="13.8" thickBot="1" x14ac:dyDescent="0.3">
      <c r="A7" s="11"/>
      <c r="B7" s="11"/>
      <c r="C7" s="11"/>
      <c r="D7" s="11"/>
      <c r="E7" s="11"/>
    </row>
    <row r="8" spans="1:5" ht="13.8" thickBot="1" x14ac:dyDescent="0.3"/>
    <row r="9" spans="1:5" x14ac:dyDescent="0.25">
      <c r="A9" s="294">
        <v>2003</v>
      </c>
      <c r="B9" s="294"/>
      <c r="C9" s="294"/>
      <c r="D9" s="294"/>
      <c r="E9" s="294"/>
    </row>
    <row r="10" spans="1:5" x14ac:dyDescent="0.25">
      <c r="A10" s="13"/>
      <c r="B10" s="1" t="s">
        <v>107</v>
      </c>
      <c r="C10" s="83">
        <v>14.02</v>
      </c>
      <c r="D10" s="83">
        <v>12.29</v>
      </c>
      <c r="E10" s="189">
        <v>0.11</v>
      </c>
    </row>
    <row r="11" spans="1:5" x14ac:dyDescent="0.25">
      <c r="A11" s="13"/>
      <c r="B11" s="1" t="s">
        <v>108</v>
      </c>
      <c r="C11" s="186">
        <v>16.52</v>
      </c>
      <c r="D11" s="186">
        <v>13.3</v>
      </c>
      <c r="E11" s="189">
        <v>0.11</v>
      </c>
    </row>
    <row r="12" spans="1:5" x14ac:dyDescent="0.25">
      <c r="A12" s="13"/>
      <c r="B12" s="1" t="s">
        <v>109</v>
      </c>
      <c r="C12" s="186">
        <v>20.149999999999999</v>
      </c>
      <c r="D12" s="186">
        <v>16.11</v>
      </c>
      <c r="E12" s="189">
        <v>0.11</v>
      </c>
    </row>
    <row r="13" spans="1:5" x14ac:dyDescent="0.25">
      <c r="A13" s="7"/>
      <c r="B13" s="7" t="s">
        <v>110</v>
      </c>
      <c r="C13" s="322">
        <v>25.99</v>
      </c>
      <c r="D13" s="322">
        <v>19.190000000000001</v>
      </c>
      <c r="E13" s="293">
        <v>0.11</v>
      </c>
    </row>
    <row r="14" spans="1:5" ht="13.8" thickBot="1" x14ac:dyDescent="0.3">
      <c r="A14" s="13"/>
      <c r="B14" s="13"/>
      <c r="C14" s="13"/>
      <c r="D14" s="13"/>
      <c r="E14" s="13"/>
    </row>
    <row r="15" spans="1:5" x14ac:dyDescent="0.25">
      <c r="A15" s="294">
        <v>2002</v>
      </c>
      <c r="B15" s="294"/>
      <c r="C15" s="294"/>
      <c r="D15" s="294"/>
      <c r="E15" s="294"/>
    </row>
    <row r="16" spans="1:5" x14ac:dyDescent="0.25">
      <c r="A16" s="13"/>
      <c r="B16" s="1" t="s">
        <v>107</v>
      </c>
      <c r="C16" s="186">
        <v>18.600000000000001</v>
      </c>
      <c r="D16" s="186">
        <v>17.14</v>
      </c>
      <c r="E16" s="189">
        <v>0.11</v>
      </c>
    </row>
    <row r="17" spans="1:5" x14ac:dyDescent="0.25">
      <c r="A17" s="13"/>
      <c r="B17" s="1" t="s">
        <v>108</v>
      </c>
      <c r="C17" s="186">
        <v>19.670000000000002</v>
      </c>
      <c r="D17" s="186">
        <v>15.5</v>
      </c>
      <c r="E17" s="189">
        <v>0.11</v>
      </c>
    </row>
    <row r="18" spans="1:5" x14ac:dyDescent="0.25">
      <c r="A18" s="13"/>
      <c r="B18" s="1" t="s">
        <v>109</v>
      </c>
      <c r="C18" s="83">
        <v>18.05</v>
      </c>
      <c r="D18" s="83">
        <v>12</v>
      </c>
      <c r="E18" s="189">
        <v>0.11</v>
      </c>
    </row>
    <row r="19" spans="1:5" x14ac:dyDescent="0.25">
      <c r="A19" s="7"/>
      <c r="B19" s="7" t="s">
        <v>110</v>
      </c>
      <c r="C19" s="322">
        <v>13.96</v>
      </c>
      <c r="D19" s="322">
        <v>11.42</v>
      </c>
      <c r="E19" s="293">
        <v>0.11</v>
      </c>
    </row>
    <row r="20" spans="1:5" ht="13.8" thickBot="1" x14ac:dyDescent="0.3">
      <c r="A20" s="13"/>
      <c r="B20" s="13"/>
      <c r="C20" s="83"/>
      <c r="D20" s="83"/>
      <c r="E20" s="189"/>
    </row>
    <row r="21" spans="1:5" x14ac:dyDescent="0.25">
      <c r="A21" s="294">
        <v>2001</v>
      </c>
      <c r="B21" s="294"/>
      <c r="C21" s="294"/>
      <c r="D21" s="294"/>
      <c r="E21" s="294"/>
    </row>
    <row r="22" spans="1:5" x14ac:dyDescent="0.25">
      <c r="A22" s="13"/>
      <c r="B22" s="1" t="s">
        <v>107</v>
      </c>
      <c r="C22" s="186">
        <v>17.95</v>
      </c>
      <c r="D22" s="186">
        <v>16.989999999999998</v>
      </c>
      <c r="E22" s="189">
        <v>0.11</v>
      </c>
    </row>
    <row r="23" spans="1:5" x14ac:dyDescent="0.25">
      <c r="A23" s="13"/>
      <c r="B23" s="1" t="s">
        <v>108</v>
      </c>
      <c r="C23" s="83">
        <v>17.95</v>
      </c>
      <c r="D23" s="83">
        <v>17.010000000000002</v>
      </c>
      <c r="E23" s="189">
        <v>0.11</v>
      </c>
    </row>
    <row r="24" spans="1:5" x14ac:dyDescent="0.25">
      <c r="A24" s="13"/>
      <c r="B24" s="1" t="s">
        <v>109</v>
      </c>
      <c r="C24" s="83">
        <v>18.149999999999999</v>
      </c>
      <c r="D24" s="83">
        <v>16.91</v>
      </c>
      <c r="E24" s="189">
        <v>0.11</v>
      </c>
    </row>
    <row r="25" spans="1:5" x14ac:dyDescent="0.25">
      <c r="A25" s="7"/>
      <c r="B25" s="7" t="s">
        <v>110</v>
      </c>
      <c r="C25" s="83">
        <v>18.14</v>
      </c>
      <c r="D25" s="83">
        <v>17</v>
      </c>
      <c r="E25" s="189">
        <v>0.11</v>
      </c>
    </row>
    <row r="26" spans="1:5" ht="13.8" thickBot="1" x14ac:dyDescent="0.3">
      <c r="A26" s="21"/>
      <c r="B26" s="21"/>
      <c r="C26" s="21"/>
      <c r="D26" s="21"/>
      <c r="E26" s="21"/>
    </row>
    <row r="27" spans="1:5" x14ac:dyDescent="0.25">
      <c r="A27" s="7">
        <v>2000</v>
      </c>
      <c r="B27" s="7"/>
      <c r="C27" s="7"/>
      <c r="D27" s="7"/>
      <c r="E27" s="7"/>
    </row>
    <row r="28" spans="1:5" x14ac:dyDescent="0.25">
      <c r="A28" s="13"/>
      <c r="B28" s="1" t="s">
        <v>107</v>
      </c>
      <c r="C28" s="186">
        <v>15.45</v>
      </c>
      <c r="D28" s="186">
        <v>10.68</v>
      </c>
      <c r="E28" s="33">
        <v>0.11</v>
      </c>
    </row>
    <row r="29" spans="1:5" x14ac:dyDescent="0.25">
      <c r="A29" s="13"/>
      <c r="B29" s="1" t="s">
        <v>108</v>
      </c>
      <c r="C29" s="83">
        <v>12.39</v>
      </c>
      <c r="D29" s="83">
        <v>10.68</v>
      </c>
      <c r="E29" s="33">
        <v>0.11</v>
      </c>
    </row>
    <row r="30" spans="1:5" x14ac:dyDescent="0.25">
      <c r="A30" s="13"/>
      <c r="B30" s="1" t="s">
        <v>109</v>
      </c>
      <c r="C30" s="83">
        <v>15</v>
      </c>
      <c r="D30" s="83">
        <v>10.34</v>
      </c>
      <c r="E30" s="33">
        <v>0.11</v>
      </c>
    </row>
    <row r="31" spans="1:5" x14ac:dyDescent="0.25">
      <c r="A31" s="7"/>
      <c r="B31" s="7" t="s">
        <v>110</v>
      </c>
      <c r="C31" s="336">
        <v>17.61</v>
      </c>
      <c r="D31" s="336">
        <v>12.5</v>
      </c>
      <c r="E31" s="188">
        <v>0.11</v>
      </c>
    </row>
    <row r="32" spans="1:5" ht="13.8" hidden="1" thickBot="1" x14ac:dyDescent="0.3">
      <c r="A32" s="21"/>
      <c r="B32" s="21"/>
      <c r="C32" s="21"/>
      <c r="D32" s="21"/>
      <c r="E32" s="21"/>
    </row>
    <row r="33" spans="1:5" hidden="1" x14ac:dyDescent="0.25">
      <c r="A33" s="187">
        <v>1999</v>
      </c>
      <c r="B33" s="7"/>
      <c r="C33" s="7"/>
      <c r="D33" s="7"/>
      <c r="E33" s="188"/>
    </row>
    <row r="34" spans="1:5" hidden="1" x14ac:dyDescent="0.25">
      <c r="A34" s="1"/>
      <c r="B34" s="1" t="s">
        <v>107</v>
      </c>
      <c r="C34" s="83">
        <v>20.113199999999999</v>
      </c>
      <c r="D34" s="83">
        <v>17.726500000000001</v>
      </c>
      <c r="E34" s="33">
        <v>0.11</v>
      </c>
    </row>
    <row r="35" spans="1:5" hidden="1" x14ac:dyDescent="0.25">
      <c r="A35" s="1"/>
      <c r="B35" s="1" t="s">
        <v>108</v>
      </c>
      <c r="C35" s="83">
        <v>18.183499999999999</v>
      </c>
      <c r="D35" s="83">
        <v>15.511699999999999</v>
      </c>
      <c r="E35" s="33">
        <v>0.11</v>
      </c>
    </row>
    <row r="36" spans="1:5" hidden="1" x14ac:dyDescent="0.25">
      <c r="A36" s="1"/>
      <c r="B36" s="1" t="s">
        <v>109</v>
      </c>
      <c r="C36" s="83">
        <v>17.7851</v>
      </c>
      <c r="D36" s="83">
        <v>15.3398</v>
      </c>
      <c r="E36" s="33">
        <v>0.11</v>
      </c>
    </row>
    <row r="37" spans="1:5" hidden="1" x14ac:dyDescent="0.25">
      <c r="A37" s="1"/>
      <c r="B37" s="1" t="s">
        <v>110</v>
      </c>
      <c r="C37" s="83">
        <v>17.273399999999999</v>
      </c>
      <c r="D37" s="83">
        <v>13.6914</v>
      </c>
      <c r="E37" s="33">
        <v>0.11</v>
      </c>
    </row>
    <row r="38" spans="1:5" ht="13.8" hidden="1" thickBot="1" x14ac:dyDescent="0.3">
      <c r="A38" s="21"/>
      <c r="B38" s="21"/>
      <c r="C38" s="21"/>
      <c r="D38" s="21"/>
      <c r="E38" s="21"/>
    </row>
    <row r="39" spans="1:5" hidden="1" x14ac:dyDescent="0.25">
      <c r="A39" s="25">
        <v>1998</v>
      </c>
      <c r="B39" s="17"/>
      <c r="C39" s="17"/>
      <c r="D39" s="17"/>
      <c r="E39" s="57"/>
    </row>
    <row r="40" spans="1:5" hidden="1" x14ac:dyDescent="0.25">
      <c r="A40" s="1"/>
      <c r="B40" s="1" t="s">
        <v>107</v>
      </c>
      <c r="C40" s="33">
        <v>0</v>
      </c>
      <c r="D40" s="33">
        <v>0</v>
      </c>
      <c r="E40" s="33">
        <v>0</v>
      </c>
    </row>
    <row r="41" spans="1:5" hidden="1" x14ac:dyDescent="0.25">
      <c r="A41" s="1"/>
      <c r="B41" s="1" t="s">
        <v>108</v>
      </c>
      <c r="C41" s="33">
        <v>0</v>
      </c>
      <c r="D41" s="33">
        <v>0</v>
      </c>
      <c r="E41" s="33">
        <f>75001482.47/38122651</f>
        <v>1.9673732152047874</v>
      </c>
    </row>
    <row r="42" spans="1:5" hidden="1" x14ac:dyDescent="0.25">
      <c r="A42" s="1"/>
      <c r="B42" s="1" t="s">
        <v>109</v>
      </c>
      <c r="C42" s="33">
        <v>0</v>
      </c>
      <c r="D42" s="33">
        <v>0</v>
      </c>
      <c r="E42" s="33">
        <v>0</v>
      </c>
    </row>
    <row r="43" spans="1:5" hidden="1" x14ac:dyDescent="0.25">
      <c r="A43" s="1"/>
      <c r="B43" s="1" t="s">
        <v>219</v>
      </c>
      <c r="C43" s="84">
        <v>21.078099999999999</v>
      </c>
      <c r="D43" s="84">
        <v>19.433499999999999</v>
      </c>
      <c r="E43" s="33">
        <v>0</v>
      </c>
    </row>
    <row r="44" spans="1:5" ht="13.8" hidden="1" thickBot="1" x14ac:dyDescent="0.3">
      <c r="A44" s="21"/>
      <c r="B44" s="21"/>
      <c r="C44" s="21"/>
      <c r="D44" s="21"/>
      <c r="E44" s="21"/>
    </row>
    <row r="45" spans="1:5" hidden="1" x14ac:dyDescent="0.25">
      <c r="A45" s="25">
        <v>1997</v>
      </c>
      <c r="B45" s="17"/>
      <c r="C45" s="17"/>
      <c r="D45" s="17"/>
      <c r="E45" s="57"/>
    </row>
    <row r="46" spans="1:5" hidden="1" x14ac:dyDescent="0.25">
      <c r="A46" s="1"/>
      <c r="B46" s="1" t="s">
        <v>107</v>
      </c>
      <c r="C46" s="33">
        <v>0</v>
      </c>
      <c r="D46" s="33">
        <v>0</v>
      </c>
      <c r="E46" s="33">
        <v>0</v>
      </c>
    </row>
    <row r="47" spans="1:5" hidden="1" x14ac:dyDescent="0.25">
      <c r="A47" s="1"/>
      <c r="B47" s="1" t="s">
        <v>108</v>
      </c>
      <c r="C47" s="33">
        <v>0</v>
      </c>
      <c r="D47" s="33">
        <v>0</v>
      </c>
      <c r="E47" s="33">
        <v>0</v>
      </c>
    </row>
    <row r="48" spans="1:5" hidden="1" x14ac:dyDescent="0.25">
      <c r="A48" s="1"/>
      <c r="B48" s="1" t="s">
        <v>109</v>
      </c>
      <c r="C48" s="33">
        <v>0</v>
      </c>
      <c r="D48" s="33">
        <v>0</v>
      </c>
      <c r="E48" s="33">
        <v>0</v>
      </c>
    </row>
    <row r="49" spans="1:5" hidden="1" x14ac:dyDescent="0.25">
      <c r="A49" s="1"/>
      <c r="B49" s="1" t="s">
        <v>110</v>
      </c>
      <c r="C49" s="33">
        <v>0</v>
      </c>
      <c r="D49" s="33">
        <v>0</v>
      </c>
      <c r="E49" s="33">
        <v>0</v>
      </c>
    </row>
    <row r="50" spans="1:5" ht="13.8" hidden="1" thickBot="1" x14ac:dyDescent="0.3">
      <c r="A50" s="21"/>
      <c r="B50" s="21"/>
      <c r="C50" s="21"/>
      <c r="D50" s="21"/>
      <c r="E50" s="21"/>
    </row>
    <row r="52" spans="1:5" x14ac:dyDescent="0.25">
      <c r="A52" t="s">
        <v>282</v>
      </c>
    </row>
    <row r="53" spans="1:5" x14ac:dyDescent="0.25">
      <c r="A53" t="s">
        <v>220</v>
      </c>
    </row>
  </sheetData>
  <mergeCells count="3">
    <mergeCell ref="A2:E2"/>
    <mergeCell ref="A1:E1"/>
    <mergeCell ref="C4:D4"/>
  </mergeCells>
  <phoneticPr fontId="0" type="noConversion"/>
  <printOptions horizontalCentered="1"/>
  <pageMargins left="0.75" right="0.75" top="0.5" bottom="0.5" header="0.5" footer="0.5"/>
  <pageSetup scale="8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zoomScaleNormal="100" workbookViewId="0">
      <selection sqref="A1:F1"/>
    </sheetView>
  </sheetViews>
  <sheetFormatPr defaultRowHeight="13.2" x14ac:dyDescent="0.25"/>
  <cols>
    <col min="1" max="1" width="31.33203125" customWidth="1"/>
    <col min="2" max="6" width="10.5546875" customWidth="1"/>
  </cols>
  <sheetData>
    <row r="1" spans="1:16" x14ac:dyDescent="0.25">
      <c r="A1" s="391" t="s">
        <v>209</v>
      </c>
      <c r="B1" s="391"/>
      <c r="C1" s="391"/>
      <c r="D1" s="391"/>
      <c r="E1" s="391"/>
      <c r="F1" s="391"/>
    </row>
    <row r="2" spans="1:16" x14ac:dyDescent="0.25">
      <c r="A2" s="391" t="s">
        <v>112</v>
      </c>
      <c r="B2" s="391"/>
      <c r="C2" s="391"/>
      <c r="D2" s="391"/>
      <c r="E2" s="391"/>
      <c r="F2" s="391"/>
    </row>
    <row r="3" spans="1:16" x14ac:dyDescent="0.25">
      <c r="A3" s="338"/>
    </row>
    <row r="4" spans="1:16" x14ac:dyDescent="0.25">
      <c r="A4" s="4" t="s">
        <v>204</v>
      </c>
      <c r="B4" s="1"/>
      <c r="C4" s="1"/>
      <c r="D4" s="1"/>
      <c r="E4" s="1"/>
      <c r="F4" s="1"/>
      <c r="G4" s="1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5">
      <c r="A5" s="5"/>
      <c r="B5" s="6" t="s">
        <v>1</v>
      </c>
      <c r="C5" s="6" t="s">
        <v>4</v>
      </c>
      <c r="D5" s="6" t="s">
        <v>2</v>
      </c>
      <c r="E5" s="6" t="s">
        <v>3</v>
      </c>
      <c r="F5" s="5"/>
      <c r="G5" s="1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25">
      <c r="A6" s="13"/>
      <c r="B6" s="62" t="s">
        <v>5</v>
      </c>
      <c r="C6" s="62" t="s">
        <v>5</v>
      </c>
      <c r="D6" s="62" t="s">
        <v>5</v>
      </c>
      <c r="E6" s="62" t="s">
        <v>5</v>
      </c>
      <c r="F6" s="62" t="s">
        <v>13</v>
      </c>
      <c r="G6" s="1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5">
      <c r="A7" s="9">
        <v>2003</v>
      </c>
      <c r="B7" s="316">
        <v>0.28000000000000003</v>
      </c>
      <c r="C7" s="362">
        <v>0.25</v>
      </c>
      <c r="D7" s="362">
        <v>0.14000000000000001</v>
      </c>
      <c r="E7" s="362">
        <v>0.09</v>
      </c>
      <c r="F7" s="362">
        <f>SUM(B7:E7)</f>
        <v>0.76</v>
      </c>
      <c r="G7" s="1"/>
      <c r="H7" s="12"/>
      <c r="I7" s="12"/>
      <c r="J7" s="12"/>
      <c r="K7" s="12"/>
      <c r="L7" s="12"/>
      <c r="M7" s="12"/>
      <c r="N7" s="12"/>
      <c r="O7" s="12"/>
      <c r="P7" s="12"/>
    </row>
    <row r="8" spans="1:16" ht="13.8" thickBot="1" x14ac:dyDescent="0.3">
      <c r="A8" s="10">
        <v>2002</v>
      </c>
      <c r="B8" s="373">
        <v>-0.06</v>
      </c>
      <c r="C8" s="378">
        <v>7.0000000000000007E-2</v>
      </c>
      <c r="D8" s="378">
        <v>0.17</v>
      </c>
      <c r="E8" s="378">
        <v>0.31</v>
      </c>
      <c r="F8" s="379">
        <f>SUM(B8:E8)</f>
        <v>0.49</v>
      </c>
      <c r="G8" s="1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5">
      <c r="A9" s="1"/>
      <c r="B9" s="1"/>
      <c r="C9" s="1"/>
      <c r="D9" s="1"/>
      <c r="E9" s="1"/>
      <c r="F9" s="1"/>
      <c r="G9" s="1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5">
      <c r="A10" s="1" t="s">
        <v>269</v>
      </c>
      <c r="B10" s="1"/>
      <c r="C10" s="1"/>
      <c r="D10" s="1"/>
      <c r="E10" s="1"/>
      <c r="F10" s="1"/>
      <c r="G10" s="1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5">
      <c r="A11" s="1"/>
      <c r="B11" s="1"/>
      <c r="C11" s="1"/>
      <c r="D11" s="1"/>
      <c r="E11" s="1"/>
      <c r="F11" s="1"/>
      <c r="G11" s="1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5">
      <c r="A12" s="4" t="s">
        <v>207</v>
      </c>
      <c r="B12" s="1"/>
      <c r="C12" s="1"/>
      <c r="D12" s="1"/>
      <c r="E12" s="1"/>
      <c r="F12" s="1"/>
      <c r="G12" s="1"/>
      <c r="H12" s="12"/>
      <c r="I12" s="12"/>
      <c r="J12" s="12"/>
      <c r="K12" s="12"/>
      <c r="L12" s="12"/>
      <c r="M12" s="12"/>
      <c r="N12" s="12"/>
      <c r="O12" s="12"/>
      <c r="P12" s="12"/>
    </row>
    <row r="13" spans="1:16" x14ac:dyDescent="0.25">
      <c r="A13" s="5"/>
      <c r="B13" s="6" t="s">
        <v>1</v>
      </c>
      <c r="C13" s="6" t="s">
        <v>4</v>
      </c>
      <c r="D13" s="6" t="s">
        <v>2</v>
      </c>
      <c r="E13" s="6" t="s">
        <v>3</v>
      </c>
      <c r="F13" s="6" t="s">
        <v>14</v>
      </c>
      <c r="G13" s="1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25">
      <c r="A14" s="7"/>
      <c r="B14" s="8" t="s">
        <v>5</v>
      </c>
      <c r="C14" s="8" t="s">
        <v>5</v>
      </c>
      <c r="D14" s="8" t="s">
        <v>5</v>
      </c>
      <c r="E14" s="8" t="s">
        <v>5</v>
      </c>
      <c r="F14" s="8" t="s">
        <v>15</v>
      </c>
      <c r="G14" s="1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5">
      <c r="A15" s="9">
        <v>2003</v>
      </c>
      <c r="B15" s="137">
        <v>42398954</v>
      </c>
      <c r="C15" s="137">
        <v>42398954</v>
      </c>
      <c r="D15" s="137">
        <v>42398954</v>
      </c>
      <c r="E15" s="137">
        <v>42258960</v>
      </c>
      <c r="F15" s="137">
        <v>42428560</v>
      </c>
      <c r="G15" s="1"/>
      <c r="H15" s="12"/>
      <c r="I15" s="12"/>
      <c r="J15" s="12"/>
      <c r="K15" s="12"/>
      <c r="L15" s="12"/>
      <c r="M15" s="12"/>
      <c r="N15" s="12"/>
      <c r="O15" s="12"/>
      <c r="P15" s="12"/>
    </row>
    <row r="16" spans="1:16" ht="13.8" thickBot="1" x14ac:dyDescent="0.3">
      <c r="A16" s="10">
        <v>2002</v>
      </c>
      <c r="B16" s="369">
        <v>42700487</v>
      </c>
      <c r="C16" s="369">
        <v>43056336</v>
      </c>
      <c r="D16" s="369">
        <v>43280799</v>
      </c>
      <c r="E16" s="369">
        <v>43290204</v>
      </c>
      <c r="F16" s="369">
        <v>43070067</v>
      </c>
      <c r="G16" s="1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"/>
      <c r="B17" s="1"/>
      <c r="C17" s="1"/>
      <c r="D17" s="1"/>
      <c r="E17" s="1"/>
      <c r="F17" s="1"/>
      <c r="G17" s="1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" t="s">
        <v>269</v>
      </c>
      <c r="B18" s="1"/>
      <c r="C18" s="1"/>
      <c r="D18" s="1"/>
      <c r="E18" s="1"/>
      <c r="F18" s="1"/>
      <c r="G18" s="1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"/>
      <c r="B19" s="1"/>
      <c r="C19" s="1"/>
      <c r="D19" s="1"/>
      <c r="E19" s="1"/>
      <c r="F19" s="1"/>
      <c r="G19" s="1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4" t="s">
        <v>208</v>
      </c>
      <c r="B20" s="1"/>
      <c r="C20" s="1"/>
      <c r="D20" s="1"/>
      <c r="E20" s="1"/>
      <c r="F20" s="1"/>
      <c r="G20" s="1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5"/>
      <c r="B21" s="6" t="s">
        <v>1</v>
      </c>
      <c r="C21" s="6" t="s">
        <v>4</v>
      </c>
      <c r="D21" s="6" t="s">
        <v>2</v>
      </c>
      <c r="E21" s="6" t="s">
        <v>3</v>
      </c>
      <c r="F21" s="6"/>
      <c r="G21" s="1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7"/>
      <c r="B22" s="8" t="s">
        <v>5</v>
      </c>
      <c r="C22" s="8" t="s">
        <v>5</v>
      </c>
      <c r="D22" s="8" t="s">
        <v>5</v>
      </c>
      <c r="E22" s="8" t="s">
        <v>5</v>
      </c>
      <c r="F22" s="8"/>
      <c r="G22" s="1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9">
        <v>2003</v>
      </c>
      <c r="B23" s="363">
        <v>11.34</v>
      </c>
      <c r="C23" s="363">
        <v>12.38</v>
      </c>
      <c r="D23" s="363">
        <v>12.08</v>
      </c>
      <c r="E23" s="363">
        <v>12.09</v>
      </c>
      <c r="F23" s="62"/>
      <c r="G23" s="1"/>
      <c r="H23" s="12"/>
      <c r="I23" s="12"/>
      <c r="J23" s="12"/>
      <c r="K23" s="12"/>
      <c r="L23" s="12"/>
      <c r="M23" s="12"/>
      <c r="N23" s="12"/>
      <c r="O23" s="12"/>
      <c r="P23" s="12"/>
    </row>
    <row r="24" spans="1:16" ht="13.8" thickBot="1" x14ac:dyDescent="0.3">
      <c r="A24" s="10">
        <v>2002</v>
      </c>
      <c r="B24" s="374">
        <v>12.09</v>
      </c>
      <c r="C24" s="374">
        <v>12.4</v>
      </c>
      <c r="D24" s="374">
        <v>12.54</v>
      </c>
      <c r="E24" s="379">
        <v>12.43</v>
      </c>
      <c r="F24" s="358"/>
      <c r="G24" s="1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12"/>
      <c r="E25" s="12"/>
      <c r="F25" s="12"/>
      <c r="G25" s="12"/>
      <c r="H25" s="12"/>
    </row>
    <row r="26" spans="1:16" x14ac:dyDescent="0.25">
      <c r="A26" s="1" t="s">
        <v>269</v>
      </c>
      <c r="B26" s="12"/>
      <c r="C26" s="12"/>
      <c r="D26" s="12"/>
      <c r="E26" s="12"/>
      <c r="F26" s="12"/>
      <c r="G26" s="12"/>
      <c r="H26" s="12"/>
    </row>
    <row r="27" spans="1:16" x14ac:dyDescent="0.25">
      <c r="A27" s="12"/>
      <c r="B27" s="12"/>
      <c r="C27" s="12"/>
      <c r="D27" s="12"/>
      <c r="E27" s="12"/>
      <c r="F27" s="12"/>
      <c r="G27" s="12"/>
      <c r="H27" s="12"/>
    </row>
    <row r="28" spans="1:16" x14ac:dyDescent="0.25">
      <c r="A28" s="12"/>
      <c r="B28" s="12"/>
      <c r="C28" s="12"/>
      <c r="D28" s="12"/>
      <c r="E28" s="12"/>
      <c r="F28" s="12"/>
      <c r="G28" s="12"/>
      <c r="H28" s="12"/>
    </row>
    <row r="29" spans="1:16" x14ac:dyDescent="0.25">
      <c r="A29" s="12"/>
      <c r="B29" s="12"/>
      <c r="C29" s="12"/>
      <c r="D29" s="12"/>
      <c r="E29" s="12"/>
      <c r="F29" s="12"/>
      <c r="G29" s="12"/>
      <c r="H29" s="12"/>
    </row>
    <row r="30" spans="1:16" x14ac:dyDescent="0.25">
      <c r="A30" s="12"/>
      <c r="B30" s="12"/>
      <c r="C30" s="12"/>
      <c r="D30" s="12"/>
      <c r="E30" s="12"/>
      <c r="F30" s="12"/>
      <c r="G30" s="12"/>
      <c r="H30" s="12"/>
    </row>
    <row r="31" spans="1:16" x14ac:dyDescent="0.25">
      <c r="A31" s="12"/>
      <c r="B31" s="12"/>
      <c r="C31" s="12"/>
      <c r="D31" s="12"/>
      <c r="E31" s="12"/>
      <c r="F31" s="12"/>
      <c r="G31" s="12"/>
      <c r="H31" s="12"/>
    </row>
    <row r="32" spans="1:16" x14ac:dyDescent="0.25">
      <c r="A32" s="12"/>
      <c r="B32" s="12"/>
      <c r="C32" s="12"/>
      <c r="D32" s="12"/>
      <c r="E32" s="12"/>
      <c r="F32" s="12"/>
      <c r="G32" s="12"/>
      <c r="H32" s="12"/>
    </row>
    <row r="33" spans="1:8" x14ac:dyDescent="0.25">
      <c r="A33" s="12"/>
      <c r="B33" s="12"/>
      <c r="C33" s="12"/>
      <c r="D33" s="12"/>
      <c r="E33" s="12"/>
      <c r="F33" s="12"/>
      <c r="G33" s="12"/>
      <c r="H33" s="12"/>
    </row>
    <row r="34" spans="1:8" x14ac:dyDescent="0.25">
      <c r="A34" s="12"/>
      <c r="B34" s="12"/>
      <c r="C34" s="12"/>
      <c r="D34" s="12"/>
      <c r="E34" s="12"/>
      <c r="F34" s="12"/>
      <c r="G34" s="12"/>
      <c r="H34" s="12"/>
    </row>
    <row r="35" spans="1:8" x14ac:dyDescent="0.25">
      <c r="A35" s="12"/>
      <c r="B35" s="12"/>
      <c r="C35" s="12"/>
      <c r="D35" s="12"/>
      <c r="E35" s="12"/>
      <c r="F35" s="12"/>
      <c r="G35" s="12"/>
      <c r="H35" s="12"/>
    </row>
    <row r="36" spans="1:8" x14ac:dyDescent="0.25">
      <c r="A36" s="12"/>
      <c r="B36" s="12"/>
      <c r="C36" s="12"/>
      <c r="D36" s="12"/>
      <c r="E36" s="12"/>
      <c r="F36" s="12"/>
      <c r="G36" s="12"/>
      <c r="H36" s="12"/>
    </row>
    <row r="37" spans="1:8" x14ac:dyDescent="0.25">
      <c r="A37" s="12"/>
      <c r="B37" s="12"/>
      <c r="C37" s="12"/>
      <c r="D37" s="12"/>
      <c r="E37" s="12"/>
      <c r="F37" s="12"/>
      <c r="G37" s="12"/>
      <c r="H37" s="12"/>
    </row>
    <row r="38" spans="1:8" x14ac:dyDescent="0.25">
      <c r="A38" s="12"/>
      <c r="B38" s="12"/>
      <c r="C38" s="12"/>
      <c r="D38" s="12"/>
      <c r="E38" s="12"/>
      <c r="F38" s="12"/>
      <c r="G38" s="12"/>
      <c r="H38" s="12"/>
    </row>
    <row r="39" spans="1:8" x14ac:dyDescent="0.25">
      <c r="A39" s="12"/>
      <c r="B39" s="12"/>
      <c r="C39" s="12"/>
      <c r="D39" s="12"/>
      <c r="E39" s="12"/>
      <c r="F39" s="12"/>
      <c r="G39" s="12"/>
      <c r="H39" s="12"/>
    </row>
    <row r="40" spans="1:8" x14ac:dyDescent="0.25">
      <c r="A40" s="12"/>
      <c r="B40" s="12"/>
      <c r="C40" s="12"/>
      <c r="D40" s="12"/>
      <c r="E40" s="12"/>
      <c r="F40" s="12"/>
      <c r="G40" s="12"/>
      <c r="H40" s="12"/>
    </row>
    <row r="41" spans="1:8" x14ac:dyDescent="0.25">
      <c r="A41" s="12"/>
      <c r="B41" s="12"/>
      <c r="C41" s="12"/>
      <c r="D41" s="12"/>
      <c r="E41" s="12"/>
      <c r="F41" s="12"/>
      <c r="G41" s="12"/>
      <c r="H41" s="12"/>
    </row>
    <row r="42" spans="1:8" x14ac:dyDescent="0.25">
      <c r="A42" s="12"/>
      <c r="B42" s="12"/>
      <c r="C42" s="12"/>
      <c r="D42" s="12"/>
      <c r="E42" s="12"/>
      <c r="F42" s="12"/>
      <c r="G42" s="12"/>
      <c r="H42" s="12"/>
    </row>
    <row r="43" spans="1:8" x14ac:dyDescent="0.25">
      <c r="A43" s="12"/>
      <c r="B43" s="12"/>
      <c r="C43" s="12"/>
      <c r="D43" s="12"/>
      <c r="E43" s="12"/>
      <c r="F43" s="12"/>
      <c r="G43" s="12"/>
      <c r="H43" s="12"/>
    </row>
    <row r="44" spans="1:8" x14ac:dyDescent="0.25">
      <c r="A44" s="12"/>
      <c r="B44" s="12"/>
      <c r="C44" s="12"/>
      <c r="D44" s="12"/>
      <c r="E44" s="12"/>
      <c r="F44" s="12"/>
      <c r="G44" s="12"/>
      <c r="H44" s="12"/>
    </row>
    <row r="45" spans="1:8" x14ac:dyDescent="0.25">
      <c r="A45" s="12"/>
      <c r="B45" s="12"/>
      <c r="C45" s="12"/>
      <c r="D45" s="12"/>
      <c r="E45" s="12"/>
      <c r="F45" s="12"/>
      <c r="G45" s="12"/>
      <c r="H45" s="12"/>
    </row>
    <row r="46" spans="1:8" x14ac:dyDescent="0.25">
      <c r="A46" s="12"/>
      <c r="B46" s="12"/>
      <c r="C46" s="12"/>
      <c r="D46" s="12"/>
      <c r="E46" s="12"/>
      <c r="F46" s="12"/>
      <c r="G46" s="12"/>
      <c r="H46" s="12"/>
    </row>
    <row r="47" spans="1:8" x14ac:dyDescent="0.25">
      <c r="A47" s="12"/>
      <c r="B47" s="12"/>
      <c r="C47" s="12"/>
      <c r="D47" s="12"/>
      <c r="E47" s="12"/>
      <c r="F47" s="12"/>
      <c r="G47" s="12"/>
      <c r="H47" s="12"/>
    </row>
    <row r="48" spans="1:8" x14ac:dyDescent="0.25">
      <c r="A48" s="12"/>
      <c r="B48" s="12"/>
      <c r="C48" s="12"/>
      <c r="D48" s="12"/>
      <c r="E48" s="12"/>
      <c r="F48" s="12"/>
      <c r="G48" s="12"/>
      <c r="H48" s="12"/>
    </row>
    <row r="49" spans="1:8" x14ac:dyDescent="0.25">
      <c r="A49" s="12"/>
      <c r="B49" s="12"/>
      <c r="C49" s="12"/>
      <c r="D49" s="12"/>
      <c r="E49" s="12"/>
      <c r="F49" s="12"/>
      <c r="G49" s="12"/>
      <c r="H49" s="12"/>
    </row>
    <row r="50" spans="1:8" x14ac:dyDescent="0.25">
      <c r="A50" s="12"/>
      <c r="B50" s="12"/>
      <c r="C50" s="12"/>
      <c r="D50" s="12"/>
      <c r="E50" s="12"/>
      <c r="F50" s="12"/>
      <c r="G50" s="12"/>
      <c r="H50" s="12"/>
    </row>
    <row r="51" spans="1:8" x14ac:dyDescent="0.25">
      <c r="A51" s="12"/>
      <c r="B51" s="12"/>
      <c r="C51" s="12"/>
      <c r="D51" s="12"/>
      <c r="E51" s="12"/>
      <c r="F51" s="12"/>
      <c r="G51" s="12"/>
      <c r="H51" s="12"/>
    </row>
    <row r="52" spans="1:8" x14ac:dyDescent="0.25">
      <c r="A52" s="12"/>
      <c r="B52" s="12"/>
      <c r="C52" s="12"/>
      <c r="D52" s="12"/>
      <c r="E52" s="12"/>
      <c r="F52" s="12"/>
      <c r="G52" s="12"/>
      <c r="H52" s="12"/>
    </row>
    <row r="53" spans="1:8" x14ac:dyDescent="0.25">
      <c r="A53" s="12"/>
      <c r="B53" s="12"/>
      <c r="C53" s="12"/>
      <c r="D53" s="12"/>
      <c r="E53" s="12"/>
      <c r="F53" s="12"/>
      <c r="G53" s="12"/>
      <c r="H53" s="12"/>
    </row>
    <row r="54" spans="1:8" x14ac:dyDescent="0.25">
      <c r="A54" s="12"/>
      <c r="B54" s="12"/>
      <c r="C54" s="12"/>
      <c r="D54" s="12"/>
      <c r="E54" s="12"/>
      <c r="F54" s="12"/>
      <c r="G54" s="12"/>
      <c r="H54" s="12"/>
    </row>
    <row r="55" spans="1:8" x14ac:dyDescent="0.25">
      <c r="A55" s="12"/>
      <c r="B55" s="12"/>
      <c r="C55" s="12"/>
      <c r="D55" s="12"/>
      <c r="E55" s="12"/>
      <c r="F55" s="12"/>
      <c r="G55" s="12"/>
      <c r="H55" s="12"/>
    </row>
    <row r="56" spans="1:8" x14ac:dyDescent="0.25">
      <c r="A56" s="12"/>
      <c r="B56" s="12"/>
      <c r="C56" s="12"/>
      <c r="D56" s="12"/>
      <c r="E56" s="12"/>
      <c r="F56" s="12"/>
      <c r="G56" s="12"/>
      <c r="H56" s="12"/>
    </row>
    <row r="57" spans="1:8" x14ac:dyDescent="0.25">
      <c r="A57" s="12"/>
      <c r="B57" s="12"/>
      <c r="C57" s="12"/>
      <c r="D57" s="12"/>
      <c r="E57" s="12"/>
      <c r="F57" s="12"/>
      <c r="G57" s="12"/>
      <c r="H57" s="12"/>
    </row>
    <row r="58" spans="1:8" x14ac:dyDescent="0.25">
      <c r="A58" s="12"/>
      <c r="B58" s="12"/>
      <c r="C58" s="12"/>
      <c r="D58" s="12"/>
      <c r="E58" s="12"/>
      <c r="F58" s="12"/>
      <c r="G58" s="12"/>
      <c r="H58" s="12"/>
    </row>
    <row r="59" spans="1:8" x14ac:dyDescent="0.25">
      <c r="A59" s="12"/>
      <c r="B59" s="12"/>
      <c r="C59" s="12"/>
      <c r="D59" s="12"/>
      <c r="E59" s="12"/>
      <c r="F59" s="12"/>
      <c r="G59" s="12"/>
      <c r="H59" s="12"/>
    </row>
    <row r="60" spans="1:8" x14ac:dyDescent="0.25">
      <c r="A60" s="12"/>
      <c r="B60" s="12"/>
      <c r="C60" s="12"/>
      <c r="D60" s="12"/>
      <c r="E60" s="12"/>
      <c r="F60" s="12"/>
      <c r="G60" s="12"/>
      <c r="H60" s="12"/>
    </row>
    <row r="61" spans="1:8" x14ac:dyDescent="0.25">
      <c r="A61" s="12"/>
      <c r="B61" s="12"/>
      <c r="C61" s="12"/>
      <c r="D61" s="12"/>
      <c r="E61" s="12"/>
      <c r="F61" s="12"/>
      <c r="G61" s="12"/>
      <c r="H61" s="12"/>
    </row>
    <row r="62" spans="1:8" x14ac:dyDescent="0.25">
      <c r="A62" s="12"/>
      <c r="B62" s="12"/>
      <c r="C62" s="12"/>
      <c r="D62" s="12"/>
      <c r="E62" s="12"/>
      <c r="F62" s="12"/>
      <c r="G62" s="12"/>
      <c r="H62" s="12"/>
    </row>
    <row r="63" spans="1:8" x14ac:dyDescent="0.25">
      <c r="A63" s="12"/>
      <c r="B63" s="12"/>
      <c r="C63" s="12"/>
      <c r="D63" s="12"/>
      <c r="E63" s="12"/>
      <c r="F63" s="12"/>
      <c r="G63" s="12"/>
      <c r="H63" s="12"/>
    </row>
  </sheetData>
  <mergeCells count="2">
    <mergeCell ref="A2:F2"/>
    <mergeCell ref="A1:F1"/>
  </mergeCells>
  <phoneticPr fontId="0" type="noConversion"/>
  <printOptions horizontalCentered="1"/>
  <pageMargins left="0.74803149606299202" right="0.74803149606299202" top="0.35" bottom="0.28999999999999998" header="0.17" footer="0.2"/>
  <pageSetup scale="9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3.2" x14ac:dyDescent="0.25"/>
  <cols>
    <col min="1" max="1" width="32.88671875" customWidth="1"/>
    <col min="2" max="2" width="10.5546875" customWidth="1"/>
    <col min="3" max="3" width="10.88671875" customWidth="1"/>
    <col min="4" max="4" width="11" customWidth="1"/>
    <col min="5" max="6" width="10.33203125" customWidth="1"/>
    <col min="7" max="7" width="11.6640625" customWidth="1"/>
    <col min="8" max="8" width="11.5546875" customWidth="1"/>
    <col min="9" max="9" width="10.33203125" customWidth="1"/>
  </cols>
  <sheetData>
    <row r="1" spans="1:9" x14ac:dyDescent="0.25">
      <c r="A1" s="392" t="s">
        <v>209</v>
      </c>
      <c r="B1" s="392"/>
      <c r="C1" s="392"/>
      <c r="D1" s="392"/>
      <c r="E1" s="392"/>
      <c r="F1" s="392"/>
      <c r="G1" s="392"/>
      <c r="H1" s="392"/>
      <c r="I1" s="392"/>
    </row>
    <row r="2" spans="1:9" x14ac:dyDescent="0.25">
      <c r="A2" s="391" t="s">
        <v>24</v>
      </c>
      <c r="B2" s="391"/>
      <c r="C2" s="391"/>
      <c r="D2" s="391"/>
      <c r="E2" s="391"/>
      <c r="F2" s="391"/>
      <c r="G2" s="391"/>
      <c r="H2" s="391"/>
      <c r="I2" s="391"/>
    </row>
    <row r="3" spans="1:9" x14ac:dyDescent="0.25">
      <c r="A3" s="338"/>
    </row>
    <row r="4" spans="1:9" x14ac:dyDescent="0.25">
      <c r="A4" s="1" t="s">
        <v>22</v>
      </c>
      <c r="B4" s="390">
        <v>2003</v>
      </c>
      <c r="C4" s="390"/>
      <c r="D4" s="390"/>
      <c r="E4" s="390"/>
      <c r="F4" s="390">
        <v>2002</v>
      </c>
      <c r="G4" s="390"/>
      <c r="H4" s="390"/>
      <c r="I4" s="390"/>
    </row>
    <row r="5" spans="1:9" x14ac:dyDescent="0.25">
      <c r="A5" s="162"/>
      <c r="B5" s="6" t="s">
        <v>1</v>
      </c>
      <c r="C5" s="6" t="s">
        <v>4</v>
      </c>
      <c r="D5" s="337" t="s">
        <v>2</v>
      </c>
      <c r="E5" s="337" t="s">
        <v>3</v>
      </c>
      <c r="F5" s="14" t="s">
        <v>1</v>
      </c>
      <c r="G5" s="6" t="s">
        <v>4</v>
      </c>
      <c r="H5" s="337" t="s">
        <v>2</v>
      </c>
      <c r="I5" s="337" t="s">
        <v>3</v>
      </c>
    </row>
    <row r="6" spans="1:9" x14ac:dyDescent="0.25">
      <c r="A6" s="159"/>
      <c r="B6" s="8" t="s">
        <v>5</v>
      </c>
      <c r="C6" s="8" t="s">
        <v>5</v>
      </c>
      <c r="D6" s="246" t="s">
        <v>5</v>
      </c>
      <c r="E6" s="246" t="s">
        <v>5</v>
      </c>
      <c r="F6" s="15" t="s">
        <v>5</v>
      </c>
      <c r="G6" s="8" t="s">
        <v>5</v>
      </c>
      <c r="H6" s="246" t="s">
        <v>5</v>
      </c>
      <c r="I6" s="246" t="s">
        <v>5</v>
      </c>
    </row>
    <row r="7" spans="1:9" x14ac:dyDescent="0.25">
      <c r="A7" s="64" t="s">
        <v>276</v>
      </c>
      <c r="B7" s="194">
        <f>3846994+297201+70572</f>
        <v>4214767</v>
      </c>
      <c r="C7" s="116">
        <f>3683311+316666+64425</f>
        <v>4064402</v>
      </c>
      <c r="D7" s="116">
        <f>381583+3579763+61986</f>
        <v>4023332</v>
      </c>
      <c r="E7" s="116">
        <f>226311+3814639+58967</f>
        <v>4099917</v>
      </c>
      <c r="F7" s="194">
        <f>3655270+197613</f>
        <v>3852883</v>
      </c>
      <c r="G7" s="116">
        <f>168603+3730363+58230</f>
        <v>3957196</v>
      </c>
      <c r="H7" s="116">
        <f>139890+3931259+53259</f>
        <v>4124408</v>
      </c>
      <c r="I7" s="116">
        <f>101339+4142824+53027</f>
        <v>4297190</v>
      </c>
    </row>
    <row r="8" spans="1:9" x14ac:dyDescent="0.25">
      <c r="A8" s="64" t="s">
        <v>162</v>
      </c>
      <c r="B8" s="195">
        <v>-70572</v>
      </c>
      <c r="C8" s="117">
        <v>-64425</v>
      </c>
      <c r="D8" s="117">
        <v>-61986</v>
      </c>
      <c r="E8" s="117">
        <v>-58967</v>
      </c>
      <c r="F8" s="195">
        <v>-57956</v>
      </c>
      <c r="G8" s="117">
        <v>-58230</v>
      </c>
      <c r="H8" s="117">
        <v>-53259</v>
      </c>
      <c r="I8" s="117">
        <v>-53027</v>
      </c>
    </row>
    <row r="9" spans="1:9" x14ac:dyDescent="0.25">
      <c r="A9" s="64" t="s">
        <v>17</v>
      </c>
      <c r="B9" s="51">
        <f>7366421-142050-4662-34791-36398-61107-99183+70572</f>
        <v>7058802</v>
      </c>
      <c r="C9" s="50">
        <f>7209187-98390-4881-34791-36577-60639-122312+64425</f>
        <v>6916022</v>
      </c>
      <c r="D9" s="50">
        <f>6630701-132745-5662-34791-32175-61508-132873+61986</f>
        <v>6292933</v>
      </c>
      <c r="E9" s="50">
        <f>6850064-115155-5864-34791-38481-62646-121552+58967</f>
        <v>6530542</v>
      </c>
      <c r="F9" s="51">
        <f>7125394-149911-11129-34791-41181-64339-106224+57956</f>
        <v>6775775</v>
      </c>
      <c r="G9" s="50">
        <f>7085972-132463-12127-34791-35673-64892-179874+58230</f>
        <v>6684382</v>
      </c>
      <c r="H9" s="50">
        <f>7565181-145454-13149-34791-38183-66256-138140+53259</f>
        <v>7182467</v>
      </c>
      <c r="I9" s="50">
        <f>7851070-124939-13417-34791-38680-68078-209539+53027</f>
        <v>7414653</v>
      </c>
    </row>
    <row r="10" spans="1:9" x14ac:dyDescent="0.25">
      <c r="A10" s="64" t="s">
        <v>277</v>
      </c>
      <c r="B10" s="51">
        <f>34791+4662-B11</f>
        <v>34797</v>
      </c>
      <c r="C10" s="50">
        <f>34791+4881-C11</f>
        <v>34814</v>
      </c>
      <c r="D10" s="50">
        <f>34791+5662-D11</f>
        <v>35393</v>
      </c>
      <c r="E10" s="50">
        <f>34791+5864-E11</f>
        <v>36438</v>
      </c>
      <c r="F10" s="51">
        <f>34791+11129-F11</f>
        <v>37492</v>
      </c>
      <c r="G10" s="50">
        <f>34791+12127-G11</f>
        <v>38556</v>
      </c>
      <c r="H10" s="50">
        <f>34791+13149-H11</f>
        <v>39630</v>
      </c>
      <c r="I10" s="50">
        <f>34791+13417-I11</f>
        <v>40713</v>
      </c>
    </row>
    <row r="11" spans="1:9" x14ac:dyDescent="0.25">
      <c r="A11" s="171" t="s">
        <v>284</v>
      </c>
      <c r="B11" s="51">
        <v>4656</v>
      </c>
      <c r="C11" s="50">
        <v>4858</v>
      </c>
      <c r="D11" s="50">
        <v>5060</v>
      </c>
      <c r="E11" s="50">
        <v>4217</v>
      </c>
      <c r="F11" s="51">
        <v>8428</v>
      </c>
      <c r="G11" s="50">
        <v>8362</v>
      </c>
      <c r="H11" s="50">
        <v>8310</v>
      </c>
      <c r="I11" s="50">
        <v>7495</v>
      </c>
    </row>
    <row r="12" spans="1:9" x14ac:dyDescent="0.25">
      <c r="A12" s="64" t="s">
        <v>19</v>
      </c>
      <c r="B12" s="51">
        <v>7366421</v>
      </c>
      <c r="C12" s="50">
        <v>7209187</v>
      </c>
      <c r="D12" s="50">
        <v>6630701</v>
      </c>
      <c r="E12" s="50">
        <v>6850064</v>
      </c>
      <c r="F12" s="51">
        <v>7125394</v>
      </c>
      <c r="G12" s="50">
        <v>7085972</v>
      </c>
      <c r="H12" s="50">
        <v>7565181</v>
      </c>
      <c r="I12" s="50">
        <v>7851070</v>
      </c>
    </row>
    <row r="13" spans="1:9" x14ac:dyDescent="0.25">
      <c r="A13" s="64" t="s">
        <v>20</v>
      </c>
      <c r="B13" s="51">
        <v>4142228</v>
      </c>
      <c r="C13" s="50">
        <v>3690506</v>
      </c>
      <c r="D13" s="50">
        <v>3764331</v>
      </c>
      <c r="E13" s="50">
        <v>4053894</v>
      </c>
      <c r="F13" s="51">
        <v>4518969</v>
      </c>
      <c r="G13" s="50">
        <v>4599806</v>
      </c>
      <c r="H13" s="50">
        <v>4830620</v>
      </c>
      <c r="I13" s="50">
        <v>4429960</v>
      </c>
    </row>
    <row r="14" spans="1:9" x14ac:dyDescent="0.25">
      <c r="A14" s="64" t="s">
        <v>21</v>
      </c>
      <c r="B14" s="51">
        <f>165966+15925</f>
        <v>181891</v>
      </c>
      <c r="C14" s="50">
        <f>127401+15925</f>
        <v>143326</v>
      </c>
      <c r="D14" s="102">
        <f>258036+3925</f>
        <v>261961</v>
      </c>
      <c r="E14" s="50">
        <f>304794+28925</f>
        <v>333719</v>
      </c>
      <c r="F14" s="51">
        <f>307464+33925</f>
        <v>341389</v>
      </c>
      <c r="G14" s="50">
        <f>321722+33925</f>
        <v>355647</v>
      </c>
      <c r="H14" s="102">
        <f>323376+34000</f>
        <v>357376</v>
      </c>
      <c r="I14" s="50">
        <f>328989+57500</f>
        <v>386489</v>
      </c>
    </row>
    <row r="15" spans="1:9" x14ac:dyDescent="0.25">
      <c r="A15" s="64" t="s">
        <v>23</v>
      </c>
      <c r="B15" s="51">
        <v>480832</v>
      </c>
      <c r="C15" s="50">
        <v>590338</v>
      </c>
      <c r="D15" s="50">
        <v>577231</v>
      </c>
      <c r="E15" s="50">
        <v>577917</v>
      </c>
      <c r="F15" s="51">
        <v>579955</v>
      </c>
      <c r="G15" s="50">
        <v>595220</v>
      </c>
      <c r="H15" s="50">
        <v>606621</v>
      </c>
      <c r="I15" s="50">
        <v>603305</v>
      </c>
    </row>
    <row r="16" spans="1:9" x14ac:dyDescent="0.25">
      <c r="A16" s="64" t="s">
        <v>262</v>
      </c>
      <c r="B16" s="51">
        <v>1739</v>
      </c>
      <c r="C16" s="50">
        <v>764</v>
      </c>
      <c r="D16" s="50">
        <v>-193</v>
      </c>
      <c r="E16" s="50">
        <v>892</v>
      </c>
      <c r="F16" s="51">
        <v>-180</v>
      </c>
      <c r="G16" s="50">
        <v>-1089</v>
      </c>
      <c r="H16" s="50">
        <v>839</v>
      </c>
      <c r="I16" s="50">
        <v>2138</v>
      </c>
    </row>
    <row r="17" spans="1:9" x14ac:dyDescent="0.25">
      <c r="A17" s="64" t="s">
        <v>263</v>
      </c>
      <c r="B17" s="51">
        <v>-2789</v>
      </c>
      <c r="C17" s="50">
        <v>6062</v>
      </c>
      <c r="D17" s="50">
        <v>-354</v>
      </c>
      <c r="E17" s="50">
        <v>460</v>
      </c>
      <c r="F17" s="51">
        <v>7381</v>
      </c>
      <c r="G17" s="50">
        <v>5881</v>
      </c>
      <c r="H17" s="50">
        <v>6262</v>
      </c>
      <c r="I17" s="50">
        <v>2914</v>
      </c>
    </row>
    <row r="18" spans="1:9" ht="13.8" thickBot="1" x14ac:dyDescent="0.3">
      <c r="A18" s="300" t="s">
        <v>25</v>
      </c>
      <c r="B18" s="302">
        <v>42398954</v>
      </c>
      <c r="C18" s="301">
        <v>42398954</v>
      </c>
      <c r="D18" s="301">
        <v>42398954</v>
      </c>
      <c r="E18" s="301">
        <v>42398954</v>
      </c>
      <c r="F18" s="302">
        <v>42566454</v>
      </c>
      <c r="G18" s="301">
        <v>42751714</v>
      </c>
      <c r="H18" s="301">
        <v>43182554</v>
      </c>
      <c r="I18" s="301">
        <v>43269514</v>
      </c>
    </row>
    <row r="19" spans="1:9" x14ac:dyDescent="0.25">
      <c r="A19" s="1"/>
      <c r="B19" s="1"/>
      <c r="C19" s="1"/>
      <c r="D19" s="1"/>
      <c r="E19" s="1"/>
      <c r="F19" s="1"/>
      <c r="G19" s="1"/>
      <c r="H19" s="37"/>
      <c r="I19" s="1"/>
    </row>
    <row r="20" spans="1:9" s="1" customFormat="1" x14ac:dyDescent="0.25">
      <c r="A20" s="1" t="s">
        <v>274</v>
      </c>
    </row>
    <row r="22" spans="1:9" x14ac:dyDescent="0.25">
      <c r="A22" s="391" t="s">
        <v>26</v>
      </c>
      <c r="B22" s="391"/>
      <c r="C22" s="391"/>
      <c r="D22" s="391"/>
      <c r="E22" s="391"/>
      <c r="F22" s="391"/>
      <c r="G22" s="391"/>
      <c r="H22" s="391"/>
      <c r="I22" s="391"/>
    </row>
    <row r="23" spans="1:9" x14ac:dyDescent="0.25">
      <c r="A23" s="1"/>
      <c r="B23" s="390">
        <v>2003</v>
      </c>
      <c r="C23" s="390"/>
      <c r="D23" s="390"/>
      <c r="E23" s="390"/>
      <c r="F23" s="390">
        <v>2002</v>
      </c>
      <c r="G23" s="390"/>
      <c r="H23" s="390"/>
      <c r="I23" s="390"/>
    </row>
    <row r="24" spans="1:9" x14ac:dyDescent="0.25">
      <c r="A24" s="162"/>
      <c r="B24" s="6" t="s">
        <v>1</v>
      </c>
      <c r="C24" s="6" t="s">
        <v>4</v>
      </c>
      <c r="D24" s="6" t="s">
        <v>2</v>
      </c>
      <c r="E24" s="6" t="s">
        <v>3</v>
      </c>
      <c r="F24" s="6" t="s">
        <v>1</v>
      </c>
      <c r="G24" s="6" t="s">
        <v>4</v>
      </c>
      <c r="H24" s="6" t="s">
        <v>2</v>
      </c>
      <c r="I24" s="6" t="s">
        <v>3</v>
      </c>
    </row>
    <row r="25" spans="1:9" x14ac:dyDescent="0.25">
      <c r="A25" s="159"/>
      <c r="B25" s="8" t="s">
        <v>5</v>
      </c>
      <c r="C25" s="8" t="s">
        <v>5</v>
      </c>
      <c r="D25" s="8" t="s">
        <v>5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</row>
    <row r="26" spans="1:9" x14ac:dyDescent="0.25">
      <c r="A26" s="64" t="s">
        <v>121</v>
      </c>
      <c r="B26" s="77">
        <v>8.8599999999999998E-2</v>
      </c>
      <c r="C26" s="77">
        <v>8.2199999999999995E-2</v>
      </c>
      <c r="D26" s="77">
        <v>8.9499999999999996E-2</v>
      </c>
      <c r="E26" s="77">
        <v>8.8900000000000007E-2</v>
      </c>
      <c r="F26" s="77">
        <v>8.3699999999999997E-2</v>
      </c>
      <c r="G26" s="77">
        <v>9.06E-2</v>
      </c>
      <c r="H26" s="77">
        <v>8.9300000000000004E-2</v>
      </c>
      <c r="I26" s="77">
        <v>8.6099999999999996E-2</v>
      </c>
    </row>
    <row r="27" spans="1:9" x14ac:dyDescent="0.25">
      <c r="A27" s="64" t="s">
        <v>27</v>
      </c>
      <c r="B27" s="76">
        <v>8.8400000000000006E-2</v>
      </c>
      <c r="C27" s="380" t="s">
        <v>291</v>
      </c>
      <c r="D27" s="380" t="s">
        <v>291</v>
      </c>
      <c r="E27" s="380" t="s">
        <v>291</v>
      </c>
      <c r="F27" s="76">
        <v>0.1158</v>
      </c>
      <c r="G27" s="380" t="s">
        <v>291</v>
      </c>
      <c r="H27" s="380" t="s">
        <v>291</v>
      </c>
      <c r="I27" s="380" t="s">
        <v>291</v>
      </c>
    </row>
    <row r="28" spans="1:9" x14ac:dyDescent="0.25">
      <c r="A28" s="64" t="s">
        <v>28</v>
      </c>
      <c r="B28" s="76">
        <v>0.1041</v>
      </c>
      <c r="C28" s="380" t="s">
        <v>291</v>
      </c>
      <c r="D28" s="380" t="s">
        <v>291</v>
      </c>
      <c r="E28" s="380" t="s">
        <v>291</v>
      </c>
      <c r="F28" s="76">
        <v>0.1283</v>
      </c>
      <c r="G28" s="380" t="s">
        <v>291</v>
      </c>
      <c r="H28" s="380" t="s">
        <v>291</v>
      </c>
      <c r="I28" s="380" t="s">
        <v>291</v>
      </c>
    </row>
    <row r="29" spans="1:9" ht="13.8" thickBot="1" x14ac:dyDescent="0.3">
      <c r="A29" s="234" t="s">
        <v>29</v>
      </c>
      <c r="B29" s="107">
        <v>6.0400000000000002E-2</v>
      </c>
      <c r="C29" s="381" t="s">
        <v>291</v>
      </c>
      <c r="D29" s="381" t="s">
        <v>291</v>
      </c>
      <c r="E29" s="381" t="s">
        <v>291</v>
      </c>
      <c r="F29" s="107">
        <v>8.4400000000000003E-2</v>
      </c>
      <c r="G29" s="381" t="s">
        <v>291</v>
      </c>
      <c r="H29" s="381" t="s">
        <v>291</v>
      </c>
      <c r="I29" s="381" t="s">
        <v>291</v>
      </c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 t="s">
        <v>292</v>
      </c>
      <c r="B31" s="1"/>
      <c r="C31" s="1"/>
      <c r="D31" s="1"/>
      <c r="E31" s="1"/>
      <c r="F31" s="1"/>
      <c r="G31" s="1"/>
      <c r="H31" s="1"/>
      <c r="I31" s="1"/>
    </row>
  </sheetData>
  <mergeCells count="7">
    <mergeCell ref="F23:I23"/>
    <mergeCell ref="B4:E4"/>
    <mergeCell ref="B23:E23"/>
    <mergeCell ref="A1:I1"/>
    <mergeCell ref="A2:I2"/>
    <mergeCell ref="A22:I22"/>
    <mergeCell ref="F4:I4"/>
  </mergeCells>
  <phoneticPr fontId="0" type="noConversion"/>
  <printOptions horizontalCentered="1"/>
  <pageMargins left="0" right="0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8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3.2" x14ac:dyDescent="0.25"/>
  <cols>
    <col min="1" max="1" width="31.109375" customWidth="1"/>
    <col min="2" max="3" width="10.44140625" bestFit="1" customWidth="1"/>
    <col min="4" max="4" width="9.88671875" bestFit="1" customWidth="1"/>
    <col min="5" max="6" width="9.88671875" customWidth="1"/>
    <col min="7" max="7" width="10" customWidth="1"/>
    <col min="8" max="8" width="9.88671875" bestFit="1" customWidth="1"/>
    <col min="9" max="9" width="9.88671875" customWidth="1"/>
  </cols>
  <sheetData>
    <row r="1" spans="1:15" ht="13.8" x14ac:dyDescent="0.25">
      <c r="A1" s="394" t="s">
        <v>209</v>
      </c>
      <c r="B1" s="394"/>
      <c r="C1" s="394"/>
      <c r="D1" s="394"/>
      <c r="E1" s="394"/>
      <c r="F1" s="394"/>
      <c r="G1" s="394"/>
      <c r="H1" s="394"/>
      <c r="I1" s="394"/>
    </row>
    <row r="2" spans="1:15" ht="13.8" x14ac:dyDescent="0.25">
      <c r="A2" s="394" t="s">
        <v>35</v>
      </c>
      <c r="B2" s="394"/>
      <c r="C2" s="394"/>
      <c r="D2" s="394"/>
      <c r="E2" s="394"/>
      <c r="F2" s="394"/>
      <c r="G2" s="394"/>
      <c r="H2" s="394"/>
      <c r="I2" s="394"/>
      <c r="J2" s="1"/>
      <c r="K2" s="1"/>
      <c r="L2" s="1"/>
      <c r="M2" s="1"/>
      <c r="N2" s="1"/>
      <c r="O2" s="1"/>
    </row>
    <row r="3" spans="1:15" ht="13.8" x14ac:dyDescent="0.25">
      <c r="A3" s="394" t="s">
        <v>36</v>
      </c>
      <c r="B3" s="394"/>
      <c r="C3" s="394"/>
      <c r="D3" s="394"/>
      <c r="E3" s="394"/>
      <c r="F3" s="394"/>
      <c r="G3" s="394"/>
      <c r="H3" s="394"/>
      <c r="I3" s="394"/>
      <c r="J3" s="1"/>
      <c r="K3" s="1"/>
      <c r="L3" s="1"/>
      <c r="M3" s="1"/>
      <c r="N3" s="1"/>
      <c r="O3" s="1"/>
    </row>
    <row r="4" spans="1:15" ht="13.8" x14ac:dyDescent="0.25">
      <c r="A4" s="338"/>
      <c r="B4" s="22"/>
      <c r="C4" s="22"/>
      <c r="D4" s="22"/>
      <c r="E4" s="22"/>
      <c r="F4" s="22"/>
      <c r="G4" s="22"/>
      <c r="H4" s="22"/>
      <c r="I4" s="22"/>
      <c r="J4" s="1"/>
      <c r="K4" s="1"/>
      <c r="L4" s="1"/>
      <c r="M4" s="1"/>
      <c r="N4" s="1"/>
      <c r="O4" s="1"/>
    </row>
    <row r="5" spans="1:15" x14ac:dyDescent="0.25">
      <c r="A5" s="1" t="s">
        <v>30</v>
      </c>
      <c r="B5" s="390">
        <v>2003</v>
      </c>
      <c r="C5" s="390"/>
      <c r="D5" s="390"/>
      <c r="E5" s="390"/>
      <c r="F5" s="390">
        <v>2002</v>
      </c>
      <c r="G5" s="390"/>
      <c r="H5" s="390"/>
      <c r="I5" s="390"/>
      <c r="J5" s="1"/>
      <c r="K5" s="1"/>
      <c r="L5" s="1"/>
      <c r="M5" s="1"/>
      <c r="N5" s="1"/>
      <c r="O5" s="1"/>
    </row>
    <row r="6" spans="1:15" x14ac:dyDescent="0.25">
      <c r="A6" s="162"/>
      <c r="B6" s="6" t="s">
        <v>1</v>
      </c>
      <c r="C6" s="6" t="s">
        <v>4</v>
      </c>
      <c r="D6" s="6" t="s">
        <v>2</v>
      </c>
      <c r="E6" s="6" t="s">
        <v>3</v>
      </c>
      <c r="F6" s="14" t="s">
        <v>1</v>
      </c>
      <c r="G6" s="6" t="s">
        <v>4</v>
      </c>
      <c r="H6" s="6" t="s">
        <v>2</v>
      </c>
      <c r="I6" s="6" t="s">
        <v>3</v>
      </c>
      <c r="J6" s="1"/>
      <c r="K6" s="1"/>
      <c r="L6" s="1"/>
      <c r="M6" s="1"/>
      <c r="N6" s="1"/>
      <c r="O6" s="1"/>
    </row>
    <row r="7" spans="1:15" x14ac:dyDescent="0.25">
      <c r="A7" s="159"/>
      <c r="B7" s="8" t="s">
        <v>5</v>
      </c>
      <c r="C7" s="8" t="s">
        <v>5</v>
      </c>
      <c r="D7" s="8" t="s">
        <v>5</v>
      </c>
      <c r="E7" s="8" t="s">
        <v>5</v>
      </c>
      <c r="F7" s="15" t="s">
        <v>5</v>
      </c>
      <c r="G7" s="8" t="s">
        <v>5</v>
      </c>
      <c r="H7" s="8" t="s">
        <v>5</v>
      </c>
      <c r="I7" s="8" t="s">
        <v>5</v>
      </c>
      <c r="J7" s="1"/>
      <c r="K7" s="1"/>
      <c r="L7" s="1"/>
      <c r="M7" s="1"/>
      <c r="N7" s="1"/>
      <c r="O7" s="1"/>
    </row>
    <row r="8" spans="1:15" x14ac:dyDescent="0.25">
      <c r="A8" s="235" t="s">
        <v>31</v>
      </c>
      <c r="B8" s="16"/>
      <c r="C8" s="16"/>
      <c r="D8" s="16"/>
      <c r="E8" s="16"/>
      <c r="F8" s="196"/>
      <c r="G8" s="16"/>
      <c r="H8" s="16"/>
      <c r="I8" s="16"/>
      <c r="J8" s="1"/>
      <c r="K8" s="1"/>
      <c r="L8" s="1"/>
      <c r="M8" s="1"/>
      <c r="N8" s="1"/>
      <c r="O8" s="1"/>
    </row>
    <row r="9" spans="1:15" x14ac:dyDescent="0.25">
      <c r="A9" s="162" t="s">
        <v>34</v>
      </c>
      <c r="B9" s="5"/>
      <c r="C9" s="382"/>
      <c r="D9" s="382"/>
      <c r="E9" s="382"/>
      <c r="F9" s="2"/>
      <c r="G9" s="5"/>
      <c r="H9" s="5"/>
      <c r="I9" s="5"/>
      <c r="J9" s="1"/>
      <c r="K9" s="1"/>
      <c r="L9" s="1"/>
      <c r="M9" s="1"/>
      <c r="N9" s="1"/>
      <c r="O9" s="1"/>
    </row>
    <row r="10" spans="1:15" x14ac:dyDescent="0.25">
      <c r="A10" s="232" t="s">
        <v>122</v>
      </c>
      <c r="B10" s="140">
        <f>4001429-B11</f>
        <v>4070545</v>
      </c>
      <c r="C10" s="100">
        <f>3929057-C11</f>
        <v>3995569</v>
      </c>
      <c r="D10" s="100">
        <f>4024544-D11</f>
        <v>4087455</v>
      </c>
      <c r="E10" s="100">
        <f>3809112-E11</f>
        <v>3870101</v>
      </c>
      <c r="F10" s="140">
        <f>3832437-F11</f>
        <v>3894068</v>
      </c>
      <c r="G10" s="100">
        <f>3978001-G11</f>
        <v>4034924</v>
      </c>
      <c r="H10" s="100">
        <f>4211728-H11</f>
        <v>4268211</v>
      </c>
      <c r="I10" s="100">
        <f>4339760-I11</f>
        <v>4395195</v>
      </c>
      <c r="J10" s="1"/>
      <c r="K10" s="1"/>
      <c r="L10" s="1"/>
      <c r="M10" s="1"/>
      <c r="N10" s="1"/>
      <c r="O10" s="1"/>
    </row>
    <row r="11" spans="1:15" x14ac:dyDescent="0.25">
      <c r="A11" s="232" t="s">
        <v>163</v>
      </c>
      <c r="B11" s="197">
        <v>-69116</v>
      </c>
      <c r="C11" s="101">
        <v>-66512</v>
      </c>
      <c r="D11" s="101">
        <v>-62911</v>
      </c>
      <c r="E11" s="101">
        <v>-60989</v>
      </c>
      <c r="F11" s="197">
        <v>-61631</v>
      </c>
      <c r="G11" s="101">
        <v>-56923</v>
      </c>
      <c r="H11" s="101">
        <v>-56483</v>
      </c>
      <c r="I11" s="101">
        <v>-55435</v>
      </c>
      <c r="J11" s="1"/>
      <c r="K11" s="1"/>
      <c r="L11" s="1"/>
      <c r="M11" s="1"/>
      <c r="N11" s="1"/>
      <c r="O11" s="1"/>
    </row>
    <row r="12" spans="1:15" x14ac:dyDescent="0.25">
      <c r="A12" s="232" t="s">
        <v>37</v>
      </c>
      <c r="B12" s="51">
        <v>254863</v>
      </c>
      <c r="C12" s="102">
        <v>241664</v>
      </c>
      <c r="D12" s="102">
        <v>245638</v>
      </c>
      <c r="E12" s="102">
        <v>207038</v>
      </c>
      <c r="F12" s="51">
        <v>168155</v>
      </c>
      <c r="G12" s="102">
        <v>217309</v>
      </c>
      <c r="H12" s="102">
        <v>245653</v>
      </c>
      <c r="I12" s="102">
        <v>399553</v>
      </c>
      <c r="J12" s="1"/>
      <c r="K12" s="1"/>
      <c r="L12" s="1"/>
      <c r="M12" s="1"/>
      <c r="N12" s="1"/>
      <c r="O12" s="1"/>
    </row>
    <row r="13" spans="1:15" x14ac:dyDescent="0.25">
      <c r="A13" s="232" t="s">
        <v>38</v>
      </c>
      <c r="B13" s="51">
        <f>34288+1326352</f>
        <v>1360640</v>
      </c>
      <c r="C13" s="102">
        <f>1034220+29511</f>
        <v>1063731</v>
      </c>
      <c r="D13" s="102">
        <f>27424+377888</f>
        <v>405312</v>
      </c>
      <c r="E13" s="102">
        <f>29359+188377</f>
        <v>217736</v>
      </c>
      <c r="F13" s="51">
        <f>154915+44627</f>
        <v>199542</v>
      </c>
      <c r="G13" s="102">
        <f>76415+231915</f>
        <v>308330</v>
      </c>
      <c r="H13" s="102">
        <f>377684+81769</f>
        <v>459453</v>
      </c>
      <c r="I13" s="102">
        <f>420078+71204</f>
        <v>491282</v>
      </c>
      <c r="J13" s="1"/>
      <c r="K13" s="1"/>
      <c r="L13" s="1"/>
      <c r="M13" s="1"/>
      <c r="N13" s="1"/>
      <c r="O13" s="1"/>
    </row>
    <row r="14" spans="1:15" x14ac:dyDescent="0.25">
      <c r="A14" s="236" t="s">
        <v>124</v>
      </c>
      <c r="B14" s="120">
        <f>54017+1150020+2999</f>
        <v>1207036</v>
      </c>
      <c r="C14" s="103">
        <f>38616+1161792+47731</f>
        <v>1248139</v>
      </c>
      <c r="D14" s="103">
        <f>130058+1231294+42194</f>
        <v>1403546</v>
      </c>
      <c r="E14" s="103">
        <f>125713+1739325+46381</f>
        <v>1911419</v>
      </c>
      <c r="F14" s="120">
        <f>163588+1557476+46248</f>
        <v>1767312</v>
      </c>
      <c r="G14" s="103">
        <f>332587+1333987+49929</f>
        <v>1716503</v>
      </c>
      <c r="H14" s="103">
        <f>504562+1109628+34439</f>
        <v>1648629</v>
      </c>
      <c r="I14" s="103">
        <f>515926+802774+35161</f>
        <v>1353861</v>
      </c>
      <c r="J14" s="1"/>
      <c r="K14" s="1"/>
      <c r="L14" s="1"/>
      <c r="M14" s="1"/>
      <c r="N14" s="1"/>
      <c r="O14" s="1"/>
    </row>
    <row r="15" spans="1:15" x14ac:dyDescent="0.25">
      <c r="A15" s="64" t="s">
        <v>32</v>
      </c>
      <c r="B15" s="51">
        <f t="shared" ref="B15:I15" si="0">SUM(B10:B14)</f>
        <v>6823968</v>
      </c>
      <c r="C15" s="50">
        <f t="shared" si="0"/>
        <v>6482591</v>
      </c>
      <c r="D15" s="50">
        <f t="shared" si="0"/>
        <v>6079040</v>
      </c>
      <c r="E15" s="50">
        <f t="shared" si="0"/>
        <v>6145305</v>
      </c>
      <c r="F15" s="51">
        <f t="shared" si="0"/>
        <v>5967446</v>
      </c>
      <c r="G15" s="50">
        <f t="shared" si="0"/>
        <v>6220143</v>
      </c>
      <c r="H15" s="50">
        <f t="shared" si="0"/>
        <v>6565463</v>
      </c>
      <c r="I15" s="50">
        <f t="shared" si="0"/>
        <v>6584456</v>
      </c>
      <c r="J15" s="1"/>
      <c r="K15" s="1"/>
      <c r="L15" s="1"/>
      <c r="M15" s="1"/>
      <c r="N15" s="1"/>
      <c r="O15" s="1"/>
    </row>
    <row r="16" spans="1:15" x14ac:dyDescent="0.25">
      <c r="A16" s="64"/>
      <c r="B16" s="13"/>
      <c r="C16" s="118"/>
      <c r="D16" s="118"/>
      <c r="E16" s="118"/>
      <c r="F16" s="138"/>
      <c r="G16" s="121"/>
      <c r="H16" s="121"/>
      <c r="I16" s="121"/>
      <c r="J16" s="1"/>
      <c r="K16" s="1"/>
      <c r="L16" s="1"/>
      <c r="M16" s="1"/>
      <c r="N16" s="1"/>
      <c r="O16" s="1"/>
    </row>
    <row r="17" spans="1:15" x14ac:dyDescent="0.25">
      <c r="A17" s="64"/>
      <c r="B17" s="13"/>
      <c r="C17" s="118"/>
      <c r="D17" s="118"/>
      <c r="E17" s="118"/>
      <c r="F17" s="138"/>
      <c r="G17" s="121"/>
      <c r="H17" s="121"/>
      <c r="I17" s="121"/>
      <c r="J17" s="1"/>
      <c r="K17" s="1"/>
      <c r="L17" s="1"/>
      <c r="M17" s="1"/>
      <c r="N17" s="1"/>
      <c r="O17" s="1"/>
    </row>
    <row r="18" spans="1:15" x14ac:dyDescent="0.25">
      <c r="A18" s="232" t="s">
        <v>33</v>
      </c>
      <c r="B18" s="51">
        <v>71475</v>
      </c>
      <c r="C18" s="50">
        <f>75689+813-812</f>
        <v>75690</v>
      </c>
      <c r="D18" s="50">
        <f>77483+720-719</f>
        <v>77484</v>
      </c>
      <c r="E18" s="50">
        <f>74198-4+1055-1054</f>
        <v>74195</v>
      </c>
      <c r="F18" s="51">
        <f>99872-297+298</f>
        <v>99873</v>
      </c>
      <c r="G18" s="50">
        <f>114289-330+331</f>
        <v>114290</v>
      </c>
      <c r="H18" s="50">
        <f>86878-1074+1075</f>
        <v>86879</v>
      </c>
      <c r="I18" s="50">
        <f>94173-942+943</f>
        <v>94174</v>
      </c>
      <c r="J18" s="1"/>
      <c r="K18" s="1"/>
      <c r="L18" s="1"/>
      <c r="M18" s="1"/>
      <c r="N18" s="1"/>
      <c r="O18" s="1"/>
    </row>
    <row r="19" spans="1:15" x14ac:dyDescent="0.25">
      <c r="A19" s="232" t="s">
        <v>18</v>
      </c>
      <c r="B19" s="51">
        <v>34802</v>
      </c>
      <c r="C19" s="50">
        <v>35834</v>
      </c>
      <c r="D19" s="50">
        <v>36280</v>
      </c>
      <c r="E19" s="50">
        <v>36822</v>
      </c>
      <c r="F19" s="51">
        <v>37865</v>
      </c>
      <c r="G19" s="50">
        <v>38940</v>
      </c>
      <c r="H19" s="50">
        <v>40017</v>
      </c>
      <c r="I19" s="50">
        <v>41104</v>
      </c>
      <c r="J19" s="1"/>
      <c r="K19" s="1"/>
      <c r="L19" s="1"/>
      <c r="M19" s="1"/>
      <c r="N19" s="1"/>
      <c r="O19" s="1"/>
    </row>
    <row r="20" spans="1:15" x14ac:dyDescent="0.25">
      <c r="A20" s="232" t="s">
        <v>123</v>
      </c>
      <c r="B20" s="51">
        <f>327220-B19-B18</f>
        <v>220943</v>
      </c>
      <c r="C20" s="50">
        <f>347439-C19-C18</f>
        <v>235915</v>
      </c>
      <c r="D20" s="50">
        <f>345032-D19-D18</f>
        <v>231268</v>
      </c>
      <c r="E20" s="50">
        <f>358839-E19-E18</f>
        <v>247822</v>
      </c>
      <c r="F20" s="51">
        <f>395486-F18-F19</f>
        <v>257748</v>
      </c>
      <c r="G20" s="50">
        <f>415079-G19-G18</f>
        <v>261849</v>
      </c>
      <c r="H20" s="50">
        <f>364446-H18-H19</f>
        <v>237550</v>
      </c>
      <c r="I20" s="50">
        <f>358477-I19-I18</f>
        <v>223199</v>
      </c>
      <c r="J20" s="1"/>
      <c r="K20" s="1"/>
      <c r="L20" s="1"/>
      <c r="M20" s="1"/>
      <c r="N20" s="1"/>
      <c r="O20" s="1"/>
    </row>
    <row r="21" spans="1:15" ht="13.8" thickBot="1" x14ac:dyDescent="0.3">
      <c r="A21" s="163" t="s">
        <v>39</v>
      </c>
      <c r="B21" s="122">
        <f t="shared" ref="B21:I21" si="1">SUM(B15:B20)</f>
        <v>7151188</v>
      </c>
      <c r="C21" s="104">
        <f t="shared" si="1"/>
        <v>6830030</v>
      </c>
      <c r="D21" s="104">
        <f t="shared" si="1"/>
        <v>6424072</v>
      </c>
      <c r="E21" s="104">
        <f t="shared" si="1"/>
        <v>6504144</v>
      </c>
      <c r="F21" s="122">
        <f t="shared" si="1"/>
        <v>6362932</v>
      </c>
      <c r="G21" s="104">
        <f t="shared" si="1"/>
        <v>6635222</v>
      </c>
      <c r="H21" s="104">
        <f t="shared" si="1"/>
        <v>6929909</v>
      </c>
      <c r="I21" s="104">
        <f t="shared" si="1"/>
        <v>6942933</v>
      </c>
      <c r="J21" s="1"/>
      <c r="K21" s="1"/>
      <c r="L21" s="1"/>
      <c r="M21" s="1"/>
      <c r="N21" s="1"/>
      <c r="O21" s="1"/>
    </row>
    <row r="22" spans="1:15" x14ac:dyDescent="0.25">
      <c r="A22" s="237"/>
      <c r="B22" s="23"/>
      <c r="C22" s="364"/>
      <c r="D22" s="364"/>
      <c r="E22" s="364"/>
      <c r="F22" s="139"/>
      <c r="G22" s="23"/>
      <c r="H22" s="23"/>
      <c r="I22" s="23"/>
      <c r="J22" s="1"/>
      <c r="K22" s="1"/>
      <c r="L22" s="1"/>
      <c r="M22" s="1"/>
      <c r="N22" s="1"/>
      <c r="O22" s="1"/>
    </row>
    <row r="23" spans="1:15" x14ac:dyDescent="0.25">
      <c r="A23" s="238" t="s">
        <v>41</v>
      </c>
      <c r="B23" s="3"/>
      <c r="C23" s="383"/>
      <c r="D23" s="383"/>
      <c r="E23" s="383"/>
      <c r="F23" s="198"/>
      <c r="G23" s="3"/>
      <c r="H23" s="3"/>
      <c r="I23" s="3"/>
      <c r="J23" s="1"/>
      <c r="K23" s="1"/>
      <c r="L23" s="1"/>
      <c r="M23" s="1"/>
      <c r="N23" s="1"/>
      <c r="O23" s="1"/>
    </row>
    <row r="24" spans="1:15" x14ac:dyDescent="0.25">
      <c r="A24" s="64" t="s">
        <v>42</v>
      </c>
      <c r="B24" s="13"/>
      <c r="C24" s="118"/>
      <c r="D24" s="118"/>
      <c r="E24" s="118"/>
      <c r="F24" s="19"/>
      <c r="G24" s="13"/>
      <c r="H24" s="13"/>
      <c r="I24" s="13"/>
      <c r="J24" s="1"/>
      <c r="K24" s="1"/>
      <c r="L24" s="1"/>
      <c r="M24" s="1"/>
      <c r="N24" s="1"/>
      <c r="O24" s="1"/>
    </row>
    <row r="25" spans="1:15" x14ac:dyDescent="0.25">
      <c r="A25" s="232" t="s">
        <v>43</v>
      </c>
      <c r="B25" s="290"/>
      <c r="C25" s="384"/>
      <c r="D25" s="384"/>
      <c r="E25" s="384"/>
      <c r="F25" s="199"/>
      <c r="G25" s="290"/>
      <c r="H25" s="290"/>
      <c r="I25" s="290"/>
      <c r="J25" s="1"/>
      <c r="K25" s="1"/>
      <c r="L25" s="1"/>
      <c r="M25" s="1"/>
      <c r="N25" s="1"/>
      <c r="O25" s="1"/>
    </row>
    <row r="26" spans="1:15" x14ac:dyDescent="0.25">
      <c r="A26" s="239" t="s">
        <v>125</v>
      </c>
      <c r="B26" s="51">
        <v>1837600</v>
      </c>
      <c r="C26" s="50">
        <v>1840672</v>
      </c>
      <c r="D26" s="50">
        <v>1848032</v>
      </c>
      <c r="E26" s="50">
        <v>1810937</v>
      </c>
      <c r="F26" s="51">
        <v>1876207</v>
      </c>
      <c r="G26" s="50">
        <v>1783193</v>
      </c>
      <c r="H26" s="50">
        <v>1650098</v>
      </c>
      <c r="I26" s="50">
        <v>1608438</v>
      </c>
      <c r="J26" s="1"/>
      <c r="K26" s="1"/>
      <c r="L26" s="1"/>
      <c r="M26" s="1"/>
      <c r="N26" s="1"/>
      <c r="O26" s="1"/>
    </row>
    <row r="27" spans="1:15" x14ac:dyDescent="0.25">
      <c r="A27" s="239" t="s">
        <v>44</v>
      </c>
      <c r="B27" s="51">
        <v>220187</v>
      </c>
      <c r="C27" s="50">
        <v>257500</v>
      </c>
      <c r="D27" s="50">
        <v>276039</v>
      </c>
      <c r="E27" s="50">
        <v>274501</v>
      </c>
      <c r="F27" s="51">
        <v>274790</v>
      </c>
      <c r="G27" s="50">
        <v>286762</v>
      </c>
      <c r="H27" s="98">
        <v>285629</v>
      </c>
      <c r="I27" s="50">
        <v>337389</v>
      </c>
      <c r="J27" s="1"/>
      <c r="K27" s="1"/>
      <c r="L27" s="1"/>
      <c r="M27" s="1"/>
      <c r="N27" s="1"/>
      <c r="O27" s="1"/>
    </row>
    <row r="28" spans="1:15" x14ac:dyDescent="0.25">
      <c r="A28" s="232" t="s">
        <v>272</v>
      </c>
      <c r="B28" s="51">
        <v>1168471</v>
      </c>
      <c r="C28" s="50">
        <v>924288</v>
      </c>
      <c r="D28" s="50">
        <v>919214</v>
      </c>
      <c r="E28" s="50">
        <v>1095428</v>
      </c>
      <c r="F28" s="51">
        <f>1410160-F27</f>
        <v>1135370</v>
      </c>
      <c r="G28" s="50">
        <v>1447425</v>
      </c>
      <c r="H28" s="50">
        <v>1632511</v>
      </c>
      <c r="I28" s="50">
        <v>1611050</v>
      </c>
      <c r="J28" s="1"/>
      <c r="K28" s="1"/>
      <c r="L28" s="1"/>
      <c r="M28" s="1"/>
      <c r="N28" s="1"/>
      <c r="O28" s="1"/>
    </row>
    <row r="29" spans="1:15" x14ac:dyDescent="0.25">
      <c r="A29" s="232" t="s">
        <v>45</v>
      </c>
      <c r="B29" s="51">
        <v>2404161</v>
      </c>
      <c r="C29" s="50">
        <v>2282472</v>
      </c>
      <c r="D29" s="50">
        <v>1718063</v>
      </c>
      <c r="E29" s="50">
        <v>1648251</v>
      </c>
      <c r="F29" s="51">
        <v>1363753</v>
      </c>
      <c r="G29" s="50">
        <v>1390277</v>
      </c>
      <c r="H29" s="50">
        <v>1616858</v>
      </c>
      <c r="I29" s="50">
        <v>1638591</v>
      </c>
      <c r="J29" s="1"/>
      <c r="K29" s="1"/>
      <c r="L29" s="1"/>
      <c r="M29" s="1"/>
      <c r="N29" s="1"/>
      <c r="O29" s="1"/>
    </row>
    <row r="30" spans="1:15" x14ac:dyDescent="0.25">
      <c r="A30" s="232" t="s">
        <v>46</v>
      </c>
      <c r="B30" s="51">
        <f>107565+15925</f>
        <v>123490</v>
      </c>
      <c r="C30" s="50">
        <f>142006+5621</f>
        <v>147627</v>
      </c>
      <c r="D30" s="50">
        <f>292915+28650</f>
        <v>321565</v>
      </c>
      <c r="E30" s="50">
        <f>304919+32675</f>
        <v>337594</v>
      </c>
      <c r="F30" s="51">
        <f>316816+33925</f>
        <v>350741</v>
      </c>
      <c r="G30" s="50">
        <f>322260+33944</f>
        <v>356204</v>
      </c>
      <c r="H30" s="50">
        <f>326685+41240</f>
        <v>367925</v>
      </c>
      <c r="I30" s="50">
        <f>329352+53000</f>
        <v>382352</v>
      </c>
      <c r="J30" s="1"/>
      <c r="K30" s="1"/>
      <c r="L30" s="1"/>
      <c r="M30" s="1"/>
      <c r="N30" s="1"/>
      <c r="O30" s="1"/>
    </row>
    <row r="31" spans="1:15" x14ac:dyDescent="0.25">
      <c r="A31" s="233" t="s">
        <v>47</v>
      </c>
      <c r="B31" s="151">
        <f t="shared" ref="B31:I31" si="2">SUM(B26:B30)</f>
        <v>5753909</v>
      </c>
      <c r="C31" s="97">
        <f t="shared" si="2"/>
        <v>5452559</v>
      </c>
      <c r="D31" s="97">
        <f t="shared" si="2"/>
        <v>5082913</v>
      </c>
      <c r="E31" s="97">
        <f t="shared" si="2"/>
        <v>5166711</v>
      </c>
      <c r="F31" s="151">
        <f t="shared" si="2"/>
        <v>5000861</v>
      </c>
      <c r="G31" s="97">
        <f t="shared" si="2"/>
        <v>5263861</v>
      </c>
      <c r="H31" s="97">
        <f t="shared" si="2"/>
        <v>5553021</v>
      </c>
      <c r="I31" s="97">
        <f t="shared" si="2"/>
        <v>5577820</v>
      </c>
      <c r="J31" s="1"/>
      <c r="K31" s="1"/>
      <c r="L31" s="1"/>
      <c r="M31" s="1"/>
      <c r="N31" s="1"/>
      <c r="O31" s="1"/>
    </row>
    <row r="32" spans="1:15" x14ac:dyDescent="0.25">
      <c r="A32" s="64"/>
      <c r="B32" s="19"/>
      <c r="C32" s="118"/>
      <c r="D32" s="118"/>
      <c r="E32" s="118"/>
      <c r="F32" s="138"/>
      <c r="G32" s="121"/>
      <c r="H32" s="121"/>
      <c r="I32" s="121"/>
      <c r="J32" s="1"/>
      <c r="K32" s="1"/>
      <c r="L32" s="1"/>
      <c r="M32" s="1"/>
      <c r="N32" s="1"/>
      <c r="O32" s="1"/>
    </row>
    <row r="33" spans="1:15" x14ac:dyDescent="0.25">
      <c r="A33" s="64" t="s">
        <v>48</v>
      </c>
      <c r="B33" s="51">
        <v>640201</v>
      </c>
      <c r="C33" s="50">
        <f>659838-812</f>
        <v>659026</v>
      </c>
      <c r="D33" s="50">
        <v>631888</v>
      </c>
      <c r="E33" s="50">
        <f>623722-1054</f>
        <v>622668</v>
      </c>
      <c r="F33" s="51">
        <v>616499</v>
      </c>
      <c r="G33" s="50">
        <v>607315</v>
      </c>
      <c r="H33" s="50">
        <v>622337</v>
      </c>
      <c r="I33" s="50">
        <v>626431</v>
      </c>
      <c r="J33" s="1"/>
      <c r="K33" s="1"/>
      <c r="L33" s="1"/>
      <c r="M33" s="1"/>
      <c r="N33" s="1"/>
      <c r="O33" s="1"/>
    </row>
    <row r="34" spans="1:15" x14ac:dyDescent="0.25">
      <c r="A34" s="64" t="s">
        <v>49</v>
      </c>
      <c r="B34" s="51">
        <f>798391-B33</f>
        <v>158190</v>
      </c>
      <c r="C34" s="50">
        <f>816124-C33</f>
        <v>157098</v>
      </c>
      <c r="D34" s="50">
        <f>766383-D33</f>
        <v>134495</v>
      </c>
      <c r="E34" s="50">
        <f>759384-E33</f>
        <v>136716</v>
      </c>
      <c r="F34" s="51">
        <f>773548-F33</f>
        <v>157049</v>
      </c>
      <c r="G34" s="50">
        <f>770379-G33</f>
        <v>163064</v>
      </c>
      <c r="H34" s="50">
        <f>758337-H33</f>
        <v>136000</v>
      </c>
      <c r="I34" s="50">
        <f>767249-I33</f>
        <v>140818</v>
      </c>
      <c r="J34" s="1"/>
      <c r="K34" s="1"/>
      <c r="L34" s="1"/>
      <c r="M34" s="1"/>
      <c r="N34" s="1"/>
      <c r="O34" s="1"/>
    </row>
    <row r="35" spans="1:15" x14ac:dyDescent="0.25">
      <c r="A35" s="235" t="s">
        <v>50</v>
      </c>
      <c r="B35" s="151">
        <f t="shared" ref="B35:I35" si="3">SUM(B31:B34)</f>
        <v>6552300</v>
      </c>
      <c r="C35" s="97">
        <f t="shared" si="3"/>
        <v>6268683</v>
      </c>
      <c r="D35" s="97">
        <f t="shared" si="3"/>
        <v>5849296</v>
      </c>
      <c r="E35" s="97">
        <f t="shared" si="3"/>
        <v>5926095</v>
      </c>
      <c r="F35" s="151">
        <f t="shared" si="3"/>
        <v>5774409</v>
      </c>
      <c r="G35" s="105">
        <f t="shared" si="3"/>
        <v>6034240</v>
      </c>
      <c r="H35" s="105">
        <f t="shared" si="3"/>
        <v>6311358</v>
      </c>
      <c r="I35" s="105">
        <f t="shared" si="3"/>
        <v>6345069</v>
      </c>
      <c r="J35" s="1"/>
      <c r="K35" s="1"/>
      <c r="L35" s="1"/>
      <c r="M35" s="1"/>
      <c r="N35" s="1"/>
      <c r="O35" s="1"/>
    </row>
    <row r="36" spans="1:15" x14ac:dyDescent="0.25">
      <c r="A36" s="233" t="s">
        <v>54</v>
      </c>
      <c r="B36" s="151">
        <v>598888</v>
      </c>
      <c r="C36" s="97">
        <v>561347</v>
      </c>
      <c r="D36" s="97">
        <v>574776</v>
      </c>
      <c r="E36" s="97">
        <v>578049</v>
      </c>
      <c r="F36" s="151">
        <v>588523</v>
      </c>
      <c r="G36" s="97">
        <v>600982</v>
      </c>
      <c r="H36" s="97">
        <v>618551</v>
      </c>
      <c r="I36" s="97">
        <v>597864</v>
      </c>
      <c r="J36" s="1"/>
      <c r="K36" s="1"/>
      <c r="L36" s="1"/>
      <c r="M36" s="1"/>
      <c r="N36" s="1"/>
      <c r="O36" s="1"/>
    </row>
    <row r="37" spans="1:15" x14ac:dyDescent="0.25">
      <c r="A37" s="158" t="s">
        <v>52</v>
      </c>
      <c r="B37" s="139"/>
      <c r="C37" s="364"/>
      <c r="D37" s="364"/>
      <c r="E37" s="364"/>
      <c r="F37" s="389"/>
      <c r="G37" s="364"/>
      <c r="H37" s="364"/>
      <c r="I37" s="364"/>
      <c r="J37" s="1"/>
      <c r="K37" s="1"/>
      <c r="L37" s="1"/>
      <c r="M37" s="1"/>
      <c r="N37" s="1"/>
      <c r="O37" s="1"/>
    </row>
    <row r="38" spans="1:15" ht="13.8" thickBot="1" x14ac:dyDescent="0.3">
      <c r="A38" s="240" t="s">
        <v>53</v>
      </c>
      <c r="B38" s="190">
        <f t="shared" ref="B38:I38" si="4">+B36+B35</f>
        <v>7151188</v>
      </c>
      <c r="C38" s="106">
        <f t="shared" si="4"/>
        <v>6830030</v>
      </c>
      <c r="D38" s="106">
        <f t="shared" si="4"/>
        <v>6424072</v>
      </c>
      <c r="E38" s="106">
        <f t="shared" si="4"/>
        <v>6504144</v>
      </c>
      <c r="F38" s="190">
        <f t="shared" si="4"/>
        <v>6362932</v>
      </c>
      <c r="G38" s="106">
        <f t="shared" si="4"/>
        <v>6635222</v>
      </c>
      <c r="H38" s="106">
        <f t="shared" si="4"/>
        <v>6929909</v>
      </c>
      <c r="I38" s="106">
        <f t="shared" si="4"/>
        <v>6942933</v>
      </c>
      <c r="J38" s="1"/>
      <c r="K38" s="1"/>
      <c r="L38" s="1"/>
      <c r="M38" s="1"/>
      <c r="N38" s="1"/>
      <c r="O38" s="1"/>
    </row>
    <row r="39" spans="1:15" x14ac:dyDescent="0.25">
      <c r="A39" s="298"/>
      <c r="B39" s="298"/>
      <c r="C39" s="298"/>
      <c r="D39" s="298"/>
      <c r="E39" s="298"/>
      <c r="F39" s="100"/>
      <c r="G39" s="100"/>
      <c r="H39" s="100"/>
      <c r="I39" s="100"/>
      <c r="J39" s="1"/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391" t="s">
        <v>126</v>
      </c>
      <c r="B42" s="391"/>
      <c r="C42" s="391"/>
      <c r="D42" s="391"/>
      <c r="E42" s="391"/>
      <c r="F42" s="391"/>
      <c r="G42" s="391"/>
      <c r="H42" s="391"/>
      <c r="I42" s="391"/>
      <c r="J42" s="1"/>
      <c r="K42" s="1"/>
      <c r="L42" s="1"/>
      <c r="M42" s="1"/>
      <c r="N42" s="1"/>
      <c r="O42" s="1"/>
    </row>
    <row r="43" spans="1:15" x14ac:dyDescent="0.25">
      <c r="J43" s="1"/>
      <c r="K43" s="1"/>
      <c r="L43" s="1"/>
      <c r="M43" s="1"/>
      <c r="N43" s="1"/>
      <c r="O43" s="1"/>
    </row>
    <row r="44" spans="1:15" x14ac:dyDescent="0.25">
      <c r="A44" s="1"/>
      <c r="B44" s="390">
        <v>2003</v>
      </c>
      <c r="C44" s="393"/>
      <c r="D44" s="393"/>
      <c r="E44" s="390"/>
      <c r="F44" s="390">
        <v>2002</v>
      </c>
      <c r="G44" s="390"/>
      <c r="H44" s="390"/>
      <c r="I44" s="390"/>
      <c r="J44" s="1"/>
      <c r="K44" s="1"/>
      <c r="L44" s="1"/>
      <c r="M44" s="1"/>
      <c r="N44" s="1"/>
      <c r="O44" s="1"/>
    </row>
    <row r="45" spans="1:15" x14ac:dyDescent="0.25">
      <c r="A45" s="162"/>
      <c r="B45" s="6" t="s">
        <v>1</v>
      </c>
      <c r="C45" s="6" t="s">
        <v>4</v>
      </c>
      <c r="D45" s="6" t="s">
        <v>2</v>
      </c>
      <c r="E45" s="6" t="s">
        <v>3</v>
      </c>
      <c r="F45" s="14" t="s">
        <v>1</v>
      </c>
      <c r="G45" s="6" t="s">
        <v>4</v>
      </c>
      <c r="H45" s="14" t="s">
        <v>2</v>
      </c>
      <c r="I45" s="6" t="s">
        <v>3</v>
      </c>
      <c r="J45" s="1"/>
      <c r="K45" s="1"/>
      <c r="L45" s="1"/>
      <c r="M45" s="1"/>
      <c r="N45" s="1"/>
      <c r="O45" s="1"/>
    </row>
    <row r="46" spans="1:15" x14ac:dyDescent="0.25">
      <c r="A46" s="159"/>
      <c r="B46" s="8" t="s">
        <v>5</v>
      </c>
      <c r="C46" s="8" t="s">
        <v>5</v>
      </c>
      <c r="D46" s="8" t="s">
        <v>5</v>
      </c>
      <c r="E46" s="8" t="s">
        <v>5</v>
      </c>
      <c r="F46" s="15" t="s">
        <v>5</v>
      </c>
      <c r="G46" s="8" t="s">
        <v>5</v>
      </c>
      <c r="H46" s="15" t="s">
        <v>5</v>
      </c>
      <c r="I46" s="8" t="s">
        <v>5</v>
      </c>
      <c r="J46" s="1"/>
      <c r="K46" s="1"/>
      <c r="L46" s="1"/>
      <c r="M46" s="1"/>
      <c r="N46" s="1"/>
      <c r="O46" s="1"/>
    </row>
    <row r="47" spans="1:15" x14ac:dyDescent="0.25">
      <c r="A47" s="64" t="s">
        <v>16</v>
      </c>
      <c r="B47" s="32">
        <f>(+B10-F10)/F10</f>
        <v>4.531944485817916E-2</v>
      </c>
      <c r="C47" s="32">
        <f>(+C10-G10)/G10</f>
        <v>-9.7535913935429767E-3</v>
      </c>
      <c r="D47" s="32">
        <f>(+D10-H10)/H10</f>
        <v>-4.234935901716199E-2</v>
      </c>
      <c r="E47" s="32">
        <f>(+E10-I10)/I10</f>
        <v>-0.11947001213825553</v>
      </c>
      <c r="F47" s="385" t="s">
        <v>291</v>
      </c>
      <c r="G47" s="387" t="s">
        <v>291</v>
      </c>
      <c r="H47" s="385" t="s">
        <v>291</v>
      </c>
      <c r="I47" s="387" t="s">
        <v>291</v>
      </c>
      <c r="J47" s="1"/>
      <c r="K47" s="1"/>
      <c r="L47" s="1"/>
      <c r="M47" s="1"/>
      <c r="N47" s="1"/>
      <c r="O47" s="1"/>
    </row>
    <row r="48" spans="1:15" x14ac:dyDescent="0.25">
      <c r="A48" s="64" t="s">
        <v>19</v>
      </c>
      <c r="B48" s="32">
        <f>(+B21-F21)/F21</f>
        <v>0.12388251202433093</v>
      </c>
      <c r="C48" s="32">
        <f>(+C21-G21)/G21</f>
        <v>2.9359680806459829E-2</v>
      </c>
      <c r="D48" s="32">
        <f>(+D21-H21)/H21</f>
        <v>-7.2993310590369939E-2</v>
      </c>
      <c r="E48" s="32">
        <f>(+E21-I21)/I21</f>
        <v>-6.3199371216746583E-2</v>
      </c>
      <c r="F48" s="385" t="s">
        <v>291</v>
      </c>
      <c r="G48" s="387" t="s">
        <v>291</v>
      </c>
      <c r="H48" s="385" t="s">
        <v>291</v>
      </c>
      <c r="I48" s="387" t="s">
        <v>291</v>
      </c>
      <c r="J48" s="1"/>
      <c r="K48" s="1"/>
      <c r="L48" s="1"/>
      <c r="M48" s="1"/>
      <c r="N48" s="1"/>
      <c r="O48" s="1"/>
    </row>
    <row r="49" spans="1:15" x14ac:dyDescent="0.25">
      <c r="A49" s="64" t="s">
        <v>20</v>
      </c>
      <c r="B49" s="32">
        <f>(+B26+B28+B33-F26-F33-F28)/(F26+F28+F33)</f>
        <v>5.0153304396049038E-3</v>
      </c>
      <c r="C49" s="32">
        <f>(+C26+C28+C33-G26-G33-G28)/(G26+G28+G33)</f>
        <v>-0.10785675518566895</v>
      </c>
      <c r="D49" s="32">
        <f>(+D26+D28+D33-H26-H33-H28)/(H26+H28+H33)</f>
        <v>-0.12953111259413061</v>
      </c>
      <c r="E49" s="32">
        <f>(+E26+E28+E33-I26-I33-I28)/(I26+I28+I33)</f>
        <v>-8.2395391062578274E-2</v>
      </c>
      <c r="F49" s="385" t="s">
        <v>291</v>
      </c>
      <c r="G49" s="387" t="s">
        <v>291</v>
      </c>
      <c r="H49" s="385" t="s">
        <v>291</v>
      </c>
      <c r="I49" s="387" t="s">
        <v>291</v>
      </c>
      <c r="J49" s="1"/>
      <c r="K49" s="1"/>
      <c r="L49" s="1"/>
      <c r="M49" s="1"/>
      <c r="N49" s="1"/>
      <c r="O49" s="1"/>
    </row>
    <row r="50" spans="1:15" ht="13.8" thickBot="1" x14ac:dyDescent="0.3">
      <c r="A50" s="234" t="s">
        <v>51</v>
      </c>
      <c r="B50" s="200">
        <f>(+B36-F36)/F36</f>
        <v>1.7611886026544416E-2</v>
      </c>
      <c r="C50" s="200">
        <f>(+C36-G36)/G36</f>
        <v>-6.5950394520967348E-2</v>
      </c>
      <c r="D50" s="200">
        <f>(+D36-H36)/H36</f>
        <v>-7.0770235599004777E-2</v>
      </c>
      <c r="E50" s="200">
        <f>(+E36-I36)/I36</f>
        <v>-3.3142989040985907E-2</v>
      </c>
      <c r="F50" s="386" t="s">
        <v>291</v>
      </c>
      <c r="G50" s="388" t="s">
        <v>291</v>
      </c>
      <c r="H50" s="386" t="s">
        <v>291</v>
      </c>
      <c r="I50" s="388" t="s">
        <v>291</v>
      </c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 t="s">
        <v>278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 t="s">
        <v>293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</sheetData>
  <mergeCells count="8">
    <mergeCell ref="F44:I44"/>
    <mergeCell ref="B5:E5"/>
    <mergeCell ref="B44:E44"/>
    <mergeCell ref="A1:I1"/>
    <mergeCell ref="A42:I42"/>
    <mergeCell ref="A2:I2"/>
    <mergeCell ref="A3:I3"/>
    <mergeCell ref="F5:I5"/>
  </mergeCells>
  <phoneticPr fontId="0" type="noConversion"/>
  <printOptions horizontalCentered="1"/>
  <pageMargins left="0" right="0" top="0.1" bottom="0.19" header="0.35" footer="0.46"/>
  <pageSetup scale="77" orientation="landscape" r:id="rId1"/>
  <headerFooter alignWithMargins="0"/>
  <rowBreaks count="1" manualBreakCount="1">
    <brk id="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3"/>
  <sheetViews>
    <sheetView topLeftCell="A4" workbookViewId="0">
      <pane xSplit="1" ySplit="3" topLeftCell="B7" activePane="bottomRight" state="frozen"/>
      <selection activeCell="A4" sqref="A4"/>
      <selection pane="topRight" activeCell="B4" sqref="B4"/>
      <selection pane="bottomLeft" activeCell="A7" sqref="A7"/>
      <selection pane="bottomRight" activeCell="B7" sqref="B7"/>
    </sheetView>
  </sheetViews>
  <sheetFormatPr defaultColWidth="7.88671875" defaultRowHeight="13.2" x14ac:dyDescent="0.25"/>
  <cols>
    <col min="1" max="1" width="32.109375" style="1" bestFit="1" customWidth="1"/>
    <col min="2" max="2" width="8.5546875" style="1" bestFit="1" customWidth="1"/>
    <col min="3" max="5" width="7.6640625" style="1" bestFit="1" customWidth="1"/>
    <col min="6" max="8" width="8.5546875" style="1" customWidth="1"/>
    <col min="9" max="9" width="9" style="1" customWidth="1"/>
    <col min="10" max="10" width="8.88671875" style="1" customWidth="1"/>
    <col min="11" max="11" width="8.5546875" style="1" customWidth="1"/>
    <col min="12" max="15" width="8.5546875" style="1" hidden="1" customWidth="1"/>
    <col min="16" max="16" width="9.6640625" style="1" hidden="1" customWidth="1"/>
    <col min="17" max="24" width="8.5546875" style="1" hidden="1" customWidth="1"/>
    <col min="25" max="25" width="8.6640625" style="1" hidden="1" customWidth="1"/>
    <col min="26" max="33" width="8.5546875" style="1" hidden="1" customWidth="1"/>
    <col min="34" max="16384" width="7.88671875" style="1"/>
  </cols>
  <sheetData>
    <row r="1" spans="1:34" x14ac:dyDescent="0.25">
      <c r="A1" s="391" t="s">
        <v>209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  <c r="AD1" s="391"/>
      <c r="AE1" s="391"/>
      <c r="AF1" s="391"/>
      <c r="AG1" s="391"/>
    </row>
    <row r="2" spans="1:34" x14ac:dyDescent="0.25">
      <c r="A2" s="391" t="s">
        <v>279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</row>
    <row r="3" spans="1:34" x14ac:dyDescent="0.25">
      <c r="A3" s="338" t="s">
        <v>287</v>
      </c>
    </row>
    <row r="4" spans="1:34" x14ac:dyDescent="0.25">
      <c r="A4" s="1" t="s">
        <v>22</v>
      </c>
      <c r="B4" s="390">
        <v>2003</v>
      </c>
      <c r="C4" s="390"/>
      <c r="D4" s="390"/>
      <c r="E4" s="390"/>
      <c r="F4" s="390"/>
      <c r="G4" s="390">
        <v>2002</v>
      </c>
      <c r="H4" s="390"/>
      <c r="I4" s="390"/>
      <c r="J4" s="390"/>
      <c r="K4" s="390"/>
      <c r="L4" s="390">
        <v>2001</v>
      </c>
      <c r="M4" s="390"/>
      <c r="N4" s="390"/>
      <c r="O4" s="390"/>
      <c r="P4" s="390"/>
      <c r="Q4" s="390">
        <v>2000</v>
      </c>
      <c r="R4" s="390"/>
      <c r="S4" s="390"/>
      <c r="T4" s="390"/>
      <c r="U4" s="390"/>
      <c r="V4" s="390">
        <v>1999</v>
      </c>
      <c r="W4" s="390"/>
      <c r="X4" s="390"/>
      <c r="Y4" s="390"/>
      <c r="Z4" s="390"/>
      <c r="AA4" s="390">
        <v>1998</v>
      </c>
      <c r="AB4" s="390"/>
      <c r="AC4" s="390"/>
      <c r="AD4" s="390"/>
      <c r="AE4" s="390"/>
      <c r="AF4" s="391">
        <v>1997</v>
      </c>
      <c r="AG4" s="391"/>
    </row>
    <row r="5" spans="1:34" x14ac:dyDescent="0.25">
      <c r="A5" s="162"/>
      <c r="B5" s="2"/>
      <c r="C5" s="6" t="s">
        <v>1</v>
      </c>
      <c r="D5" s="6" t="s">
        <v>4</v>
      </c>
      <c r="E5" s="6" t="s">
        <v>2</v>
      </c>
      <c r="F5" s="337" t="s">
        <v>3</v>
      </c>
      <c r="G5" s="2"/>
      <c r="H5" s="6" t="s">
        <v>1</v>
      </c>
      <c r="I5" s="337" t="s">
        <v>4</v>
      </c>
      <c r="J5" s="337" t="s">
        <v>2</v>
      </c>
      <c r="K5" s="337" t="s">
        <v>3</v>
      </c>
      <c r="L5" s="2"/>
      <c r="M5" s="6" t="s">
        <v>1</v>
      </c>
      <c r="N5" s="6" t="s">
        <v>4</v>
      </c>
      <c r="O5" s="6" t="s">
        <v>2</v>
      </c>
      <c r="P5" s="80" t="s">
        <v>3</v>
      </c>
      <c r="Q5" s="2"/>
      <c r="R5" s="6" t="s">
        <v>1</v>
      </c>
      <c r="S5" s="6" t="s">
        <v>4</v>
      </c>
      <c r="T5" s="6" t="s">
        <v>2</v>
      </c>
      <c r="U5" s="6" t="s">
        <v>3</v>
      </c>
      <c r="V5" s="2"/>
      <c r="W5" s="6" t="s">
        <v>1</v>
      </c>
      <c r="X5" s="6" t="s">
        <v>4</v>
      </c>
      <c r="Y5" s="6" t="s">
        <v>2</v>
      </c>
      <c r="Z5" s="6" t="s">
        <v>3</v>
      </c>
      <c r="AA5" s="2"/>
      <c r="AB5" s="6" t="s">
        <v>1</v>
      </c>
      <c r="AC5" s="6" t="s">
        <v>4</v>
      </c>
      <c r="AD5" s="6" t="s">
        <v>2</v>
      </c>
      <c r="AE5" s="6" t="s">
        <v>3</v>
      </c>
      <c r="AF5" s="14"/>
      <c r="AG5" s="6" t="s">
        <v>1</v>
      </c>
      <c r="AH5" s="19"/>
    </row>
    <row r="6" spans="1:34" x14ac:dyDescent="0.25">
      <c r="A6" s="159"/>
      <c r="B6" s="63" t="s">
        <v>0</v>
      </c>
      <c r="C6" s="62" t="s">
        <v>5</v>
      </c>
      <c r="D6" s="62" t="s">
        <v>5</v>
      </c>
      <c r="E6" s="62" t="s">
        <v>5</v>
      </c>
      <c r="F6" s="365" t="s">
        <v>5</v>
      </c>
      <c r="G6" s="367" t="s">
        <v>0</v>
      </c>
      <c r="H6" s="246" t="s">
        <v>5</v>
      </c>
      <c r="I6" s="246" t="s">
        <v>5</v>
      </c>
      <c r="J6" s="246" t="s">
        <v>5</v>
      </c>
      <c r="K6" s="371" t="s">
        <v>5</v>
      </c>
      <c r="L6" s="15" t="s">
        <v>0</v>
      </c>
      <c r="M6" s="8" t="s">
        <v>5</v>
      </c>
      <c r="N6" s="8" t="s">
        <v>5</v>
      </c>
      <c r="O6" s="8" t="s">
        <v>5</v>
      </c>
      <c r="P6" s="81" t="s">
        <v>5</v>
      </c>
      <c r="Q6" s="15" t="s">
        <v>0</v>
      </c>
      <c r="R6" s="8" t="s">
        <v>5</v>
      </c>
      <c r="S6" s="8" t="s">
        <v>5</v>
      </c>
      <c r="T6" s="8" t="s">
        <v>5</v>
      </c>
      <c r="U6" s="8" t="s">
        <v>5</v>
      </c>
      <c r="V6" s="63" t="s">
        <v>0</v>
      </c>
      <c r="W6" s="8" t="s">
        <v>5</v>
      </c>
      <c r="X6" s="8" t="s">
        <v>5</v>
      </c>
      <c r="Y6" s="8" t="s">
        <v>5</v>
      </c>
      <c r="Z6" s="8" t="s">
        <v>5</v>
      </c>
      <c r="AA6" s="15" t="s">
        <v>0</v>
      </c>
      <c r="AB6" s="8" t="s">
        <v>5</v>
      </c>
      <c r="AC6" s="8" t="s">
        <v>5</v>
      </c>
      <c r="AD6" s="8" t="s">
        <v>5</v>
      </c>
      <c r="AE6" s="8" t="s">
        <v>5</v>
      </c>
      <c r="AF6" s="15" t="s">
        <v>0</v>
      </c>
      <c r="AG6" s="8" t="s">
        <v>5</v>
      </c>
      <c r="AH6" s="19"/>
    </row>
    <row r="7" spans="1:34" x14ac:dyDescent="0.25">
      <c r="A7" s="162" t="s">
        <v>55</v>
      </c>
      <c r="B7" s="245">
        <v>325581</v>
      </c>
      <c r="C7" s="245">
        <v>86140</v>
      </c>
      <c r="D7" s="245">
        <v>81662</v>
      </c>
      <c r="E7" s="245">
        <v>78924</v>
      </c>
      <c r="F7" s="245">
        <v>79022</v>
      </c>
      <c r="G7" s="245">
        <v>365353</v>
      </c>
      <c r="H7" s="123">
        <v>82542</v>
      </c>
      <c r="I7" s="123">
        <v>90159</v>
      </c>
      <c r="J7" s="123">
        <v>96802</v>
      </c>
      <c r="K7" s="245">
        <v>95850</v>
      </c>
      <c r="L7" s="346">
        <v>485383</v>
      </c>
      <c r="M7" s="346">
        <v>101651</v>
      </c>
      <c r="N7" s="346">
        <v>113178</v>
      </c>
      <c r="O7" s="341">
        <v>127923</v>
      </c>
      <c r="P7" s="347">
        <v>142631</v>
      </c>
      <c r="Q7" s="161">
        <v>612045</v>
      </c>
      <c r="R7" s="100">
        <v>153755</v>
      </c>
      <c r="S7" s="161">
        <v>154548</v>
      </c>
      <c r="T7" s="100">
        <v>152716</v>
      </c>
      <c r="U7" s="161">
        <v>151026</v>
      </c>
      <c r="V7" s="123">
        <v>559761</v>
      </c>
      <c r="W7" s="161">
        <v>151609</v>
      </c>
      <c r="X7" s="35">
        <v>142459</v>
      </c>
      <c r="Y7" s="35">
        <v>134199</v>
      </c>
      <c r="Z7" s="35">
        <v>131494</v>
      </c>
      <c r="AA7" s="36">
        <v>481820</v>
      </c>
      <c r="AB7" s="35">
        <v>127134</v>
      </c>
      <c r="AC7" s="35">
        <v>123115</v>
      </c>
      <c r="AD7" s="35">
        <v>118829</v>
      </c>
      <c r="AE7" s="35">
        <v>112742</v>
      </c>
      <c r="AF7" s="35">
        <v>422150</v>
      </c>
      <c r="AG7" s="35">
        <v>110447</v>
      </c>
      <c r="AH7" s="19"/>
    </row>
    <row r="8" spans="1:34" x14ac:dyDescent="0.25">
      <c r="A8" s="159" t="s">
        <v>63</v>
      </c>
      <c r="B8" s="291">
        <v>17550</v>
      </c>
      <c r="C8" s="291">
        <v>5184</v>
      </c>
      <c r="D8" s="291">
        <v>4440</v>
      </c>
      <c r="E8" s="291">
        <v>3535</v>
      </c>
      <c r="F8" s="291">
        <v>4391</v>
      </c>
      <c r="G8" s="291">
        <v>13174</v>
      </c>
      <c r="H8" s="120">
        <v>3976</v>
      </c>
      <c r="I8" s="120">
        <v>2183</v>
      </c>
      <c r="J8" s="120">
        <v>3986</v>
      </c>
      <c r="K8" s="291">
        <v>3029</v>
      </c>
      <c r="L8" s="343">
        <v>22933</v>
      </c>
      <c r="M8" s="343">
        <v>5015</v>
      </c>
      <c r="N8" s="343">
        <v>4403</v>
      </c>
      <c r="O8" s="342">
        <v>7012</v>
      </c>
      <c r="P8" s="348">
        <v>6503</v>
      </c>
      <c r="Q8" s="103">
        <v>25343</v>
      </c>
      <c r="R8" s="103">
        <v>5401</v>
      </c>
      <c r="S8" s="103">
        <v>9091</v>
      </c>
      <c r="T8" s="103">
        <v>4817</v>
      </c>
      <c r="U8" s="103">
        <v>6033</v>
      </c>
      <c r="V8" s="120">
        <v>28954</v>
      </c>
      <c r="W8" s="102">
        <v>6801</v>
      </c>
      <c r="X8" s="43">
        <v>6953</v>
      </c>
      <c r="Y8" s="43">
        <v>7506</v>
      </c>
      <c r="Z8" s="43">
        <v>7694</v>
      </c>
      <c r="AA8" s="44">
        <v>27007</v>
      </c>
      <c r="AB8" s="43">
        <v>7469</v>
      </c>
      <c r="AC8" s="43">
        <v>6998</v>
      </c>
      <c r="AD8" s="43">
        <v>6637</v>
      </c>
      <c r="AE8" s="43">
        <v>5902</v>
      </c>
      <c r="AF8" s="43">
        <v>17987</v>
      </c>
      <c r="AG8" s="43">
        <v>5069</v>
      </c>
      <c r="AH8" s="19"/>
    </row>
    <row r="9" spans="1:34" x14ac:dyDescent="0.25">
      <c r="A9" s="64"/>
      <c r="B9" s="323">
        <f>SUM(B7:B8)</f>
        <v>343131</v>
      </c>
      <c r="C9" s="323">
        <f>SUM(C7:C8)</f>
        <v>91324</v>
      </c>
      <c r="D9" s="323">
        <f>SUM(D7:D8)</f>
        <v>86102</v>
      </c>
      <c r="E9" s="323">
        <f>SUM(E7:E8)</f>
        <v>82459</v>
      </c>
      <c r="F9" s="323">
        <f>SUM(F7:F8)</f>
        <v>83413</v>
      </c>
      <c r="G9" s="323">
        <f t="shared" ref="G9:P9" si="0">SUM(G7:G8)</f>
        <v>378527</v>
      </c>
      <c r="H9" s="119">
        <f t="shared" si="0"/>
        <v>86518</v>
      </c>
      <c r="I9" s="119">
        <f t="shared" si="0"/>
        <v>92342</v>
      </c>
      <c r="J9" s="119">
        <f t="shared" si="0"/>
        <v>100788</v>
      </c>
      <c r="K9" s="119">
        <f t="shared" si="0"/>
        <v>98879</v>
      </c>
      <c r="L9" s="344">
        <f t="shared" si="0"/>
        <v>508316</v>
      </c>
      <c r="M9" s="344">
        <f t="shared" si="0"/>
        <v>106666</v>
      </c>
      <c r="N9" s="344">
        <f t="shared" si="0"/>
        <v>117581</v>
      </c>
      <c r="O9" s="340">
        <f t="shared" si="0"/>
        <v>134935</v>
      </c>
      <c r="P9" s="349">
        <f t="shared" si="0"/>
        <v>149134</v>
      </c>
      <c r="Q9" s="105">
        <f t="shared" ref="Q9:Z9" si="1">SUM(Q7:Q8)</f>
        <v>637388</v>
      </c>
      <c r="R9" s="102">
        <f t="shared" si="1"/>
        <v>159156</v>
      </c>
      <c r="S9" s="105">
        <f t="shared" si="1"/>
        <v>163639</v>
      </c>
      <c r="T9" s="102">
        <f t="shared" si="1"/>
        <v>157533</v>
      </c>
      <c r="U9" s="105">
        <f t="shared" si="1"/>
        <v>157059</v>
      </c>
      <c r="V9" s="119">
        <f t="shared" si="1"/>
        <v>588715</v>
      </c>
      <c r="W9" s="105">
        <f t="shared" si="1"/>
        <v>158410</v>
      </c>
      <c r="X9" s="37">
        <f t="shared" si="1"/>
        <v>149412</v>
      </c>
      <c r="Y9" s="37">
        <f t="shared" si="1"/>
        <v>141705</v>
      </c>
      <c r="Z9" s="37">
        <f t="shared" si="1"/>
        <v>139188</v>
      </c>
      <c r="AA9" s="38">
        <f t="shared" ref="AA9:AG9" si="2">SUM(AA7:AA8)</f>
        <v>508827</v>
      </c>
      <c r="AB9" s="37">
        <f t="shared" si="2"/>
        <v>134603</v>
      </c>
      <c r="AC9" s="37">
        <f t="shared" si="2"/>
        <v>130113</v>
      </c>
      <c r="AD9" s="37">
        <f t="shared" si="2"/>
        <v>125466</v>
      </c>
      <c r="AE9" s="37">
        <f t="shared" si="2"/>
        <v>118644</v>
      </c>
      <c r="AF9" s="37">
        <f t="shared" si="2"/>
        <v>440137</v>
      </c>
      <c r="AG9" s="37">
        <f t="shared" si="2"/>
        <v>115516</v>
      </c>
      <c r="AH9" s="19"/>
    </row>
    <row r="10" spans="1:34" x14ac:dyDescent="0.25">
      <c r="A10" s="159" t="s">
        <v>223</v>
      </c>
      <c r="B10" s="291">
        <v>132351</v>
      </c>
      <c r="C10" s="291">
        <v>31384</v>
      </c>
      <c r="D10" s="291">
        <v>32706</v>
      </c>
      <c r="E10" s="291">
        <v>33034</v>
      </c>
      <c r="F10" s="291">
        <v>35395</v>
      </c>
      <c r="G10" s="291">
        <v>159915</v>
      </c>
      <c r="H10" s="120">
        <v>38315</v>
      </c>
      <c r="I10" s="120">
        <v>39634</v>
      </c>
      <c r="J10" s="120">
        <v>40783</v>
      </c>
      <c r="K10" s="291">
        <v>41183</v>
      </c>
      <c r="L10" s="343">
        <v>242305</v>
      </c>
      <c r="M10" s="343">
        <v>42887</v>
      </c>
      <c r="N10" s="343">
        <v>52424</v>
      </c>
      <c r="O10" s="342">
        <v>65695</v>
      </c>
      <c r="P10" s="348">
        <v>81299</v>
      </c>
      <c r="Q10" s="103">
        <v>365600</v>
      </c>
      <c r="R10" s="103">
        <v>93782</v>
      </c>
      <c r="S10" s="103">
        <v>94313</v>
      </c>
      <c r="T10" s="103">
        <v>90017</v>
      </c>
      <c r="U10" s="103">
        <v>87488</v>
      </c>
      <c r="V10" s="120">
        <v>306086</v>
      </c>
      <c r="W10" s="102">
        <v>85885</v>
      </c>
      <c r="X10" s="43">
        <v>79756</v>
      </c>
      <c r="Y10" s="43">
        <v>72178</v>
      </c>
      <c r="Z10" s="43">
        <v>68267</v>
      </c>
      <c r="AA10" s="44">
        <v>250074</v>
      </c>
      <c r="AB10" s="43">
        <f>65290+1</f>
        <v>65291</v>
      </c>
      <c r="AC10" s="43">
        <v>65314</v>
      </c>
      <c r="AD10" s="43">
        <v>62318</v>
      </c>
      <c r="AE10" s="43">
        <v>57151</v>
      </c>
      <c r="AF10" s="43">
        <v>210963</v>
      </c>
      <c r="AG10" s="43">
        <v>56067</v>
      </c>
      <c r="AH10" s="19"/>
    </row>
    <row r="11" spans="1:34" x14ac:dyDescent="0.25">
      <c r="A11" s="64" t="s">
        <v>56</v>
      </c>
      <c r="B11" s="323">
        <f>+B9-B10</f>
        <v>210780</v>
      </c>
      <c r="C11" s="323">
        <f>+C9-C10</f>
        <v>59940</v>
      </c>
      <c r="D11" s="323">
        <f>+D9-D10</f>
        <v>53396</v>
      </c>
      <c r="E11" s="323">
        <f>+E9-E10</f>
        <v>49425</v>
      </c>
      <c r="F11" s="323">
        <f>+F9-F10</f>
        <v>48018</v>
      </c>
      <c r="G11" s="323">
        <f t="shared" ref="G11:P11" si="3">+G9-G10</f>
        <v>218612</v>
      </c>
      <c r="H11" s="119">
        <f t="shared" si="3"/>
        <v>48203</v>
      </c>
      <c r="I11" s="119">
        <f t="shared" si="3"/>
        <v>52708</v>
      </c>
      <c r="J11" s="119">
        <f t="shared" si="3"/>
        <v>60005</v>
      </c>
      <c r="K11" s="119">
        <f t="shared" si="3"/>
        <v>57696</v>
      </c>
      <c r="L11" s="344">
        <f t="shared" si="3"/>
        <v>266011</v>
      </c>
      <c r="M11" s="344">
        <f t="shared" si="3"/>
        <v>63779</v>
      </c>
      <c r="N11" s="344">
        <f t="shared" si="3"/>
        <v>65157</v>
      </c>
      <c r="O11" s="340">
        <f t="shared" si="3"/>
        <v>69240</v>
      </c>
      <c r="P11" s="349">
        <f t="shared" si="3"/>
        <v>67835</v>
      </c>
      <c r="Q11" s="105">
        <f t="shared" ref="Q11:Z11" si="4">+Q9-Q10</f>
        <v>271788</v>
      </c>
      <c r="R11" s="102">
        <f t="shared" si="4"/>
        <v>65374</v>
      </c>
      <c r="S11" s="102">
        <f t="shared" si="4"/>
        <v>69326</v>
      </c>
      <c r="T11" s="102">
        <f t="shared" si="4"/>
        <v>67516</v>
      </c>
      <c r="U11" s="105">
        <f t="shared" si="4"/>
        <v>69571</v>
      </c>
      <c r="V11" s="119">
        <f t="shared" si="4"/>
        <v>282629</v>
      </c>
      <c r="W11" s="105">
        <f t="shared" si="4"/>
        <v>72525</v>
      </c>
      <c r="X11" s="37">
        <f t="shared" si="4"/>
        <v>69656</v>
      </c>
      <c r="Y11" s="37">
        <f t="shared" si="4"/>
        <v>69527</v>
      </c>
      <c r="Z11" s="37">
        <f t="shared" si="4"/>
        <v>70921</v>
      </c>
      <c r="AA11" s="38">
        <f t="shared" ref="AA11:AG11" si="5">+AA9-AA10</f>
        <v>258753</v>
      </c>
      <c r="AB11" s="37">
        <f t="shared" si="5"/>
        <v>69312</v>
      </c>
      <c r="AC11" s="37">
        <f t="shared" si="5"/>
        <v>64799</v>
      </c>
      <c r="AD11" s="37">
        <f t="shared" si="5"/>
        <v>63148</v>
      </c>
      <c r="AE11" s="37">
        <f t="shared" si="5"/>
        <v>61493</v>
      </c>
      <c r="AF11" s="37">
        <f t="shared" si="5"/>
        <v>229174</v>
      </c>
      <c r="AG11" s="37">
        <f t="shared" si="5"/>
        <v>59449</v>
      </c>
      <c r="AH11" s="19"/>
    </row>
    <row r="12" spans="1:34" x14ac:dyDescent="0.25">
      <c r="A12" s="159" t="s">
        <v>280</v>
      </c>
      <c r="B12" s="291">
        <v>49745</v>
      </c>
      <c r="C12" s="291">
        <v>15000</v>
      </c>
      <c r="D12" s="291">
        <v>8965</v>
      </c>
      <c r="E12" s="291">
        <v>13715</v>
      </c>
      <c r="F12" s="291">
        <v>12065</v>
      </c>
      <c r="G12" s="291">
        <v>63630</v>
      </c>
      <c r="H12" s="120">
        <v>18130</v>
      </c>
      <c r="I12" s="120">
        <v>17078</v>
      </c>
      <c r="J12" s="120">
        <v>16450</v>
      </c>
      <c r="K12" s="291">
        <v>11972</v>
      </c>
      <c r="L12" s="343">
        <v>65430</v>
      </c>
      <c r="M12" s="343">
        <v>15685</v>
      </c>
      <c r="N12" s="343">
        <v>19400</v>
      </c>
      <c r="O12" s="342">
        <v>17200</v>
      </c>
      <c r="P12" s="348">
        <v>13145</v>
      </c>
      <c r="Q12" s="103">
        <v>37000</v>
      </c>
      <c r="R12" s="103">
        <v>10750</v>
      </c>
      <c r="S12" s="103">
        <v>8750</v>
      </c>
      <c r="T12" s="103">
        <v>9750</v>
      </c>
      <c r="U12" s="103">
        <v>7750</v>
      </c>
      <c r="V12" s="120">
        <v>26375</v>
      </c>
      <c r="W12" s="102">
        <v>9775</v>
      </c>
      <c r="X12" s="43">
        <v>7200</v>
      </c>
      <c r="Y12" s="43">
        <v>3400</v>
      </c>
      <c r="Z12" s="43">
        <v>6000</v>
      </c>
      <c r="AA12" s="44">
        <v>28800</v>
      </c>
      <c r="AB12" s="43">
        <v>9750</v>
      </c>
      <c r="AC12" s="43">
        <v>7950</v>
      </c>
      <c r="AD12" s="43">
        <v>7500</v>
      </c>
      <c r="AE12" s="43">
        <v>3600</v>
      </c>
      <c r="AF12" s="43">
        <v>4850</v>
      </c>
      <c r="AG12" s="43">
        <v>2793</v>
      </c>
      <c r="AH12" s="19"/>
    </row>
    <row r="13" spans="1:34" x14ac:dyDescent="0.25">
      <c r="A13" s="64" t="s">
        <v>58</v>
      </c>
      <c r="B13" s="323">
        <f>+B11-B12</f>
        <v>161035</v>
      </c>
      <c r="C13" s="323">
        <f>+C11-C12</f>
        <v>44940</v>
      </c>
      <c r="D13" s="323">
        <f>+D11-D12</f>
        <v>44431</v>
      </c>
      <c r="E13" s="323">
        <f>+E11-E12</f>
        <v>35710</v>
      </c>
      <c r="F13" s="323">
        <f>+F11-F12</f>
        <v>35953</v>
      </c>
      <c r="G13" s="323">
        <f t="shared" ref="G13:P13" si="6">+G11-G12</f>
        <v>154982</v>
      </c>
      <c r="H13" s="119">
        <f t="shared" si="6"/>
        <v>30073</v>
      </c>
      <c r="I13" s="119">
        <f t="shared" si="6"/>
        <v>35630</v>
      </c>
      <c r="J13" s="119">
        <f t="shared" si="6"/>
        <v>43555</v>
      </c>
      <c r="K13" s="119">
        <f t="shared" si="6"/>
        <v>45724</v>
      </c>
      <c r="L13" s="344">
        <f t="shared" si="6"/>
        <v>200581</v>
      </c>
      <c r="M13" s="344">
        <f t="shared" si="6"/>
        <v>48094</v>
      </c>
      <c r="N13" s="344">
        <f t="shared" si="6"/>
        <v>45757</v>
      </c>
      <c r="O13" s="340">
        <f t="shared" si="6"/>
        <v>52040</v>
      </c>
      <c r="P13" s="349">
        <f t="shared" si="6"/>
        <v>54690</v>
      </c>
      <c r="Q13" s="105">
        <f t="shared" ref="Q13:Z13" si="7">+Q11-Q12</f>
        <v>234788</v>
      </c>
      <c r="R13" s="102">
        <f t="shared" si="7"/>
        <v>54624</v>
      </c>
      <c r="S13" s="102">
        <f t="shared" si="7"/>
        <v>60576</v>
      </c>
      <c r="T13" s="102">
        <f t="shared" si="7"/>
        <v>57766</v>
      </c>
      <c r="U13" s="105">
        <f t="shared" si="7"/>
        <v>61821</v>
      </c>
      <c r="V13" s="119">
        <f t="shared" si="7"/>
        <v>256254</v>
      </c>
      <c r="W13" s="105">
        <f t="shared" si="7"/>
        <v>62750</v>
      </c>
      <c r="X13" s="37">
        <f t="shared" si="7"/>
        <v>62456</v>
      </c>
      <c r="Y13" s="37">
        <f t="shared" si="7"/>
        <v>66127</v>
      </c>
      <c r="Z13" s="37">
        <f t="shared" si="7"/>
        <v>64921</v>
      </c>
      <c r="AA13" s="38">
        <f t="shared" ref="AA13:AG13" si="8">+AA11-AA12</f>
        <v>229953</v>
      </c>
      <c r="AB13" s="37">
        <f t="shared" si="8"/>
        <v>59562</v>
      </c>
      <c r="AC13" s="37">
        <f t="shared" si="8"/>
        <v>56849</v>
      </c>
      <c r="AD13" s="37">
        <f t="shared" si="8"/>
        <v>55648</v>
      </c>
      <c r="AE13" s="37">
        <f t="shared" si="8"/>
        <v>57893</v>
      </c>
      <c r="AF13" s="37">
        <f t="shared" si="8"/>
        <v>224324</v>
      </c>
      <c r="AG13" s="37">
        <f t="shared" si="8"/>
        <v>56656</v>
      </c>
      <c r="AH13" s="19"/>
    </row>
    <row r="14" spans="1:34" x14ac:dyDescent="0.25">
      <c r="A14" s="64" t="s">
        <v>59</v>
      </c>
      <c r="B14" s="211">
        <f>83753+277+24663</f>
        <v>108693</v>
      </c>
      <c r="C14" s="211">
        <f>20474+31+6399</f>
        <v>26904</v>
      </c>
      <c r="D14" s="211">
        <f>24327+4+7015</f>
        <v>31346</v>
      </c>
      <c r="E14" s="211">
        <f>18477+150+7871</f>
        <v>26498</v>
      </c>
      <c r="F14" s="211">
        <f>20474+92+3377</f>
        <v>23943</v>
      </c>
      <c r="G14" s="211">
        <f>40372+35277+1461+11762-427</f>
        <v>88445</v>
      </c>
      <c r="H14" s="51">
        <f>21536-6-19</f>
        <v>21511</v>
      </c>
      <c r="I14" s="51">
        <f>24078-48-119</f>
        <v>23911</v>
      </c>
      <c r="J14" s="51">
        <f>25406-4041-167</f>
        <v>21198</v>
      </c>
      <c r="K14" s="211">
        <f>30104-123-8141</f>
        <v>21840</v>
      </c>
      <c r="L14" s="339">
        <f>39938+15481</f>
        <v>55419</v>
      </c>
      <c r="M14" s="339">
        <f>9488+2971</f>
        <v>12459</v>
      </c>
      <c r="N14" s="339">
        <v>14848</v>
      </c>
      <c r="O14" s="340">
        <f>10275+4184</f>
        <v>14459</v>
      </c>
      <c r="P14" s="349">
        <f>9744+3911</f>
        <v>13655</v>
      </c>
      <c r="Q14" s="102">
        <f>56314-Q15-Q16</f>
        <v>58652</v>
      </c>
      <c r="R14" s="102">
        <f>14273-R15-R16</f>
        <v>14044</v>
      </c>
      <c r="S14" s="102">
        <f>16950-S15-S16</f>
        <v>16661</v>
      </c>
      <c r="T14" s="102">
        <f>15113-T15-T16</f>
        <v>14633</v>
      </c>
      <c r="U14" s="102">
        <f>9978-U15-U16</f>
        <v>13314</v>
      </c>
      <c r="V14" s="51">
        <f>45331-V15-V16</f>
        <v>42030</v>
      </c>
      <c r="W14" s="50">
        <f>14051-W15-W16</f>
        <v>12734</v>
      </c>
      <c r="X14" s="37">
        <v>10106</v>
      </c>
      <c r="Y14" s="37">
        <f>10380-510</f>
        <v>9870</v>
      </c>
      <c r="Z14" s="37">
        <v>9871</v>
      </c>
      <c r="AA14" s="38">
        <f>53443-2074-7690</f>
        <v>43679</v>
      </c>
      <c r="AB14" s="37">
        <f>19005-339-7690</f>
        <v>10976</v>
      </c>
      <c r="AC14" s="37">
        <f>11712-974</f>
        <v>10738</v>
      </c>
      <c r="AD14" s="37">
        <f>11825-412</f>
        <v>11413</v>
      </c>
      <c r="AE14" s="37">
        <f>10496+56</f>
        <v>10552</v>
      </c>
      <c r="AF14" s="37">
        <f>48597-2964-2484</f>
        <v>43149</v>
      </c>
      <c r="AG14" s="37">
        <f>13004-389-706</f>
        <v>11909</v>
      </c>
      <c r="AH14" s="19"/>
    </row>
    <row r="15" spans="1:34" x14ac:dyDescent="0.25">
      <c r="A15" s="64" t="s">
        <v>60</v>
      </c>
      <c r="B15" s="211">
        <v>10790</v>
      </c>
      <c r="C15" s="211">
        <v>779</v>
      </c>
      <c r="D15" s="211">
        <v>4</v>
      </c>
      <c r="E15" s="211">
        <v>5339</v>
      </c>
      <c r="F15" s="211">
        <v>4669</v>
      </c>
      <c r="G15" s="211">
        <v>12236</v>
      </c>
      <c r="H15" s="51">
        <v>6</v>
      </c>
      <c r="I15" s="51">
        <v>48</v>
      </c>
      <c r="J15" s="51">
        <v>4041</v>
      </c>
      <c r="K15" s="211">
        <v>8141</v>
      </c>
      <c r="L15" s="339">
        <v>18282</v>
      </c>
      <c r="M15" s="339">
        <v>1083</v>
      </c>
      <c r="N15" s="339">
        <v>11640</v>
      </c>
      <c r="O15" s="340">
        <v>548</v>
      </c>
      <c r="P15" s="349">
        <v>5010</v>
      </c>
      <c r="Q15" s="102">
        <v>-3801</v>
      </c>
      <c r="R15" s="102">
        <v>5</v>
      </c>
      <c r="S15" s="102">
        <v>7</v>
      </c>
      <c r="T15" s="102">
        <v>8</v>
      </c>
      <c r="U15" s="102">
        <v>-3821</v>
      </c>
      <c r="V15" s="51">
        <v>323</v>
      </c>
      <c r="W15" s="102">
        <v>-5</v>
      </c>
      <c r="X15" s="37">
        <v>48</v>
      </c>
      <c r="Y15" s="37">
        <v>110</v>
      </c>
      <c r="Z15" s="37">
        <v>170</v>
      </c>
      <c r="AA15" s="38">
        <v>2074</v>
      </c>
      <c r="AB15" s="37">
        <v>339</v>
      </c>
      <c r="AC15" s="37">
        <v>974</v>
      </c>
      <c r="AD15" s="37">
        <v>412</v>
      </c>
      <c r="AE15" s="37">
        <f>405-56</f>
        <v>349</v>
      </c>
      <c r="AF15" s="37">
        <v>2964</v>
      </c>
      <c r="AG15" s="37">
        <v>389</v>
      </c>
      <c r="AH15" s="19"/>
    </row>
    <row r="16" spans="1:34" x14ac:dyDescent="0.25">
      <c r="A16" s="64" t="s">
        <v>164</v>
      </c>
      <c r="B16" s="211">
        <v>457</v>
      </c>
      <c r="C16" s="211">
        <v>131</v>
      </c>
      <c r="D16" s="211">
        <v>142</v>
      </c>
      <c r="E16" s="211">
        <v>60</v>
      </c>
      <c r="F16" s="211">
        <v>125</v>
      </c>
      <c r="G16" s="211">
        <v>427</v>
      </c>
      <c r="H16" s="51">
        <v>19</v>
      </c>
      <c r="I16" s="51">
        <v>119</v>
      </c>
      <c r="J16" s="51">
        <v>167</v>
      </c>
      <c r="K16" s="211">
        <v>123</v>
      </c>
      <c r="L16" s="339">
        <v>530</v>
      </c>
      <c r="M16" s="339">
        <v>152</v>
      </c>
      <c r="N16" s="339">
        <v>130</v>
      </c>
      <c r="O16" s="340">
        <v>130</v>
      </c>
      <c r="P16" s="349">
        <v>118</v>
      </c>
      <c r="Q16" s="102">
        <v>1463</v>
      </c>
      <c r="R16" s="102">
        <v>224</v>
      </c>
      <c r="S16" s="102">
        <v>282</v>
      </c>
      <c r="T16" s="102">
        <v>472</v>
      </c>
      <c r="U16" s="102">
        <v>485</v>
      </c>
      <c r="V16" s="51">
        <v>2978</v>
      </c>
      <c r="W16" s="102">
        <v>1322</v>
      </c>
      <c r="X16" s="37">
        <v>595</v>
      </c>
      <c r="Y16" s="37">
        <v>510</v>
      </c>
      <c r="Z16" s="37">
        <v>0</v>
      </c>
      <c r="AA16" s="38">
        <v>7690</v>
      </c>
      <c r="AB16" s="37">
        <v>7690</v>
      </c>
      <c r="AC16" s="37">
        <v>0</v>
      </c>
      <c r="AD16" s="37">
        <v>0</v>
      </c>
      <c r="AE16" s="37">
        <v>0</v>
      </c>
      <c r="AF16" s="37">
        <v>2484</v>
      </c>
      <c r="AG16" s="37">
        <v>706</v>
      </c>
      <c r="AH16" s="19"/>
    </row>
    <row r="17" spans="1:34" x14ac:dyDescent="0.25">
      <c r="A17" s="159" t="s">
        <v>61</v>
      </c>
      <c r="B17" s="291">
        <v>-224265</v>
      </c>
      <c r="C17" s="291">
        <v>-57532</v>
      </c>
      <c r="D17" s="291">
        <v>-57426</v>
      </c>
      <c r="E17" s="291">
        <v>-54797</v>
      </c>
      <c r="F17" s="291">
        <v>-54509</v>
      </c>
      <c r="G17" s="291">
        <v>-213875</v>
      </c>
      <c r="H17" s="120">
        <v>-52905</v>
      </c>
      <c r="I17" s="120">
        <v>-53153</v>
      </c>
      <c r="J17" s="120">
        <v>-54741</v>
      </c>
      <c r="K17" s="291">
        <v>-53092</v>
      </c>
      <c r="L17" s="343">
        <v>-185207</v>
      </c>
      <c r="M17" s="343">
        <v>-50895</v>
      </c>
      <c r="N17" s="343">
        <v>-47065</v>
      </c>
      <c r="O17" s="342">
        <v>-44023</v>
      </c>
      <c r="P17" s="348">
        <v>-43224</v>
      </c>
      <c r="Q17" s="103">
        <v>-174723</v>
      </c>
      <c r="R17" s="103">
        <v>-43382</v>
      </c>
      <c r="S17" s="103">
        <v>-44143</v>
      </c>
      <c r="T17" s="103">
        <v>-43775</v>
      </c>
      <c r="U17" s="103">
        <v>-43423</v>
      </c>
      <c r="V17" s="120">
        <v>-171801</v>
      </c>
      <c r="W17" s="102">
        <f>-43392</f>
        <v>-43392</v>
      </c>
      <c r="X17" s="43">
        <v>-42026</v>
      </c>
      <c r="Y17" s="43">
        <v>-43420</v>
      </c>
      <c r="Z17" s="43">
        <v>-42963</v>
      </c>
      <c r="AA17" s="44">
        <v>-166447</v>
      </c>
      <c r="AB17" s="43">
        <v>-39588</v>
      </c>
      <c r="AC17" s="43">
        <v>-41263</v>
      </c>
      <c r="AD17" s="43">
        <v>-43025</v>
      </c>
      <c r="AE17" s="43">
        <v>-42571</v>
      </c>
      <c r="AF17" s="43">
        <v>-164132</v>
      </c>
      <c r="AG17" s="43">
        <v>-39751</v>
      </c>
      <c r="AH17" s="19"/>
    </row>
    <row r="18" spans="1:34" x14ac:dyDescent="0.25">
      <c r="A18" s="64" t="s">
        <v>62</v>
      </c>
      <c r="B18" s="323">
        <f>SUM(B13:B17)</f>
        <v>56710</v>
      </c>
      <c r="C18" s="323">
        <f>SUM(C13:C17)</f>
        <v>15222</v>
      </c>
      <c r="D18" s="323">
        <f>SUM(D13:D17)</f>
        <v>18497</v>
      </c>
      <c r="E18" s="323">
        <f>SUM(E13:E17)</f>
        <v>12810</v>
      </c>
      <c r="F18" s="323">
        <f>SUM(F13:F17)</f>
        <v>10181</v>
      </c>
      <c r="G18" s="323">
        <f t="shared" ref="G18:P18" si="9">SUM(G13:G17)</f>
        <v>42215</v>
      </c>
      <c r="H18" s="119">
        <f t="shared" si="9"/>
        <v>-1296</v>
      </c>
      <c r="I18" s="119">
        <f t="shared" si="9"/>
        <v>6555</v>
      </c>
      <c r="J18" s="119">
        <f t="shared" si="9"/>
        <v>14220</v>
      </c>
      <c r="K18" s="119">
        <f t="shared" si="9"/>
        <v>22736</v>
      </c>
      <c r="L18" s="344">
        <f t="shared" si="9"/>
        <v>89605</v>
      </c>
      <c r="M18" s="344">
        <f t="shared" si="9"/>
        <v>10893</v>
      </c>
      <c r="N18" s="344">
        <f t="shared" si="9"/>
        <v>25310</v>
      </c>
      <c r="O18" s="340">
        <f t="shared" si="9"/>
        <v>23154</v>
      </c>
      <c r="P18" s="349">
        <f t="shared" si="9"/>
        <v>30249</v>
      </c>
      <c r="Q18" s="105">
        <f t="shared" ref="Q18:Z18" si="10">SUM(Q13:Q17)</f>
        <v>116379</v>
      </c>
      <c r="R18" s="102">
        <f t="shared" si="10"/>
        <v>25515</v>
      </c>
      <c r="S18" s="102">
        <f t="shared" si="10"/>
        <v>33383</v>
      </c>
      <c r="T18" s="102">
        <f t="shared" si="10"/>
        <v>29104</v>
      </c>
      <c r="U18" s="105">
        <f t="shared" si="10"/>
        <v>28376</v>
      </c>
      <c r="V18" s="119">
        <f t="shared" si="10"/>
        <v>129784</v>
      </c>
      <c r="W18" s="105">
        <f t="shared" si="10"/>
        <v>33409</v>
      </c>
      <c r="X18" s="37">
        <f t="shared" si="10"/>
        <v>31179</v>
      </c>
      <c r="Y18" s="37">
        <f t="shared" si="10"/>
        <v>33197</v>
      </c>
      <c r="Z18" s="37">
        <f t="shared" si="10"/>
        <v>31999</v>
      </c>
      <c r="AA18" s="38">
        <f t="shared" ref="AA18:AG18" si="11">SUM(AA13:AA17)</f>
        <v>116949</v>
      </c>
      <c r="AB18" s="37">
        <f t="shared" si="11"/>
        <v>38979</v>
      </c>
      <c r="AC18" s="37">
        <f t="shared" si="11"/>
        <v>27298</v>
      </c>
      <c r="AD18" s="37">
        <f t="shared" si="11"/>
        <v>24448</v>
      </c>
      <c r="AE18" s="37">
        <f t="shared" si="11"/>
        <v>26223</v>
      </c>
      <c r="AF18" s="37">
        <f t="shared" si="11"/>
        <v>108789</v>
      </c>
      <c r="AG18" s="37">
        <f t="shared" si="11"/>
        <v>29909</v>
      </c>
      <c r="AH18" s="19"/>
    </row>
    <row r="19" spans="1:34" x14ac:dyDescent="0.25">
      <c r="A19" s="64" t="s">
        <v>286</v>
      </c>
      <c r="B19" s="211">
        <v>285</v>
      </c>
      <c r="C19" s="211">
        <v>5704</v>
      </c>
      <c r="D19" s="211">
        <v>-2514</v>
      </c>
      <c r="E19" s="211">
        <v>-2253</v>
      </c>
      <c r="F19" s="211">
        <v>-652</v>
      </c>
      <c r="G19" s="211">
        <v>-3289</v>
      </c>
      <c r="H19" s="51">
        <v>3858</v>
      </c>
      <c r="I19" s="51">
        <v>-411</v>
      </c>
      <c r="J19" s="51">
        <v>-1834</v>
      </c>
      <c r="K19" s="211">
        <v>-4902</v>
      </c>
      <c r="L19" s="339">
        <v>-6026</v>
      </c>
      <c r="M19" s="339">
        <v>2122</v>
      </c>
      <c r="N19" s="339">
        <v>-2798</v>
      </c>
      <c r="O19" s="340">
        <v>-1620</v>
      </c>
      <c r="P19" s="349">
        <v>-3730</v>
      </c>
      <c r="Q19" s="102">
        <v>-14486</v>
      </c>
      <c r="R19" s="102">
        <v>-2518</v>
      </c>
      <c r="S19" s="102">
        <v>-4299</v>
      </c>
      <c r="T19" s="102">
        <v>-4781</v>
      </c>
      <c r="U19" s="102">
        <v>-2888</v>
      </c>
      <c r="V19" s="51">
        <v>-20361</v>
      </c>
      <c r="W19" s="102">
        <v>-5228</v>
      </c>
      <c r="X19" s="37">
        <v>-4266</v>
      </c>
      <c r="Y19" s="37">
        <v>-5971</v>
      </c>
      <c r="Z19" s="37">
        <f>-5396+500</f>
        <v>-4896</v>
      </c>
      <c r="AA19" s="38">
        <v>-19630</v>
      </c>
      <c r="AB19" s="37">
        <v>-8018</v>
      </c>
      <c r="AC19" s="37">
        <v>-4487</v>
      </c>
      <c r="AD19" s="37">
        <v>-2726</v>
      </c>
      <c r="AE19" s="37">
        <v>-4399</v>
      </c>
      <c r="AF19" s="37">
        <v>-23144</v>
      </c>
      <c r="AG19" s="37">
        <v>-6758</v>
      </c>
      <c r="AH19" s="19"/>
    </row>
    <row r="20" spans="1:34" x14ac:dyDescent="0.25">
      <c r="A20" s="64" t="s">
        <v>63</v>
      </c>
      <c r="B20" s="211">
        <f>-B8</f>
        <v>-17550</v>
      </c>
      <c r="C20" s="211">
        <f>-C8</f>
        <v>-5184</v>
      </c>
      <c r="D20" s="211">
        <f>-D8</f>
        <v>-4440</v>
      </c>
      <c r="E20" s="211">
        <f>-E8</f>
        <v>-3535</v>
      </c>
      <c r="F20" s="211">
        <f>-F8</f>
        <v>-4391</v>
      </c>
      <c r="G20" s="211">
        <f t="shared" ref="G20:P20" si="12">-G8</f>
        <v>-13174</v>
      </c>
      <c r="H20" s="51">
        <f t="shared" si="12"/>
        <v>-3976</v>
      </c>
      <c r="I20" s="51">
        <f t="shared" si="12"/>
        <v>-2183</v>
      </c>
      <c r="J20" s="51">
        <f t="shared" si="12"/>
        <v>-3986</v>
      </c>
      <c r="K20" s="51">
        <f t="shared" si="12"/>
        <v>-3029</v>
      </c>
      <c r="L20" s="339">
        <f t="shared" si="12"/>
        <v>-22933</v>
      </c>
      <c r="M20" s="339">
        <f t="shared" si="12"/>
        <v>-5015</v>
      </c>
      <c r="N20" s="339">
        <f t="shared" si="12"/>
        <v>-4403</v>
      </c>
      <c r="O20" s="340">
        <f t="shared" si="12"/>
        <v>-7012</v>
      </c>
      <c r="P20" s="348">
        <f t="shared" si="12"/>
        <v>-6503</v>
      </c>
      <c r="Q20" s="102">
        <f t="shared" ref="Q20:Z20" si="13">-Q8</f>
        <v>-25343</v>
      </c>
      <c r="R20" s="103">
        <f t="shared" si="13"/>
        <v>-5401</v>
      </c>
      <c r="S20" s="103">
        <f t="shared" si="13"/>
        <v>-9091</v>
      </c>
      <c r="T20" s="103">
        <f t="shared" si="13"/>
        <v>-4817</v>
      </c>
      <c r="U20" s="102">
        <f t="shared" si="13"/>
        <v>-6033</v>
      </c>
      <c r="V20" s="51">
        <f t="shared" si="13"/>
        <v>-28954</v>
      </c>
      <c r="W20" s="102">
        <f t="shared" si="13"/>
        <v>-6801</v>
      </c>
      <c r="X20" s="42">
        <f t="shared" si="13"/>
        <v>-6953</v>
      </c>
      <c r="Y20" s="42">
        <f t="shared" si="13"/>
        <v>-7506</v>
      </c>
      <c r="Z20" s="42">
        <f t="shared" si="13"/>
        <v>-7694</v>
      </c>
      <c r="AA20" s="38">
        <f t="shared" ref="AA20:AG20" si="14">-AA8</f>
        <v>-27007</v>
      </c>
      <c r="AB20" s="42">
        <f t="shared" si="14"/>
        <v>-7469</v>
      </c>
      <c r="AC20" s="42">
        <f t="shared" si="14"/>
        <v>-6998</v>
      </c>
      <c r="AD20" s="42">
        <f t="shared" si="14"/>
        <v>-6637</v>
      </c>
      <c r="AE20" s="42">
        <f t="shared" si="14"/>
        <v>-5902</v>
      </c>
      <c r="AF20" s="43">
        <f t="shared" si="14"/>
        <v>-17987</v>
      </c>
      <c r="AG20" s="43">
        <f t="shared" si="14"/>
        <v>-5069</v>
      </c>
      <c r="AH20" s="19"/>
    </row>
    <row r="21" spans="1:34" ht="13.8" thickBot="1" x14ac:dyDescent="0.3">
      <c r="A21" s="162" t="s">
        <v>216</v>
      </c>
      <c r="B21" s="245">
        <f>SUM(B18:B20)</f>
        <v>39445</v>
      </c>
      <c r="C21" s="245">
        <f>SUM(C18:C20)</f>
        <v>15742</v>
      </c>
      <c r="D21" s="245">
        <f>SUM(D18:D20)</f>
        <v>11543</v>
      </c>
      <c r="E21" s="245">
        <f>SUM(E18:E20)</f>
        <v>7022</v>
      </c>
      <c r="F21" s="245">
        <f>SUM(F18:F20)</f>
        <v>5138</v>
      </c>
      <c r="G21" s="245">
        <f t="shared" ref="G21:P21" si="15">SUM(G18:G20)</f>
        <v>25752</v>
      </c>
      <c r="H21" s="123">
        <f t="shared" si="15"/>
        <v>-1414</v>
      </c>
      <c r="I21" s="245">
        <f t="shared" si="15"/>
        <v>3961</v>
      </c>
      <c r="J21" s="123">
        <f t="shared" si="15"/>
        <v>8400</v>
      </c>
      <c r="K21" s="123">
        <f t="shared" si="15"/>
        <v>14805</v>
      </c>
      <c r="L21" s="345">
        <f t="shared" si="15"/>
        <v>60646</v>
      </c>
      <c r="M21" s="345">
        <f t="shared" si="15"/>
        <v>8000</v>
      </c>
      <c r="N21" s="346">
        <f t="shared" si="15"/>
        <v>18109</v>
      </c>
      <c r="O21" s="350">
        <f t="shared" si="15"/>
        <v>14522</v>
      </c>
      <c r="P21" s="351">
        <f t="shared" si="15"/>
        <v>20016</v>
      </c>
      <c r="Q21" s="161">
        <f t="shared" ref="Q21:Z21" si="16">SUM(Q18:Q20)</f>
        <v>76550</v>
      </c>
      <c r="R21" s="100">
        <f t="shared" si="16"/>
        <v>17596</v>
      </c>
      <c r="S21" s="100">
        <f t="shared" si="16"/>
        <v>19993</v>
      </c>
      <c r="T21" s="100">
        <f t="shared" si="16"/>
        <v>19506</v>
      </c>
      <c r="U21" s="179">
        <f t="shared" si="16"/>
        <v>19455</v>
      </c>
      <c r="V21" s="161">
        <f t="shared" si="16"/>
        <v>80469</v>
      </c>
      <c r="W21" s="161">
        <f t="shared" si="16"/>
        <v>21380</v>
      </c>
      <c r="X21" s="177">
        <f t="shared" si="16"/>
        <v>19960</v>
      </c>
      <c r="Y21" s="177">
        <f t="shared" si="16"/>
        <v>19720</v>
      </c>
      <c r="Z21" s="178">
        <f t="shared" si="16"/>
        <v>19409</v>
      </c>
      <c r="AA21" s="177">
        <f t="shared" ref="AA21:AG21" si="17">SUM(AA18:AA20)</f>
        <v>70312</v>
      </c>
      <c r="AB21" s="177">
        <f t="shared" si="17"/>
        <v>23492</v>
      </c>
      <c r="AC21" s="177">
        <f t="shared" si="17"/>
        <v>15813</v>
      </c>
      <c r="AD21" s="177">
        <f t="shared" si="17"/>
        <v>15085</v>
      </c>
      <c r="AE21" s="177">
        <f t="shared" si="17"/>
        <v>15922</v>
      </c>
      <c r="AF21" s="45">
        <f t="shared" si="17"/>
        <v>67658</v>
      </c>
      <c r="AG21" s="45">
        <f t="shared" si="17"/>
        <v>18082</v>
      </c>
      <c r="AH21" s="19"/>
    </row>
    <row r="22" spans="1:34" x14ac:dyDescent="0.25">
      <c r="A22" s="64" t="s">
        <v>217</v>
      </c>
      <c r="B22" s="211">
        <v>0</v>
      </c>
      <c r="C22" s="211">
        <v>0</v>
      </c>
      <c r="D22" s="211">
        <v>0</v>
      </c>
      <c r="E22" s="211">
        <v>0</v>
      </c>
      <c r="F22" s="211">
        <v>0</v>
      </c>
      <c r="G22" s="211">
        <v>0</v>
      </c>
      <c r="H22" s="51">
        <v>0</v>
      </c>
      <c r="I22" s="51">
        <v>0</v>
      </c>
      <c r="J22" s="51">
        <v>0</v>
      </c>
      <c r="K22" s="291">
        <v>0</v>
      </c>
      <c r="L22" s="339">
        <v>-8246</v>
      </c>
      <c r="M22" s="339">
        <v>0</v>
      </c>
      <c r="N22" s="339">
        <v>0</v>
      </c>
      <c r="O22" s="340">
        <v>0</v>
      </c>
      <c r="P22" s="348">
        <v>-8246</v>
      </c>
      <c r="Q22" s="102">
        <v>0</v>
      </c>
      <c r="R22" s="103">
        <v>0</v>
      </c>
      <c r="S22" s="103">
        <v>0</v>
      </c>
      <c r="T22" s="103">
        <v>0</v>
      </c>
      <c r="U22" s="102">
        <v>0</v>
      </c>
      <c r="V22" s="120">
        <v>0</v>
      </c>
      <c r="W22" s="103">
        <v>0</v>
      </c>
      <c r="X22" s="103">
        <v>0</v>
      </c>
      <c r="Y22" s="103">
        <v>0</v>
      </c>
      <c r="Z22" s="103">
        <v>0</v>
      </c>
      <c r="AA22" s="120">
        <v>0</v>
      </c>
      <c r="AB22" s="103">
        <v>0</v>
      </c>
      <c r="AC22" s="103">
        <v>0</v>
      </c>
      <c r="AD22" s="103">
        <v>0</v>
      </c>
      <c r="AE22" s="103">
        <v>0</v>
      </c>
      <c r="AH22" s="19"/>
    </row>
    <row r="23" spans="1:34" ht="13.8" thickBot="1" x14ac:dyDescent="0.3">
      <c r="A23" s="176" t="s">
        <v>273</v>
      </c>
      <c r="B23" s="191">
        <f>SUM(B21:B22)</f>
        <v>39445</v>
      </c>
      <c r="C23" s="191">
        <f>SUM(C21:C22)</f>
        <v>15742</v>
      </c>
      <c r="D23" s="191">
        <f>SUM(D21:D22)</f>
        <v>11543</v>
      </c>
      <c r="E23" s="191">
        <f>SUM(E21:E22)</f>
        <v>7022</v>
      </c>
      <c r="F23" s="191">
        <f>SUM(F21:F22)</f>
        <v>5138</v>
      </c>
      <c r="G23" s="191">
        <f t="shared" ref="G23:P23" si="18">SUM(G21:G22)</f>
        <v>25752</v>
      </c>
      <c r="H23" s="370">
        <f t="shared" si="18"/>
        <v>-1414</v>
      </c>
      <c r="I23" s="104">
        <f t="shared" si="18"/>
        <v>3961</v>
      </c>
      <c r="J23" s="122">
        <f t="shared" si="18"/>
        <v>8400</v>
      </c>
      <c r="K23" s="191">
        <f t="shared" si="18"/>
        <v>14805</v>
      </c>
      <c r="L23" s="353">
        <f t="shared" si="18"/>
        <v>52400</v>
      </c>
      <c r="M23" s="353">
        <f t="shared" si="18"/>
        <v>8000</v>
      </c>
      <c r="N23" s="353">
        <f t="shared" si="18"/>
        <v>18109</v>
      </c>
      <c r="O23" s="352">
        <f t="shared" si="18"/>
        <v>14522</v>
      </c>
      <c r="P23" s="354">
        <f t="shared" si="18"/>
        <v>11770</v>
      </c>
      <c r="Q23" s="104">
        <f t="shared" ref="Q23:AE23" si="19">SUM(Q21:Q22)</f>
        <v>76550</v>
      </c>
      <c r="R23" s="104">
        <f t="shared" si="19"/>
        <v>17596</v>
      </c>
      <c r="S23" s="104">
        <f t="shared" si="19"/>
        <v>19993</v>
      </c>
      <c r="T23" s="191">
        <f t="shared" si="19"/>
        <v>19506</v>
      </c>
      <c r="U23" s="122">
        <f t="shared" si="19"/>
        <v>19455</v>
      </c>
      <c r="V23" s="190">
        <f t="shared" si="19"/>
        <v>80469</v>
      </c>
      <c r="W23" s="190">
        <f t="shared" si="19"/>
        <v>21380</v>
      </c>
      <c r="X23" s="190">
        <f t="shared" si="19"/>
        <v>19960</v>
      </c>
      <c r="Y23" s="190">
        <f t="shared" si="19"/>
        <v>19720</v>
      </c>
      <c r="Z23" s="190">
        <f t="shared" si="19"/>
        <v>19409</v>
      </c>
      <c r="AA23" s="190">
        <f t="shared" si="19"/>
        <v>70312</v>
      </c>
      <c r="AB23" s="190">
        <f t="shared" si="19"/>
        <v>23492</v>
      </c>
      <c r="AC23" s="190">
        <f t="shared" si="19"/>
        <v>15813</v>
      </c>
      <c r="AD23" s="190">
        <f t="shared" si="19"/>
        <v>15085</v>
      </c>
      <c r="AE23" s="190">
        <f t="shared" si="19"/>
        <v>15922</v>
      </c>
      <c r="AH23" s="19"/>
    </row>
  </sheetData>
  <mergeCells count="9">
    <mergeCell ref="A2:AF2"/>
    <mergeCell ref="AF4:AG4"/>
    <mergeCell ref="A1:AG1"/>
    <mergeCell ref="AA4:AE4"/>
    <mergeCell ref="V4:Z4"/>
    <mergeCell ref="Q4:U4"/>
    <mergeCell ref="L4:P4"/>
    <mergeCell ref="G4:K4"/>
    <mergeCell ref="B4:F4"/>
  </mergeCells>
  <phoneticPr fontId="0" type="noConversion"/>
  <printOptions horizontalCentered="1"/>
  <pageMargins left="0" right="0" top="1" bottom="1" header="0.5" footer="0.5"/>
  <pageSetup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3.2" x14ac:dyDescent="0.25"/>
  <cols>
    <col min="1" max="1" width="35.33203125" customWidth="1"/>
    <col min="2" max="2" width="9.5546875" bestFit="1" customWidth="1"/>
    <col min="3" max="5" width="8.5546875" bestFit="1" customWidth="1"/>
    <col min="6" max="6" width="8.5546875" customWidth="1"/>
    <col min="7" max="7" width="9.5546875" bestFit="1" customWidth="1"/>
    <col min="8" max="9" width="8.5546875" customWidth="1"/>
    <col min="10" max="10" width="8.44140625" customWidth="1"/>
    <col min="11" max="11" width="8.5546875" customWidth="1"/>
  </cols>
  <sheetData>
    <row r="1" spans="1:11" x14ac:dyDescent="0.25">
      <c r="A1" s="391" t="s">
        <v>209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</row>
    <row r="2" spans="1:11" x14ac:dyDescent="0.25">
      <c r="A2" s="391" t="s">
        <v>202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</row>
    <row r="3" spans="1:11" x14ac:dyDescent="0.25">
      <c r="A3" s="338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22</v>
      </c>
      <c r="B4" s="390">
        <v>2003</v>
      </c>
      <c r="C4" s="390"/>
      <c r="D4" s="390"/>
      <c r="E4" s="390"/>
      <c r="F4" s="390"/>
      <c r="G4" s="390">
        <v>2002</v>
      </c>
      <c r="H4" s="390"/>
      <c r="I4" s="390"/>
      <c r="J4" s="390"/>
      <c r="K4" s="390"/>
    </row>
    <row r="5" spans="1:11" x14ac:dyDescent="0.25">
      <c r="A5" s="162"/>
      <c r="B5" s="14"/>
      <c r="C5" s="6" t="s">
        <v>1</v>
      </c>
      <c r="D5" s="337" t="s">
        <v>4</v>
      </c>
      <c r="E5" s="337" t="s">
        <v>2</v>
      </c>
      <c r="F5" s="337" t="s">
        <v>3</v>
      </c>
      <c r="G5" s="14"/>
      <c r="H5" s="337" t="s">
        <v>1</v>
      </c>
      <c r="I5" s="337" t="s">
        <v>4</v>
      </c>
      <c r="J5" s="6" t="s">
        <v>2</v>
      </c>
      <c r="K5" s="337" t="s">
        <v>3</v>
      </c>
    </row>
    <row r="6" spans="1:11" ht="14.25" customHeight="1" x14ac:dyDescent="0.25">
      <c r="A6" s="159"/>
      <c r="B6" s="15" t="s">
        <v>0</v>
      </c>
      <c r="C6" s="8" t="s">
        <v>5</v>
      </c>
      <c r="D6" s="246" t="s">
        <v>5</v>
      </c>
      <c r="E6" s="246" t="s">
        <v>5</v>
      </c>
      <c r="F6" s="246" t="s">
        <v>5</v>
      </c>
      <c r="G6" s="367" t="s">
        <v>0</v>
      </c>
      <c r="H6" s="246" t="s">
        <v>5</v>
      </c>
      <c r="I6" s="246" t="s">
        <v>5</v>
      </c>
      <c r="J6" s="8" t="s">
        <v>5</v>
      </c>
      <c r="K6" s="246" t="s">
        <v>5</v>
      </c>
    </row>
    <row r="7" spans="1:11" x14ac:dyDescent="0.25">
      <c r="A7" s="162" t="s">
        <v>288</v>
      </c>
      <c r="B7" s="35">
        <v>14018</v>
      </c>
      <c r="C7" s="35">
        <v>3383</v>
      </c>
      <c r="D7" s="78">
        <v>3500</v>
      </c>
      <c r="E7" s="161">
        <v>3573</v>
      </c>
      <c r="F7" s="179">
        <v>3561</v>
      </c>
      <c r="G7" s="78">
        <v>15425</v>
      </c>
      <c r="H7" s="78">
        <v>3623</v>
      </c>
      <c r="I7" s="78">
        <v>3968</v>
      </c>
      <c r="J7" s="161">
        <f>7834-K7</f>
        <v>3999</v>
      </c>
      <c r="K7" s="179">
        <v>3835</v>
      </c>
    </row>
    <row r="8" spans="1:11" x14ac:dyDescent="0.25">
      <c r="A8" s="64" t="s">
        <v>127</v>
      </c>
      <c r="B8" s="311">
        <v>11941</v>
      </c>
      <c r="C8" s="312">
        <v>2962</v>
      </c>
      <c r="D8" s="50">
        <v>2966</v>
      </c>
      <c r="E8" s="102">
        <v>3077</v>
      </c>
      <c r="F8" s="192">
        <v>2936</v>
      </c>
      <c r="G8" s="311">
        <v>12867</v>
      </c>
      <c r="H8" s="311">
        <v>3021</v>
      </c>
      <c r="I8" s="50">
        <v>2917</v>
      </c>
      <c r="J8" s="102">
        <f>6929-K8</f>
        <v>3490</v>
      </c>
      <c r="K8" s="192">
        <v>3439</v>
      </c>
    </row>
    <row r="9" spans="1:11" x14ac:dyDescent="0.25">
      <c r="A9" s="64" t="s">
        <v>128</v>
      </c>
      <c r="B9" s="311">
        <v>2178</v>
      </c>
      <c r="C9" s="312">
        <v>457</v>
      </c>
      <c r="D9" s="50">
        <v>553</v>
      </c>
      <c r="E9" s="102">
        <v>478</v>
      </c>
      <c r="F9" s="192">
        <v>690</v>
      </c>
      <c r="G9" s="311">
        <v>1624</v>
      </c>
      <c r="H9" s="311">
        <v>484</v>
      </c>
      <c r="I9" s="50">
        <v>491</v>
      </c>
      <c r="J9" s="102">
        <f>649-K9</f>
        <v>331</v>
      </c>
      <c r="K9" s="192">
        <v>318</v>
      </c>
    </row>
    <row r="10" spans="1:11" x14ac:dyDescent="0.25">
      <c r="A10" s="64" t="s">
        <v>129</v>
      </c>
      <c r="B10" s="311">
        <v>2690</v>
      </c>
      <c r="C10" s="312">
        <v>566</v>
      </c>
      <c r="D10" s="50">
        <v>647</v>
      </c>
      <c r="E10" s="102">
        <v>618</v>
      </c>
      <c r="F10" s="192">
        <v>859</v>
      </c>
      <c r="G10" s="311">
        <v>2642</v>
      </c>
      <c r="H10" s="311">
        <f>687</f>
        <v>687</v>
      </c>
      <c r="I10" s="50">
        <v>635</v>
      </c>
      <c r="J10" s="102">
        <f>1320-K10</f>
        <v>708</v>
      </c>
      <c r="K10" s="192">
        <v>612</v>
      </c>
    </row>
    <row r="11" spans="1:11" x14ac:dyDescent="0.25">
      <c r="A11" s="64" t="s">
        <v>130</v>
      </c>
      <c r="B11" s="311">
        <f>52926-44763</f>
        <v>8163</v>
      </c>
      <c r="C11" s="312">
        <f>13106-11125</f>
        <v>1981</v>
      </c>
      <c r="D11" s="50">
        <f>16661-14603</f>
        <v>2058</v>
      </c>
      <c r="E11" s="102">
        <f>10731-8792</f>
        <v>1939</v>
      </c>
      <c r="F11" s="192">
        <f>12428-10243</f>
        <v>2185</v>
      </c>
      <c r="G11" s="311">
        <f>39533-31719</f>
        <v>7814</v>
      </c>
      <c r="H11" s="311">
        <f>9787-8053</f>
        <v>1734</v>
      </c>
      <c r="I11" s="50">
        <f>753+869+311-1</f>
        <v>1932</v>
      </c>
      <c r="J11" s="102">
        <f>1371+1923+854-K11</f>
        <v>1918</v>
      </c>
      <c r="K11" s="192">
        <v>2230</v>
      </c>
    </row>
    <row r="12" spans="1:11" x14ac:dyDescent="0.25">
      <c r="A12" s="64" t="s">
        <v>289</v>
      </c>
      <c r="B12" s="311">
        <v>49526</v>
      </c>
      <c r="C12" s="312">
        <v>12432</v>
      </c>
      <c r="D12" s="50">
        <v>15614</v>
      </c>
      <c r="E12" s="102">
        <v>10009</v>
      </c>
      <c r="F12" s="192">
        <v>11471</v>
      </c>
      <c r="G12" s="311">
        <v>35277</v>
      </c>
      <c r="H12" s="311">
        <v>8871</v>
      </c>
      <c r="I12" s="50">
        <v>10244</v>
      </c>
      <c r="J12" s="102">
        <v>8313</v>
      </c>
      <c r="K12" s="192">
        <v>7849</v>
      </c>
    </row>
    <row r="13" spans="1:11" x14ac:dyDescent="0.25">
      <c r="A13" s="64" t="s">
        <v>205</v>
      </c>
      <c r="B13" s="311">
        <v>10790</v>
      </c>
      <c r="C13" s="312">
        <v>779</v>
      </c>
      <c r="D13" s="50">
        <v>4</v>
      </c>
      <c r="E13" s="102">
        <v>5339</v>
      </c>
      <c r="F13" s="192">
        <v>4669</v>
      </c>
      <c r="G13" s="311">
        <v>12236</v>
      </c>
      <c r="H13" s="311">
        <v>6</v>
      </c>
      <c r="I13" s="50">
        <v>48</v>
      </c>
      <c r="J13" s="102">
        <f>12182-K13</f>
        <v>4041</v>
      </c>
      <c r="K13" s="192">
        <v>8141</v>
      </c>
    </row>
    <row r="14" spans="1:11" x14ac:dyDescent="0.25">
      <c r="A14" s="64" t="s">
        <v>290</v>
      </c>
      <c r="B14" s="311">
        <v>9829</v>
      </c>
      <c r="C14" s="311">
        <v>2982</v>
      </c>
      <c r="D14" s="50">
        <v>2833</v>
      </c>
      <c r="E14" s="102">
        <v>3723</v>
      </c>
      <c r="F14" s="192">
        <v>290</v>
      </c>
      <c r="G14" s="311">
        <v>1461</v>
      </c>
      <c r="H14" s="311">
        <v>97</v>
      </c>
      <c r="I14" s="50">
        <v>740</v>
      </c>
      <c r="J14" s="102">
        <v>571</v>
      </c>
      <c r="K14" s="192">
        <v>54</v>
      </c>
    </row>
    <row r="15" spans="1:11" x14ac:dyDescent="0.25">
      <c r="A15" s="64" t="s">
        <v>164</v>
      </c>
      <c r="B15" s="311">
        <v>457</v>
      </c>
      <c r="C15" s="312">
        <v>131</v>
      </c>
      <c r="D15" s="50">
        <v>142</v>
      </c>
      <c r="E15" s="102">
        <v>60</v>
      </c>
      <c r="F15" s="192">
        <v>125</v>
      </c>
      <c r="G15" s="311">
        <v>427</v>
      </c>
      <c r="H15" s="311">
        <v>19</v>
      </c>
      <c r="I15" s="50">
        <v>119</v>
      </c>
      <c r="J15" s="102">
        <f>290-K15</f>
        <v>167</v>
      </c>
      <c r="K15" s="192">
        <v>123</v>
      </c>
    </row>
    <row r="16" spans="1:11" x14ac:dyDescent="0.25">
      <c r="A16" s="64" t="s">
        <v>221</v>
      </c>
      <c r="B16" s="311">
        <v>1601</v>
      </c>
      <c r="C16" s="313">
        <v>352</v>
      </c>
      <c r="D16" s="50">
        <v>528</v>
      </c>
      <c r="E16" s="102">
        <v>317</v>
      </c>
      <c r="F16" s="192">
        <v>405</v>
      </c>
      <c r="G16" s="311">
        <v>2433</v>
      </c>
      <c r="H16" s="368">
        <v>413</v>
      </c>
      <c r="I16" s="50">
        <v>426</v>
      </c>
      <c r="J16" s="102">
        <v>266</v>
      </c>
      <c r="K16" s="192">
        <v>1328</v>
      </c>
    </row>
    <row r="17" spans="1:11" x14ac:dyDescent="0.25">
      <c r="A17" s="64" t="s">
        <v>285</v>
      </c>
      <c r="B17" s="311">
        <v>277</v>
      </c>
      <c r="C17" s="313">
        <v>31</v>
      </c>
      <c r="D17" s="50">
        <v>4</v>
      </c>
      <c r="E17" s="102">
        <v>150</v>
      </c>
      <c r="F17" s="192">
        <v>92</v>
      </c>
      <c r="G17" s="311">
        <v>-105</v>
      </c>
      <c r="H17" s="368">
        <v>1247</v>
      </c>
      <c r="I17" s="50">
        <v>397</v>
      </c>
      <c r="J17" s="102">
        <f>-1749-K17</f>
        <v>-1518</v>
      </c>
      <c r="K17" s="192">
        <v>-231</v>
      </c>
    </row>
    <row r="18" spans="1:11" x14ac:dyDescent="0.25">
      <c r="A18" s="64" t="s">
        <v>131</v>
      </c>
      <c r="B18" s="311">
        <f>15641-B16-9829</f>
        <v>4211</v>
      </c>
      <c r="C18" s="313">
        <f>3986-C16-2982</f>
        <v>652</v>
      </c>
      <c r="D18" s="50">
        <f>1525+2833-1-2833</f>
        <v>1524</v>
      </c>
      <c r="E18" s="102">
        <f>3723+1073+499-3723</f>
        <v>1572</v>
      </c>
      <c r="F18" s="192">
        <f>321+290+142-290</f>
        <v>463</v>
      </c>
      <c r="G18" s="311">
        <v>5968</v>
      </c>
      <c r="H18" s="368">
        <f>97+399+16</f>
        <v>512</v>
      </c>
      <c r="I18" s="50">
        <f>740+669+357-740</f>
        <v>1026</v>
      </c>
      <c r="J18" s="102">
        <v>1960</v>
      </c>
      <c r="K18" s="192">
        <f>1000+106</f>
        <v>1106</v>
      </c>
    </row>
    <row r="19" spans="1:11" x14ac:dyDescent="0.25">
      <c r="A19" s="64" t="s">
        <v>132</v>
      </c>
      <c r="B19" s="311">
        <f>9022-4763</f>
        <v>4259</v>
      </c>
      <c r="C19" s="313">
        <f>2413-1307</f>
        <v>1106</v>
      </c>
      <c r="D19" s="50">
        <f>2130-1011</f>
        <v>1119</v>
      </c>
      <c r="E19" s="102">
        <f>2259-1217</f>
        <v>1042</v>
      </c>
      <c r="F19" s="192">
        <f>2219-1228</f>
        <v>991</v>
      </c>
      <c r="G19" s="311">
        <v>3039</v>
      </c>
      <c r="H19" s="368">
        <f>1737-818-97</f>
        <v>822</v>
      </c>
      <c r="I19" s="50">
        <f>2168-186-847</f>
        <v>1135</v>
      </c>
      <c r="J19" s="102">
        <v>1160</v>
      </c>
      <c r="K19" s="192">
        <v>1300</v>
      </c>
    </row>
    <row r="20" spans="1:11" ht="13.8" thickBot="1" x14ac:dyDescent="0.3">
      <c r="A20" s="163" t="s">
        <v>64</v>
      </c>
      <c r="B20" s="124">
        <f t="shared" ref="B20:K20" si="0">SUM(B7:B19)</f>
        <v>119940</v>
      </c>
      <c r="C20" s="125">
        <f t="shared" si="0"/>
        <v>27814</v>
      </c>
      <c r="D20" s="125">
        <f t="shared" si="0"/>
        <v>31492</v>
      </c>
      <c r="E20" s="125">
        <f t="shared" si="0"/>
        <v>31897</v>
      </c>
      <c r="F20" s="125">
        <f t="shared" si="0"/>
        <v>28737</v>
      </c>
      <c r="G20" s="124">
        <f t="shared" si="0"/>
        <v>101108</v>
      </c>
      <c r="H20" s="125">
        <f t="shared" si="0"/>
        <v>21536</v>
      </c>
      <c r="I20" s="125">
        <f t="shared" si="0"/>
        <v>24078</v>
      </c>
      <c r="J20" s="125">
        <f t="shared" si="0"/>
        <v>25406</v>
      </c>
      <c r="K20" s="125">
        <f t="shared" si="0"/>
        <v>30104</v>
      </c>
    </row>
    <row r="21" spans="1:11" ht="13.8" thickBot="1" x14ac:dyDescent="0.3">
      <c r="A21" s="164" t="s">
        <v>65</v>
      </c>
      <c r="B21" s="126">
        <f>+B20/6752464</f>
        <v>1.7762404953214114E-2</v>
      </c>
      <c r="C21" s="108">
        <f>+C20/'STATEMENTS OF CONDITION'!B21*365/92</f>
        <v>1.5430865716176171E-2</v>
      </c>
      <c r="D21" s="108">
        <f>+D20/'STATEMENTS OF CONDITION'!C21*365/92</f>
        <v>1.8292904563599537E-2</v>
      </c>
      <c r="E21" s="108">
        <f>+E20/'STATEMENTS OF CONDITION'!D21*365/91</f>
        <v>1.9915486078536555E-2</v>
      </c>
      <c r="F21" s="108">
        <f>+F20/'STATEMENTS OF CONDITION'!E21*4.05555555555556</f>
        <v>1.791849934441796E-2</v>
      </c>
      <c r="G21" s="126">
        <f>+G20/6652774</f>
        <v>1.5197870843049832E-2</v>
      </c>
      <c r="H21" s="108">
        <f>+H20/'STATEMENTS OF CONDITION'!F21*365/92</f>
        <v>1.3428045298996561E-2</v>
      </c>
      <c r="I21" s="108">
        <f>+I20/'STATEMENTS OF CONDITION'!G21*365/92</f>
        <v>1.4396933188684111E-2</v>
      </c>
      <c r="J21" s="108">
        <f>+J20/'STATEMENTS OF CONDITION'!H21*365/90</f>
        <v>1.4868224740677611E-2</v>
      </c>
      <c r="K21" s="108">
        <f>+K20/'STATEMENTS OF CONDITION'!I21*365/90</f>
        <v>1.7584563245021154E-2</v>
      </c>
    </row>
    <row r="22" spans="1:11" x14ac:dyDescent="0.25">
      <c r="A22" s="1" t="s">
        <v>66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5" spans="1:11" x14ac:dyDescent="0.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</row>
    <row r="26" spans="1:11" x14ac:dyDescent="0.25">
      <c r="A26" s="75"/>
      <c r="B26" s="75"/>
      <c r="C26" s="75"/>
      <c r="D26" s="75"/>
      <c r="E26" s="75"/>
      <c r="F26" s="75"/>
    </row>
    <row r="27" spans="1:11" x14ac:dyDescent="0.25">
      <c r="A27" s="75"/>
      <c r="B27" s="75"/>
      <c r="C27" s="75"/>
      <c r="D27" s="75"/>
      <c r="E27" s="75"/>
      <c r="F27" s="75"/>
    </row>
    <row r="28" spans="1:11" x14ac:dyDescent="0.25">
      <c r="A28" s="75"/>
      <c r="B28" s="75"/>
      <c r="C28" s="75"/>
      <c r="D28" s="75"/>
      <c r="E28" s="75"/>
      <c r="F28" s="75"/>
    </row>
    <row r="29" spans="1:11" x14ac:dyDescent="0.25">
      <c r="A29" s="75"/>
      <c r="B29" s="75"/>
      <c r="C29" s="75"/>
      <c r="D29" s="75"/>
      <c r="E29" s="75"/>
      <c r="F29" s="75"/>
    </row>
    <row r="30" spans="1:11" x14ac:dyDescent="0.25">
      <c r="A30" s="75"/>
      <c r="B30" s="75"/>
      <c r="C30" s="75"/>
      <c r="D30" s="75"/>
      <c r="E30" s="75"/>
      <c r="F30" s="75"/>
    </row>
  </sheetData>
  <mergeCells count="4">
    <mergeCell ref="A1:K1"/>
    <mergeCell ref="A2:K2"/>
    <mergeCell ref="G4:K4"/>
    <mergeCell ref="B4:F4"/>
  </mergeCells>
  <phoneticPr fontId="0" type="noConversion"/>
  <printOptions horizontalCentered="1"/>
  <pageMargins left="0" right="0" top="1" bottom="1" header="0.5" footer="0.5"/>
  <pageSetup scale="8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ColWidth="9.109375" defaultRowHeight="13.2" x14ac:dyDescent="0.25"/>
  <cols>
    <col min="1" max="1" width="33.44140625" style="1" customWidth="1"/>
    <col min="2" max="2" width="8.5546875" style="1" bestFit="1" customWidth="1"/>
    <col min="3" max="5" width="7.6640625" style="1" bestFit="1" customWidth="1"/>
    <col min="6" max="8" width="9.109375" style="1"/>
    <col min="9" max="9" width="8.33203125" style="1" customWidth="1"/>
    <col min="10" max="10" width="7.6640625" style="1" bestFit="1" customWidth="1"/>
    <col min="11" max="16384" width="9.109375" style="1"/>
  </cols>
  <sheetData>
    <row r="1" spans="1:11" x14ac:dyDescent="0.25">
      <c r="A1" s="391" t="s">
        <v>209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</row>
    <row r="2" spans="1:11" x14ac:dyDescent="0.25">
      <c r="A2" s="391" t="s">
        <v>67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</row>
    <row r="4" spans="1:11" x14ac:dyDescent="0.25">
      <c r="A4" s="338"/>
    </row>
    <row r="5" spans="1:11" x14ac:dyDescent="0.25">
      <c r="A5" s="1" t="s">
        <v>22</v>
      </c>
    </row>
    <row r="6" spans="1:11" x14ac:dyDescent="0.25">
      <c r="B6" s="390">
        <v>2003</v>
      </c>
      <c r="C6" s="390"/>
      <c r="D6" s="390"/>
      <c r="E6" s="390"/>
      <c r="F6" s="390"/>
      <c r="G6" s="390">
        <v>2002</v>
      </c>
      <c r="H6" s="390"/>
      <c r="I6" s="390"/>
      <c r="J6" s="390"/>
      <c r="K6" s="390"/>
    </row>
    <row r="7" spans="1:11" x14ac:dyDescent="0.25">
      <c r="A7" s="162"/>
      <c r="B7" s="53"/>
      <c r="C7" s="6" t="s">
        <v>1</v>
      </c>
      <c r="D7" s="337" t="s">
        <v>4</v>
      </c>
      <c r="E7" s="337" t="s">
        <v>2</v>
      </c>
      <c r="F7" s="337" t="s">
        <v>3</v>
      </c>
      <c r="G7" s="366"/>
      <c r="H7" s="337" t="s">
        <v>1</v>
      </c>
      <c r="I7" s="337" t="s">
        <v>4</v>
      </c>
      <c r="J7" s="337" t="s">
        <v>2</v>
      </c>
      <c r="K7" s="337" t="s">
        <v>3</v>
      </c>
    </row>
    <row r="8" spans="1:11" x14ac:dyDescent="0.25">
      <c r="A8" s="159"/>
      <c r="B8" s="8" t="s">
        <v>0</v>
      </c>
      <c r="C8" s="8" t="s">
        <v>5</v>
      </c>
      <c r="D8" s="246" t="s">
        <v>5</v>
      </c>
      <c r="E8" s="246" t="s">
        <v>5</v>
      </c>
      <c r="F8" s="246" t="s">
        <v>5</v>
      </c>
      <c r="G8" s="246" t="s">
        <v>0</v>
      </c>
      <c r="H8" s="246" t="s">
        <v>5</v>
      </c>
      <c r="I8" s="246" t="s">
        <v>5</v>
      </c>
      <c r="J8" s="246" t="s">
        <v>5</v>
      </c>
      <c r="K8" s="246" t="s">
        <v>5</v>
      </c>
    </row>
    <row r="9" spans="1:11" x14ac:dyDescent="0.25">
      <c r="A9" s="64" t="s">
        <v>68</v>
      </c>
      <c r="B9" s="78">
        <v>52774</v>
      </c>
      <c r="C9" s="78">
        <v>13420</v>
      </c>
      <c r="D9" s="78">
        <v>13088</v>
      </c>
      <c r="E9" s="78">
        <v>13260</v>
      </c>
      <c r="F9" s="78">
        <v>12944</v>
      </c>
      <c r="G9" s="78">
        <v>52450</v>
      </c>
      <c r="H9" s="78">
        <v>12504</v>
      </c>
      <c r="I9" s="78">
        <v>13033</v>
      </c>
      <c r="J9" s="78">
        <v>13328</v>
      </c>
      <c r="K9" s="78">
        <v>13586</v>
      </c>
    </row>
    <row r="10" spans="1:11" x14ac:dyDescent="0.25">
      <c r="A10" s="64" t="s">
        <v>69</v>
      </c>
      <c r="B10" s="299">
        <v>48130</v>
      </c>
      <c r="C10" s="299">
        <v>12731</v>
      </c>
      <c r="D10" s="50">
        <v>12869</v>
      </c>
      <c r="E10" s="50">
        <v>11133</v>
      </c>
      <c r="F10" s="50">
        <v>11459</v>
      </c>
      <c r="G10" s="299">
        <v>41372</v>
      </c>
      <c r="H10" s="299">
        <v>9868</v>
      </c>
      <c r="I10" s="50">
        <v>10791</v>
      </c>
      <c r="J10" s="50">
        <v>10483</v>
      </c>
      <c r="K10" s="50">
        <v>10230</v>
      </c>
    </row>
    <row r="11" spans="1:11" x14ac:dyDescent="0.25">
      <c r="A11" s="64" t="s">
        <v>267</v>
      </c>
      <c r="B11" s="50">
        <v>-11510</v>
      </c>
      <c r="C11" s="50">
        <v>-2950</v>
      </c>
      <c r="D11" s="50">
        <v>-2975</v>
      </c>
      <c r="E11" s="50">
        <v>-3007</v>
      </c>
      <c r="F11" s="50">
        <v>-2578</v>
      </c>
      <c r="G11" s="50">
        <v>-8606</v>
      </c>
      <c r="H11" s="50">
        <v>-2562</v>
      </c>
      <c r="I11" s="50">
        <v>-1823</v>
      </c>
      <c r="J11" s="50">
        <v>-2345</v>
      </c>
      <c r="K11" s="50">
        <v>-1876</v>
      </c>
    </row>
    <row r="12" spans="1:11" x14ac:dyDescent="0.25">
      <c r="A12" s="64" t="s">
        <v>133</v>
      </c>
      <c r="B12" s="299">
        <v>11169</v>
      </c>
      <c r="C12" s="299">
        <v>3061</v>
      </c>
      <c r="D12" s="50">
        <v>3360</v>
      </c>
      <c r="E12" s="50">
        <v>2419</v>
      </c>
      <c r="F12" s="50">
        <v>2344</v>
      </c>
      <c r="G12" s="299">
        <v>11780</v>
      </c>
      <c r="H12" s="299">
        <v>2869</v>
      </c>
      <c r="I12" s="50">
        <v>2619</v>
      </c>
      <c r="J12" s="50">
        <v>3084</v>
      </c>
      <c r="K12" s="50">
        <v>3207</v>
      </c>
    </row>
    <row r="13" spans="1:11" x14ac:dyDescent="0.25">
      <c r="A13" s="64" t="s">
        <v>134</v>
      </c>
      <c r="B13" s="299">
        <v>7220</v>
      </c>
      <c r="C13" s="299">
        <v>2160</v>
      </c>
      <c r="D13" s="50">
        <v>1987</v>
      </c>
      <c r="E13" s="50">
        <v>1573</v>
      </c>
      <c r="F13" s="50">
        <v>1517</v>
      </c>
      <c r="G13" s="299">
        <v>6100</v>
      </c>
      <c r="H13" s="299">
        <v>1607</v>
      </c>
      <c r="I13" s="50">
        <v>1629</v>
      </c>
      <c r="J13" s="50">
        <v>1442</v>
      </c>
      <c r="K13" s="50">
        <v>1421</v>
      </c>
    </row>
    <row r="14" spans="1:11" x14ac:dyDescent="0.25">
      <c r="A14" s="64" t="s">
        <v>70</v>
      </c>
      <c r="B14" s="299">
        <v>13534</v>
      </c>
      <c r="C14" s="299">
        <v>3416</v>
      </c>
      <c r="D14" s="50">
        <v>3495</v>
      </c>
      <c r="E14" s="50">
        <v>3346</v>
      </c>
      <c r="F14" s="50">
        <v>3276</v>
      </c>
      <c r="G14" s="299">
        <v>13360</v>
      </c>
      <c r="H14" s="299">
        <v>3360</v>
      </c>
      <c r="I14" s="50">
        <v>3300</v>
      </c>
      <c r="J14" s="50">
        <v>3322</v>
      </c>
      <c r="K14" s="50">
        <v>3394</v>
      </c>
    </row>
    <row r="15" spans="1:11" x14ac:dyDescent="0.25">
      <c r="A15" s="171" t="s">
        <v>135</v>
      </c>
      <c r="B15" s="299">
        <v>36624</v>
      </c>
      <c r="C15" s="299">
        <v>9723</v>
      </c>
      <c r="D15" s="50">
        <v>8734</v>
      </c>
      <c r="E15" s="50">
        <v>9849</v>
      </c>
      <c r="F15" s="50">
        <v>8299</v>
      </c>
      <c r="G15" s="299">
        <v>29139</v>
      </c>
      <c r="H15" s="299">
        <v>8352</v>
      </c>
      <c r="I15" s="50">
        <f>5149+2315</f>
        <v>7464</v>
      </c>
      <c r="J15" s="50">
        <f>5242+1566</f>
        <v>6808</v>
      </c>
      <c r="K15" s="50">
        <f>5074+1441</f>
        <v>6515</v>
      </c>
    </row>
    <row r="16" spans="1:11" x14ac:dyDescent="0.25">
      <c r="A16" s="64" t="s">
        <v>136</v>
      </c>
      <c r="B16" s="299">
        <v>7075</v>
      </c>
      <c r="C16" s="299">
        <v>1849</v>
      </c>
      <c r="D16" s="50">
        <v>1839</v>
      </c>
      <c r="E16" s="50">
        <v>1787</v>
      </c>
      <c r="F16" s="50">
        <v>1599</v>
      </c>
      <c r="G16" s="299">
        <v>6978</v>
      </c>
      <c r="H16" s="299">
        <v>1774</v>
      </c>
      <c r="I16" s="50">
        <v>1681</v>
      </c>
      <c r="J16" s="50">
        <v>1915</v>
      </c>
      <c r="K16" s="50">
        <v>1608</v>
      </c>
    </row>
    <row r="17" spans="1:22" x14ac:dyDescent="0.25">
      <c r="A17" s="64" t="s">
        <v>137</v>
      </c>
      <c r="B17" s="299">
        <v>6760</v>
      </c>
      <c r="C17" s="299">
        <v>1849</v>
      </c>
      <c r="D17" s="50">
        <v>1668</v>
      </c>
      <c r="E17" s="50">
        <v>1217</v>
      </c>
      <c r="F17" s="50">
        <v>2026</v>
      </c>
      <c r="G17" s="299">
        <v>7028</v>
      </c>
      <c r="H17" s="299">
        <v>1481</v>
      </c>
      <c r="I17" s="50">
        <v>1801</v>
      </c>
      <c r="J17" s="50">
        <v>1832</v>
      </c>
      <c r="K17" s="50">
        <v>1914</v>
      </c>
    </row>
    <row r="18" spans="1:22" x14ac:dyDescent="0.25">
      <c r="A18" s="64" t="s">
        <v>138</v>
      </c>
      <c r="B18" s="299">
        <v>9811</v>
      </c>
      <c r="C18" s="299">
        <v>2286</v>
      </c>
      <c r="D18" s="50">
        <v>2368</v>
      </c>
      <c r="E18" s="50">
        <v>2588</v>
      </c>
      <c r="F18" s="50">
        <v>2569</v>
      </c>
      <c r="G18" s="299">
        <v>11027</v>
      </c>
      <c r="H18" s="299">
        <v>2483</v>
      </c>
      <c r="I18" s="50">
        <v>2642</v>
      </c>
      <c r="J18" s="50">
        <v>2953</v>
      </c>
      <c r="K18" s="50">
        <v>2950</v>
      </c>
    </row>
    <row r="19" spans="1:22" x14ac:dyDescent="0.25">
      <c r="A19" s="64" t="s">
        <v>140</v>
      </c>
      <c r="B19" s="299">
        <v>3674</v>
      </c>
      <c r="C19" s="299">
        <v>218</v>
      </c>
      <c r="D19" s="50">
        <v>781</v>
      </c>
      <c r="E19" s="50">
        <v>1274</v>
      </c>
      <c r="F19" s="50">
        <v>1400</v>
      </c>
      <c r="G19" s="299">
        <v>7165</v>
      </c>
      <c r="H19" s="299">
        <f>1397+1</f>
        <v>1398</v>
      </c>
      <c r="I19" s="50">
        <v>1691</v>
      </c>
      <c r="J19" s="50">
        <v>2368</v>
      </c>
      <c r="K19" s="50">
        <v>1708</v>
      </c>
    </row>
    <row r="20" spans="1:22" x14ac:dyDescent="0.25">
      <c r="A20" s="64" t="s">
        <v>139</v>
      </c>
      <c r="B20" s="299">
        <v>1583</v>
      </c>
      <c r="C20" s="299">
        <v>432</v>
      </c>
      <c r="D20" s="50">
        <v>410</v>
      </c>
      <c r="E20" s="50">
        <v>398</v>
      </c>
      <c r="F20" s="50">
        <v>461</v>
      </c>
      <c r="G20" s="299">
        <v>1681</v>
      </c>
      <c r="H20" s="299">
        <v>321</v>
      </c>
      <c r="I20" s="50">
        <v>355</v>
      </c>
      <c r="J20" s="50">
        <v>569</v>
      </c>
      <c r="K20" s="50">
        <v>436</v>
      </c>
    </row>
    <row r="21" spans="1:22" x14ac:dyDescent="0.25">
      <c r="A21" s="64" t="s">
        <v>264</v>
      </c>
      <c r="B21" s="50">
        <v>7208</v>
      </c>
      <c r="C21" s="50">
        <v>1878</v>
      </c>
      <c r="D21" s="50">
        <v>1736</v>
      </c>
      <c r="E21" s="50">
        <v>1768</v>
      </c>
      <c r="F21" s="50">
        <v>1787</v>
      </c>
      <c r="G21" s="50">
        <v>8084</v>
      </c>
      <c r="H21" s="50">
        <v>1650</v>
      </c>
      <c r="I21" s="50">
        <v>1490</v>
      </c>
      <c r="J21" s="50">
        <v>2833</v>
      </c>
      <c r="K21" s="50">
        <v>2111</v>
      </c>
    </row>
    <row r="22" spans="1:22" hidden="1" x14ac:dyDescent="0.25">
      <c r="A22" s="64" t="s">
        <v>265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 spans="1:22" x14ac:dyDescent="0.25">
      <c r="A23" s="64" t="s">
        <v>266</v>
      </c>
      <c r="B23" s="50">
        <v>2723</v>
      </c>
      <c r="C23" s="50">
        <v>693</v>
      </c>
      <c r="D23" s="50">
        <v>631</v>
      </c>
      <c r="E23" s="50">
        <v>709</v>
      </c>
      <c r="F23" s="50">
        <v>601</v>
      </c>
      <c r="G23" s="50">
        <v>2466</v>
      </c>
      <c r="H23" s="50">
        <v>648</v>
      </c>
      <c r="I23" s="50">
        <v>598</v>
      </c>
      <c r="J23" s="50">
        <f>1220-K23</f>
        <v>579</v>
      </c>
      <c r="K23" s="50">
        <v>641</v>
      </c>
    </row>
    <row r="24" spans="1:22" x14ac:dyDescent="0.25">
      <c r="A24" s="64" t="s">
        <v>268</v>
      </c>
      <c r="B24" s="50">
        <v>1766</v>
      </c>
      <c r="C24" s="50">
        <v>415</v>
      </c>
      <c r="D24" s="50">
        <v>433</v>
      </c>
      <c r="E24" s="50">
        <v>454</v>
      </c>
      <c r="F24" s="50">
        <v>465</v>
      </c>
      <c r="G24" s="50">
        <v>1874</v>
      </c>
      <c r="H24" s="50">
        <v>491</v>
      </c>
      <c r="I24" s="50">
        <v>385</v>
      </c>
      <c r="J24" s="50">
        <f>998-K24</f>
        <v>498</v>
      </c>
      <c r="K24" s="50">
        <v>500</v>
      </c>
    </row>
    <row r="25" spans="1:22" x14ac:dyDescent="0.25">
      <c r="A25" s="64" t="s">
        <v>261</v>
      </c>
      <c r="B25" s="50">
        <v>6084</v>
      </c>
      <c r="C25" s="50">
        <v>1464</v>
      </c>
      <c r="D25" s="50">
        <v>1737</v>
      </c>
      <c r="E25" s="50">
        <v>1535</v>
      </c>
      <c r="F25" s="50">
        <v>1349</v>
      </c>
      <c r="G25" s="50">
        <v>6264</v>
      </c>
      <c r="H25" s="50">
        <f>1661-1</f>
        <v>1660</v>
      </c>
      <c r="I25" s="50">
        <v>1363</v>
      </c>
      <c r="J25" s="50">
        <f>3241-K25</f>
        <v>1897</v>
      </c>
      <c r="K25" s="50">
        <v>1344</v>
      </c>
    </row>
    <row r="26" spans="1:22" x14ac:dyDescent="0.25">
      <c r="A26" s="64" t="s">
        <v>283</v>
      </c>
      <c r="B26" s="50">
        <v>4373</v>
      </c>
      <c r="C26" s="50">
        <v>1294</v>
      </c>
      <c r="D26" s="50">
        <v>685</v>
      </c>
      <c r="E26" s="50">
        <v>823</v>
      </c>
      <c r="F26" s="50">
        <v>1571</v>
      </c>
      <c r="G26" s="50">
        <v>2347</v>
      </c>
      <c r="H26" s="50">
        <v>1664</v>
      </c>
      <c r="I26" s="50">
        <v>683</v>
      </c>
      <c r="J26" s="50">
        <v>0</v>
      </c>
      <c r="K26" s="50">
        <v>0</v>
      </c>
    </row>
    <row r="27" spans="1:22" x14ac:dyDescent="0.25">
      <c r="A27" s="64" t="s">
        <v>71</v>
      </c>
      <c r="B27" s="50">
        <f>11057-4373+1578+1304+1125+1281+2648+648-1</f>
        <v>15267</v>
      </c>
      <c r="C27" s="50">
        <f>2615-1294+151+693+363+288+320+457</f>
        <v>3593</v>
      </c>
      <c r="D27" s="50">
        <v>4580</v>
      </c>
      <c r="E27" s="50">
        <v>3671</v>
      </c>
      <c r="F27" s="50">
        <v>3420</v>
      </c>
      <c r="G27" s="50">
        <v>13366</v>
      </c>
      <c r="H27" s="50">
        <v>3337</v>
      </c>
      <c r="I27" s="50">
        <v>3451</v>
      </c>
      <c r="J27" s="50">
        <v>3175</v>
      </c>
      <c r="K27" s="50">
        <v>3403</v>
      </c>
    </row>
    <row r="28" spans="1:22" ht="13.8" thickBot="1" x14ac:dyDescent="0.3">
      <c r="A28" s="176" t="s">
        <v>72</v>
      </c>
      <c r="B28" s="104">
        <f t="shared" ref="B28:K28" si="0">SUM(B9:B27)</f>
        <v>224265</v>
      </c>
      <c r="C28" s="104">
        <f t="shared" si="0"/>
        <v>57532</v>
      </c>
      <c r="D28" s="104">
        <f t="shared" si="0"/>
        <v>57426</v>
      </c>
      <c r="E28" s="104">
        <f t="shared" si="0"/>
        <v>54797</v>
      </c>
      <c r="F28" s="104">
        <f t="shared" si="0"/>
        <v>54509</v>
      </c>
      <c r="G28" s="104">
        <f t="shared" si="0"/>
        <v>213875</v>
      </c>
      <c r="H28" s="104">
        <f t="shared" si="0"/>
        <v>52905</v>
      </c>
      <c r="I28" s="104">
        <f t="shared" si="0"/>
        <v>53153</v>
      </c>
      <c r="J28" s="104">
        <f t="shared" si="0"/>
        <v>54741</v>
      </c>
      <c r="K28" s="104">
        <f t="shared" si="0"/>
        <v>53092</v>
      </c>
    </row>
    <row r="29" spans="1:22" customFormat="1" ht="13.8" thickBot="1" x14ac:dyDescent="0.3">
      <c r="A29" s="241" t="s">
        <v>73</v>
      </c>
      <c r="B29" s="109">
        <f>+B28/6752464</f>
        <v>3.3212320717296677E-2</v>
      </c>
      <c r="C29" s="109">
        <f>C28/'STATEMENTS OF CONDITION'!B21*365/92</f>
        <v>3.1918047256167668E-2</v>
      </c>
      <c r="D29" s="109">
        <f>D28/'STATEMENTS OF CONDITION'!C21*365/92</f>
        <v>3.3357307807356372E-2</v>
      </c>
      <c r="E29" s="109">
        <f>E28/'STATEMENTS OF CONDITION'!H21*4.05555555555556</f>
        <v>3.2068570853928675E-2</v>
      </c>
      <c r="F29" s="109">
        <f>F28/'STATEMENTS OF CONDITION'!I21*4.05555555555556</f>
        <v>3.184018595279229E-2</v>
      </c>
      <c r="G29" s="109">
        <f>G28/6652777</f>
        <v>3.2148229228185464E-2</v>
      </c>
      <c r="H29" s="109">
        <f>H28/'STATEMENTS OF CONDITION'!F21*365/92</f>
        <v>3.2987125582439318E-2</v>
      </c>
      <c r="I29" s="109">
        <f>+I28/'STATEMENTS OF CONDITION'!G21*365/92</f>
        <v>3.1781717326112069E-2</v>
      </c>
      <c r="J29" s="109">
        <f>J28/'STATEMENTS OF CONDITION'!H21*4.05555555555556</f>
        <v>3.2035798257475948E-2</v>
      </c>
      <c r="K29" s="107">
        <f>K28/'STATEMENTS OF CONDITION'!I21*4.05555555555556</f>
        <v>3.1012477803769069E-2</v>
      </c>
      <c r="L29" s="109" t="e">
        <f>+'ANALYSIS OF NONINTEREST'!#REF!/'STATEMENTS OF CONDITION'!#REF!*365/92</f>
        <v>#REF!</v>
      </c>
      <c r="M29" s="52" t="e">
        <f>+'ANALYSIS OF NONINTEREST'!#REF!/'STATEMENTS OF CONDITION'!#REF!*365/92</f>
        <v>#REF!</v>
      </c>
      <c r="N29" s="109" t="e">
        <f>+'ANALYSIS OF NONINTEREST'!#REF!/'STATEMENTS OF CONDITION'!#REF!*365/91</f>
        <v>#REF!</v>
      </c>
      <c r="O29" s="52" t="e">
        <f>+'ANALYSIS OF NONINTEREST'!#REF!/'STATEMENTS OF CONDITION'!#REF!*365/90</f>
        <v>#REF!</v>
      </c>
      <c r="P29" s="193" t="e">
        <f>+'ANALYSIS OF NONINTEREST'!#REF!/6426252</f>
        <v>#REF!</v>
      </c>
      <c r="Q29" s="52" t="e">
        <f>+'ANALYSIS OF NONINTEREST'!#REF!/6930250*365/92</f>
        <v>#REF!</v>
      </c>
      <c r="R29" s="52" t="e">
        <f>+'ANALYSIS OF NONINTEREST'!#REF!/6522928*365/92</f>
        <v>#REF!</v>
      </c>
      <c r="S29" s="52" t="e">
        <f>+'ANALYSIS OF NONINTEREST'!#REF!/6303931*365/91</f>
        <v>#REF!</v>
      </c>
      <c r="T29" s="52" t="e">
        <f>+'ANALYSIS OF NONINTEREST'!#REF!/5935957*365/90</f>
        <v>#REF!</v>
      </c>
      <c r="U29" s="52" t="e">
        <f>+'ANALYSIS OF NONINTEREST'!#REF!/5484056</f>
        <v>#REF!</v>
      </c>
      <c r="V29" s="52" t="e">
        <f>+'ANALYSIS OF NONINTEREST'!#REF!/5679505*365/92</f>
        <v>#REF!</v>
      </c>
    </row>
    <row r="30" spans="1:22" customFormat="1" ht="13.8" thickBot="1" x14ac:dyDescent="0.3">
      <c r="A30" s="241" t="s">
        <v>74</v>
      </c>
      <c r="B30" s="109">
        <f>B28/('CONDENSED CONSOLIDATED STATEMEN'!B7+'ANALYSIS OF NONINTEREST'!B20)</f>
        <v>0.5033769451945026</v>
      </c>
      <c r="C30" s="109">
        <f>+C28/('CONDENSED CONSOLIDATED STATEMEN'!C7+'ANALYSIS OF NONINTEREST'!C20)</f>
        <v>0.50487038629622483</v>
      </c>
      <c r="D30" s="109">
        <f>+E28/('CONDENSED CONSOLIDATED STATEMEN'!D7+'ANALYSIS OF NONINTEREST'!D20)</f>
        <v>0.48426922601056965</v>
      </c>
      <c r="E30" s="109">
        <f>E28/('CONDENSED CONSOLIDATED STATEMEN'!E7+'ANALYSIS OF NONINTEREST'!E20)</f>
        <v>0.49446404562312196</v>
      </c>
      <c r="F30" s="109">
        <f>F28/('CONDENSED CONSOLIDATED STATEMEN'!F7+'ANALYSIS OF NONINTEREST'!F20)</f>
        <v>0.50584173943707722</v>
      </c>
      <c r="G30" s="109">
        <f>G28/('CONDENSED CONSOLIDATED STATEMEN'!G7+'ANALYSIS OF NONINTEREST'!G20)</f>
        <v>0.45850564141482353</v>
      </c>
      <c r="H30" s="109">
        <f>H28/('CONDENSED CONSOLIDATED STATEMEN'!H7+'ANALYSIS OF NONINTEREST'!H20)</f>
        <v>0.50832068256499929</v>
      </c>
      <c r="I30" s="109">
        <f>+I28/('CONDENSED CONSOLIDATED STATEMEN'!I7+'ANALYSIS OF NONINTEREST'!I20)</f>
        <v>0.4652870786172606</v>
      </c>
      <c r="J30" s="109">
        <f>+J28/('CONDENSED CONSOLIDATED STATEMEN'!J7+'ANALYSIS OF NONINTEREST'!J20)</f>
        <v>0.44793303220738412</v>
      </c>
      <c r="K30" s="109">
        <f>K28/('CONDENSED CONSOLIDATED STATEMEN'!K7+'ANALYSIS OF NONINTEREST'!K20)</f>
        <v>0.42151896724200899</v>
      </c>
      <c r="L30" s="52" t="e">
        <f>+'ANALYSIS OF NONINTEREST'!#REF!/('CONDENSED CONSOLIDATED STATEMEN'!W7+'CONDENSED CONSOLIDATED STATEMEN'!W14+'CONDENSED CONSOLIDATED STATEMEN'!W15+'CONDENSED CONSOLIDATED STATEMEN'!W16)</f>
        <v>#REF!</v>
      </c>
      <c r="M30" s="52" t="e">
        <f>+'ANALYSIS OF NONINTEREST'!#REF!/('CONDENSED CONSOLIDATED STATEMEN'!X7+'CONDENSED CONSOLIDATED STATEMEN'!X14+'CONDENSED CONSOLIDATED STATEMEN'!X15+'CONDENSED CONSOLIDATED STATEMEN'!X16)</f>
        <v>#REF!</v>
      </c>
      <c r="N30" s="52" t="e">
        <f>+'ANALYSIS OF NONINTEREST'!#REF!/('CONDENSED CONSOLIDATED STATEMEN'!Y7+'CONDENSED CONSOLIDATED STATEMEN'!Y14+'CONDENSED CONSOLIDATED STATEMEN'!Y15+'CONDENSED CONSOLIDATED STATEMEN'!Y16)</f>
        <v>#REF!</v>
      </c>
      <c r="O30" s="52" t="e">
        <f>+'ANALYSIS OF NONINTEREST'!#REF!/('CONDENSED CONSOLIDATED STATEMEN'!Z7+'CONDENSED CONSOLIDATED STATEMEN'!Z14+'CONDENSED CONSOLIDATED STATEMEN'!Z15+'CONDENSED CONSOLIDATED STATEMEN'!Z16)</f>
        <v>#REF!</v>
      </c>
      <c r="P30" s="193" t="e">
        <f>+'ANALYSIS OF NONINTEREST'!#REF!/535262</f>
        <v>#REF!</v>
      </c>
      <c r="Q30" s="52" t="e">
        <f>+'ANALYSIS OF NONINTEREST'!#REF!/146138</f>
        <v>#REF!</v>
      </c>
      <c r="R30" s="52" t="e">
        <f>+'ANALYSIS OF NONINTEREST'!#REF!/134828</f>
        <v>#REF!</v>
      </c>
      <c r="S30" s="52" t="e">
        <f>+'ANALYSIS OF NONINTEREST'!#REF!/130654</f>
        <v>#REF!</v>
      </c>
      <c r="T30" s="52" t="e">
        <f>+'ANALYSIS OF NONINTEREST'!#REF!/123643</f>
        <v>#REF!</v>
      </c>
      <c r="U30" s="52" t="e">
        <f>+'ANALYSIS OF NONINTEREST'!#REF!/470747</f>
        <v>#REF!</v>
      </c>
      <c r="V30" s="52" t="e">
        <f>+'ANALYSIS OF NONINTEREST'!#REF!/123451</f>
        <v>#REF!</v>
      </c>
    </row>
    <row r="32" spans="1:2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</row>
    <row r="33" spans="1:6" x14ac:dyDescent="0.25">
      <c r="A33" s="121"/>
      <c r="B33" s="121"/>
      <c r="C33" s="121"/>
      <c r="D33" s="121"/>
      <c r="E33" s="121"/>
      <c r="F33" s="121"/>
    </row>
  </sheetData>
  <mergeCells count="4">
    <mergeCell ref="A1:K1"/>
    <mergeCell ref="G6:K6"/>
    <mergeCell ref="A2:K2"/>
    <mergeCell ref="B6:F6"/>
  </mergeCells>
  <phoneticPr fontId="0" type="noConversion"/>
  <printOptions horizontalCentered="1"/>
  <pageMargins left="0" right="0" top="1" bottom="1" header="0.5" footer="0.5"/>
  <pageSetup scale="83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zoomScaleNormal="100" workbookViewId="0"/>
  </sheetViews>
  <sheetFormatPr defaultColWidth="9.109375" defaultRowHeight="13.8" x14ac:dyDescent="0.3"/>
  <cols>
    <col min="1" max="1" width="1.5546875" style="249" customWidth="1"/>
    <col min="2" max="2" width="41.44140625" style="249" customWidth="1"/>
    <col min="3" max="3" width="11.109375" style="249" customWidth="1"/>
    <col min="4" max="5" width="9.6640625" style="249" customWidth="1"/>
    <col min="6" max="6" width="11.109375" style="249" customWidth="1"/>
    <col min="7" max="8" width="9.6640625" style="249" customWidth="1"/>
    <col min="9" max="16384" width="9.109375" style="249"/>
  </cols>
  <sheetData>
    <row r="1" spans="1:8" x14ac:dyDescent="0.3">
      <c r="A1" s="247"/>
      <c r="B1" s="248"/>
      <c r="C1" s="248"/>
      <c r="D1" s="248"/>
      <c r="E1" s="248"/>
      <c r="F1" s="248"/>
      <c r="G1" s="248"/>
      <c r="H1" s="248"/>
    </row>
    <row r="2" spans="1:8" x14ac:dyDescent="0.3">
      <c r="A2" s="247" t="s">
        <v>209</v>
      </c>
      <c r="B2" s="248"/>
      <c r="C2" s="248"/>
      <c r="D2" s="248"/>
      <c r="E2" s="248"/>
      <c r="F2" s="248"/>
      <c r="G2" s="248"/>
      <c r="H2" s="248"/>
    </row>
    <row r="3" spans="1:8" x14ac:dyDescent="0.3">
      <c r="A3" s="247" t="s">
        <v>271</v>
      </c>
      <c r="B3" s="248"/>
      <c r="C3" s="248"/>
      <c r="D3" s="248"/>
      <c r="E3" s="248"/>
      <c r="F3" s="248"/>
      <c r="G3" s="248"/>
      <c r="H3" s="248"/>
    </row>
    <row r="4" spans="1:8" x14ac:dyDescent="0.3">
      <c r="A4" s="247" t="s">
        <v>258</v>
      </c>
      <c r="B4" s="250"/>
      <c r="C4" s="250"/>
      <c r="D4" s="250"/>
      <c r="E4" s="250"/>
      <c r="F4" s="250"/>
      <c r="G4" s="250"/>
      <c r="H4" s="250"/>
    </row>
    <row r="5" spans="1:8" ht="16.2" thickBot="1" x14ac:dyDescent="0.35">
      <c r="A5" s="251"/>
      <c r="B5" s="252"/>
      <c r="C5" s="252"/>
      <c r="D5" s="252"/>
      <c r="E5" s="252"/>
      <c r="F5" s="252"/>
      <c r="G5" s="252"/>
      <c r="H5" s="252"/>
    </row>
    <row r="6" spans="1:8" x14ac:dyDescent="0.3">
      <c r="A6" s="253"/>
      <c r="B6" s="253"/>
      <c r="C6" s="253"/>
      <c r="D6" s="253"/>
      <c r="E6" s="253"/>
      <c r="F6" s="253"/>
      <c r="G6" s="253"/>
      <c r="H6" s="253"/>
    </row>
    <row r="7" spans="1:8" x14ac:dyDescent="0.3">
      <c r="A7" s="254" t="s">
        <v>225</v>
      </c>
      <c r="B7" s="254"/>
      <c r="C7" s="395">
        <v>37986</v>
      </c>
      <c r="D7" s="395"/>
      <c r="E7" s="395"/>
      <c r="F7" s="395">
        <v>37621</v>
      </c>
      <c r="G7" s="395"/>
      <c r="H7" s="395"/>
    </row>
    <row r="8" spans="1:8" x14ac:dyDescent="0.3">
      <c r="C8" s="355" t="s">
        <v>14</v>
      </c>
      <c r="D8" s="355"/>
      <c r="E8" s="355" t="s">
        <v>14</v>
      </c>
      <c r="F8" s="355" t="s">
        <v>14</v>
      </c>
      <c r="G8" s="355"/>
      <c r="H8" s="355" t="s">
        <v>14</v>
      </c>
    </row>
    <row r="9" spans="1:8" x14ac:dyDescent="0.3">
      <c r="A9" s="254"/>
      <c r="B9" s="254"/>
      <c r="C9" s="356" t="s">
        <v>226</v>
      </c>
      <c r="D9" s="356" t="s">
        <v>227</v>
      </c>
      <c r="E9" s="356" t="s">
        <v>76</v>
      </c>
      <c r="F9" s="356" t="s">
        <v>226</v>
      </c>
      <c r="G9" s="356" t="s">
        <v>227</v>
      </c>
      <c r="H9" s="356" t="s">
        <v>76</v>
      </c>
    </row>
    <row r="10" spans="1:8" x14ac:dyDescent="0.3">
      <c r="C10" s="260"/>
      <c r="D10" s="260"/>
      <c r="E10" s="260"/>
      <c r="F10" s="260"/>
      <c r="G10" s="260"/>
      <c r="H10" s="260"/>
    </row>
    <row r="11" spans="1:8" x14ac:dyDescent="0.3">
      <c r="A11" s="251" t="s">
        <v>228</v>
      </c>
      <c r="C11" s="260"/>
      <c r="D11" s="260"/>
      <c r="E11" s="260"/>
      <c r="F11" s="260"/>
      <c r="G11" s="260"/>
      <c r="H11" s="260"/>
    </row>
    <row r="12" spans="1:8" x14ac:dyDescent="0.3">
      <c r="A12" s="249" t="s">
        <v>229</v>
      </c>
      <c r="C12" s="257"/>
      <c r="D12" s="257"/>
      <c r="E12" s="258"/>
      <c r="F12" s="260"/>
      <c r="G12" s="260"/>
      <c r="H12" s="260"/>
    </row>
    <row r="13" spans="1:8" x14ac:dyDescent="0.3">
      <c r="B13" s="249" t="s">
        <v>230</v>
      </c>
      <c r="C13" s="257">
        <v>64574</v>
      </c>
      <c r="D13" s="257">
        <v>105</v>
      </c>
      <c r="E13" s="259">
        <f>+D13/C13*365/92</f>
        <v>6.4511426728485416E-3</v>
      </c>
      <c r="F13" s="257">
        <v>68182</v>
      </c>
      <c r="G13" s="257">
        <v>270</v>
      </c>
      <c r="H13" s="259">
        <f>+G13/F13*365/92</f>
        <v>1.5710827669676939E-2</v>
      </c>
    </row>
    <row r="14" spans="1:8" x14ac:dyDescent="0.3">
      <c r="B14" s="249" t="s">
        <v>231</v>
      </c>
      <c r="C14" s="260"/>
      <c r="D14" s="261"/>
      <c r="E14" s="259"/>
      <c r="F14" s="260"/>
      <c r="G14" s="261"/>
      <c r="H14" s="259"/>
    </row>
    <row r="15" spans="1:8" x14ac:dyDescent="0.3">
      <c r="B15" s="249" t="s">
        <v>232</v>
      </c>
      <c r="C15" s="262">
        <v>190289</v>
      </c>
      <c r="D15" s="262">
        <v>535</v>
      </c>
      <c r="E15" s="259">
        <f>+D15/C15*365/92</f>
        <v>1.1154372285450482E-2</v>
      </c>
      <c r="F15" s="262">
        <v>99973</v>
      </c>
      <c r="G15" s="262">
        <v>420</v>
      </c>
      <c r="H15" s="259">
        <f>+G15/F15*365/92</f>
        <v>1.6667543715063939E-2</v>
      </c>
    </row>
    <row r="16" spans="1:8" x14ac:dyDescent="0.3">
      <c r="B16" s="263" t="s">
        <v>233</v>
      </c>
      <c r="C16" s="264">
        <f>SUM(C13:C15)</f>
        <v>254863</v>
      </c>
      <c r="D16" s="264">
        <f>SUM(D13:D15)</f>
        <v>640</v>
      </c>
      <c r="E16" s="265">
        <f>+D16/C16*365/92</f>
        <v>9.962726777847741E-3</v>
      </c>
      <c r="F16" s="264">
        <f>SUM(F13:F15)</f>
        <v>168155</v>
      </c>
      <c r="G16" s="264">
        <f>SUM(G13:G15)</f>
        <v>690</v>
      </c>
      <c r="H16" s="265">
        <f>+G16/F16*365/92</f>
        <v>1.6279622966905535E-2</v>
      </c>
    </row>
    <row r="17" spans="2:8" x14ac:dyDescent="0.3">
      <c r="C17" s="261"/>
      <c r="D17" s="261"/>
      <c r="E17" s="260"/>
      <c r="F17" s="261"/>
      <c r="G17" s="261"/>
      <c r="H17" s="260"/>
    </row>
    <row r="18" spans="2:8" x14ac:dyDescent="0.3">
      <c r="B18" s="249" t="s">
        <v>234</v>
      </c>
      <c r="C18" s="262">
        <v>2999</v>
      </c>
      <c r="D18" s="262">
        <v>7</v>
      </c>
      <c r="E18" s="259">
        <f>+D18/C18*365/92</f>
        <v>9.2603331545297717E-3</v>
      </c>
      <c r="F18" s="262">
        <v>163588</v>
      </c>
      <c r="G18" s="262">
        <v>630</v>
      </c>
      <c r="H18" s="259">
        <f>+G18/F18*365/92</f>
        <v>1.5278972306887609E-2</v>
      </c>
    </row>
    <row r="19" spans="2:8" x14ac:dyDescent="0.3">
      <c r="B19" s="249" t="s">
        <v>235</v>
      </c>
      <c r="C19" s="261"/>
      <c r="D19" s="261"/>
      <c r="E19" s="259"/>
      <c r="F19" s="261"/>
      <c r="G19" s="261"/>
      <c r="H19" s="259"/>
    </row>
    <row r="20" spans="2:8" x14ac:dyDescent="0.3">
      <c r="B20" s="249" t="s">
        <v>236</v>
      </c>
      <c r="C20" s="262">
        <v>1150020</v>
      </c>
      <c r="D20" s="262">
        <f>11500+3917</f>
        <v>15417</v>
      </c>
      <c r="E20" s="259">
        <f>+D20/C20*365/92</f>
        <v>5.3186267838064058E-2</v>
      </c>
      <c r="F20" s="262">
        <v>1557476</v>
      </c>
      <c r="G20" s="262">
        <v>16216</v>
      </c>
      <c r="H20" s="259">
        <f>+G20/F20*365/92</f>
        <v>4.1307357154334541E-2</v>
      </c>
    </row>
    <row r="21" spans="2:8" x14ac:dyDescent="0.3">
      <c r="B21" s="249" t="s">
        <v>237</v>
      </c>
      <c r="C21" s="261"/>
      <c r="D21" s="261"/>
      <c r="E21" s="259"/>
      <c r="F21" s="261"/>
      <c r="G21" s="261"/>
      <c r="H21" s="259"/>
    </row>
    <row r="22" spans="2:8" x14ac:dyDescent="0.3">
      <c r="B22" s="249" t="s">
        <v>238</v>
      </c>
      <c r="C22" s="262">
        <v>54017</v>
      </c>
      <c r="D22" s="262">
        <f>729+288</f>
        <v>1017</v>
      </c>
      <c r="E22" s="259">
        <f>+D22/C22*365/92</f>
        <v>7.4695687589494769E-2</v>
      </c>
      <c r="F22" s="262">
        <v>46248</v>
      </c>
      <c r="G22" s="262">
        <v>962</v>
      </c>
      <c r="H22" s="259">
        <f>+G22/F22*365/92</f>
        <v>8.2525307792393379E-2</v>
      </c>
    </row>
    <row r="23" spans="2:8" x14ac:dyDescent="0.3">
      <c r="B23" s="249" t="s">
        <v>239</v>
      </c>
      <c r="C23" s="261"/>
      <c r="D23" s="261"/>
      <c r="E23" s="259"/>
      <c r="F23" s="261"/>
      <c r="G23" s="261"/>
      <c r="H23" s="259"/>
    </row>
    <row r="24" spans="2:8" x14ac:dyDescent="0.3">
      <c r="B24" s="249" t="s">
        <v>240</v>
      </c>
      <c r="C24" s="262">
        <v>1326352</v>
      </c>
      <c r="D24" s="262">
        <v>14216</v>
      </c>
      <c r="E24" s="259">
        <f>+D24/C24*365/92</f>
        <v>4.2522976391341588E-2</v>
      </c>
      <c r="F24" s="262">
        <v>154915</v>
      </c>
      <c r="G24" s="262">
        <v>1605</v>
      </c>
      <c r="H24" s="259">
        <f>+G24/F24*365/92</f>
        <v>4.1104238088488919E-2</v>
      </c>
    </row>
    <row r="25" spans="2:8" x14ac:dyDescent="0.3">
      <c r="B25" s="249" t="s">
        <v>147</v>
      </c>
      <c r="C25" s="262">
        <v>34288</v>
      </c>
      <c r="D25" s="262">
        <v>1488</v>
      </c>
      <c r="E25" s="259">
        <f>+D25/C25*365/92</f>
        <v>0.17217330438840311</v>
      </c>
      <c r="F25" s="262">
        <v>44627</v>
      </c>
      <c r="G25" s="262">
        <v>474</v>
      </c>
      <c r="H25" s="259">
        <f>+G25/F25*365/92</f>
        <v>4.2139141736188171E-2</v>
      </c>
    </row>
    <row r="26" spans="2:8" x14ac:dyDescent="0.3">
      <c r="B26" s="263" t="s">
        <v>241</v>
      </c>
      <c r="C26" s="264">
        <f>SUM(C18:C25)</f>
        <v>2567676</v>
      </c>
      <c r="D26" s="266">
        <f>SUM(D18:D25)</f>
        <v>32145</v>
      </c>
      <c r="E26" s="265">
        <f>+D26/C26*365/92</f>
        <v>4.9668179894293854E-2</v>
      </c>
      <c r="F26" s="264">
        <f>SUM(F18:F25)</f>
        <v>1966854</v>
      </c>
      <c r="G26" s="264">
        <f>SUM(G18:G25)</f>
        <v>19887</v>
      </c>
      <c r="H26" s="265">
        <f>+G26/F26*365/92</f>
        <v>4.011457427422941E-2</v>
      </c>
    </row>
    <row r="27" spans="2:8" x14ac:dyDescent="0.3">
      <c r="C27" s="261"/>
      <c r="D27" s="261"/>
      <c r="E27" s="260"/>
      <c r="F27" s="261"/>
      <c r="G27" s="261"/>
      <c r="H27" s="260"/>
    </row>
    <row r="28" spans="2:8" x14ac:dyDescent="0.3">
      <c r="B28" s="249" t="s">
        <v>242</v>
      </c>
      <c r="C28" s="267">
        <v>4001429</v>
      </c>
      <c r="D28" s="267">
        <f>57560+979</f>
        <v>58539</v>
      </c>
      <c r="E28" s="268">
        <f>+D28/C28*365/92</f>
        <v>5.8041044728075246E-2</v>
      </c>
      <c r="F28" s="267">
        <v>3832437</v>
      </c>
      <c r="G28" s="267">
        <v>65940</v>
      </c>
      <c r="H28" s="268">
        <f>+G28/F28*365/92</f>
        <v>6.8261991680149126E-2</v>
      </c>
    </row>
    <row r="29" spans="2:8" x14ac:dyDescent="0.3">
      <c r="C29" s="261"/>
      <c r="D29" s="261"/>
      <c r="E29" s="260"/>
      <c r="F29" s="261"/>
      <c r="G29" s="261"/>
      <c r="H29" s="260"/>
    </row>
    <row r="30" spans="2:8" x14ac:dyDescent="0.3">
      <c r="B30" s="249" t="s">
        <v>243</v>
      </c>
      <c r="C30" s="267">
        <f>+C28+C26+C16</f>
        <v>6823968</v>
      </c>
      <c r="D30" s="267">
        <f>+D28+D26+D16</f>
        <v>91324</v>
      </c>
      <c r="E30" s="268">
        <f>+D30/C30*365/91</f>
        <v>5.3678381909112179E-2</v>
      </c>
      <c r="F30" s="267">
        <f>+F28+F26+F16</f>
        <v>5967446</v>
      </c>
      <c r="G30" s="267">
        <f>+G28+G26+G16</f>
        <v>86517</v>
      </c>
      <c r="H30" s="268">
        <f>+G30/F30*365/92</f>
        <v>5.7519882622860917E-2</v>
      </c>
    </row>
    <row r="31" spans="2:8" x14ac:dyDescent="0.3">
      <c r="C31" s="261"/>
      <c r="D31" s="261"/>
      <c r="E31" s="260"/>
      <c r="F31" s="261"/>
      <c r="G31" s="261"/>
      <c r="H31" s="260"/>
    </row>
    <row r="32" spans="2:8" x14ac:dyDescent="0.3">
      <c r="B32" s="249" t="s">
        <v>244</v>
      </c>
      <c r="C32" s="267">
        <v>327220</v>
      </c>
      <c r="D32" s="330"/>
      <c r="E32" s="314"/>
      <c r="F32" s="267">
        <v>395486</v>
      </c>
      <c r="G32" s="330"/>
      <c r="H32" s="314"/>
    </row>
    <row r="33" spans="1:8" x14ac:dyDescent="0.3">
      <c r="C33" s="261"/>
      <c r="D33" s="331"/>
      <c r="E33" s="314"/>
      <c r="F33" s="261"/>
      <c r="G33" s="331"/>
      <c r="H33" s="314"/>
    </row>
    <row r="34" spans="1:8" ht="14.4" thickBot="1" x14ac:dyDescent="0.35">
      <c r="B34" s="251" t="s">
        <v>19</v>
      </c>
      <c r="C34" s="276">
        <f>+C32+C30</f>
        <v>7151188</v>
      </c>
      <c r="D34" s="332"/>
      <c r="E34" s="333"/>
      <c r="F34" s="276">
        <f>+F32+F30</f>
        <v>6362932</v>
      </c>
      <c r="G34" s="332"/>
      <c r="H34" s="333"/>
    </row>
    <row r="35" spans="1:8" ht="14.4" thickTop="1" x14ac:dyDescent="0.3">
      <c r="C35" s="261"/>
      <c r="D35" s="261"/>
      <c r="E35" s="260"/>
      <c r="F35" s="261"/>
      <c r="G35" s="261"/>
      <c r="H35" s="260"/>
    </row>
    <row r="36" spans="1:8" x14ac:dyDescent="0.3">
      <c r="A36" s="251" t="s">
        <v>245</v>
      </c>
      <c r="C36" s="261"/>
      <c r="D36" s="261"/>
      <c r="E36" s="260"/>
      <c r="F36" s="261"/>
      <c r="G36" s="261"/>
      <c r="H36" s="260"/>
    </row>
    <row r="37" spans="1:8" x14ac:dyDescent="0.3">
      <c r="A37" s="249" t="s">
        <v>246</v>
      </c>
      <c r="C37" s="261"/>
      <c r="D37" s="260"/>
      <c r="E37" s="260"/>
      <c r="F37" s="261"/>
      <c r="G37" s="260"/>
      <c r="H37" s="260"/>
    </row>
    <row r="38" spans="1:8" x14ac:dyDescent="0.3">
      <c r="B38" s="249" t="s">
        <v>142</v>
      </c>
      <c r="C38" s="257">
        <v>1837600</v>
      </c>
      <c r="D38" s="257">
        <v>5801</v>
      </c>
      <c r="E38" s="259">
        <f>+D38/C38*365/92</f>
        <v>1.2524399736896898E-2</v>
      </c>
      <c r="F38" s="257">
        <v>1876207</v>
      </c>
      <c r="G38" s="257">
        <v>9134</v>
      </c>
      <c r="H38" s="259">
        <f>+G38/F38*365/92</f>
        <v>1.9314581053110368E-2</v>
      </c>
    </row>
    <row r="39" spans="1:8" x14ac:dyDescent="0.3">
      <c r="B39" s="249" t="s">
        <v>247</v>
      </c>
      <c r="C39" s="262">
        <v>1388658</v>
      </c>
      <c r="D39" s="262">
        <v>7306</v>
      </c>
      <c r="E39" s="259">
        <f>+D39/C39*365/92</f>
        <v>2.0873217789812337E-2</v>
      </c>
      <c r="F39" s="262">
        <v>1410160</v>
      </c>
      <c r="G39" s="262">
        <v>11457</v>
      </c>
      <c r="H39" s="259">
        <f>+G39/F39*365/92</f>
        <v>3.2233506959432293E-2</v>
      </c>
    </row>
    <row r="40" spans="1:8" x14ac:dyDescent="0.3">
      <c r="B40" s="249" t="s">
        <v>248</v>
      </c>
      <c r="C40" s="262">
        <v>2404161</v>
      </c>
      <c r="D40" s="262">
        <v>16428</v>
      </c>
      <c r="E40" s="259">
        <f>+D40/C40*365/92</f>
        <v>2.7109791876594826E-2</v>
      </c>
      <c r="F40" s="262">
        <v>1363753</v>
      </c>
      <c r="G40" s="262">
        <v>12942</v>
      </c>
      <c r="H40" s="259">
        <f>+G40/F40*365/92</f>
        <v>3.7650497018792674E-2</v>
      </c>
    </row>
    <row r="41" spans="1:8" x14ac:dyDescent="0.3">
      <c r="B41" s="249" t="s">
        <v>249</v>
      </c>
      <c r="C41" s="262">
        <v>107565</v>
      </c>
      <c r="D41" s="262">
        <v>1819</v>
      </c>
      <c r="E41" s="259">
        <f>+D41/C41*365/92</f>
        <v>6.7091384582426403E-2</v>
      </c>
      <c r="F41" s="262">
        <v>316816</v>
      </c>
      <c r="G41" s="262">
        <v>4531</v>
      </c>
      <c r="H41" s="259">
        <f>+G41/F41*365/92</f>
        <v>5.6740347709711633E-2</v>
      </c>
    </row>
    <row r="42" spans="1:8" x14ac:dyDescent="0.3">
      <c r="B42" s="249" t="s">
        <v>250</v>
      </c>
      <c r="C42" s="262">
        <v>15925</v>
      </c>
      <c r="D42" s="262">
        <v>30</v>
      </c>
      <c r="E42" s="259">
        <f>IF(ISERROR(+D42/C42*365/91),"          N/A",+D42/C42*365/91)</f>
        <v>7.5560232546103816E-3</v>
      </c>
      <c r="F42" s="262">
        <v>33925</v>
      </c>
      <c r="G42" s="262">
        <v>250</v>
      </c>
      <c r="H42" s="259">
        <f>IF(ISERROR(+G42/F42*365/91),"          N/A",+G42/F42*365/91)</f>
        <v>2.9557767214362644E-2</v>
      </c>
    </row>
    <row r="43" spans="1:8" x14ac:dyDescent="0.3">
      <c r="B43" s="249" t="s">
        <v>251</v>
      </c>
      <c r="C43" s="264">
        <f>SUM(C38:C42)</f>
        <v>5753909</v>
      </c>
      <c r="D43" s="264">
        <f>SUM(D38:D42)</f>
        <v>31384</v>
      </c>
      <c r="E43" s="265">
        <f>+D43/C43*365/92</f>
        <v>2.1639655527338403E-2</v>
      </c>
      <c r="F43" s="264">
        <f>SUM(F38:F42)</f>
        <v>5000861</v>
      </c>
      <c r="G43" s="266">
        <f>SUM(G38:G42)</f>
        <v>38314</v>
      </c>
      <c r="H43" s="265">
        <f>+G43/F43*365/92</f>
        <v>3.0396091879934799E-2</v>
      </c>
    </row>
    <row r="44" spans="1:8" x14ac:dyDescent="0.3">
      <c r="C44" s="261"/>
      <c r="D44" s="273"/>
      <c r="E44" s="259"/>
      <c r="F44" s="261"/>
      <c r="G44" s="273"/>
      <c r="H44" s="259"/>
    </row>
    <row r="45" spans="1:8" x14ac:dyDescent="0.3">
      <c r="B45" s="249" t="s">
        <v>252</v>
      </c>
      <c r="C45" s="267">
        <v>798391</v>
      </c>
      <c r="D45" s="334"/>
      <c r="E45" s="314"/>
      <c r="F45" s="267">
        <v>773548</v>
      </c>
      <c r="G45" s="334"/>
      <c r="H45" s="314"/>
    </row>
    <row r="46" spans="1:8" x14ac:dyDescent="0.3">
      <c r="C46" s="261"/>
      <c r="D46" s="334"/>
      <c r="E46" s="314"/>
      <c r="F46" s="261"/>
      <c r="G46" s="334"/>
      <c r="H46" s="314"/>
    </row>
    <row r="47" spans="1:8" x14ac:dyDescent="0.3">
      <c r="B47" s="249" t="s">
        <v>253</v>
      </c>
      <c r="C47" s="275">
        <f>+C45+C43</f>
        <v>6552300</v>
      </c>
      <c r="D47" s="334"/>
      <c r="E47" s="314"/>
      <c r="F47" s="275">
        <f>+F45+F43</f>
        <v>5774409</v>
      </c>
      <c r="G47" s="334"/>
      <c r="H47" s="314"/>
    </row>
    <row r="48" spans="1:8" x14ac:dyDescent="0.3">
      <c r="C48" s="261"/>
      <c r="D48" s="334"/>
      <c r="E48" s="314"/>
      <c r="F48" s="261"/>
      <c r="G48" s="334"/>
      <c r="H48" s="314"/>
    </row>
    <row r="49" spans="2:8" x14ac:dyDescent="0.3">
      <c r="B49" s="249" t="s">
        <v>254</v>
      </c>
      <c r="C49" s="267">
        <v>598888</v>
      </c>
      <c r="D49" s="334"/>
      <c r="E49" s="314"/>
      <c r="F49" s="267">
        <v>588523</v>
      </c>
      <c r="G49" s="334"/>
      <c r="H49" s="314"/>
    </row>
    <row r="50" spans="2:8" x14ac:dyDescent="0.3">
      <c r="C50" s="261"/>
      <c r="D50" s="334"/>
      <c r="E50" s="314"/>
      <c r="F50" s="261"/>
      <c r="G50" s="334"/>
      <c r="H50" s="314"/>
    </row>
    <row r="51" spans="2:8" ht="14.4" thickBot="1" x14ac:dyDescent="0.35">
      <c r="B51" s="251" t="s">
        <v>255</v>
      </c>
      <c r="C51" s="276">
        <f>+C49+C47</f>
        <v>7151188</v>
      </c>
      <c r="D51" s="334"/>
      <c r="E51" s="335"/>
      <c r="F51" s="276">
        <f>+F49+F47</f>
        <v>6362932</v>
      </c>
      <c r="G51" s="334"/>
      <c r="H51" s="335"/>
    </row>
    <row r="52" spans="2:8" ht="14.4" thickTop="1" x14ac:dyDescent="0.3">
      <c r="C52" s="279"/>
      <c r="D52" s="334"/>
      <c r="E52" s="314"/>
      <c r="F52" s="279"/>
      <c r="G52" s="273"/>
      <c r="H52" s="314"/>
    </row>
    <row r="53" spans="2:8" hidden="1" x14ac:dyDescent="0.3">
      <c r="B53" s="249" t="s">
        <v>56</v>
      </c>
      <c r="C53" s="261"/>
      <c r="D53" s="280"/>
      <c r="E53" s="259"/>
      <c r="F53" s="261"/>
      <c r="G53" s="280"/>
      <c r="H53" s="259"/>
    </row>
    <row r="54" spans="2:8" hidden="1" x14ac:dyDescent="0.3">
      <c r="C54" s="261"/>
      <c r="D54" s="273"/>
      <c r="E54" s="260"/>
      <c r="F54" s="261"/>
      <c r="G54" s="273"/>
      <c r="H54" s="260"/>
    </row>
    <row r="55" spans="2:8" hidden="1" x14ac:dyDescent="0.3">
      <c r="B55" s="249" t="s">
        <v>256</v>
      </c>
      <c r="C55" s="261"/>
      <c r="D55" s="273"/>
      <c r="E55" s="258"/>
      <c r="F55" s="261"/>
      <c r="G55" s="273"/>
      <c r="H55" s="258"/>
    </row>
    <row r="56" spans="2:8" x14ac:dyDescent="0.3">
      <c r="B56" s="249" t="s">
        <v>56</v>
      </c>
      <c r="C56" s="261"/>
      <c r="D56" s="257">
        <f>-D43+D30</f>
        <v>59940</v>
      </c>
      <c r="E56" s="260"/>
      <c r="F56" s="261"/>
      <c r="G56" s="257">
        <f>-G43+G30</f>
        <v>48203</v>
      </c>
      <c r="H56" s="260"/>
    </row>
    <row r="57" spans="2:8" x14ac:dyDescent="0.3">
      <c r="B57" s="249" t="s">
        <v>256</v>
      </c>
      <c r="C57" s="261"/>
      <c r="D57" s="273"/>
      <c r="E57" s="259">
        <f>+D43/C30*365/92</f>
        <v>1.824636468043991E-2</v>
      </c>
      <c r="F57" s="261"/>
      <c r="G57" s="273"/>
      <c r="H57" s="259">
        <f>+G43/F30*365/92</f>
        <v>2.5472644483885171E-2</v>
      </c>
    </row>
    <row r="58" spans="2:8" x14ac:dyDescent="0.3">
      <c r="B58" s="249" t="s">
        <v>84</v>
      </c>
      <c r="C58" s="261"/>
      <c r="D58" s="273"/>
      <c r="E58" s="259">
        <f>+D56/C30*365/92</f>
        <v>3.4848556555747139E-2</v>
      </c>
      <c r="F58" s="261"/>
      <c r="G58" s="273"/>
      <c r="H58" s="259">
        <f>+G56/F30*365/92</f>
        <v>3.2047238138975739E-2</v>
      </c>
    </row>
  </sheetData>
  <mergeCells count="2">
    <mergeCell ref="C7:E7"/>
    <mergeCell ref="F7:H7"/>
  </mergeCells>
  <phoneticPr fontId="0" type="noConversion"/>
  <printOptions horizontalCentered="1"/>
  <pageMargins left="0" right="0" top="0" bottom="0" header="0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SELECTED DATA</vt:lpstr>
      <vt:lpstr>PER SHARE STATISTIC</vt:lpstr>
      <vt:lpstr>QUARTER-END INFORMATION</vt:lpstr>
      <vt:lpstr>STATEMENTS OF CONDITION</vt:lpstr>
      <vt:lpstr>CONDENSED CONSOLIDATED STATEMEN</vt:lpstr>
      <vt:lpstr>ANALYSIS OF NONINTEREST</vt:lpstr>
      <vt:lpstr>OTHEXP</vt:lpstr>
      <vt:lpstr>AVGQTR</vt:lpstr>
      <vt:lpstr>AVGYTD</vt:lpstr>
      <vt:lpstr>NET INTEREST INCOME ANALYSIS</vt:lpstr>
      <vt:lpstr>LOAN_YLD_03</vt:lpstr>
      <vt:lpstr>LOAN_YLD_02</vt:lpstr>
      <vt:lpstr>LOAN_YLD_01</vt:lpstr>
      <vt:lpstr>LOAN_YLD_00</vt:lpstr>
      <vt:lpstr>PERIOD-END LOAN PORFOLIO ANALYS</vt:lpstr>
      <vt:lpstr>COMPONENTS OF NONPERFORMING </vt:lpstr>
      <vt:lpstr>ALLOWANCE FOR CREDIT LOSSES</vt:lpstr>
      <vt:lpstr>FEE GENERATION ACTIVITY</vt:lpstr>
      <vt:lpstr>MARKET PRICES AND DIVIDENDS</vt:lpstr>
      <vt:lpstr>AVGQTR!Print_Area</vt:lpstr>
      <vt:lpstr>'STATEMENTS OF CONDITION'!Print_Titles</vt:lpstr>
    </vt:vector>
  </TitlesOfParts>
  <Company>BANCO SANTANDER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Aniket Gupta</cp:lastModifiedBy>
  <cp:lastPrinted>2004-01-22T11:35:47Z</cp:lastPrinted>
  <dcterms:created xsi:type="dcterms:W3CDTF">1999-01-08T13:58:01Z</dcterms:created>
  <dcterms:modified xsi:type="dcterms:W3CDTF">2024-02-03T22:13:52Z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799786382</vt:i4>
  </property>
  <property fmtid="{D5CDD505-2E9C-101B-9397-08002B2CF9AE}" pid="3" name="_EmailSubject">
    <vt:lpwstr/>
  </property>
  <property fmtid="{D5CDD505-2E9C-101B-9397-08002B2CF9AE}" pid="4" name="_AuthorEmail">
    <vt:lpwstr>FAF@bspr.com</vt:lpwstr>
  </property>
  <property fmtid="{D5CDD505-2E9C-101B-9397-08002B2CF9AE}" pid="5" name="_AuthorEmailDisplayName">
    <vt:lpwstr>FIOR ACHECAR FERNANDEZ</vt:lpwstr>
  </property>
  <property fmtid="{D5CDD505-2E9C-101B-9397-08002B2CF9AE}" pid="6" name="_PreviousAdHocReviewCycleID">
    <vt:i4>799786382</vt:i4>
  </property>
  <property fmtid="{D5CDD505-2E9C-101B-9397-08002B2CF9AE}" pid="7" name="_ReviewingToolsShownOnce">
    <vt:lpwstr/>
  </property>
</Properties>
</file>