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C8B39E7-6C07-446B-B284-7C7C7705D527}" xr6:coauthVersionLast="47" xr6:coauthVersionMax="47" xr10:uidLastSave="{00000000-0000-0000-0000-000000000000}"/>
  <bookViews>
    <workbookView xWindow="3348" yWindow="3348" windowWidth="17280" windowHeight="8880" tabRatio="601"/>
  </bookViews>
  <sheets>
    <sheet name="P&amp;L" sheetId="1" r:id="rId1"/>
    <sheet name="P&amp;L Crib" sheetId="2" state="hidden" r:id="rId2"/>
    <sheet name="BS" sheetId="6" r:id="rId3"/>
    <sheet name="BS Crib" sheetId="5" state="hidden" r:id="rId4"/>
    <sheet name="CF" sheetId="4" r:id="rId5"/>
  </sheets>
  <definedNames>
    <definedName name="_xlnm.Print_Area" localSheetId="3">'BS Crib'!$8:$204</definedName>
    <definedName name="_xlnm.Print_Area" localSheetId="0">'P&amp;L'!$A$1:$L$58</definedName>
    <definedName name="_xlnm.Print_Area" localSheetId="1">'P&amp;L Crib'!$9:$128</definedName>
    <definedName name="_xlnm.Print_Titles" localSheetId="3">'BS Crib'!$1:$7</definedName>
    <definedName name="_xlnm.Print_Titles" localSheetId="1">'P&amp;L Crib'!$1:$8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D18" i="6"/>
  <c r="E18" i="6"/>
  <c r="D19" i="6"/>
  <c r="E19" i="6"/>
  <c r="E28" i="6" s="1"/>
  <c r="E21" i="6"/>
  <c r="D27" i="6"/>
  <c r="D28" i="6"/>
  <c r="E36" i="6"/>
  <c r="E39" i="6"/>
  <c r="D40" i="6"/>
  <c r="E40" i="6"/>
  <c r="E51" i="6" s="1"/>
  <c r="D42" i="6"/>
  <c r="E42" i="6"/>
  <c r="D51" i="6"/>
  <c r="A4" i="5"/>
  <c r="J8" i="5"/>
  <c r="F11" i="5"/>
  <c r="D12" i="5"/>
  <c r="D21" i="5" s="1"/>
  <c r="D50" i="5" s="1"/>
  <c r="F12" i="5"/>
  <c r="G12" i="5"/>
  <c r="G14" i="5"/>
  <c r="G21" i="5" s="1"/>
  <c r="G50" i="5" s="1"/>
  <c r="G100" i="5" s="1"/>
  <c r="H14" i="5"/>
  <c r="H21" i="5" s="1"/>
  <c r="J14" i="5"/>
  <c r="G15" i="5"/>
  <c r="F21" i="5"/>
  <c r="J21" i="5"/>
  <c r="J50" i="5" s="1"/>
  <c r="F24" i="5"/>
  <c r="H24" i="5"/>
  <c r="H29" i="5" s="1"/>
  <c r="H25" i="5"/>
  <c r="D26" i="5"/>
  <c r="F26" i="5"/>
  <c r="F29" i="5" s="1"/>
  <c r="G26" i="5"/>
  <c r="H26" i="5"/>
  <c r="D29" i="5"/>
  <c r="G29" i="5"/>
  <c r="J29" i="5"/>
  <c r="H37" i="5"/>
  <c r="H48" i="5" s="1"/>
  <c r="D38" i="5"/>
  <c r="F38" i="5"/>
  <c r="G38" i="5"/>
  <c r="G48" i="5" s="1"/>
  <c r="H39" i="5"/>
  <c r="H43" i="5"/>
  <c r="H47" i="5"/>
  <c r="D48" i="5"/>
  <c r="F48" i="5"/>
  <c r="J48" i="5"/>
  <c r="H56" i="5"/>
  <c r="D58" i="5"/>
  <c r="F58" i="5"/>
  <c r="F59" i="5" s="1"/>
  <c r="G58" i="5"/>
  <c r="H58" i="5"/>
  <c r="H59" i="5" s="1"/>
  <c r="D59" i="5"/>
  <c r="G59" i="5"/>
  <c r="J59" i="5"/>
  <c r="G62" i="5"/>
  <c r="G64" i="5" s="1"/>
  <c r="H62" i="5"/>
  <c r="H64" i="5" s="1"/>
  <c r="J62" i="5"/>
  <c r="J63" i="5"/>
  <c r="D64" i="5"/>
  <c r="F64" i="5"/>
  <c r="J64" i="5"/>
  <c r="J69" i="5"/>
  <c r="D71" i="5"/>
  <c r="H71" i="5"/>
  <c r="G72" i="5"/>
  <c r="G79" i="5" s="1"/>
  <c r="D74" i="5"/>
  <c r="D79" i="5" s="1"/>
  <c r="G75" i="5"/>
  <c r="H77" i="5"/>
  <c r="J77" i="5"/>
  <c r="J79" i="5" s="1"/>
  <c r="F79" i="5"/>
  <c r="H79" i="5"/>
  <c r="G82" i="5"/>
  <c r="D86" i="5"/>
  <c r="F86" i="5"/>
  <c r="G86" i="5"/>
  <c r="H86" i="5"/>
  <c r="J86" i="5"/>
  <c r="D88" i="5"/>
  <c r="D98" i="5" s="1"/>
  <c r="F88" i="5"/>
  <c r="G88" i="5"/>
  <c r="J88" i="5"/>
  <c r="J91" i="5"/>
  <c r="J98" i="5" s="1"/>
  <c r="D92" i="5"/>
  <c r="F92" i="5"/>
  <c r="G92" i="5"/>
  <c r="G97" i="5"/>
  <c r="H97" i="5"/>
  <c r="H98" i="5" s="1"/>
  <c r="J97" i="5"/>
  <c r="F98" i="5"/>
  <c r="G98" i="5"/>
  <c r="A102" i="5"/>
  <c r="F105" i="5"/>
  <c r="G105" i="5"/>
  <c r="H105" i="5"/>
  <c r="J105" i="5"/>
  <c r="D106" i="5"/>
  <c r="F106" i="5"/>
  <c r="G106" i="5"/>
  <c r="G107" i="5" s="1"/>
  <c r="D107" i="5"/>
  <c r="F107" i="5"/>
  <c r="H107" i="5"/>
  <c r="J107" i="5"/>
  <c r="D116" i="5"/>
  <c r="F116" i="5"/>
  <c r="G116" i="5"/>
  <c r="H116" i="5"/>
  <c r="J116" i="5"/>
  <c r="D118" i="5"/>
  <c r="G118" i="5"/>
  <c r="H118" i="5"/>
  <c r="F120" i="5"/>
  <c r="G123" i="5"/>
  <c r="H123" i="5"/>
  <c r="H126" i="5" s="1"/>
  <c r="D125" i="5"/>
  <c r="D126" i="5" s="1"/>
  <c r="D150" i="5" s="1"/>
  <c r="G125" i="5"/>
  <c r="F126" i="5"/>
  <c r="F150" i="5" s="1"/>
  <c r="G126" i="5"/>
  <c r="J126" i="5"/>
  <c r="H133" i="5"/>
  <c r="H148" i="5" s="1"/>
  <c r="H139" i="5"/>
  <c r="D144" i="5"/>
  <c r="G144" i="5"/>
  <c r="F147" i="5"/>
  <c r="G147" i="5"/>
  <c r="G148" i="5" s="1"/>
  <c r="H147" i="5"/>
  <c r="J147" i="5"/>
  <c r="D148" i="5"/>
  <c r="F148" i="5"/>
  <c r="J148" i="5"/>
  <c r="J150" i="5"/>
  <c r="J199" i="5" s="1"/>
  <c r="J203" i="5" s="1"/>
  <c r="J166" i="5"/>
  <c r="H168" i="5"/>
  <c r="J168" i="5"/>
  <c r="D169" i="5"/>
  <c r="F169" i="5"/>
  <c r="G169" i="5"/>
  <c r="H169" i="5"/>
  <c r="J169" i="5"/>
  <c r="G172" i="5"/>
  <c r="G176" i="5" s="1"/>
  <c r="H172" i="5"/>
  <c r="D176" i="5"/>
  <c r="F176" i="5"/>
  <c r="H176" i="5"/>
  <c r="J176" i="5"/>
  <c r="J181" i="5"/>
  <c r="J197" i="5" s="1"/>
  <c r="G182" i="5"/>
  <c r="J182" i="5"/>
  <c r="D184" i="5"/>
  <c r="D197" i="5" s="1"/>
  <c r="F184" i="5"/>
  <c r="F197" i="5" s="1"/>
  <c r="G184" i="5"/>
  <c r="G185" i="5"/>
  <c r="D187" i="5"/>
  <c r="F187" i="5"/>
  <c r="G187" i="5"/>
  <c r="J187" i="5"/>
  <c r="G188" i="5"/>
  <c r="H188" i="5"/>
  <c r="H197" i="5" s="1"/>
  <c r="J188" i="5"/>
  <c r="F189" i="5"/>
  <c r="F191" i="5"/>
  <c r="H191" i="5"/>
  <c r="J191" i="5"/>
  <c r="G197" i="5"/>
  <c r="F201" i="5"/>
  <c r="G11" i="4"/>
  <c r="G12" i="4"/>
  <c r="G13" i="4"/>
  <c r="D14" i="4"/>
  <c r="E14" i="4"/>
  <c r="G14" i="4"/>
  <c r="H14" i="4"/>
  <c r="I14" i="4"/>
  <c r="G16" i="4"/>
  <c r="E17" i="4"/>
  <c r="G17" i="4" s="1"/>
  <c r="G18" i="4"/>
  <c r="G19" i="4"/>
  <c r="G20" i="4"/>
  <c r="G21" i="4"/>
  <c r="G22" i="4"/>
  <c r="G23" i="4"/>
  <c r="G24" i="4"/>
  <c r="G25" i="4"/>
  <c r="G26" i="4"/>
  <c r="G27" i="4"/>
  <c r="G29" i="4"/>
  <c r="G30" i="4"/>
  <c r="G31" i="4"/>
  <c r="G32" i="4"/>
  <c r="E33" i="4"/>
  <c r="G33" i="4" s="1"/>
  <c r="I33" i="4"/>
  <c r="D34" i="4"/>
  <c r="H34" i="4"/>
  <c r="I34" i="4"/>
  <c r="I60" i="4" s="1"/>
  <c r="I64" i="4" s="1"/>
  <c r="G37" i="4"/>
  <c r="D38" i="4"/>
  <c r="G38" i="4"/>
  <c r="G39" i="4"/>
  <c r="G40" i="4"/>
  <c r="G41" i="4"/>
  <c r="G42" i="4"/>
  <c r="G43" i="4"/>
  <c r="G44" i="4"/>
  <c r="G45" i="4"/>
  <c r="G46" i="4"/>
  <c r="G47" i="4"/>
  <c r="G48" i="4"/>
  <c r="D49" i="4"/>
  <c r="E49" i="4"/>
  <c r="G49" i="4"/>
  <c r="H49" i="4"/>
  <c r="H60" i="4" s="1"/>
  <c r="H64" i="4" s="1"/>
  <c r="I49" i="4"/>
  <c r="G52" i="4"/>
  <c r="G53" i="4"/>
  <c r="D54" i="4"/>
  <c r="D60" i="4" s="1"/>
  <c r="E54" i="4"/>
  <c r="G54" i="4"/>
  <c r="H54" i="4"/>
  <c r="I54" i="4"/>
  <c r="G56" i="4"/>
  <c r="G58" i="4"/>
  <c r="G68" i="4"/>
  <c r="G71" i="4"/>
  <c r="G73" i="4"/>
  <c r="H14" i="1"/>
  <c r="I14" i="1"/>
  <c r="H15" i="1"/>
  <c r="I15" i="1"/>
  <c r="H16" i="1"/>
  <c r="I16" i="1"/>
  <c r="I17" i="1"/>
  <c r="K17" i="1"/>
  <c r="K29" i="1" s="1"/>
  <c r="L17" i="1"/>
  <c r="O17" i="1"/>
  <c r="P17" i="1"/>
  <c r="H20" i="1"/>
  <c r="I20" i="1"/>
  <c r="H21" i="1"/>
  <c r="I21" i="1"/>
  <c r="H23" i="1"/>
  <c r="K23" i="1"/>
  <c r="L23" i="1"/>
  <c r="I23" i="1" s="1"/>
  <c r="O23" i="1"/>
  <c r="O27" i="1" s="1"/>
  <c r="O29" i="1" s="1"/>
  <c r="O37" i="1" s="1"/>
  <c r="O42" i="1" s="1"/>
  <c r="O47" i="1" s="1"/>
  <c r="H25" i="1"/>
  <c r="I25" i="1"/>
  <c r="H26" i="1"/>
  <c r="I26" i="1"/>
  <c r="K27" i="1"/>
  <c r="H27" i="1" s="1"/>
  <c r="L27" i="1"/>
  <c r="I27" i="1" s="1"/>
  <c r="P27" i="1"/>
  <c r="P29" i="1"/>
  <c r="P37" i="1" s="1"/>
  <c r="P42" i="1" s="1"/>
  <c r="P47" i="1" s="1"/>
  <c r="H32" i="1"/>
  <c r="I32" i="1"/>
  <c r="H33" i="1"/>
  <c r="I33" i="1"/>
  <c r="H34" i="1"/>
  <c r="I34" i="1"/>
  <c r="K35" i="1"/>
  <c r="L35" i="1"/>
  <c r="O35" i="1"/>
  <c r="H35" i="1" s="1"/>
  <c r="P35" i="1"/>
  <c r="I35" i="1" s="1"/>
  <c r="H39" i="1"/>
  <c r="I39" i="1"/>
  <c r="H44" i="1"/>
  <c r="I44" i="1"/>
  <c r="H45" i="1"/>
  <c r="I45" i="1"/>
  <c r="O51" i="1"/>
  <c r="L53" i="1"/>
  <c r="O53" i="1"/>
  <c r="P53" i="1"/>
  <c r="O54" i="1"/>
  <c r="M61" i="1"/>
  <c r="N61" i="1"/>
  <c r="N69" i="1" s="1"/>
  <c r="K51" i="1" s="1"/>
  <c r="K62" i="1"/>
  <c r="K70" i="1" s="1"/>
  <c r="H53" i="1" s="1"/>
  <c r="N62" i="1"/>
  <c r="K63" i="1"/>
  <c r="M64" i="1"/>
  <c r="M72" i="1" s="1"/>
  <c r="N67" i="1"/>
  <c r="M69" i="1"/>
  <c r="M70" i="1"/>
  <c r="N70" i="1"/>
  <c r="K53" i="1" s="1"/>
  <c r="K71" i="1"/>
  <c r="M71" i="1"/>
  <c r="N71" i="1"/>
  <c r="K52" i="1" s="1"/>
  <c r="N11" i="2"/>
  <c r="N13" i="2" s="1"/>
  <c r="Q11" i="2"/>
  <c r="Q13" i="2" s="1"/>
  <c r="S11" i="2"/>
  <c r="Q12" i="2"/>
  <c r="S12" i="2"/>
  <c r="S13" i="2" s="1"/>
  <c r="S23" i="2" s="1"/>
  <c r="D13" i="2"/>
  <c r="D23" i="2" s="1"/>
  <c r="F13" i="2"/>
  <c r="H13" i="2"/>
  <c r="J13" i="2"/>
  <c r="J23" i="2" s="1"/>
  <c r="L13" i="2"/>
  <c r="N15" i="2"/>
  <c r="Q15" i="2" s="1"/>
  <c r="Q17" i="2" s="1"/>
  <c r="S15" i="2"/>
  <c r="F16" i="2"/>
  <c r="F17" i="2" s="1"/>
  <c r="F23" i="2" s="1"/>
  <c r="H16" i="2"/>
  <c r="H17" i="2" s="1"/>
  <c r="H23" i="2" s="1"/>
  <c r="H83" i="2" s="1"/>
  <c r="H106" i="2" s="1"/>
  <c r="H112" i="2" s="1"/>
  <c r="H119" i="2" s="1"/>
  <c r="J16" i="2"/>
  <c r="L16" i="2"/>
  <c r="L17" i="2" s="1"/>
  <c r="Q16" i="2"/>
  <c r="S16" i="2"/>
  <c r="D17" i="2"/>
  <c r="J17" i="2"/>
  <c r="S17" i="2"/>
  <c r="N19" i="2"/>
  <c r="Q19" i="2"/>
  <c r="S19" i="2"/>
  <c r="Q20" i="2"/>
  <c r="S20" i="2"/>
  <c r="D21" i="2"/>
  <c r="F21" i="2"/>
  <c r="H21" i="2"/>
  <c r="J21" i="2"/>
  <c r="L21" i="2"/>
  <c r="N21" i="2"/>
  <c r="Q21" i="2"/>
  <c r="S21" i="2"/>
  <c r="N27" i="2"/>
  <c r="N29" i="2" s="1"/>
  <c r="N34" i="2" s="1"/>
  <c r="Q27" i="2"/>
  <c r="Q29" i="2" s="1"/>
  <c r="S27" i="2"/>
  <c r="S29" i="2" s="1"/>
  <c r="N28" i="2"/>
  <c r="Q28" i="2"/>
  <c r="S28" i="2"/>
  <c r="D29" i="2"/>
  <c r="D34" i="2" s="1"/>
  <c r="F29" i="2"/>
  <c r="H29" i="2"/>
  <c r="J29" i="2"/>
  <c r="J34" i="2" s="1"/>
  <c r="L29" i="2"/>
  <c r="L34" i="2" s="1"/>
  <c r="J31" i="2"/>
  <c r="N31" i="2"/>
  <c r="Q31" i="2"/>
  <c r="S31" i="2"/>
  <c r="F32" i="2"/>
  <c r="F34" i="2" s="1"/>
  <c r="H32" i="2"/>
  <c r="J32" i="2"/>
  <c r="L32" i="2"/>
  <c r="Q32" i="2" s="1"/>
  <c r="N32" i="2"/>
  <c r="N33" i="2"/>
  <c r="Q33" i="2" s="1"/>
  <c r="S33" i="2"/>
  <c r="H34" i="2"/>
  <c r="L37" i="2"/>
  <c r="Q37" i="2"/>
  <c r="S37" i="2"/>
  <c r="N38" i="2"/>
  <c r="Q38" i="2"/>
  <c r="S38" i="2"/>
  <c r="S42" i="2" s="1"/>
  <c r="H39" i="2"/>
  <c r="H42" i="2" s="1"/>
  <c r="L39" i="2"/>
  <c r="Q39" i="2"/>
  <c r="S39" i="2"/>
  <c r="N40" i="2"/>
  <c r="Q40" i="2" s="1"/>
  <c r="Q42" i="2" s="1"/>
  <c r="S40" i="2"/>
  <c r="Q41" i="2"/>
  <c r="S41" i="2"/>
  <c r="D42" i="2"/>
  <c r="F42" i="2"/>
  <c r="J42" i="2"/>
  <c r="L42" i="2"/>
  <c r="D45" i="2"/>
  <c r="F45" i="2"/>
  <c r="J45" i="2"/>
  <c r="L45" i="2"/>
  <c r="Q45" i="2" s="1"/>
  <c r="N45" i="2"/>
  <c r="S45" i="2"/>
  <c r="Q46" i="2"/>
  <c r="S46" i="2"/>
  <c r="Q47" i="2"/>
  <c r="S47" i="2"/>
  <c r="N48" i="2"/>
  <c r="Q48" i="2" s="1"/>
  <c r="S48" i="2"/>
  <c r="D49" i="2"/>
  <c r="D63" i="2" s="1"/>
  <c r="F49" i="2"/>
  <c r="F63" i="2" s="1"/>
  <c r="H49" i="2"/>
  <c r="J49" i="2"/>
  <c r="L49" i="2"/>
  <c r="Q49" i="2" s="1"/>
  <c r="N49" i="2"/>
  <c r="J50" i="2"/>
  <c r="J63" i="2" s="1"/>
  <c r="N50" i="2"/>
  <c r="Q50" i="2" s="1"/>
  <c r="S50" i="2"/>
  <c r="N51" i="2"/>
  <c r="Q51" i="2"/>
  <c r="S51" i="2"/>
  <c r="N52" i="2"/>
  <c r="Q52" i="2"/>
  <c r="S52" i="2"/>
  <c r="Q53" i="2"/>
  <c r="S53" i="2"/>
  <c r="Q54" i="2"/>
  <c r="S54" i="2"/>
  <c r="Q55" i="2"/>
  <c r="S55" i="2"/>
  <c r="N56" i="2"/>
  <c r="Q56" i="2" s="1"/>
  <c r="S56" i="2"/>
  <c r="F57" i="2"/>
  <c r="S57" i="2" s="1"/>
  <c r="N57" i="2"/>
  <c r="Q57" i="2"/>
  <c r="L58" i="2"/>
  <c r="Q58" i="2"/>
  <c r="S58" i="2"/>
  <c r="Q59" i="2"/>
  <c r="S59" i="2"/>
  <c r="Q60" i="2"/>
  <c r="S60" i="2"/>
  <c r="Q61" i="2"/>
  <c r="S61" i="2"/>
  <c r="D62" i="2"/>
  <c r="S62" i="2" s="1"/>
  <c r="Q62" i="2"/>
  <c r="H63" i="2"/>
  <c r="H70" i="2" s="1"/>
  <c r="N63" i="2"/>
  <c r="N70" i="2" s="1"/>
  <c r="N65" i="2"/>
  <c r="Q65" i="2"/>
  <c r="S65" i="2"/>
  <c r="F66" i="2"/>
  <c r="S66" i="2" s="1"/>
  <c r="H66" i="2"/>
  <c r="J66" i="2"/>
  <c r="J123" i="2" s="1"/>
  <c r="Q66" i="2"/>
  <c r="Q67" i="2"/>
  <c r="S67" i="2"/>
  <c r="Q68" i="2"/>
  <c r="S68" i="2"/>
  <c r="D69" i="2"/>
  <c r="S69" i="2" s="1"/>
  <c r="F69" i="2"/>
  <c r="F126" i="2" s="1"/>
  <c r="J69" i="2"/>
  <c r="Q69" i="2"/>
  <c r="L72" i="2"/>
  <c r="Q72" i="2"/>
  <c r="Q79" i="2" s="1"/>
  <c r="S72" i="2"/>
  <c r="Q73" i="2"/>
  <c r="S73" i="2"/>
  <c r="Q74" i="2"/>
  <c r="S74" i="2"/>
  <c r="Q75" i="2"/>
  <c r="S75" i="2"/>
  <c r="Q76" i="2"/>
  <c r="S76" i="2"/>
  <c r="F77" i="2"/>
  <c r="S77" i="2" s="1"/>
  <c r="J77" i="2"/>
  <c r="Q77" i="2"/>
  <c r="Q78" i="2"/>
  <c r="S78" i="2"/>
  <c r="D79" i="2"/>
  <c r="H79" i="2"/>
  <c r="J79" i="2"/>
  <c r="L79" i="2"/>
  <c r="N79" i="2"/>
  <c r="D81" i="2"/>
  <c r="L81" i="2"/>
  <c r="Q81" i="2"/>
  <c r="S81" i="2"/>
  <c r="H87" i="2"/>
  <c r="J87" i="2"/>
  <c r="Q87" i="2"/>
  <c r="S87" i="2"/>
  <c r="H91" i="2"/>
  <c r="J91" i="2"/>
  <c r="N91" i="2"/>
  <c r="Q91" i="2"/>
  <c r="S91" i="2"/>
  <c r="N95" i="2"/>
  <c r="Q95" i="2"/>
  <c r="S95" i="2"/>
  <c r="L96" i="2"/>
  <c r="Q96" i="2" s="1"/>
  <c r="Q103" i="2" s="1"/>
  <c r="N96" i="2"/>
  <c r="S96" i="2"/>
  <c r="S103" i="2" s="1"/>
  <c r="Q97" i="2"/>
  <c r="S97" i="2"/>
  <c r="Q98" i="2"/>
  <c r="S98" i="2"/>
  <c r="H99" i="2"/>
  <c r="H103" i="2" s="1"/>
  <c r="Q99" i="2"/>
  <c r="S99" i="2"/>
  <c r="Q100" i="2"/>
  <c r="Q101" i="2"/>
  <c r="S101" i="2"/>
  <c r="Q102" i="2"/>
  <c r="S102" i="2"/>
  <c r="D103" i="2"/>
  <c r="F103" i="2"/>
  <c r="J103" i="2"/>
  <c r="L103" i="2"/>
  <c r="N103" i="2"/>
  <c r="Q109" i="2"/>
  <c r="S109" i="2"/>
  <c r="Q114" i="2"/>
  <c r="S114" i="2"/>
  <c r="S116" i="2" s="1"/>
  <c r="Q115" i="2"/>
  <c r="S115" i="2"/>
  <c r="D116" i="2"/>
  <c r="F116" i="2"/>
  <c r="H116" i="2"/>
  <c r="J116" i="2"/>
  <c r="L116" i="2"/>
  <c r="N116" i="2"/>
  <c r="Q116" i="2"/>
  <c r="Q117" i="2"/>
  <c r="S117" i="2"/>
  <c r="H121" i="2"/>
  <c r="D122" i="2"/>
  <c r="S122" i="2" s="1"/>
  <c r="F122" i="2"/>
  <c r="H122" i="2"/>
  <c r="J122" i="2"/>
  <c r="L122" i="2"/>
  <c r="Q122" i="2" s="1"/>
  <c r="N122" i="2"/>
  <c r="D123" i="2"/>
  <c r="S123" i="2" s="1"/>
  <c r="F123" i="2"/>
  <c r="H123" i="2"/>
  <c r="L123" i="2"/>
  <c r="Q123" i="2" s="1"/>
  <c r="N123" i="2"/>
  <c r="D124" i="2"/>
  <c r="S124" i="2" s="1"/>
  <c r="F124" i="2"/>
  <c r="H124" i="2"/>
  <c r="J124" i="2"/>
  <c r="L124" i="2"/>
  <c r="Q124" i="2" s="1"/>
  <c r="N124" i="2"/>
  <c r="D125" i="2"/>
  <c r="S125" i="2" s="1"/>
  <c r="F125" i="2"/>
  <c r="H125" i="2"/>
  <c r="J125" i="2"/>
  <c r="L125" i="2"/>
  <c r="D126" i="2"/>
  <c r="H126" i="2"/>
  <c r="J126" i="2"/>
  <c r="L126" i="2"/>
  <c r="Q126" i="2" s="1"/>
  <c r="N126" i="2"/>
  <c r="H127" i="2"/>
  <c r="S79" i="2" l="1"/>
  <c r="L23" i="2"/>
  <c r="Q23" i="2"/>
  <c r="D64" i="4"/>
  <c r="H50" i="5"/>
  <c r="H100" i="5" s="1"/>
  <c r="K37" i="1"/>
  <c r="K42" i="1" s="1"/>
  <c r="H29" i="1"/>
  <c r="H37" i="1" s="1"/>
  <c r="D70" i="2"/>
  <c r="D121" i="2"/>
  <c r="F199" i="5"/>
  <c r="F203" i="5" s="1"/>
  <c r="F70" i="2"/>
  <c r="F83" i="2" s="1"/>
  <c r="F106" i="2" s="1"/>
  <c r="F112" i="2" s="1"/>
  <c r="F119" i="2" s="1"/>
  <c r="F121" i="2"/>
  <c r="F127" i="2" s="1"/>
  <c r="N121" i="2"/>
  <c r="Q63" i="2"/>
  <c r="Q70" i="2" s="1"/>
  <c r="J121" i="2"/>
  <c r="J127" i="2" s="1"/>
  <c r="J70" i="2"/>
  <c r="J83" i="2" s="1"/>
  <c r="J106" i="2" s="1"/>
  <c r="J112" i="2" s="1"/>
  <c r="J119" i="2" s="1"/>
  <c r="D83" i="2"/>
  <c r="D106" i="2" s="1"/>
  <c r="D112" i="2" s="1"/>
  <c r="D119" i="2" s="1"/>
  <c r="J204" i="5"/>
  <c r="D199" i="5"/>
  <c r="D203" i="5" s="1"/>
  <c r="D204" i="5" s="1"/>
  <c r="G150" i="5"/>
  <c r="G199" i="5" s="1"/>
  <c r="G203" i="5" s="1"/>
  <c r="G204" i="5" s="1"/>
  <c r="J100" i="5"/>
  <c r="D100" i="5"/>
  <c r="S126" i="2"/>
  <c r="H150" i="5"/>
  <c r="H199" i="5" s="1"/>
  <c r="H203" i="5" s="1"/>
  <c r="F50" i="5"/>
  <c r="F100" i="5" s="1"/>
  <c r="Q34" i="2"/>
  <c r="L63" i="2"/>
  <c r="S49" i="2"/>
  <c r="S63" i="2" s="1"/>
  <c r="S70" i="2" s="1"/>
  <c r="N42" i="2"/>
  <c r="S32" i="2"/>
  <c r="S34" i="2" s="1"/>
  <c r="N17" i="2"/>
  <c r="N23" i="2" s="1"/>
  <c r="N83" i="2" s="1"/>
  <c r="N106" i="2" s="1"/>
  <c r="N112" i="2" s="1"/>
  <c r="N119" i="2" s="1"/>
  <c r="H17" i="1"/>
  <c r="F79" i="2"/>
  <c r="N64" i="1"/>
  <c r="K61" i="1"/>
  <c r="K69" i="1" s="1"/>
  <c r="H51" i="1" s="1"/>
  <c r="E34" i="4"/>
  <c r="L29" i="1"/>
  <c r="N125" i="2"/>
  <c r="Q125" i="2" s="1"/>
  <c r="S83" i="2" l="1"/>
  <c r="S106" i="2" s="1"/>
  <c r="S112" i="2" s="1"/>
  <c r="S119" i="2" s="1"/>
  <c r="H42" i="1"/>
  <c r="K47" i="1"/>
  <c r="H47" i="1" s="1"/>
  <c r="H204" i="5"/>
  <c r="D127" i="2"/>
  <c r="S121" i="2"/>
  <c r="S127" i="2" s="1"/>
  <c r="N127" i="2"/>
  <c r="L121" i="2"/>
  <c r="L70" i="2"/>
  <c r="Q83" i="2"/>
  <c r="Q106" i="2" s="1"/>
  <c r="Q112" i="2" s="1"/>
  <c r="Q119" i="2" s="1"/>
  <c r="E60" i="4"/>
  <c r="G34" i="4"/>
  <c r="L83" i="2"/>
  <c r="L106" i="2" s="1"/>
  <c r="L112" i="2" s="1"/>
  <c r="L119" i="2" s="1"/>
  <c r="I29" i="1"/>
  <c r="I37" i="1" s="1"/>
  <c r="L37" i="1"/>
  <c r="L42" i="1" s="1"/>
  <c r="F204" i="5"/>
  <c r="N72" i="1"/>
  <c r="K54" i="1" s="1"/>
  <c r="K64" i="1"/>
  <c r="K72" i="1" s="1"/>
  <c r="H54" i="1" s="1"/>
  <c r="I42" i="1" l="1"/>
  <c r="L47" i="1"/>
  <c r="I47" i="1" s="1"/>
  <c r="L127" i="2"/>
  <c r="Q121" i="2"/>
  <c r="Q127" i="2" s="1"/>
  <c r="E64" i="4"/>
  <c r="G60" i="4"/>
  <c r="G64" i="4" s="1"/>
</calcChain>
</file>

<file path=xl/comments1.xml><?xml version="1.0" encoding="utf-8"?>
<comments xmlns="http://schemas.openxmlformats.org/spreadsheetml/2006/main">
  <authors>
    <author>Preferred Customer</author>
    <author>JAY LYNCH</author>
  </authors>
  <commentList>
    <comment ref="N39" authorId="0" shapeId="0">
      <text>
        <r>
          <rPr>
            <b/>
            <sz val="8"/>
            <color indexed="81"/>
            <rFont val="Tahoma"/>
          </rPr>
          <t>Collard.Kelly:Rounding problem with earnings from ops-cannot adjust EBITDA-have to adjust depreciation</t>
        </r>
        <r>
          <rPr>
            <sz val="8"/>
            <color indexed="81"/>
            <rFont val="Tahoma"/>
          </rPr>
          <t xml:space="preserve">
</t>
        </r>
      </text>
    </comment>
    <comment ref="J45" authorId="0" shapeId="0">
      <text>
        <r>
          <rPr>
            <b/>
            <sz val="8"/>
            <color indexed="81"/>
            <rFont val="Tahoma"/>
          </rPr>
          <t>Collard.Kelly: $5 million in capitalized professional reclassed against comp due to inconsistencies in coding capitalized professional vs capitalized comp</t>
        </r>
      </text>
    </comment>
    <comment ref="D5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$2 Rounding
Inventory Adjustment
</t>
        </r>
      </text>
    </comment>
    <comment ref="F5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$2 Rounding
Inventory Adjustment
</t>
        </r>
      </text>
    </comment>
    <comment ref="H74" authorId="0" shapeId="0">
      <text>
        <r>
          <rPr>
            <b/>
            <sz val="8"/>
            <color indexed="81"/>
            <rFont val="Tahoma"/>
          </rPr>
          <t>Collard.Kelly:
Reclassed from miscellanious income - severance/restructuirng fees $5 million</t>
        </r>
        <r>
          <rPr>
            <sz val="8"/>
            <color indexed="81"/>
            <rFont val="Tahoma"/>
          </rPr>
          <t xml:space="preserve">
</t>
        </r>
      </text>
    </comment>
    <comment ref="H78" authorId="0" shapeId="0">
      <text>
        <r>
          <rPr>
            <b/>
            <sz val="8"/>
            <color indexed="81"/>
            <rFont val="Tahoma"/>
          </rPr>
          <t xml:space="preserve">Collard.Kelly: UK 310-84640-Reduce Impair Leman </t>
        </r>
        <r>
          <rPr>
            <sz val="8"/>
            <color indexed="81"/>
            <rFont val="Tahoma"/>
          </rPr>
          <t xml:space="preserve">
</t>
        </r>
      </text>
    </comment>
    <comment ref="H91" authorId="0" shapeId="0">
      <text>
        <r>
          <rPr>
            <b/>
            <sz val="8"/>
            <color indexed="81"/>
            <rFont val="Tahoma"/>
          </rPr>
          <t>Collard.Kelly:Reduced by $2 million for overaccrued bank debt interest</t>
        </r>
        <r>
          <rPr>
            <sz val="8"/>
            <color indexed="81"/>
            <rFont val="Tahoma"/>
          </rPr>
          <t xml:space="preserve">
</t>
        </r>
      </text>
    </comment>
    <comment ref="H97" authorId="0" shapeId="0">
      <text>
        <r>
          <rPr>
            <b/>
            <sz val="8"/>
            <color indexed="81"/>
            <rFont val="Tahoma"/>
          </rPr>
          <t>Collard.Kelly: OnFiber B4E Credit Writeoff</t>
        </r>
        <r>
          <rPr>
            <sz val="8"/>
            <color indexed="81"/>
            <rFont val="Tahoma"/>
          </rPr>
          <t xml:space="preserve">
</t>
        </r>
      </text>
    </comment>
    <comment ref="D9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$1.3 Divine
$1.2 Reversal of Rental Expense to OpEx
$2 FX
$.5 Other
</t>
        </r>
      </text>
    </comment>
    <comment ref="F9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$1.3 Divine
$1.2 Reversal of Rental Expense to OpEx
$2 FX
$.5 Other
</t>
        </r>
      </text>
    </comment>
    <comment ref="H99" authorId="0" shapeId="0">
      <text>
        <r>
          <rPr>
            <sz val="8"/>
            <color indexed="81"/>
            <rFont val="Tahoma"/>
          </rPr>
          <t xml:space="preserve">Collard.Kelly:
$2 million a/r late fees collected F/C = $14
</t>
        </r>
      </text>
    </comment>
    <comment ref="J99" authorId="0" shapeId="0">
      <text>
        <r>
          <rPr>
            <b/>
            <sz val="8"/>
            <color indexed="81"/>
            <rFont val="Tahoma"/>
          </rPr>
          <t>Collard.Kelly:
Asia accrual release $2.6 million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Preferred Customer</author>
    <author>JAY LYNCH</author>
  </authors>
  <commentList>
    <comment ref="F11" authorId="0" shapeId="0">
      <text>
        <r>
          <rPr>
            <b/>
            <sz val="8"/>
            <color indexed="81"/>
            <rFont val="Tahoma"/>
          </rPr>
          <t>Collard.Kelly:
Reclassed to Non Current - does not agree to 10Q filed
due to reclass</t>
        </r>
        <r>
          <rPr>
            <sz val="8"/>
            <color indexed="81"/>
            <rFont val="Tahoma"/>
          </rPr>
          <t xml:space="preserve">
</t>
        </r>
      </text>
    </comment>
    <comment ref="F14" authorId="0" shapeId="0">
      <text>
        <r>
          <rPr>
            <b/>
            <sz val="8"/>
            <color indexed="81"/>
            <rFont val="Tahoma"/>
          </rPr>
          <t>Collard.Kelly: CorpSoft Reduced LOC - $.58 million transferred to Level 3 Finance - Unrestricted.  .8 million increased for cash follateral corpsoft</t>
        </r>
      </text>
    </comment>
    <comment ref="B47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Includes Prepaid Software
</t>
        </r>
      </text>
    </comment>
    <comment ref="D118" authorId="0" shapeId="0">
      <text>
        <r>
          <rPr>
            <b/>
            <sz val="8"/>
            <color indexed="81"/>
            <rFont val="Tahoma"/>
          </rPr>
          <t>Collard.KellY: Adjusted for $27million in CorpSoft accrued payroll included in a/p in June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<sst xmlns="http://schemas.openxmlformats.org/spreadsheetml/2006/main" count="470" uniqueCount="352">
  <si>
    <t>LEVEL 3 COMMUNICATIONS, INC.</t>
  </si>
  <si>
    <t>Consolidated Condensed Statements of Operations</t>
  </si>
  <si>
    <t>(Unaudited)</t>
  </si>
  <si>
    <t>Three Months Ended</t>
  </si>
  <si>
    <t>Six Months Ended</t>
  </si>
  <si>
    <t>June 30,</t>
  </si>
  <si>
    <t>March 31,</t>
  </si>
  <si>
    <t>(dollars in millions)</t>
  </si>
  <si>
    <t>Revenue:</t>
  </si>
  <si>
    <t>Communications</t>
  </si>
  <si>
    <t>Information Services</t>
  </si>
  <si>
    <t>Other</t>
  </si>
  <si>
    <t>Total Revenue</t>
  </si>
  <si>
    <t>Costs and Expenses:</t>
  </si>
  <si>
    <t>Cost of Revenue</t>
  </si>
  <si>
    <t>Depreciation and Amortization</t>
  </si>
  <si>
    <t xml:space="preserve">Selling, General and Administrative, including non-cash </t>
  </si>
  <si>
    <t xml:space="preserve">    compensation of $25, $53, $48 and $117, respectively</t>
  </si>
  <si>
    <t>Restructuring Charges, including noncash impairment</t>
  </si>
  <si>
    <t xml:space="preserve">    charges of $-, $44, $- and $44, respectively</t>
  </si>
  <si>
    <t>Restructuring &amp; Impairment Charges</t>
  </si>
  <si>
    <t>Total Costs and Expenses</t>
  </si>
  <si>
    <t>Income (Loss) from Operations</t>
  </si>
  <si>
    <t>Interest Income</t>
  </si>
  <si>
    <t>Interest Expense</t>
  </si>
  <si>
    <t>Income Tax Benefit</t>
  </si>
  <si>
    <t>Loss Before Change in Accounting Principle and Discontinued Operations</t>
  </si>
  <si>
    <t xml:space="preserve">    Discontinued Operations</t>
  </si>
  <si>
    <t>Cumulative Effect of Change in Accounting Principle</t>
  </si>
  <si>
    <t>Net Loss</t>
  </si>
  <si>
    <t>Basic Earning (Loss) per Share:</t>
  </si>
  <si>
    <t>Loss before Change in Accounting Principle and Discontinued Operations</t>
  </si>
  <si>
    <t>Weighted Average Shares Outstanding (in thousands)</t>
  </si>
  <si>
    <t>Basic</t>
  </si>
  <si>
    <t>QTD</t>
  </si>
  <si>
    <t>YTD</t>
  </si>
  <si>
    <t>Loss</t>
  </si>
  <si>
    <t>Disco</t>
  </si>
  <si>
    <t>X-Item</t>
  </si>
  <si>
    <t>Shares</t>
  </si>
  <si>
    <t>EPS</t>
  </si>
  <si>
    <t>Before X-Item</t>
  </si>
  <si>
    <t>Total</t>
  </si>
  <si>
    <t>LEVEL 3 COMMUNICATIONS, INC. AND SUBSIDIARIES</t>
  </si>
  <si>
    <t>Consolidated Condensed Balance Sheets</t>
  </si>
  <si>
    <t>(unaudited)</t>
  </si>
  <si>
    <t xml:space="preserve"> </t>
  </si>
  <si>
    <t>Assets</t>
  </si>
  <si>
    <t>Current Assets</t>
  </si>
  <si>
    <t>Cash and cash equivalents</t>
  </si>
  <si>
    <t>Restricted securities</t>
  </si>
  <si>
    <t>Total Current Assets</t>
  </si>
  <si>
    <t>Property, Plant and Equipment, net</t>
  </si>
  <si>
    <t>Restricted Securities</t>
  </si>
  <si>
    <t>Intangibles and Goodwill</t>
  </si>
  <si>
    <t>Other Assets, net</t>
  </si>
  <si>
    <t>Liabilities and Stockholders' Equity</t>
  </si>
  <si>
    <t>Current Liabilities:</t>
  </si>
  <si>
    <t>Accounts payable</t>
  </si>
  <si>
    <t>Current portion of long-term debt</t>
  </si>
  <si>
    <t>Accrued payroll and employee benefits</t>
  </si>
  <si>
    <t>Accrued interest</t>
  </si>
  <si>
    <t>Deferred revenue</t>
  </si>
  <si>
    <t>Total Current Liabilities</t>
  </si>
  <si>
    <t>Long-Term Debt, less current portion</t>
  </si>
  <si>
    <t>Deferred Revenue</t>
  </si>
  <si>
    <t>Accrued Reclamation Costs</t>
  </si>
  <si>
    <t>Other Liabilities</t>
  </si>
  <si>
    <t>Stockholders' Equity (Deficit)</t>
  </si>
  <si>
    <t>Consolidated Statements of Cash Flows</t>
  </si>
  <si>
    <t>June 30, 2003</t>
  </si>
  <si>
    <t>June 30, 2002</t>
  </si>
  <si>
    <t>March 31, 2002</t>
  </si>
  <si>
    <t>Cash Flows from Operating Activities:</t>
  </si>
  <si>
    <t>Cumulative effect of change in accounting principle</t>
  </si>
  <si>
    <t xml:space="preserve">     Equity earnings, net</t>
  </si>
  <si>
    <t xml:space="preserve">     Depreciation and amortization</t>
  </si>
  <si>
    <t>Induced conversion expense on convertible debt</t>
  </si>
  <si>
    <t xml:space="preserve">     Gain on debt extinguishments, net</t>
  </si>
  <si>
    <t xml:space="preserve">     Dark fiber and submarine cable non-cash cost of revenue</t>
  </si>
  <si>
    <t>Loss on impairments</t>
  </si>
  <si>
    <t>(Gain) loss on sale of property, plant and equipment, toll-road operations and other assets</t>
  </si>
  <si>
    <t xml:space="preserve">     Non-cash expense attributable to stock awards</t>
  </si>
  <si>
    <t xml:space="preserve">     Deferred revenue</t>
  </si>
  <si>
    <t xml:space="preserve">     Amortization of debt issuance costs</t>
  </si>
  <si>
    <t xml:space="preserve">     Accreted interest on long-term discount debt</t>
  </si>
  <si>
    <t xml:space="preserve">     Accrued interest on long-term debt</t>
  </si>
  <si>
    <t xml:space="preserve">     Changes in working capital items net of amounts acquired: </t>
  </si>
  <si>
    <t xml:space="preserve">          Receivables</t>
  </si>
  <si>
    <t xml:space="preserve">          Other current assets</t>
  </si>
  <si>
    <t xml:space="preserve">          Payables</t>
  </si>
  <si>
    <t xml:space="preserve">          Other liabilities</t>
  </si>
  <si>
    <t xml:space="preserve">     Other</t>
  </si>
  <si>
    <t>Net Cash Provided by (Used in) Continuing Operations</t>
  </si>
  <si>
    <t>Cash flows from Investing Activities:</t>
  </si>
  <si>
    <t>Proceeds from sales and maturities of marketable securities</t>
  </si>
  <si>
    <t>Decrease (increase) in restricted cash and securities, net</t>
  </si>
  <si>
    <t>Capital expenditures</t>
  </si>
  <si>
    <t>Release of capital expenditure accruals</t>
  </si>
  <si>
    <t>Genuity acquisition</t>
  </si>
  <si>
    <t>Investments and acquisitions</t>
  </si>
  <si>
    <t>McLeod business acquisition</t>
  </si>
  <si>
    <t>CorpSoft acquisition, net of cash acquired of $34</t>
  </si>
  <si>
    <t>Software Spectrum acquisition, net of cash acquired of $40</t>
  </si>
  <si>
    <t>Proceeds from sale of Commonwealth Telephone shares</t>
  </si>
  <si>
    <t>Proceeds from sale of toll-road operations</t>
  </si>
  <si>
    <t>Proceeds from sale of property, plant and equipment, and other assets</t>
  </si>
  <si>
    <t>Cash Flows from Financing Activities:</t>
  </si>
  <si>
    <t>Stock options exercised</t>
  </si>
  <si>
    <t>Purchases of and payments on long-term debt, including current portion</t>
  </si>
  <si>
    <t>Net Cash Used in Financing Activities</t>
  </si>
  <si>
    <t>Effect of Exchange Rates on Cash</t>
  </si>
  <si>
    <t>Net Change in Cash and Cash Equivalents</t>
  </si>
  <si>
    <t>Cash and Cash Equivalents at Beginning of Year</t>
  </si>
  <si>
    <t>Cash and Cash Equivalents at End of Period</t>
  </si>
  <si>
    <t>Supplemental Disclosure of Cash Flow Information:</t>
  </si>
  <si>
    <t>Cash interest paid</t>
  </si>
  <si>
    <t>Noncash Investing and Financing Activities:</t>
  </si>
  <si>
    <t>Common stock issued in exchange for long term debt</t>
  </si>
  <si>
    <t>Interest on debt paid with common stock</t>
  </si>
  <si>
    <t>Long-term debt principal retired by issuing common stock</t>
  </si>
  <si>
    <t>Long-term debt extinguished due to sale of toll-road operations</t>
  </si>
  <si>
    <t>Level 3 Communications, Inc.</t>
  </si>
  <si>
    <t>Balance Sheet - Detail</t>
  </si>
  <si>
    <t>(in millions)</t>
  </si>
  <si>
    <t>Q2 2003 vs Q1 2003 Variances</t>
  </si>
  <si>
    <t>Cash and Cash Equivalents</t>
  </si>
  <si>
    <t>Senior Secured Credit Facility-Cash Collateral</t>
  </si>
  <si>
    <t>Coal</t>
  </si>
  <si>
    <t>CPTC</t>
  </si>
  <si>
    <t>Software Spectrum</t>
  </si>
  <si>
    <t>Letters of Credit</t>
  </si>
  <si>
    <t>HQ Realty</t>
  </si>
  <si>
    <t>US Bank</t>
  </si>
  <si>
    <t>Front Range</t>
  </si>
  <si>
    <t>Kiewit</t>
  </si>
  <si>
    <t>Settled with Kiewit</t>
  </si>
  <si>
    <t>85 Tenth Collateral Letter of Credit</t>
  </si>
  <si>
    <t>Accounts Receivable:</t>
  </si>
  <si>
    <t>Telecom</t>
  </si>
  <si>
    <t>(I)Structure</t>
  </si>
  <si>
    <t>Other Current Assets:</t>
  </si>
  <si>
    <t>Debt Issuance Costs</t>
  </si>
  <si>
    <t>Debt conversions</t>
  </si>
  <si>
    <t>(i)Structure Deferred Costs</t>
  </si>
  <si>
    <t>Computer Associates License Fees and Maintenance Fees</t>
  </si>
  <si>
    <t>Net current assets of discontinued operations</t>
  </si>
  <si>
    <t>Inventories</t>
  </si>
  <si>
    <t>Coal Prepaids</t>
  </si>
  <si>
    <t>Genuity acquisition prepaid costs</t>
  </si>
  <si>
    <t xml:space="preserve">Insurance Prepaid </t>
  </si>
  <si>
    <t>D&amp;O &amp; Property premiums</t>
  </si>
  <si>
    <t>Deposits</t>
  </si>
  <si>
    <t>ROW - Prepaid</t>
  </si>
  <si>
    <t>Prepaid Software</t>
  </si>
  <si>
    <t>Prepaid Rent</t>
  </si>
  <si>
    <t>Prepaid Network Expense</t>
  </si>
  <si>
    <t>Prepaid Advertising</t>
  </si>
  <si>
    <t>Prepaid-expensed when advertising run</t>
  </si>
  <si>
    <t xml:space="preserve">Prepaids and Other </t>
  </si>
  <si>
    <t>Property, Plant and Equipment (Net):</t>
  </si>
  <si>
    <t>Mining</t>
  </si>
  <si>
    <t>Restricted Securities:</t>
  </si>
  <si>
    <t>KCP +$2.5</t>
  </si>
  <si>
    <t>BTE - Needham MC Sale/Asset Sales</t>
  </si>
  <si>
    <t>$2 million increase due to assets pledged under bank debt sold - need to hold proceeds as restricted cash</t>
  </si>
  <si>
    <t>Goodwill and Intangibles :</t>
  </si>
  <si>
    <t>XCOM</t>
  </si>
  <si>
    <t>McLeod</t>
  </si>
  <si>
    <t>Goodwill</t>
  </si>
  <si>
    <t>Intangibles</t>
  </si>
  <si>
    <t>$5 million amort</t>
  </si>
  <si>
    <t>CorpSoft</t>
  </si>
  <si>
    <t>Genuity</t>
  </si>
  <si>
    <t>Intangible Amort $10</t>
  </si>
  <si>
    <t>Level 3 Holding (CPTC)</t>
  </si>
  <si>
    <t>Other Assets</t>
  </si>
  <si>
    <t>Investments:</t>
  </si>
  <si>
    <t>Vantagepoint/IVP Broadband</t>
  </si>
  <si>
    <t>RCN (McCourt) (Goodwill)</t>
  </si>
  <si>
    <t xml:space="preserve">Commonwealth Telephone </t>
  </si>
  <si>
    <t>Commonwealth Telephone Goodwill</t>
  </si>
  <si>
    <t>Capacity Purchase</t>
  </si>
  <si>
    <t>Notes Receivable - Employees</t>
  </si>
  <si>
    <t>Payments received from employees</t>
  </si>
  <si>
    <t xml:space="preserve">Europe (MTI) </t>
  </si>
  <si>
    <t>Cost amortization and conversions</t>
  </si>
  <si>
    <t>CPTC Deferred Costs</t>
  </si>
  <si>
    <t>KCP</t>
  </si>
  <si>
    <t>CHI</t>
  </si>
  <si>
    <t>$3.5 million of reserve reclassified against mineral property</t>
  </si>
  <si>
    <t>Assets Held for Sale</t>
  </si>
  <si>
    <t xml:space="preserve">Total Assets </t>
  </si>
  <si>
    <t>Accounts Payable:</t>
  </si>
  <si>
    <t>Current Portion of Long-term Debt:</t>
  </si>
  <si>
    <t>Nortel</t>
  </si>
  <si>
    <t>IBM - (I)Structure</t>
  </si>
  <si>
    <t>Genuity - Capital Leases</t>
  </si>
  <si>
    <t>GMAC/HQ Realty</t>
  </si>
  <si>
    <t>85 Tenth</t>
  </si>
  <si>
    <t>Accrued Payrolls and Employee Benefits</t>
  </si>
  <si>
    <t>Genuity bonus, severance, payroll</t>
  </si>
  <si>
    <t xml:space="preserve">Accrued Interest </t>
  </si>
  <si>
    <t>Other Current Liabilities</t>
  </si>
  <si>
    <t>Sales/Use Tax</t>
  </si>
  <si>
    <t>Property Taxes Payable</t>
  </si>
  <si>
    <t>Kiewit Intercity Contract</t>
  </si>
  <si>
    <t>Settled liability with Kiewit</t>
  </si>
  <si>
    <t>Accrued Reclamation and Other Mining Costs</t>
  </si>
  <si>
    <t>Medical Spending and USF Accts</t>
  </si>
  <si>
    <t>Rent Accrual</t>
  </si>
  <si>
    <t>McLeod Termination Liability</t>
  </si>
  <si>
    <t>Lease Termination Liability</t>
  </si>
  <si>
    <t>Recip.Compensation</t>
  </si>
  <si>
    <t>Franchise Fees Payable - ROW Accrual</t>
  </si>
  <si>
    <t>Reclassed to NonCurrent</t>
  </si>
  <si>
    <t>Software Spectrum - Payable to ECE</t>
  </si>
  <si>
    <t>Other current liabilities of discontinued operations</t>
  </si>
  <si>
    <t>Total Current Liablities</t>
  </si>
  <si>
    <t>Long-term Debt, less current portion:</t>
  </si>
  <si>
    <t>Senior Notes 9.125% due 2008</t>
  </si>
  <si>
    <t>$100 million exchanged for common stock</t>
  </si>
  <si>
    <t>Senior Notes 11% due 2008</t>
  </si>
  <si>
    <t>Senior Discount Notes 10.5% due 2008</t>
  </si>
  <si>
    <t>Discount accretion of $15</t>
  </si>
  <si>
    <t>Senior Euro dollar Notes due 2008</t>
  </si>
  <si>
    <t>Euro from 1.06855 to 1.14275</t>
  </si>
  <si>
    <t>Senior Discount Notes 12.875% due 2010</t>
  </si>
  <si>
    <t>Discount accretion of $12</t>
  </si>
  <si>
    <t>Senior Euro dollar Notes due 2010</t>
  </si>
  <si>
    <t>Bank Debt</t>
  </si>
  <si>
    <t>Senior Notes - 11.25% due 2010</t>
  </si>
  <si>
    <t>Convertible Subordinated Notes due 2010</t>
  </si>
  <si>
    <t>Convertible Subordinated Notes due 2009</t>
  </si>
  <si>
    <t>9% Junior Convertible Subordinated Notes due 2012</t>
  </si>
  <si>
    <t>Debt Converted to stock</t>
  </si>
  <si>
    <t>85 10th</t>
  </si>
  <si>
    <t>Genuity - Capital Leases Payable</t>
  </si>
  <si>
    <t>$12 million principal payment</t>
  </si>
  <si>
    <t>Nortel Capital Lease, IBM Capital Lease and CHI Calhoun Industrial Bonds</t>
  </si>
  <si>
    <t>$1 million increase - IBM lease (I)Structure</t>
  </si>
  <si>
    <t>Deferred Revenue:</t>
  </si>
  <si>
    <t>PKSIS</t>
  </si>
  <si>
    <t>Accrued Reclamation:</t>
  </si>
  <si>
    <t>Other Noncurrent Liabilities:</t>
  </si>
  <si>
    <t>CHI Reserves (excluding legal)</t>
  </si>
  <si>
    <t>$3.5 reclassed to mineral property, $6 from current</t>
  </si>
  <si>
    <t>Noncurrent Accruals</t>
  </si>
  <si>
    <t>Mining Reserves</t>
  </si>
  <si>
    <t>Legal Reserves (including CHI)</t>
  </si>
  <si>
    <t>Deferred Income Taxes</t>
  </si>
  <si>
    <t>Retirement Benefits:</t>
  </si>
  <si>
    <t>CHI/ KCP Pension Liability</t>
  </si>
  <si>
    <t>Deferred Investment Gain (Airplane)</t>
  </si>
  <si>
    <t>Deferred Investment Gain (UK-Braham Street Assets)</t>
  </si>
  <si>
    <t>NTL Keyspan Deferred Revenue</t>
  </si>
  <si>
    <t>Euro rate increase .0742 x Euro balance of $31</t>
  </si>
  <si>
    <t>Asset Retirement Obligation</t>
  </si>
  <si>
    <t>$1.5 million accretion</t>
  </si>
  <si>
    <t>Genuity (O&amp;M &amp; Egress)</t>
  </si>
  <si>
    <t>Advance Deposits</t>
  </si>
  <si>
    <t>$4 million deposit received from customers(360 &amp; On Fiber)</t>
  </si>
  <si>
    <t>Minority Interest</t>
  </si>
  <si>
    <t xml:space="preserve">Total Liabilities      </t>
  </si>
  <si>
    <t>Stockholders' Deficit</t>
  </si>
  <si>
    <t>Total Liabilities and Equity</t>
  </si>
  <si>
    <t>Statement of Operations - Detail</t>
  </si>
  <si>
    <t>Quarter over Quarter Comments</t>
  </si>
  <si>
    <t>Revenue</t>
  </si>
  <si>
    <t>Communications:</t>
  </si>
  <si>
    <t xml:space="preserve">  Domestic</t>
  </si>
  <si>
    <t xml:space="preserve">  International</t>
  </si>
  <si>
    <t>CPTC/CHI</t>
  </si>
  <si>
    <t>General and Administrative</t>
  </si>
  <si>
    <t>Salaries and Bonuses, net</t>
  </si>
  <si>
    <t>Increase in salaries &amp; bonus offset by capitalized comp increase</t>
  </si>
  <si>
    <t>Taxes and Licenses</t>
  </si>
  <si>
    <t>RealEstate/Property Tax-accruals released $(7);payroll tax -$(1);franchise tax $(.5)</t>
  </si>
  <si>
    <t>Travel</t>
  </si>
  <si>
    <t>AOC Relo $1.5</t>
  </si>
  <si>
    <t>Insurance</t>
  </si>
  <si>
    <t>Professional Services, net</t>
  </si>
  <si>
    <t>Contract labor (field Ops,Concept to Billing&amp;Network deployment)+$1.5: $2 Red River Patent Litigation</t>
  </si>
  <si>
    <t>Rent &amp; Utilities</t>
  </si>
  <si>
    <t>Colo rent +$2(backbill from SBC); Network Facilities Utilities +$4(utility expenses for Genuity): Network space rent +$1</t>
  </si>
  <si>
    <t>Telephone</t>
  </si>
  <si>
    <t xml:space="preserve">Contract Maintenance </t>
  </si>
  <si>
    <t>Equip&amp;SW-IP Dept 187-$2 accrued in Q1 for Genuity Cisco Lease-reclassed to PPL in Q2 - swing of $(4)</t>
  </si>
  <si>
    <t>Employee Training and Recruiting</t>
  </si>
  <si>
    <t>Employee Expense/Dues</t>
  </si>
  <si>
    <t>Office Supplies and Equipment</t>
  </si>
  <si>
    <t>Data Processing</t>
  </si>
  <si>
    <t>Advertising/Promotion</t>
  </si>
  <si>
    <t>Bad Debt Expense</t>
  </si>
  <si>
    <t>Impairments/Catellus</t>
  </si>
  <si>
    <t>Gain/loss from sale of operating assets</t>
  </si>
  <si>
    <t>Accretion of Retirement Obligations</t>
  </si>
  <si>
    <t>(YTD Other = $1admin serv for corp fac mngt dept; $1 admin serv for aviation dept;$1 admin serv for global infra serv deprt; $1.7 other vehicle related exp;$3.9 Bldgs&amp;Grnd Maint )</t>
  </si>
  <si>
    <t>Total Communications G&amp;A</t>
  </si>
  <si>
    <t>(I)Structure G &amp; A</t>
  </si>
  <si>
    <t>Software Spectrum G &amp;A</t>
  </si>
  <si>
    <t>Employee Comp$(3)</t>
  </si>
  <si>
    <t>CPTC G &amp; A</t>
  </si>
  <si>
    <t>Holdings</t>
  </si>
  <si>
    <t>Legal and Consulting</t>
  </si>
  <si>
    <t>Total G&amp;A</t>
  </si>
  <si>
    <t>Restructuring &amp; Impairment Charge</t>
  </si>
  <si>
    <t>Communications - Compensation &amp; Taxes</t>
  </si>
  <si>
    <t>(I)Structure -Restructuring</t>
  </si>
  <si>
    <t>Software Spectrum/Corpsoft Compensation</t>
  </si>
  <si>
    <t>Communications- Sale of operating assets</t>
  </si>
  <si>
    <t>(I)Structure - Impairments</t>
  </si>
  <si>
    <t>Communications - Impairments</t>
  </si>
  <si>
    <t>Communications - Lease Terminations</t>
  </si>
  <si>
    <t>Stock-Based Compensation</t>
  </si>
  <si>
    <t>Gross Interest Expense</t>
  </si>
  <si>
    <t>$3 Genuity Cap Lease;$(2) 9% Convertible Notes:Discount Note Accretion $1;Euro Notes $1</t>
  </si>
  <si>
    <t>Other Income</t>
  </si>
  <si>
    <t>Equity Earnings from Commonwealth Telephone</t>
  </si>
  <si>
    <t>Gain (Loss) - assets, net of minority interest</t>
  </si>
  <si>
    <t>Writedown of B4E Investments</t>
  </si>
  <si>
    <t>Write-off Keyspan/NTL Deferred Revenue</t>
  </si>
  <si>
    <t>Other/Foreign Currency</t>
  </si>
  <si>
    <t>$2 FEX SS; $1 Hosting;LLC Real Estate Rental Income $1</t>
  </si>
  <si>
    <t>CHI Post Retirement Obligation Adjustment</t>
  </si>
  <si>
    <t>Induced Conversion Expense</t>
  </si>
  <si>
    <t>Gain on Extinguishments of Debt</t>
  </si>
  <si>
    <t>Earnings (Loss) before Income Taxes</t>
  </si>
  <si>
    <t>Net Income (Loss) from Continuing Operations</t>
  </si>
  <si>
    <t>Discontinued Operations:</t>
  </si>
  <si>
    <t>Earnings from Discontinued Operations</t>
  </si>
  <si>
    <t>Disposition of Discontinued Operations</t>
  </si>
  <si>
    <t>Cumulative Effect of Accounting Adjustment</t>
  </si>
  <si>
    <t>Net Income (Loss)</t>
  </si>
  <si>
    <t>Communications EBITDA</t>
  </si>
  <si>
    <t>(I)Structure EBITDA</t>
  </si>
  <si>
    <t>Software Spectrum EBITDA</t>
  </si>
  <si>
    <t>CPTC EBITDA</t>
  </si>
  <si>
    <t>Holdings EBITDA</t>
  </si>
  <si>
    <t>Consolidated EBITDA</t>
  </si>
  <si>
    <t>Loss from Operations Before Income Taxes</t>
  </si>
  <si>
    <t>$7 inventory</t>
  </si>
  <si>
    <t>Draft 7/21/03   8 am</t>
  </si>
  <si>
    <t>Net Cash Provided by Discontinued Operations</t>
  </si>
  <si>
    <t>Net Cash Used in Investing Activities</t>
  </si>
  <si>
    <t>Other Income (Expense)</t>
  </si>
  <si>
    <t>Other Income (Expense), net</t>
  </si>
  <si>
    <t>Accounts receivable, less allowances of $34 and $31, respectively</t>
  </si>
  <si>
    <t>Loss from discontinued operations</t>
  </si>
  <si>
    <t>Loss from continuing operations</t>
  </si>
  <si>
    <t>Adjustments to reconcile loss from continuing operations to net cash provided by (used in) continuing operations:</t>
  </si>
  <si>
    <t>Loss from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</si>
</sst>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General_)"/>
    <numFmt numFmtId="169" formatCode="dd\-mmm\-yy"/>
    <numFmt numFmtId="170" formatCode="_(* #,##0.0_);_(* \(#,##0.0\);_(* &quot;-&quot;??_);_(@_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Helv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8"/>
      <name val="Helv"/>
    </font>
    <font>
      <b/>
      <sz val="10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Arial"/>
      <family val="2"/>
    </font>
    <font>
      <sz val="10"/>
      <name val="Arial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name val="Arial"/>
    </font>
    <font>
      <sz val="12"/>
      <color indexed="8"/>
      <name val="Arial"/>
    </font>
    <font>
      <sz val="12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6" fillId="0" borderId="0"/>
    <xf numFmtId="0" fontId="1" fillId="0" borderId="0"/>
    <xf numFmtId="168" fontId="9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8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2" applyNumberFormat="1" applyFont="1" applyFill="1"/>
    <xf numFmtId="165" fontId="0" fillId="0" borderId="0" xfId="1" applyNumberFormat="1" applyFont="1" applyFill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0" xfId="0" applyNumberFormat="1"/>
    <xf numFmtId="165" fontId="0" fillId="0" borderId="1" xfId="1" applyNumberFormat="1" applyFont="1" applyBorder="1"/>
    <xf numFmtId="43" fontId="0" fillId="0" borderId="0" xfId="1" applyFont="1"/>
    <xf numFmtId="164" fontId="0" fillId="0" borderId="0" xfId="2" applyNumberFormat="1" applyFont="1" applyBorder="1"/>
    <xf numFmtId="164" fontId="0" fillId="0" borderId="3" xfId="2" applyNumberFormat="1" applyFont="1" applyBorder="1"/>
    <xf numFmtId="44" fontId="0" fillId="0" borderId="0" xfId="2" applyFont="1" applyBorder="1"/>
    <xf numFmtId="43" fontId="0" fillId="0" borderId="0" xfId="1" applyFont="1" applyBorder="1"/>
    <xf numFmtId="43" fontId="0" fillId="0" borderId="0" xfId="1" applyNumberFormat="1" applyFont="1" applyBorder="1"/>
    <xf numFmtId="43" fontId="0" fillId="0" borderId="1" xfId="1" applyFont="1" applyBorder="1"/>
    <xf numFmtId="44" fontId="0" fillId="0" borderId="4" xfId="2" applyNumberFormat="1" applyFont="1" applyBorder="1"/>
    <xf numFmtId="165" fontId="0" fillId="0" borderId="3" xfId="1" applyNumberFormat="1" applyFont="1" applyBorder="1"/>
    <xf numFmtId="43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14" fontId="2" fillId="0" borderId="0" xfId="0" applyNumberFormat="1" applyFont="1" applyAlignment="1">
      <alignment horizontal="right"/>
    </xf>
    <xf numFmtId="18" fontId="2" fillId="0" borderId="0" xfId="0" applyNumberFormat="1" applyFont="1"/>
    <xf numFmtId="164" fontId="0" fillId="0" borderId="0" xfId="2" applyNumberFormat="1" applyFont="1"/>
    <xf numFmtId="0" fontId="4" fillId="0" borderId="0" xfId="0" applyFont="1" applyFill="1"/>
    <xf numFmtId="164" fontId="0" fillId="0" borderId="4" xfId="2" applyNumberFormat="1" applyFont="1" applyBorder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0" borderId="0" xfId="0" applyAlignment="1"/>
    <xf numFmtId="0" fontId="6" fillId="0" borderId="0" xfId="0" quotePrefix="1" applyFont="1" applyFill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1" fontId="6" fillId="0" borderId="1" xfId="0" quotePrefix="1" applyNumberFormat="1" applyFont="1" applyFill="1" applyBorder="1" applyAlignment="1">
      <alignment horizontal="center"/>
    </xf>
    <xf numFmtId="0" fontId="0" fillId="0" borderId="0" xfId="0" quotePrefix="1" applyFill="1"/>
    <xf numFmtId="1" fontId="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7" fontId="6" fillId="0" borderId="0" xfId="0" applyNumberFormat="1" applyFont="1" applyFill="1"/>
    <xf numFmtId="164" fontId="6" fillId="0" borderId="0" xfId="2" applyNumberFormat="1" applyFont="1" applyFill="1"/>
    <xf numFmtId="41" fontId="6" fillId="0" borderId="0" xfId="2" applyNumberFormat="1" applyFont="1" applyFill="1" applyBorder="1"/>
    <xf numFmtId="41" fontId="6" fillId="0" borderId="1" xfId="2" applyNumberFormat="1" applyFont="1" applyFill="1" applyBorder="1"/>
    <xf numFmtId="41" fontId="6" fillId="0" borderId="0" xfId="2" applyNumberFormat="1" applyFont="1" applyFill="1"/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41" fontId="6" fillId="0" borderId="0" xfId="0" applyNumberFormat="1" applyFont="1" applyFill="1"/>
    <xf numFmtId="165" fontId="6" fillId="0" borderId="0" xfId="5" applyNumberFormat="1" applyFont="1" applyFill="1"/>
    <xf numFmtId="0" fontId="6" fillId="0" borderId="0" xfId="0" applyFont="1" applyFill="1" applyAlignment="1">
      <alignment wrapText="1"/>
    </xf>
    <xf numFmtId="37" fontId="10" fillId="0" borderId="0" xfId="0" applyNumberFormat="1" applyFont="1" applyFill="1"/>
    <xf numFmtId="41" fontId="10" fillId="0" borderId="0" xfId="0" applyNumberFormat="1" applyFont="1" applyFill="1"/>
    <xf numFmtId="0" fontId="6" fillId="0" borderId="0" xfId="0" quotePrefix="1" applyFont="1" applyFill="1" applyAlignment="1">
      <alignment horizontal="left"/>
    </xf>
    <xf numFmtId="37" fontId="11" fillId="0" borderId="0" xfId="0" applyNumberFormat="1" applyFont="1" applyFill="1" applyBorder="1"/>
    <xf numFmtId="41" fontId="6" fillId="0" borderId="0" xfId="0" applyNumberFormat="1" applyFont="1" applyFill="1" applyBorder="1"/>
    <xf numFmtId="165" fontId="6" fillId="0" borderId="0" xfId="5" applyNumberFormat="1" applyFont="1" applyFill="1" applyBorder="1"/>
    <xf numFmtId="37" fontId="6" fillId="0" borderId="0" xfId="0" applyNumberFormat="1" applyFont="1" applyFill="1" applyBorder="1"/>
    <xf numFmtId="41" fontId="6" fillId="0" borderId="1" xfId="0" applyNumberFormat="1" applyFont="1" applyFill="1" applyBorder="1"/>
    <xf numFmtId="37" fontId="6" fillId="0" borderId="1" xfId="0" applyNumberFormat="1" applyFont="1" applyFill="1" applyBorder="1"/>
    <xf numFmtId="165" fontId="6" fillId="0" borderId="0" xfId="0" applyNumberFormat="1" applyFont="1" applyFill="1"/>
    <xf numFmtId="37" fontId="10" fillId="0" borderId="0" xfId="0" applyNumberFormat="1" applyFont="1" applyFill="1" applyBorder="1"/>
    <xf numFmtId="37" fontId="10" fillId="0" borderId="1" xfId="0" applyNumberFormat="1" applyFont="1" applyFill="1" applyBorder="1"/>
    <xf numFmtId="168" fontId="0" fillId="0" borderId="0" xfId="0" applyNumberFormat="1" applyFont="1" applyFill="1"/>
    <xf numFmtId="0" fontId="0" fillId="0" borderId="0" xfId="0" applyFont="1" applyFill="1"/>
    <xf numFmtId="165" fontId="6" fillId="0" borderId="0" xfId="1" applyNumberFormat="1" applyFont="1" applyFill="1"/>
    <xf numFmtId="164" fontId="6" fillId="0" borderId="3" xfId="2" applyNumberFormat="1" applyFont="1" applyFill="1" applyBorder="1"/>
    <xf numFmtId="0" fontId="6" fillId="0" borderId="0" xfId="0" applyFont="1" applyFill="1" applyBorder="1"/>
    <xf numFmtId="37" fontId="6" fillId="0" borderId="0" xfId="4" applyNumberFormat="1" applyFont="1" applyFill="1" applyBorder="1"/>
    <xf numFmtId="43" fontId="12" fillId="0" borderId="0" xfId="0" applyNumberFormat="1" applyFont="1" applyFill="1"/>
    <xf numFmtId="42" fontId="6" fillId="0" borderId="0" xfId="2" applyNumberFormat="1" applyFont="1" applyFill="1" applyBorder="1"/>
    <xf numFmtId="42" fontId="6" fillId="0" borderId="0" xfId="0" applyNumberFormat="1" applyFont="1" applyFill="1"/>
    <xf numFmtId="42" fontId="0" fillId="0" borderId="0" xfId="0" applyNumberFormat="1" applyFill="1"/>
    <xf numFmtId="0" fontId="6" fillId="0" borderId="0" xfId="0" applyFont="1" applyFill="1" applyBorder="1" applyAlignment="1">
      <alignment horizontal="left"/>
    </xf>
    <xf numFmtId="42" fontId="6" fillId="0" borderId="0" xfId="1" applyNumberFormat="1" applyFont="1" applyFill="1" applyBorder="1"/>
    <xf numFmtId="42" fontId="12" fillId="0" borderId="0" xfId="0" applyNumberFormat="1" applyFont="1" applyFill="1"/>
    <xf numFmtId="42" fontId="6" fillId="0" borderId="0" xfId="0" quotePrefix="1" applyNumberFormat="1" applyFont="1" applyFill="1" applyAlignment="1">
      <alignment horizontal="left"/>
    </xf>
    <xf numFmtId="42" fontId="6" fillId="0" borderId="0" xfId="0" applyNumberFormat="1" applyFont="1" applyFill="1" applyBorder="1"/>
    <xf numFmtId="42" fontId="6" fillId="0" borderId="0" xfId="1" applyNumberFormat="1" applyFont="1" applyFill="1"/>
    <xf numFmtId="41" fontId="12" fillId="0" borderId="0" xfId="0" applyNumberFormat="1" applyFont="1" applyFill="1"/>
    <xf numFmtId="0" fontId="6" fillId="0" borderId="0" xfId="0" quotePrefix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41" fontId="6" fillId="0" borderId="0" xfId="0" applyNumberFormat="1" applyFont="1" applyFill="1" applyBorder="1" applyAlignment="1">
      <alignment horizontal="centerContinuous"/>
    </xf>
    <xf numFmtId="41" fontId="0" fillId="0" borderId="0" xfId="0" applyNumberFormat="1" applyFill="1"/>
    <xf numFmtId="164" fontId="6" fillId="0" borderId="0" xfId="2" applyNumberFormat="1" applyFont="1" applyFill="1" applyBorder="1"/>
    <xf numFmtId="0" fontId="6" fillId="0" borderId="0" xfId="0" quotePrefix="1" applyFont="1" applyFill="1" applyBorder="1" applyAlignment="1">
      <alignment horizontal="left"/>
    </xf>
    <xf numFmtId="165" fontId="6" fillId="0" borderId="0" xfId="1" applyNumberFormat="1" applyFont="1" applyFill="1" applyBorder="1"/>
    <xf numFmtId="165" fontId="11" fillId="0" borderId="0" xfId="1" applyNumberFormat="1" applyFont="1" applyFill="1" applyBorder="1"/>
    <xf numFmtId="43" fontId="0" fillId="0" borderId="1" xfId="1" applyFont="1" applyFill="1" applyBorder="1"/>
    <xf numFmtId="0" fontId="3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9" fontId="13" fillId="0" borderId="1" xfId="3" applyNumberFormat="1" applyFont="1" applyFill="1" applyBorder="1" applyAlignment="1">
      <alignment horizontal="center"/>
    </xf>
    <xf numFmtId="169" fontId="13" fillId="0" borderId="0" xfId="3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7" fontId="10" fillId="0" borderId="0" xfId="3" applyFont="1" applyFill="1" applyAlignment="1">
      <alignment horizontal="left"/>
    </xf>
    <xf numFmtId="37" fontId="10" fillId="0" borderId="0" xfId="3" applyFont="1" applyFill="1"/>
    <xf numFmtId="37" fontId="10" fillId="0" borderId="0" xfId="3" applyNumberFormat="1" applyFont="1" applyFill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10" fillId="0" borderId="0" xfId="0" applyFont="1" applyFill="1"/>
    <xf numFmtId="17" fontId="10" fillId="0" borderId="1" xfId="0" quotePrefix="1" applyNumberFormat="1" applyFont="1" applyFill="1" applyBorder="1" applyAlignment="1">
      <alignment horizontal="center"/>
    </xf>
    <xf numFmtId="17" fontId="10" fillId="0" borderId="0" xfId="0" quotePrefix="1" applyNumberFormat="1" applyFont="1" applyFill="1" applyBorder="1" applyAlignment="1">
      <alignment horizontal="center"/>
    </xf>
    <xf numFmtId="17" fontId="10" fillId="0" borderId="6" xfId="0" quotePrefix="1" applyNumberFormat="1" applyFont="1" applyFill="1" applyBorder="1" applyAlignment="1">
      <alignment horizontal="centerContinuous"/>
    </xf>
    <xf numFmtId="17" fontId="10" fillId="0" borderId="0" xfId="0" quotePrefix="1" applyNumberFormat="1" applyFont="1" applyFill="1" applyBorder="1" applyAlignment="1">
      <alignment horizontal="centerContinuous"/>
    </xf>
    <xf numFmtId="0" fontId="4" fillId="0" borderId="0" xfId="0" applyFont="1"/>
    <xf numFmtId="0" fontId="17" fillId="0" borderId="0" xfId="0" applyFont="1" applyFill="1"/>
    <xf numFmtId="37" fontId="16" fillId="0" borderId="0" xfId="3" applyFont="1" applyFill="1" applyAlignment="1">
      <alignment horizontal="left"/>
    </xf>
    <xf numFmtId="37" fontId="16" fillId="0" borderId="0" xfId="3" applyFont="1" applyFill="1"/>
    <xf numFmtId="164" fontId="16" fillId="0" borderId="0" xfId="2" applyNumberFormat="1" applyFont="1" applyFill="1" applyProtection="1"/>
    <xf numFmtId="41" fontId="16" fillId="0" borderId="0" xfId="3" applyNumberFormat="1" applyFont="1" applyFill="1" applyBorder="1" applyProtection="1"/>
    <xf numFmtId="41" fontId="16" fillId="0" borderId="1" xfId="3" applyNumberFormat="1" applyFont="1" applyFill="1" applyBorder="1" applyProtection="1"/>
    <xf numFmtId="41" fontId="16" fillId="0" borderId="0" xfId="3" applyNumberFormat="1" applyFont="1" applyFill="1"/>
    <xf numFmtId="41" fontId="16" fillId="0" borderId="7" xfId="3" applyNumberFormat="1" applyFont="1" applyFill="1" applyBorder="1"/>
    <xf numFmtId="41" fontId="16" fillId="0" borderId="0" xfId="3" applyNumberFormat="1" applyFont="1" applyFill="1" applyBorder="1"/>
    <xf numFmtId="41" fontId="16" fillId="0" borderId="0" xfId="3" applyNumberFormat="1" applyFont="1" applyFill="1" applyProtection="1"/>
    <xf numFmtId="41" fontId="16" fillId="0" borderId="0" xfId="1" applyNumberFormat="1" applyFont="1" applyFill="1"/>
    <xf numFmtId="41" fontId="16" fillId="0" borderId="8" xfId="3" applyNumberFormat="1" applyFont="1" applyFill="1" applyBorder="1" applyProtection="1"/>
    <xf numFmtId="41" fontId="16" fillId="0" borderId="9" xfId="3" applyNumberFormat="1" applyFont="1" applyFill="1" applyBorder="1" applyProtection="1"/>
    <xf numFmtId="165" fontId="4" fillId="0" borderId="0" xfId="1" applyNumberFormat="1" applyFont="1" applyFill="1"/>
    <xf numFmtId="41" fontId="16" fillId="0" borderId="10" xfId="3" applyNumberFormat="1" applyFont="1" applyFill="1" applyBorder="1" applyProtection="1"/>
    <xf numFmtId="164" fontId="16" fillId="0" borderId="11" xfId="2" applyNumberFormat="1" applyFont="1" applyFill="1" applyBorder="1" applyProtection="1"/>
    <xf numFmtId="164" fontId="16" fillId="0" borderId="0" xfId="2" applyNumberFormat="1" applyFont="1" applyFill="1" applyBorder="1" applyProtection="1"/>
    <xf numFmtId="42" fontId="16" fillId="0" borderId="11" xfId="2" applyNumberFormat="1" applyFont="1" applyFill="1" applyBorder="1" applyProtection="1"/>
    <xf numFmtId="42" fontId="4" fillId="0" borderId="0" xfId="0" applyNumberFormat="1" applyFont="1" applyFill="1"/>
    <xf numFmtId="169" fontId="16" fillId="0" borderId="1" xfId="3" applyNumberFormat="1" applyFont="1" applyFill="1" applyBorder="1" applyAlignment="1">
      <alignment horizontal="center"/>
    </xf>
    <xf numFmtId="169" fontId="16" fillId="0" borderId="0" xfId="3" applyNumberFormat="1" applyFont="1" applyFill="1" applyBorder="1" applyAlignment="1">
      <alignment horizontal="center"/>
    </xf>
    <xf numFmtId="42" fontId="16" fillId="0" borderId="1" xfId="3" applyNumberFormat="1" applyFont="1" applyFill="1" applyBorder="1" applyAlignment="1">
      <alignment horizontal="center"/>
    </xf>
    <xf numFmtId="164" fontId="16" fillId="0" borderId="0" xfId="2" applyNumberFormat="1" applyFont="1" applyFill="1" applyBorder="1"/>
    <xf numFmtId="42" fontId="16" fillId="0" borderId="0" xfId="2" applyNumberFormat="1" applyFont="1" applyFill="1" applyBorder="1"/>
    <xf numFmtId="165" fontId="16" fillId="0" borderId="1" xfId="1" applyNumberFormat="1" applyFont="1" applyFill="1" applyBorder="1"/>
    <xf numFmtId="165" fontId="16" fillId="0" borderId="0" xfId="1" applyNumberFormat="1" applyFont="1" applyFill="1" applyBorder="1"/>
    <xf numFmtId="41" fontId="16" fillId="0" borderId="1" xfId="1" applyNumberFormat="1" applyFont="1" applyFill="1" applyBorder="1"/>
    <xf numFmtId="41" fontId="16" fillId="0" borderId="0" xfId="1" applyNumberFormat="1" applyFont="1" applyFill="1" applyBorder="1"/>
    <xf numFmtId="41" fontId="16" fillId="0" borderId="8" xfId="3" applyNumberFormat="1" applyFont="1" applyFill="1" applyBorder="1"/>
    <xf numFmtId="41" fontId="16" fillId="0" borderId="0" xfId="1" applyNumberFormat="1" applyFont="1" applyFill="1" applyProtection="1"/>
    <xf numFmtId="37" fontId="16" fillId="0" borderId="0" xfId="3" quotePrefix="1" applyFont="1" applyFill="1" applyAlignment="1">
      <alignment horizontal="left"/>
    </xf>
    <xf numFmtId="41" fontId="16" fillId="0" borderId="1" xfId="3" applyNumberFormat="1" applyFont="1" applyFill="1" applyBorder="1"/>
    <xf numFmtId="41" fontId="16" fillId="0" borderId="2" xfId="3" applyNumberFormat="1" applyFont="1" applyFill="1" applyBorder="1" applyProtection="1"/>
    <xf numFmtId="37" fontId="16" fillId="0" borderId="0" xfId="3" applyFont="1" applyFill="1" applyBorder="1"/>
    <xf numFmtId="37" fontId="16" fillId="0" borderId="0" xfId="3" applyFont="1" applyFill="1" applyBorder="1" applyAlignment="1">
      <alignment horizontal="left"/>
    </xf>
    <xf numFmtId="164" fontId="16" fillId="0" borderId="3" xfId="2" applyNumberFormat="1" applyFont="1" applyFill="1" applyBorder="1" applyProtection="1"/>
    <xf numFmtId="42" fontId="16" fillId="0" borderId="3" xfId="2" applyNumberFormat="1" applyFont="1" applyFill="1" applyBorder="1" applyProtection="1"/>
    <xf numFmtId="0" fontId="18" fillId="0" borderId="0" xfId="0" applyFont="1" applyFill="1"/>
    <xf numFmtId="37" fontId="19" fillId="0" borderId="0" xfId="3" applyFont="1" applyFill="1"/>
    <xf numFmtId="0" fontId="18" fillId="0" borderId="0" xfId="0" applyFont="1" applyFill="1" applyAlignment="1">
      <alignment horizontal="center"/>
    </xf>
    <xf numFmtId="165" fontId="18" fillId="0" borderId="0" xfId="1" applyNumberFormat="1" applyFont="1" applyFill="1"/>
    <xf numFmtId="41" fontId="18" fillId="0" borderId="0" xfId="1" applyNumberFormat="1" applyFont="1" applyFill="1"/>
    <xf numFmtId="0" fontId="20" fillId="0" borderId="0" xfId="0" applyFont="1" applyFill="1"/>
    <xf numFmtId="0" fontId="21" fillId="0" borderId="0" xfId="0" applyFont="1" applyFill="1"/>
    <xf numFmtId="0" fontId="21" fillId="0" borderId="6" xfId="0" applyFont="1" applyFill="1" applyBorder="1"/>
    <xf numFmtId="0" fontId="20" fillId="0" borderId="0" xfId="0" applyFont="1" applyFill="1" applyAlignment="1">
      <alignment horizontal="left"/>
    </xf>
    <xf numFmtId="164" fontId="21" fillId="0" borderId="0" xfId="2" applyNumberFormat="1" applyFont="1" applyFill="1"/>
    <xf numFmtId="42" fontId="21" fillId="0" borderId="0" xfId="2" applyNumberFormat="1" applyFont="1" applyFill="1"/>
    <xf numFmtId="0" fontId="21" fillId="0" borderId="1" xfId="0" applyFont="1" applyFill="1" applyBorder="1"/>
    <xf numFmtId="0" fontId="21" fillId="0" borderId="0" xfId="0" applyFont="1" applyFill="1" applyBorder="1"/>
    <xf numFmtId="41" fontId="21" fillId="0" borderId="1" xfId="0" applyNumberFormat="1" applyFont="1" applyFill="1" applyBorder="1"/>
    <xf numFmtId="0" fontId="18" fillId="0" borderId="0" xfId="0" applyFont="1" applyFill="1" applyBorder="1"/>
    <xf numFmtId="41" fontId="18" fillId="0" borderId="0" xfId="0" applyNumberFormat="1" applyFont="1" applyFill="1" applyBorder="1"/>
    <xf numFmtId="41" fontId="18" fillId="0" borderId="6" xfId="0" applyNumberFormat="1" applyFont="1" applyFill="1" applyBorder="1"/>
    <xf numFmtId="165" fontId="21" fillId="0" borderId="0" xfId="1" applyNumberFormat="1" applyFont="1" applyFill="1"/>
    <xf numFmtId="43" fontId="21" fillId="0" borderId="0" xfId="1" applyFont="1" applyFill="1"/>
    <xf numFmtId="41" fontId="21" fillId="0" borderId="0" xfId="1" applyNumberFormat="1" applyFont="1" applyFill="1"/>
    <xf numFmtId="41" fontId="21" fillId="0" borderId="6" xfId="0" applyNumberFormat="1" applyFont="1" applyFill="1" applyBorder="1"/>
    <xf numFmtId="43" fontId="21" fillId="0" borderId="0" xfId="1" applyFont="1" applyFill="1" applyBorder="1"/>
    <xf numFmtId="0" fontId="21" fillId="0" borderId="7" xfId="0" applyFont="1" applyFill="1" applyBorder="1"/>
    <xf numFmtId="41" fontId="21" fillId="0" borderId="7" xfId="0" applyNumberFormat="1" applyFont="1" applyFill="1" applyBorder="1"/>
    <xf numFmtId="41" fontId="21" fillId="0" borderId="0" xfId="0" applyNumberFormat="1" applyFont="1" applyFill="1" applyBorder="1"/>
    <xf numFmtId="41" fontId="21" fillId="0" borderId="6" xfId="1" applyNumberFormat="1" applyFont="1" applyFill="1" applyBorder="1"/>
    <xf numFmtId="41" fontId="21" fillId="0" borderId="0" xfId="0" applyNumberFormat="1" applyFont="1" applyFill="1"/>
    <xf numFmtId="0" fontId="18" fillId="0" borderId="2" xfId="0" applyFont="1" applyFill="1" applyBorder="1"/>
    <xf numFmtId="41" fontId="18" fillId="0" borderId="2" xfId="0" applyNumberFormat="1" applyFont="1" applyFill="1" applyBorder="1"/>
    <xf numFmtId="41" fontId="21" fillId="0" borderId="0" xfId="6" applyNumberFormat="1" applyFont="1" applyFill="1"/>
    <xf numFmtId="9" fontId="21" fillId="0" borderId="0" xfId="6" applyFont="1" applyFill="1"/>
    <xf numFmtId="9" fontId="21" fillId="0" borderId="0" xfId="6" applyFont="1" applyFill="1" applyBorder="1"/>
    <xf numFmtId="170" fontId="21" fillId="0" borderId="0" xfId="1" applyNumberFormat="1" applyFont="1" applyFill="1"/>
    <xf numFmtId="41" fontId="21" fillId="0" borderId="0" xfId="6" applyNumberFormat="1" applyFont="1" applyFill="1" applyBorder="1"/>
    <xf numFmtId="0" fontId="21" fillId="0" borderId="0" xfId="0" applyFont="1"/>
    <xf numFmtId="41" fontId="18" fillId="0" borderId="0" xfId="0" applyNumberFormat="1" applyFont="1" applyFill="1"/>
    <xf numFmtId="0" fontId="21" fillId="0" borderId="0" xfId="0" applyFont="1" applyFill="1" applyAlignment="1">
      <alignment wrapText="1"/>
    </xf>
    <xf numFmtId="0" fontId="18" fillId="0" borderId="7" xfId="0" applyFont="1" applyFill="1" applyBorder="1"/>
    <xf numFmtId="41" fontId="18" fillId="0" borderId="7" xfId="0" applyNumberFormat="1" applyFont="1" applyFill="1" applyBorder="1"/>
    <xf numFmtId="0" fontId="18" fillId="0" borderId="1" xfId="0" applyFont="1" applyFill="1" applyBorder="1"/>
    <xf numFmtId="41" fontId="18" fillId="0" borderId="1" xfId="0" applyNumberFormat="1" applyFont="1" applyFill="1" applyBorder="1"/>
    <xf numFmtId="41" fontId="21" fillId="0" borderId="12" xfId="0" applyNumberFormat="1" applyFont="1" applyFill="1" applyBorder="1"/>
    <xf numFmtId="41" fontId="18" fillId="0" borderId="0" xfId="1" applyNumberFormat="1" applyFont="1" applyFill="1" applyBorder="1"/>
    <xf numFmtId="43" fontId="18" fillId="0" borderId="0" xfId="0" applyNumberFormat="1" applyFont="1" applyFill="1" applyBorder="1"/>
    <xf numFmtId="41" fontId="18" fillId="0" borderId="1" xfId="1" applyNumberFormat="1" applyFont="1" applyFill="1" applyBorder="1"/>
    <xf numFmtId="165" fontId="18" fillId="0" borderId="0" xfId="1" applyNumberFormat="1" applyFont="1" applyFill="1" applyBorder="1"/>
    <xf numFmtId="0" fontId="18" fillId="0" borderId="6" xfId="0" applyFont="1" applyFill="1" applyBorder="1"/>
    <xf numFmtId="164" fontId="21" fillId="0" borderId="6" xfId="2" applyNumberFormat="1" applyFont="1" applyFill="1" applyBorder="1"/>
    <xf numFmtId="0" fontId="22" fillId="0" borderId="0" xfId="0" applyFont="1" applyFill="1"/>
    <xf numFmtId="0" fontId="21" fillId="0" borderId="0" xfId="0" applyFont="1" applyFill="1" applyAlignment="1">
      <alignment horizontal="right"/>
    </xf>
    <xf numFmtId="41" fontId="21" fillId="0" borderId="0" xfId="0" applyNumberFormat="1" applyFont="1" applyFill="1" applyAlignment="1">
      <alignment horizontal="right"/>
    </xf>
    <xf numFmtId="41" fontId="20" fillId="0" borderId="0" xfId="1" applyNumberFormat="1" applyFont="1" applyFill="1"/>
    <xf numFmtId="165" fontId="20" fillId="0" borderId="0" xfId="1" applyNumberFormat="1" applyFont="1" applyFill="1"/>
    <xf numFmtId="41" fontId="20" fillId="0" borderId="6" xfId="1" applyNumberFormat="1" applyFont="1" applyFill="1" applyBorder="1"/>
    <xf numFmtId="165" fontId="21" fillId="0" borderId="2" xfId="1" applyNumberFormat="1" applyFont="1" applyFill="1" applyBorder="1"/>
    <xf numFmtId="165" fontId="21" fillId="0" borderId="0" xfId="1" applyNumberFormat="1" applyFont="1" applyFill="1" applyBorder="1"/>
    <xf numFmtId="0" fontId="19" fillId="0" borderId="0" xfId="0" applyFont="1" applyFill="1"/>
    <xf numFmtId="165" fontId="21" fillId="0" borderId="1" xfId="1" applyNumberFormat="1" applyFont="1" applyFill="1" applyBorder="1"/>
    <xf numFmtId="41" fontId="21" fillId="0" borderId="12" xfId="1" applyNumberFormat="1" applyFont="1" applyFill="1" applyBorder="1"/>
    <xf numFmtId="41" fontId="20" fillId="0" borderId="0" xfId="1" applyNumberFormat="1" applyFont="1" applyFill="1" applyBorder="1"/>
    <xf numFmtId="0" fontId="23" fillId="0" borderId="0" xfId="0" applyFont="1" applyFill="1"/>
    <xf numFmtId="165" fontId="21" fillId="0" borderId="6" xfId="1" applyNumberFormat="1" applyFont="1" applyFill="1" applyBorder="1"/>
    <xf numFmtId="41" fontId="18" fillId="0" borderId="0" xfId="2" applyNumberFormat="1" applyFont="1" applyFill="1" applyBorder="1"/>
    <xf numFmtId="41" fontId="21" fillId="0" borderId="0" xfId="2" applyNumberFormat="1" applyFont="1" applyFill="1" applyBorder="1"/>
    <xf numFmtId="164" fontId="21" fillId="0" borderId="0" xfId="2" applyNumberFormat="1" applyFont="1" applyFill="1" applyBorder="1"/>
    <xf numFmtId="41" fontId="21" fillId="0" borderId="1" xfId="2" applyNumberFormat="1" applyFont="1" applyFill="1" applyBorder="1"/>
    <xf numFmtId="41" fontId="21" fillId="0" borderId="12" xfId="2" applyNumberFormat="1" applyFont="1" applyFill="1" applyBorder="1"/>
    <xf numFmtId="42" fontId="21" fillId="0" borderId="3" xfId="0" applyNumberFormat="1" applyFont="1" applyFill="1" applyBorder="1"/>
    <xf numFmtId="42" fontId="21" fillId="0" borderId="0" xfId="0" applyNumberFormat="1" applyFont="1" applyFill="1" applyBorder="1"/>
    <xf numFmtId="42" fontId="21" fillId="0" borderId="0" xfId="0" applyNumberFormat="1" applyFont="1" applyFill="1"/>
    <xf numFmtId="42" fontId="21" fillId="0" borderId="4" xfId="0" applyNumberFormat="1" applyFont="1" applyFill="1" applyBorder="1"/>
    <xf numFmtId="42" fontId="18" fillId="0" borderId="4" xfId="0" applyNumberFormat="1" applyFont="1" applyFill="1" applyBorder="1"/>
    <xf numFmtId="0" fontId="18" fillId="0" borderId="0" xfId="0" applyFont="1" applyFill="1" applyAlignment="1">
      <alignment horizontal="left"/>
    </xf>
    <xf numFmtId="165" fontId="21" fillId="0" borderId="0" xfId="1" applyNumberFormat="1" applyFont="1" applyFill="1" applyAlignment="1">
      <alignment horizontal="right"/>
    </xf>
    <xf numFmtId="0" fontId="24" fillId="0" borderId="0" xfId="0" applyFont="1" applyFill="1" applyAlignment="1">
      <alignment horizontal="centerContinuous"/>
    </xf>
    <xf numFmtId="0" fontId="25" fillId="0" borderId="0" xfId="0" applyFont="1" applyFill="1" applyAlignment="1">
      <alignment horizontal="centerContinuous"/>
    </xf>
    <xf numFmtId="0" fontId="18" fillId="0" borderId="0" xfId="0" applyFont="1" applyFill="1" applyAlignment="1">
      <alignment horizontal="centerContinuous"/>
    </xf>
    <xf numFmtId="17" fontId="20" fillId="0" borderId="1" xfId="0" quotePrefix="1" applyNumberFormat="1" applyFont="1" applyFill="1" applyBorder="1" applyAlignment="1">
      <alignment horizontal="center"/>
    </xf>
    <xf numFmtId="17" fontId="20" fillId="0" borderId="0" xfId="0" quotePrefix="1" applyNumberFormat="1" applyFont="1" applyFill="1" applyBorder="1" applyAlignment="1">
      <alignment horizontal="center"/>
    </xf>
    <xf numFmtId="17" fontId="20" fillId="0" borderId="6" xfId="0" quotePrefix="1" applyNumberFormat="1" applyFont="1" applyFill="1" applyBorder="1" applyAlignment="1">
      <alignment horizontal="centerContinuous"/>
    </xf>
    <xf numFmtId="17" fontId="20" fillId="0" borderId="0" xfId="0" quotePrefix="1" applyNumberFormat="1" applyFont="1" applyFill="1" applyBorder="1" applyAlignment="1">
      <alignment horizontal="centerContinuous"/>
    </xf>
    <xf numFmtId="41" fontId="6" fillId="0" borderId="1" xfId="2" applyNumberFormat="1" applyFon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1" fontId="4" fillId="0" borderId="1" xfId="0" quotePrefix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37" fontId="7" fillId="0" borderId="0" xfId="0" quotePrefix="1" applyNumberFormat="1" applyFont="1" applyFill="1" applyAlignment="1">
      <alignment horizontal="right"/>
    </xf>
    <xf numFmtId="0" fontId="24" fillId="0" borderId="0" xfId="0" applyFont="1" applyFill="1"/>
    <xf numFmtId="0" fontId="26" fillId="0" borderId="0" xfId="0" applyFont="1" applyFill="1"/>
    <xf numFmtId="37" fontId="27" fillId="0" borderId="0" xfId="3" applyFont="1" applyFill="1"/>
    <xf numFmtId="0" fontId="26" fillId="0" borderId="0" xfId="0" applyFont="1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0" xfId="0" applyFont="1" applyFill="1" applyAlignment="1">
      <alignment horizontal="left" wrapText="1"/>
    </xf>
    <xf numFmtId="0" fontId="21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6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0" quotePrefix="1" applyFont="1" applyFill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A" xfId="3"/>
    <cellStyle name="Normal_Asia2001" xfId="4"/>
    <cellStyle name="Normal_Mar 01CFa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1"/>
  <sheetViews>
    <sheetView tabSelected="1" workbookViewId="0">
      <selection activeCell="Q27" sqref="Q27"/>
    </sheetView>
  </sheetViews>
  <sheetFormatPr defaultRowHeight="13.2" x14ac:dyDescent="0.25"/>
  <cols>
    <col min="1" max="1" width="1.109375" customWidth="1"/>
    <col min="2" max="2" width="0.88671875" customWidth="1"/>
    <col min="3" max="3" width="0.6640625" customWidth="1"/>
    <col min="7" max="7" width="19.44140625" customWidth="1"/>
    <col min="8" max="8" width="12.44140625" customWidth="1"/>
    <col min="9" max="9" width="10.6640625" customWidth="1"/>
    <col min="10" max="10" width="1.109375" customWidth="1"/>
    <col min="11" max="11" width="12.6640625" customWidth="1"/>
    <col min="12" max="12" width="9.88671875" customWidth="1"/>
    <col min="13" max="13" width="15.5546875" customWidth="1"/>
    <col min="14" max="14" width="16.44140625" hidden="1" customWidth="1"/>
    <col min="15" max="15" width="0" hidden="1" customWidth="1"/>
    <col min="16" max="16" width="0.6640625" hidden="1" customWidth="1"/>
    <col min="17" max="17" width="17.88671875" customWidth="1"/>
    <col min="18" max="18" width="12.33203125" customWidth="1"/>
  </cols>
  <sheetData>
    <row r="1" spans="1:16" x14ac:dyDescent="0.25">
      <c r="K1" s="1"/>
      <c r="L1" s="2"/>
    </row>
    <row r="2" spans="1:16" x14ac:dyDescent="0.25">
      <c r="K2" s="1"/>
      <c r="L2" s="3"/>
    </row>
    <row r="4" spans="1:16" ht="15.6" x14ac:dyDescent="0.3">
      <c r="A4" s="249" t="s">
        <v>0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</row>
    <row r="5" spans="1:16" x14ac:dyDescent="0.25">
      <c r="A5" s="250" t="s">
        <v>1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6" x14ac:dyDescent="0.25">
      <c r="A6" s="247" t="s">
        <v>2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6" x14ac:dyDescent="0.25">
      <c r="H9" s="247" t="s">
        <v>3</v>
      </c>
      <c r="I9" s="247"/>
      <c r="K9" s="247" t="s">
        <v>4</v>
      </c>
      <c r="L9" s="247"/>
      <c r="O9" s="247" t="s">
        <v>3</v>
      </c>
      <c r="P9" s="247"/>
    </row>
    <row r="10" spans="1:16" x14ac:dyDescent="0.25">
      <c r="H10" s="248" t="s">
        <v>5</v>
      </c>
      <c r="I10" s="248"/>
      <c r="K10" s="248" t="s">
        <v>5</v>
      </c>
      <c r="L10" s="248"/>
      <c r="O10" s="248" t="s">
        <v>6</v>
      </c>
      <c r="P10" s="248"/>
    </row>
    <row r="11" spans="1:16" x14ac:dyDescent="0.25">
      <c r="A11" s="6" t="s">
        <v>7</v>
      </c>
      <c r="B11" s="6"/>
      <c r="C11" s="6"/>
      <c r="D11" s="6"/>
      <c r="E11" s="6"/>
      <c r="F11" s="6"/>
      <c r="G11" s="6"/>
      <c r="H11" s="5">
        <v>2003</v>
      </c>
      <c r="I11" s="5">
        <v>2002</v>
      </c>
      <c r="J11" s="6"/>
      <c r="K11" s="5">
        <v>2003</v>
      </c>
      <c r="L11" s="5">
        <v>2002</v>
      </c>
      <c r="O11" s="5">
        <v>2003</v>
      </c>
      <c r="P11" s="5">
        <v>2002</v>
      </c>
    </row>
    <row r="12" spans="1:16" x14ac:dyDescent="0.25">
      <c r="H12" s="7"/>
      <c r="I12" s="7"/>
    </row>
    <row r="13" spans="1:16" x14ac:dyDescent="0.25">
      <c r="A13" t="s">
        <v>8</v>
      </c>
      <c r="H13" s="7"/>
      <c r="I13" s="7"/>
      <c r="M13" s="8"/>
    </row>
    <row r="14" spans="1:16" x14ac:dyDescent="0.25">
      <c r="B14" t="s">
        <v>9</v>
      </c>
      <c r="H14" s="8">
        <f t="shared" ref="H14:I17" si="0">+K14-O14</f>
        <v>434</v>
      </c>
      <c r="I14" s="8">
        <f t="shared" si="0"/>
        <v>276</v>
      </c>
      <c r="K14" s="8">
        <v>1142</v>
      </c>
      <c r="L14" s="8">
        <v>554</v>
      </c>
      <c r="M14" s="9"/>
      <c r="O14" s="8">
        <v>708</v>
      </c>
      <c r="P14" s="8">
        <v>278</v>
      </c>
    </row>
    <row r="15" spans="1:16" x14ac:dyDescent="0.25">
      <c r="B15" t="s">
        <v>10</v>
      </c>
      <c r="H15" s="10">
        <f t="shared" si="0"/>
        <v>491</v>
      </c>
      <c r="I15" s="10">
        <f t="shared" si="0"/>
        <v>447</v>
      </c>
      <c r="K15" s="10">
        <v>997</v>
      </c>
      <c r="L15" s="10">
        <v>527</v>
      </c>
      <c r="M15" s="9"/>
      <c r="O15" s="10">
        <v>506</v>
      </c>
      <c r="P15" s="10">
        <v>80</v>
      </c>
    </row>
    <row r="16" spans="1:16" x14ac:dyDescent="0.25">
      <c r="B16" t="s">
        <v>11</v>
      </c>
      <c r="H16" s="11">
        <f t="shared" si="0"/>
        <v>16</v>
      </c>
      <c r="I16" s="11">
        <f t="shared" si="0"/>
        <v>27</v>
      </c>
      <c r="J16" s="12"/>
      <c r="K16" s="11">
        <v>32</v>
      </c>
      <c r="L16" s="11">
        <v>55</v>
      </c>
      <c r="M16" s="9"/>
      <c r="O16" s="11">
        <v>16</v>
      </c>
      <c r="P16" s="11">
        <v>28</v>
      </c>
    </row>
    <row r="17" spans="1:16" x14ac:dyDescent="0.25">
      <c r="C17" t="s">
        <v>12</v>
      </c>
      <c r="H17" s="10">
        <f t="shared" si="0"/>
        <v>941</v>
      </c>
      <c r="I17" s="10">
        <f t="shared" si="0"/>
        <v>750</v>
      </c>
      <c r="J17" s="12"/>
      <c r="K17" s="10">
        <f>SUM(K14:K16)</f>
        <v>2171</v>
      </c>
      <c r="L17" s="10">
        <f>SUM(L14:L16)</f>
        <v>1136</v>
      </c>
      <c r="M17" s="9"/>
      <c r="O17" s="10">
        <f>SUM(O14:O16)</f>
        <v>1230</v>
      </c>
      <c r="P17" s="10">
        <f>SUM(P14:P16)</f>
        <v>386</v>
      </c>
    </row>
    <row r="18" spans="1:16" x14ac:dyDescent="0.25">
      <c r="H18" s="10"/>
      <c r="I18" s="10"/>
      <c r="J18" s="12"/>
      <c r="K18" s="10"/>
      <c r="L18" s="10"/>
      <c r="M18" s="9"/>
      <c r="O18" s="10"/>
      <c r="P18" s="10"/>
    </row>
    <row r="19" spans="1:16" x14ac:dyDescent="0.25">
      <c r="A19" t="s">
        <v>13</v>
      </c>
      <c r="H19" s="10"/>
      <c r="I19" s="10"/>
      <c r="J19" s="12"/>
      <c r="K19" s="10"/>
      <c r="L19" s="10"/>
      <c r="M19" s="9"/>
      <c r="O19" s="10"/>
      <c r="P19" s="10"/>
    </row>
    <row r="20" spans="1:16" x14ac:dyDescent="0.25">
      <c r="B20" t="s">
        <v>14</v>
      </c>
      <c r="H20" s="10">
        <f t="shared" ref="H20:I27" si="1">+K20-O20</f>
        <v>567</v>
      </c>
      <c r="I20" s="10">
        <f t="shared" si="1"/>
        <v>484</v>
      </c>
      <c r="J20" s="12"/>
      <c r="K20" s="10">
        <v>1135</v>
      </c>
      <c r="L20" s="10">
        <v>630</v>
      </c>
      <c r="M20" s="9"/>
      <c r="O20" s="10">
        <v>568</v>
      </c>
      <c r="P20" s="10">
        <v>146</v>
      </c>
    </row>
    <row r="21" spans="1:16" x14ac:dyDescent="0.25">
      <c r="B21" t="s">
        <v>15</v>
      </c>
      <c r="H21" s="10">
        <f t="shared" si="1"/>
        <v>228</v>
      </c>
      <c r="I21" s="10">
        <f t="shared" si="1"/>
        <v>190</v>
      </c>
      <c r="J21" s="12"/>
      <c r="K21" s="10">
        <v>435</v>
      </c>
      <c r="L21" s="10">
        <v>400</v>
      </c>
      <c r="M21" s="13"/>
      <c r="O21" s="10">
        <v>207</v>
      </c>
      <c r="P21" s="10">
        <v>210</v>
      </c>
    </row>
    <row r="22" spans="1:16" x14ac:dyDescent="0.25">
      <c r="B22" s="246" t="s">
        <v>16</v>
      </c>
      <c r="C22" s="246"/>
      <c r="D22" s="246"/>
      <c r="E22" s="246"/>
      <c r="F22" s="246"/>
      <c r="G22" s="246"/>
      <c r="H22" s="12"/>
      <c r="I22" s="12"/>
      <c r="J22" s="12"/>
      <c r="K22" s="12"/>
      <c r="L22" s="12"/>
      <c r="M22" s="13"/>
      <c r="O22" s="10"/>
      <c r="P22" s="10"/>
    </row>
    <row r="23" spans="1:16" ht="15" customHeight="1" x14ac:dyDescent="0.25">
      <c r="B23" s="246" t="s">
        <v>17</v>
      </c>
      <c r="C23" s="246"/>
      <c r="D23" s="246"/>
      <c r="E23" s="246"/>
      <c r="F23" s="246"/>
      <c r="G23" s="246"/>
      <c r="H23" s="12">
        <f t="shared" si="1"/>
        <v>276</v>
      </c>
      <c r="I23" s="12">
        <f t="shared" si="1"/>
        <v>240</v>
      </c>
      <c r="J23" s="12"/>
      <c r="K23" s="12">
        <f>499+48</f>
        <v>547</v>
      </c>
      <c r="L23" s="12">
        <f>376+117</f>
        <v>493</v>
      </c>
      <c r="M23" s="9"/>
      <c r="O23" s="12">
        <f>248+23</f>
        <v>271</v>
      </c>
      <c r="P23" s="12">
        <v>253</v>
      </c>
    </row>
    <row r="24" spans="1:16" ht="13.5" customHeight="1" x14ac:dyDescent="0.25">
      <c r="B24" s="246" t="s">
        <v>18</v>
      </c>
      <c r="C24" s="246"/>
      <c r="D24" s="246"/>
      <c r="E24" s="246"/>
      <c r="F24" s="246"/>
      <c r="G24" s="246"/>
      <c r="H24" s="12"/>
      <c r="I24" s="12"/>
      <c r="J24" s="12"/>
      <c r="K24" s="12"/>
      <c r="L24" s="12"/>
      <c r="M24" s="9"/>
      <c r="O24" s="12"/>
      <c r="P24" s="12"/>
    </row>
    <row r="25" spans="1:16" ht="15" customHeight="1" x14ac:dyDescent="0.25">
      <c r="B25" s="246" t="s">
        <v>19</v>
      </c>
      <c r="C25" s="246"/>
      <c r="D25" s="246"/>
      <c r="E25" s="246"/>
      <c r="F25" s="246"/>
      <c r="G25" s="246"/>
      <c r="H25" s="12">
        <f t="shared" si="1"/>
        <v>9</v>
      </c>
      <c r="I25" s="12">
        <f t="shared" si="1"/>
        <v>47</v>
      </c>
      <c r="J25" s="12"/>
      <c r="K25" s="12">
        <v>20</v>
      </c>
      <c r="L25" s="12">
        <v>47</v>
      </c>
      <c r="M25" s="9"/>
      <c r="O25" s="12">
        <v>11</v>
      </c>
      <c r="P25" s="12">
        <v>0</v>
      </c>
    </row>
    <row r="26" spans="1:16" ht="12.75" hidden="1" customHeight="1" x14ac:dyDescent="0.25">
      <c r="B26" t="s">
        <v>20</v>
      </c>
      <c r="H26" s="12">
        <f t="shared" si="1"/>
        <v>0</v>
      </c>
      <c r="I26" s="12">
        <f t="shared" si="1"/>
        <v>0</v>
      </c>
      <c r="J26" s="12"/>
      <c r="K26" s="12">
        <v>0</v>
      </c>
      <c r="L26" s="12">
        <v>0</v>
      </c>
      <c r="M26" s="9"/>
      <c r="O26" s="12">
        <v>0</v>
      </c>
      <c r="P26" s="12">
        <v>0</v>
      </c>
    </row>
    <row r="27" spans="1:16" x14ac:dyDescent="0.25">
      <c r="C27" t="s">
        <v>21</v>
      </c>
      <c r="H27" s="14">
        <f t="shared" si="1"/>
        <v>1080</v>
      </c>
      <c r="I27" s="14">
        <f t="shared" si="1"/>
        <v>961</v>
      </c>
      <c r="J27" s="12"/>
      <c r="K27" s="14">
        <f>SUM(K20:K26)</f>
        <v>2137</v>
      </c>
      <c r="L27" s="14">
        <f>SUM(L20:L26)</f>
        <v>1570</v>
      </c>
      <c r="M27" s="13"/>
      <c r="N27" s="15"/>
      <c r="O27" s="14">
        <f>SUM(O20:O26)</f>
        <v>1057</v>
      </c>
      <c r="P27" s="14">
        <f>SUM(P20:P26)</f>
        <v>609</v>
      </c>
    </row>
    <row r="28" spans="1:16" x14ac:dyDescent="0.25">
      <c r="H28" s="12"/>
      <c r="I28" s="12"/>
      <c r="J28" s="12"/>
      <c r="K28" s="12"/>
      <c r="L28" s="12"/>
      <c r="M28" s="13"/>
      <c r="O28" s="12"/>
      <c r="P28" s="12"/>
    </row>
    <row r="29" spans="1:16" x14ac:dyDescent="0.25">
      <c r="A29" t="s">
        <v>22</v>
      </c>
      <c r="H29" s="12">
        <f>+K29-O29</f>
        <v>-139</v>
      </c>
      <c r="I29" s="12">
        <f>+L29-P29</f>
        <v>-211</v>
      </c>
      <c r="J29" s="12"/>
      <c r="K29" s="12">
        <f>+K17-K27</f>
        <v>34</v>
      </c>
      <c r="L29" s="12">
        <f>+L17-L27</f>
        <v>-434</v>
      </c>
      <c r="M29" s="13"/>
      <c r="O29" s="12">
        <f>+O17-O27</f>
        <v>173</v>
      </c>
      <c r="P29" s="12">
        <f>+P17-P27</f>
        <v>-223</v>
      </c>
    </row>
    <row r="30" spans="1:16" x14ac:dyDescent="0.25">
      <c r="H30" s="12"/>
      <c r="I30" s="12"/>
      <c r="J30" s="12"/>
      <c r="K30" s="12"/>
      <c r="L30" s="12"/>
      <c r="M30" s="13"/>
      <c r="O30" s="12"/>
      <c r="P30" s="12"/>
    </row>
    <row r="31" spans="1:16" x14ac:dyDescent="0.25">
      <c r="A31" t="s">
        <v>346</v>
      </c>
      <c r="H31" s="12"/>
      <c r="I31" s="12"/>
      <c r="J31" s="12"/>
      <c r="K31" s="12"/>
      <c r="L31" s="12"/>
      <c r="M31" s="13"/>
      <c r="O31" s="12"/>
      <c r="P31" s="12"/>
    </row>
    <row r="32" spans="1:16" x14ac:dyDescent="0.25">
      <c r="B32" t="s">
        <v>23</v>
      </c>
      <c r="H32" s="12">
        <f t="shared" ref="H32:I35" si="2">+K32-O32</f>
        <v>5</v>
      </c>
      <c r="I32" s="12">
        <f t="shared" si="2"/>
        <v>6</v>
      </c>
      <c r="J32" s="12"/>
      <c r="K32" s="12">
        <v>10</v>
      </c>
      <c r="L32" s="12">
        <v>15</v>
      </c>
      <c r="M32" s="13"/>
      <c r="O32" s="12">
        <v>5</v>
      </c>
      <c r="P32" s="12">
        <v>9</v>
      </c>
    </row>
    <row r="33" spans="1:17" x14ac:dyDescent="0.25">
      <c r="B33" t="s">
        <v>24</v>
      </c>
      <c r="H33" s="12">
        <f t="shared" si="2"/>
        <v>-143</v>
      </c>
      <c r="I33" s="12">
        <f t="shared" si="2"/>
        <v>-131</v>
      </c>
      <c r="J33" s="12"/>
      <c r="K33" s="12">
        <v>-283</v>
      </c>
      <c r="L33" s="12">
        <v>-260</v>
      </c>
      <c r="M33" s="13"/>
      <c r="O33" s="12">
        <v>-140</v>
      </c>
      <c r="P33" s="12">
        <v>-129</v>
      </c>
    </row>
    <row r="34" spans="1:17" x14ac:dyDescent="0.25">
      <c r="B34" t="s">
        <v>345</v>
      </c>
      <c r="H34" s="16">
        <f t="shared" si="2"/>
        <v>-176</v>
      </c>
      <c r="I34" s="16">
        <f t="shared" si="2"/>
        <v>180</v>
      </c>
      <c r="J34" s="12"/>
      <c r="K34" s="16">
        <v>-102</v>
      </c>
      <c r="L34" s="16">
        <v>314</v>
      </c>
      <c r="M34" s="13"/>
      <c r="O34" s="16">
        <v>74</v>
      </c>
      <c r="P34" s="16">
        <v>134</v>
      </c>
    </row>
    <row r="35" spans="1:17" x14ac:dyDescent="0.25">
      <c r="C35" t="s">
        <v>345</v>
      </c>
      <c r="H35" s="14">
        <f t="shared" si="2"/>
        <v>-314</v>
      </c>
      <c r="I35" s="14">
        <f t="shared" si="2"/>
        <v>55</v>
      </c>
      <c r="J35" s="12"/>
      <c r="K35" s="14">
        <f>SUM(K32:K34)</f>
        <v>-375</v>
      </c>
      <c r="L35" s="14">
        <f>SUM(L32:L34)</f>
        <v>69</v>
      </c>
      <c r="M35" s="13"/>
      <c r="O35" s="13">
        <f>SUM(O32:O34)</f>
        <v>-61</v>
      </c>
      <c r="P35" s="13">
        <f>SUM(P32:P34)</f>
        <v>14</v>
      </c>
    </row>
    <row r="36" spans="1:17" x14ac:dyDescent="0.25">
      <c r="H36" s="13"/>
      <c r="I36" s="13"/>
      <c r="J36" s="12"/>
      <c r="K36" s="13"/>
      <c r="L36" s="13"/>
      <c r="M36" s="13"/>
      <c r="O36" s="13"/>
      <c r="P36" s="13"/>
    </row>
    <row r="37" spans="1:17" x14ac:dyDescent="0.25">
      <c r="A37" t="s">
        <v>340</v>
      </c>
      <c r="H37" s="12">
        <f>+H29+H35</f>
        <v>-453</v>
      </c>
      <c r="I37" s="12">
        <f>+I29+I35</f>
        <v>-156</v>
      </c>
      <c r="J37" s="12"/>
      <c r="K37" s="12">
        <f>+K29+K35</f>
        <v>-341</v>
      </c>
      <c r="L37" s="12">
        <f>+L29+L35</f>
        <v>-365</v>
      </c>
      <c r="M37" s="13"/>
      <c r="O37" s="12">
        <f>+O29+O35</f>
        <v>112</v>
      </c>
      <c r="P37" s="12">
        <f>+P29+P35</f>
        <v>-209</v>
      </c>
    </row>
    <row r="38" spans="1:17" x14ac:dyDescent="0.25">
      <c r="H38" s="12"/>
      <c r="I38" s="12"/>
      <c r="J38" s="12"/>
      <c r="K38" s="12"/>
      <c r="L38" s="12"/>
      <c r="M38" s="13"/>
      <c r="O38" s="12"/>
      <c r="P38" s="12"/>
      <c r="Q38" s="17"/>
    </row>
    <row r="39" spans="1:17" x14ac:dyDescent="0.25">
      <c r="A39" t="s">
        <v>25</v>
      </c>
      <c r="H39" s="16">
        <f>+K39-O39</f>
        <v>0</v>
      </c>
      <c r="I39" s="16">
        <f>+L39-P39</f>
        <v>0</v>
      </c>
      <c r="J39" s="12"/>
      <c r="K39" s="16">
        <v>0</v>
      </c>
      <c r="L39" s="16">
        <v>119</v>
      </c>
      <c r="M39" s="13"/>
      <c r="O39" s="16">
        <v>0</v>
      </c>
      <c r="P39" s="16">
        <v>119</v>
      </c>
    </row>
    <row r="40" spans="1:17" ht="12" customHeight="1" x14ac:dyDescent="0.25">
      <c r="H40" s="12"/>
      <c r="I40" s="12"/>
      <c r="J40" s="12"/>
      <c r="K40" s="12"/>
      <c r="L40" s="12"/>
      <c r="M40" s="13"/>
      <c r="O40" s="12"/>
      <c r="P40" s="12"/>
    </row>
    <row r="41" spans="1:17" ht="12" customHeight="1" x14ac:dyDescent="0.25">
      <c r="A41" s="246" t="s">
        <v>26</v>
      </c>
      <c r="B41" s="246"/>
      <c r="C41" s="246"/>
      <c r="D41" s="246"/>
      <c r="E41" s="246"/>
      <c r="F41" s="246"/>
      <c r="G41" s="246"/>
      <c r="H41" s="12"/>
      <c r="I41" s="12"/>
      <c r="J41" s="12"/>
      <c r="K41" s="12"/>
      <c r="L41" s="12"/>
      <c r="M41" s="13"/>
      <c r="O41" s="12"/>
      <c r="P41" s="12"/>
    </row>
    <row r="42" spans="1:17" ht="15" customHeight="1" x14ac:dyDescent="0.25">
      <c r="A42" s="246" t="s">
        <v>27</v>
      </c>
      <c r="B42" s="246"/>
      <c r="C42" s="246"/>
      <c r="D42" s="246"/>
      <c r="E42" s="246"/>
      <c r="F42" s="246"/>
      <c r="G42" s="246"/>
      <c r="H42" s="13">
        <f>+K42-O42</f>
        <v>-453</v>
      </c>
      <c r="I42" s="13">
        <f>+L42-P42</f>
        <v>-156</v>
      </c>
      <c r="J42" s="13"/>
      <c r="K42" s="13">
        <f>+K37+K39</f>
        <v>-341</v>
      </c>
      <c r="L42" s="13">
        <f>+L37+L39</f>
        <v>-246</v>
      </c>
      <c r="M42" s="13"/>
      <c r="O42" s="13">
        <f>+O37+O39</f>
        <v>112</v>
      </c>
      <c r="P42" s="13">
        <f>+P37+P39</f>
        <v>-90</v>
      </c>
    </row>
    <row r="43" spans="1:17" x14ac:dyDescent="0.25">
      <c r="H43" s="13"/>
      <c r="I43" s="13"/>
      <c r="J43" s="13"/>
      <c r="K43" s="13"/>
      <c r="L43" s="13"/>
      <c r="M43" s="13"/>
      <c r="O43" s="13"/>
      <c r="P43" s="13"/>
    </row>
    <row r="44" spans="1:17" x14ac:dyDescent="0.25">
      <c r="A44" t="s">
        <v>28</v>
      </c>
      <c r="H44" s="13">
        <f>+K44-O44</f>
        <v>0</v>
      </c>
      <c r="I44" s="13">
        <f>+L44-P44</f>
        <v>0</v>
      </c>
      <c r="J44" s="13"/>
      <c r="K44" s="13">
        <v>5</v>
      </c>
      <c r="L44" s="13">
        <v>0</v>
      </c>
      <c r="M44" s="13"/>
      <c r="O44" s="13">
        <v>5</v>
      </c>
      <c r="P44" s="13">
        <v>0</v>
      </c>
    </row>
    <row r="45" spans="1:17" x14ac:dyDescent="0.25">
      <c r="A45" t="s">
        <v>351</v>
      </c>
      <c r="H45" s="16">
        <f>+K45-O45</f>
        <v>-9</v>
      </c>
      <c r="I45" s="11">
        <f>+L45-P45</f>
        <v>0</v>
      </c>
      <c r="J45" s="13"/>
      <c r="K45" s="16">
        <v>-7</v>
      </c>
      <c r="L45" s="11">
        <v>0</v>
      </c>
      <c r="M45" s="13"/>
      <c r="O45" s="16">
        <v>2</v>
      </c>
      <c r="P45" s="16">
        <v>0</v>
      </c>
    </row>
    <row r="46" spans="1:17" x14ac:dyDescent="0.25">
      <c r="H46" s="18"/>
      <c r="I46" s="18"/>
      <c r="J46" s="12"/>
      <c r="K46" s="18"/>
      <c r="L46" s="18"/>
      <c r="M46" s="13"/>
      <c r="O46" s="18"/>
      <c r="P46" s="18"/>
    </row>
    <row r="47" spans="1:17" ht="13.8" thickBot="1" x14ac:dyDescent="0.3">
      <c r="A47" t="s">
        <v>29</v>
      </c>
      <c r="H47" s="19">
        <f>+K47-O47</f>
        <v>-462</v>
      </c>
      <c r="I47" s="19">
        <f>+L47-P47</f>
        <v>-156</v>
      </c>
      <c r="J47" s="12"/>
      <c r="K47" s="19">
        <f>SUM(K42:K45)</f>
        <v>-343</v>
      </c>
      <c r="L47" s="19">
        <f>SUM(L42:L45)</f>
        <v>-246</v>
      </c>
      <c r="M47" s="13"/>
      <c r="O47" s="19">
        <f>SUM(O42:O45)</f>
        <v>119</v>
      </c>
      <c r="P47" s="19">
        <f>SUM(P42:P45)</f>
        <v>-90</v>
      </c>
    </row>
    <row r="48" spans="1:17" ht="13.8" thickTop="1" x14ac:dyDescent="0.25">
      <c r="H48" s="18"/>
      <c r="I48" s="18"/>
      <c r="J48" s="12"/>
      <c r="K48" s="18"/>
      <c r="L48" s="18"/>
      <c r="M48" s="13"/>
      <c r="O48" s="18"/>
      <c r="P48" s="18"/>
    </row>
    <row r="49" spans="1:17" x14ac:dyDescent="0.25">
      <c r="A49" t="s">
        <v>30</v>
      </c>
      <c r="M49" s="13"/>
    </row>
    <row r="50" spans="1:17" x14ac:dyDescent="0.25">
      <c r="B50" s="246" t="s">
        <v>31</v>
      </c>
      <c r="C50" s="246"/>
      <c r="D50" s="246"/>
      <c r="E50" s="246"/>
      <c r="F50" s="246"/>
      <c r="G50" s="246"/>
      <c r="M50" s="13"/>
    </row>
    <row r="51" spans="1:17" ht="15" customHeight="1" x14ac:dyDescent="0.25">
      <c r="B51" s="246" t="s">
        <v>27</v>
      </c>
      <c r="C51" s="246"/>
      <c r="D51" s="246"/>
      <c r="E51" s="246"/>
      <c r="F51" s="246"/>
      <c r="G51" s="246"/>
      <c r="H51" s="20">
        <f>+K69+0.01</f>
        <v>-0.92697665700282117</v>
      </c>
      <c r="I51" s="20">
        <v>-0.39</v>
      </c>
      <c r="J51" s="7"/>
      <c r="K51" s="20">
        <f>+N69</f>
        <v>-0.72938485553338228</v>
      </c>
      <c r="L51" s="20">
        <v>-0.62</v>
      </c>
      <c r="M51" s="13"/>
      <c r="O51" s="20">
        <f>+R69</f>
        <v>0</v>
      </c>
      <c r="P51" s="20">
        <v>-0.23</v>
      </c>
    </row>
    <row r="52" spans="1:17" x14ac:dyDescent="0.25">
      <c r="B52" t="s">
        <v>28</v>
      </c>
      <c r="H52" s="21">
        <v>0</v>
      </c>
      <c r="I52" s="13">
        <v>0</v>
      </c>
      <c r="J52" s="7"/>
      <c r="K52" s="22">
        <f>+N71</f>
        <v>1.0218545939696963E-2</v>
      </c>
      <c r="L52" s="13">
        <v>0</v>
      </c>
      <c r="M52" s="13"/>
      <c r="O52" s="20"/>
      <c r="P52" s="20"/>
    </row>
    <row r="53" spans="1:17" x14ac:dyDescent="0.25">
      <c r="B53" t="s">
        <v>351</v>
      </c>
      <c r="H53" s="23">
        <f>+K70</f>
        <v>-1.7828795836794139E-2</v>
      </c>
      <c r="I53" s="94">
        <v>0</v>
      </c>
      <c r="J53" s="12"/>
      <c r="K53" s="23">
        <f>+N70</f>
        <v>-1.4014678539880827E-2</v>
      </c>
      <c r="L53" s="94">
        <f>+O71</f>
        <v>0</v>
      </c>
      <c r="M53" s="13"/>
      <c r="O53" s="23">
        <f>+R71</f>
        <v>0</v>
      </c>
      <c r="P53" s="23">
        <f>+S71</f>
        <v>0</v>
      </c>
    </row>
    <row r="54" spans="1:17" ht="13.8" thickBot="1" x14ac:dyDescent="0.3">
      <c r="B54" t="s">
        <v>29</v>
      </c>
      <c r="H54" s="24">
        <f>+K72</f>
        <v>-0.95431074923178472</v>
      </c>
      <c r="I54" s="24">
        <v>-0.39</v>
      </c>
      <c r="K54" s="24">
        <f>+N72</f>
        <v>-0.73318098813356614</v>
      </c>
      <c r="L54" s="24">
        <v>-0.23</v>
      </c>
      <c r="M54" s="13"/>
      <c r="O54" s="24">
        <f>+R72</f>
        <v>0</v>
      </c>
      <c r="P54" s="24">
        <v>-0.23</v>
      </c>
    </row>
    <row r="55" spans="1:17" ht="13.8" thickTop="1" x14ac:dyDescent="0.25">
      <c r="H55" s="20"/>
      <c r="I55" s="20"/>
      <c r="K55" s="20"/>
      <c r="L55" s="20"/>
      <c r="M55" s="13"/>
      <c r="O55" s="20"/>
      <c r="P55" s="20"/>
    </row>
    <row r="56" spans="1:17" x14ac:dyDescent="0.25">
      <c r="A56" t="s">
        <v>32</v>
      </c>
      <c r="M56" s="18"/>
    </row>
    <row r="57" spans="1:17" ht="13.8" thickBot="1" x14ac:dyDescent="0.3">
      <c r="B57" t="s">
        <v>33</v>
      </c>
      <c r="H57" s="25">
        <v>484436</v>
      </c>
      <c r="I57" s="25">
        <v>398721</v>
      </c>
      <c r="J57" s="12"/>
      <c r="K57" s="25">
        <v>467724</v>
      </c>
      <c r="L57" s="25">
        <v>395020</v>
      </c>
      <c r="O57" s="25">
        <v>450824</v>
      </c>
      <c r="P57" s="25">
        <v>391279</v>
      </c>
      <c r="Q57" s="26"/>
    </row>
    <row r="58" spans="1:17" ht="13.8" thickTop="1" x14ac:dyDescent="0.25">
      <c r="M58" s="7"/>
    </row>
    <row r="59" spans="1:17" ht="0.75" customHeight="1" x14ac:dyDescent="0.25">
      <c r="M59" s="27" t="s">
        <v>34</v>
      </c>
      <c r="N59" s="28" t="s">
        <v>35</v>
      </c>
    </row>
    <row r="60" spans="1:17" x14ac:dyDescent="0.25">
      <c r="M60" s="7"/>
    </row>
    <row r="61" spans="1:17" hidden="1" x14ac:dyDescent="0.25">
      <c r="F61" t="s">
        <v>36</v>
      </c>
      <c r="K61" s="12">
        <f>+N61-M61</f>
        <v>-453904775</v>
      </c>
      <c r="M61" s="12">
        <f>114835741-2081898</f>
        <v>112753843</v>
      </c>
      <c r="N61" s="12">
        <f>-341150932</f>
        <v>-341150932</v>
      </c>
    </row>
    <row r="62" spans="1:17" hidden="1" x14ac:dyDescent="0.25">
      <c r="F62" t="s">
        <v>37</v>
      </c>
      <c r="K62" s="12">
        <f>+N62-M62</f>
        <v>-8636902</v>
      </c>
      <c r="M62" s="12">
        <v>2081898</v>
      </c>
      <c r="N62" s="12">
        <f>-9598671+961769+2081898</f>
        <v>-6555004</v>
      </c>
    </row>
    <row r="63" spans="1:17" hidden="1" x14ac:dyDescent="0.25">
      <c r="F63" t="s">
        <v>38</v>
      </c>
      <c r="K63" s="12">
        <f>+N63-M63</f>
        <v>239652</v>
      </c>
      <c r="M63" s="16">
        <v>4539809</v>
      </c>
      <c r="N63" s="16">
        <v>4779461</v>
      </c>
    </row>
    <row r="64" spans="1:17" hidden="1" x14ac:dyDescent="0.25">
      <c r="K64" s="12">
        <f>+N64-M64</f>
        <v>-462302025</v>
      </c>
      <c r="M64" s="15">
        <f>SUM(M61:M63)</f>
        <v>119375550</v>
      </c>
      <c r="N64" s="15">
        <f>SUM(N61:N63)</f>
        <v>-342926475</v>
      </c>
    </row>
    <row r="65" spans="6:15" hidden="1" x14ac:dyDescent="0.25">
      <c r="M65" s="15"/>
      <c r="N65" s="12"/>
    </row>
    <row r="66" spans="6:15" hidden="1" x14ac:dyDescent="0.25">
      <c r="F66" t="s">
        <v>39</v>
      </c>
      <c r="K66" s="12">
        <v>484435521</v>
      </c>
      <c r="M66" s="12">
        <v>450823804</v>
      </c>
      <c r="N66" s="12">
        <v>467724178</v>
      </c>
    </row>
    <row r="67" spans="6:15" hidden="1" x14ac:dyDescent="0.25">
      <c r="N67">
        <f>9598671-8636902</f>
        <v>961769</v>
      </c>
    </row>
    <row r="68" spans="6:15" hidden="1" x14ac:dyDescent="0.25">
      <c r="F68" t="s">
        <v>40</v>
      </c>
    </row>
    <row r="69" spans="6:15" hidden="1" x14ac:dyDescent="0.25">
      <c r="F69" t="s">
        <v>41</v>
      </c>
      <c r="K69" s="29">
        <f>+K61/K66</f>
        <v>-0.93697665700282118</v>
      </c>
      <c r="M69" s="29">
        <f>+M61/M66</f>
        <v>0.25010623218999323</v>
      </c>
      <c r="N69" s="29">
        <f>+N61/N66</f>
        <v>-0.72938485553338228</v>
      </c>
    </row>
    <row r="70" spans="6:15" hidden="1" x14ac:dyDescent="0.25">
      <c r="F70" t="s">
        <v>37</v>
      </c>
      <c r="K70" s="29">
        <f>+K62/K66</f>
        <v>-1.7828795836794139E-2</v>
      </c>
      <c r="M70" s="29">
        <f>+M62/M66</f>
        <v>4.6179859659761886E-3</v>
      </c>
      <c r="N70" s="29">
        <f>+N62/N66</f>
        <v>-1.4014678539880827E-2</v>
      </c>
    </row>
    <row r="71" spans="6:15" hidden="1" x14ac:dyDescent="0.25">
      <c r="F71" t="s">
        <v>38</v>
      </c>
      <c r="K71" s="29">
        <f>K63/K66</f>
        <v>4.9470360783060744E-4</v>
      </c>
      <c r="M71" s="29">
        <f>M63/M66</f>
        <v>1.0070029487617739E-2</v>
      </c>
      <c r="N71" s="29">
        <f>N63/N66</f>
        <v>1.0218545939696963E-2</v>
      </c>
    </row>
    <row r="72" spans="6:15" hidden="1" x14ac:dyDescent="0.25">
      <c r="F72" t="s">
        <v>42</v>
      </c>
      <c r="K72" s="30">
        <f>K64/K66</f>
        <v>-0.95431074923178472</v>
      </c>
      <c r="M72" s="30">
        <f>M64/M66</f>
        <v>0.26479424764358717</v>
      </c>
      <c r="N72" s="30">
        <f>N64/N66</f>
        <v>-0.73318098813356614</v>
      </c>
    </row>
    <row r="73" spans="6:15" hidden="1" x14ac:dyDescent="0.25">
      <c r="M73" s="29"/>
      <c r="N73" s="29"/>
    </row>
    <row r="74" spans="6:15" hidden="1" x14ac:dyDescent="0.25">
      <c r="M74" s="29"/>
      <c r="N74" s="29"/>
    </row>
    <row r="75" spans="6:15" hidden="1" x14ac:dyDescent="0.25">
      <c r="M75" s="12"/>
      <c r="N75" s="12"/>
      <c r="O75" s="26"/>
    </row>
    <row r="78" spans="6:15" x14ac:dyDescent="0.25">
      <c r="M78" s="26"/>
      <c r="N78" s="15"/>
    </row>
    <row r="79" spans="6:15" x14ac:dyDescent="0.25">
      <c r="M79" s="15"/>
      <c r="N79" s="15"/>
    </row>
    <row r="80" spans="6:15" x14ac:dyDescent="0.25">
      <c r="M80" s="31"/>
      <c r="N80" s="31"/>
    </row>
    <row r="81" spans="13:14" x14ac:dyDescent="0.25">
      <c r="M81" s="30"/>
      <c r="N81" s="26"/>
    </row>
  </sheetData>
  <mergeCells count="17">
    <mergeCell ref="O9:P9"/>
    <mergeCell ref="H10:I10"/>
    <mergeCell ref="K10:L10"/>
    <mergeCell ref="O10:P10"/>
    <mergeCell ref="A4:L4"/>
    <mergeCell ref="A5:L5"/>
    <mergeCell ref="A6:L6"/>
    <mergeCell ref="H9:I9"/>
    <mergeCell ref="K9:L9"/>
    <mergeCell ref="A41:G41"/>
    <mergeCell ref="A42:G42"/>
    <mergeCell ref="B50:G50"/>
    <mergeCell ref="B51:G51"/>
    <mergeCell ref="B22:G22"/>
    <mergeCell ref="B23:G23"/>
    <mergeCell ref="B24:G24"/>
    <mergeCell ref="B25:G25"/>
  </mergeCells>
  <phoneticPr fontId="0" type="noConversion"/>
  <printOptions horizontalCentered="1"/>
  <pageMargins left="0.45" right="0.4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29"/>
  <sheetViews>
    <sheetView view="pageBreakPreview" zoomScale="60" zoomScaleNormal="100" workbookViewId="0">
      <selection activeCell="U37" sqref="U37"/>
    </sheetView>
  </sheetViews>
  <sheetFormatPr defaultColWidth="9.109375" defaultRowHeight="13.2" x14ac:dyDescent="0.25"/>
  <cols>
    <col min="1" max="2" width="2.6640625" style="96" customWidth="1"/>
    <col min="3" max="3" width="37.109375" style="96" customWidth="1"/>
    <col min="4" max="4" width="9.6640625" style="96" hidden="1" customWidth="1"/>
    <col min="5" max="5" width="0.88671875" style="96" hidden="1" customWidth="1"/>
    <col min="6" max="6" width="9.6640625" style="96" customWidth="1"/>
    <col min="7" max="7" width="4" style="96" customWidth="1"/>
    <col min="8" max="8" width="9.33203125" style="96" customWidth="1"/>
    <col min="9" max="9" width="4" style="96" customWidth="1"/>
    <col min="10" max="10" width="9.6640625" style="96" customWidth="1"/>
    <col min="11" max="11" width="4.44140625" style="96" customWidth="1"/>
    <col min="12" max="12" width="9.6640625" style="96" customWidth="1"/>
    <col min="13" max="13" width="2.5546875" style="96" customWidth="1"/>
    <col min="14" max="14" width="9.6640625" style="96" customWidth="1"/>
    <col min="15" max="15" width="1.88671875" style="96" customWidth="1"/>
    <col min="16" max="16" width="1.109375" style="96" customWidth="1"/>
    <col min="17" max="17" width="9.6640625" style="96" customWidth="1"/>
    <col min="18" max="18" width="2.88671875" style="96" customWidth="1"/>
    <col min="19" max="19" width="11.109375" style="96" customWidth="1"/>
    <col min="20" max="20" width="1.33203125" style="96" customWidth="1"/>
    <col min="21" max="21" width="57" style="96" customWidth="1"/>
    <col min="22" max="16384" width="9.109375" style="96"/>
  </cols>
  <sheetData>
    <row r="1" spans="1:28" x14ac:dyDescent="0.25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107"/>
    </row>
    <row r="2" spans="1:28" s="241" customFormat="1" ht="14.25" customHeight="1" x14ac:dyDescent="0.3">
      <c r="A2" s="230" t="s">
        <v>122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8" s="35" customFormat="1" ht="17.399999999999999" x14ac:dyDescent="0.3">
      <c r="A3" s="229" t="s">
        <v>266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96"/>
      <c r="V3" s="96"/>
      <c r="W3" s="96"/>
      <c r="X3" s="96"/>
      <c r="Y3" s="96"/>
      <c r="Z3" s="96"/>
      <c r="AA3" s="96"/>
      <c r="AB3" s="96"/>
    </row>
    <row r="4" spans="1:28" s="35" customFormat="1" ht="15" x14ac:dyDescent="0.25">
      <c r="A4" s="231" t="s">
        <v>124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96"/>
      <c r="V4" s="96"/>
      <c r="W4" s="96"/>
      <c r="X4" s="96"/>
      <c r="Y4" s="96"/>
      <c r="Z4" s="96"/>
      <c r="AA4" s="96"/>
      <c r="AB4" s="96"/>
    </row>
    <row r="5" spans="1:28" s="35" customFormat="1" ht="15" x14ac:dyDescent="0.25">
      <c r="A5" s="231"/>
      <c r="B5" s="108"/>
      <c r="C5" s="108"/>
      <c r="D5" s="108"/>
      <c r="E5" s="108"/>
      <c r="F5" s="99"/>
      <c r="H5" s="108"/>
      <c r="I5" s="157" t="s">
        <v>342</v>
      </c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/>
      <c r="V5" s="96"/>
      <c r="W5" s="96"/>
      <c r="X5" s="96"/>
      <c r="Y5" s="96"/>
      <c r="Z5" s="96"/>
      <c r="AA5" s="96"/>
      <c r="AB5" s="96"/>
    </row>
    <row r="6" spans="1:28" s="35" customFormat="1" ht="15" x14ac:dyDescent="0.25">
      <c r="A6" s="155"/>
      <c r="D6" s="254"/>
      <c r="E6" s="254"/>
      <c r="F6" s="254"/>
      <c r="G6" s="254"/>
      <c r="H6" s="254"/>
      <c r="I6" s="254"/>
      <c r="J6" s="254"/>
      <c r="K6" s="109"/>
      <c r="L6" s="109"/>
      <c r="M6" s="109"/>
      <c r="N6" s="109"/>
      <c r="O6" s="110"/>
      <c r="P6" s="111"/>
      <c r="Q6" s="255" t="s">
        <v>4</v>
      </c>
      <c r="R6" s="256"/>
      <c r="S6" s="256"/>
      <c r="T6" s="256"/>
      <c r="U6" s="96"/>
      <c r="V6" s="96"/>
      <c r="W6" s="96"/>
      <c r="X6" s="96"/>
      <c r="Y6" s="96"/>
      <c r="Z6" s="96"/>
      <c r="AA6" s="96"/>
      <c r="AB6" s="96"/>
    </row>
    <row r="7" spans="1:28" ht="15.6" x14ac:dyDescent="0.3">
      <c r="A7" s="160"/>
      <c r="B7" s="112"/>
      <c r="C7" s="112"/>
      <c r="D7" s="113">
        <v>37346</v>
      </c>
      <c r="F7" s="232">
        <v>37437</v>
      </c>
      <c r="G7" s="233"/>
      <c r="H7" s="232">
        <v>37529</v>
      </c>
      <c r="I7" s="233"/>
      <c r="J7" s="232">
        <v>37621</v>
      </c>
      <c r="K7" s="233"/>
      <c r="L7" s="232">
        <v>37711</v>
      </c>
      <c r="M7" s="233"/>
      <c r="N7" s="232">
        <v>37802</v>
      </c>
      <c r="O7" s="233"/>
      <c r="P7" s="234"/>
      <c r="Q7" s="232">
        <v>37802</v>
      </c>
      <c r="R7" s="235"/>
      <c r="S7" s="232">
        <v>37437</v>
      </c>
      <c r="T7" s="233"/>
      <c r="U7" s="166" t="s">
        <v>267</v>
      </c>
    </row>
    <row r="8" spans="1:28" ht="15.6" x14ac:dyDescent="0.3">
      <c r="A8" s="160"/>
      <c r="B8" s="112"/>
      <c r="C8" s="112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5"/>
      <c r="Q8" s="114"/>
      <c r="R8" s="116"/>
      <c r="S8" s="114"/>
      <c r="T8" s="114"/>
    </row>
    <row r="9" spans="1:28" s="161" customFormat="1" ht="15.6" x14ac:dyDescent="0.3">
      <c r="A9" s="160" t="s">
        <v>268</v>
      </c>
      <c r="B9" s="160"/>
      <c r="C9" s="160"/>
      <c r="P9" s="162"/>
    </row>
    <row r="10" spans="1:28" s="161" customFormat="1" ht="15.6" x14ac:dyDescent="0.3">
      <c r="A10" s="160"/>
      <c r="B10" s="163" t="s">
        <v>269</v>
      </c>
      <c r="C10" s="160"/>
      <c r="P10" s="162"/>
    </row>
    <row r="11" spans="1:28" s="161" customFormat="1" ht="15.6" x14ac:dyDescent="0.3">
      <c r="A11" s="160"/>
      <c r="B11" s="163"/>
      <c r="C11" s="160" t="s">
        <v>270</v>
      </c>
      <c r="D11" s="164">
        <v>247</v>
      </c>
      <c r="F11" s="164">
        <v>253</v>
      </c>
      <c r="G11" s="164"/>
      <c r="H11" s="164">
        <v>251</v>
      </c>
      <c r="I11" s="164"/>
      <c r="J11" s="164">
        <v>249</v>
      </c>
      <c r="L11" s="164">
        <v>679</v>
      </c>
      <c r="M11" s="164"/>
      <c r="N11" s="165">
        <f>1079-679</f>
        <v>400</v>
      </c>
      <c r="P11" s="162"/>
      <c r="Q11" s="164">
        <f>+L11+N11</f>
        <v>1079</v>
      </c>
      <c r="S11" s="164">
        <f>+D11+F11</f>
        <v>500</v>
      </c>
    </row>
    <row r="12" spans="1:28" s="161" customFormat="1" ht="15.6" x14ac:dyDescent="0.3">
      <c r="A12" s="160"/>
      <c r="B12" s="163"/>
      <c r="C12" s="160" t="s">
        <v>271</v>
      </c>
      <c r="D12" s="166">
        <v>31</v>
      </c>
      <c r="F12" s="166">
        <v>23</v>
      </c>
      <c r="G12" s="167"/>
      <c r="H12" s="166">
        <v>23</v>
      </c>
      <c r="I12" s="167"/>
      <c r="J12" s="166">
        <v>24</v>
      </c>
      <c r="L12" s="166">
        <v>29</v>
      </c>
      <c r="M12" s="167"/>
      <c r="N12" s="168">
        <v>34</v>
      </c>
      <c r="P12" s="162"/>
      <c r="Q12" s="166">
        <f>+L12+N12</f>
        <v>63</v>
      </c>
      <c r="S12" s="166">
        <f>+D12+F12</f>
        <v>54</v>
      </c>
    </row>
    <row r="13" spans="1:28" s="161" customFormat="1" ht="15.6" x14ac:dyDescent="0.3">
      <c r="A13" s="160"/>
      <c r="B13" s="163"/>
      <c r="C13" s="160"/>
      <c r="D13" s="169">
        <f>SUM(D11:D12)</f>
        <v>278</v>
      </c>
      <c r="F13" s="169">
        <f>SUM(F11:F12)</f>
        <v>276</v>
      </c>
      <c r="G13" s="169"/>
      <c r="H13" s="169">
        <f>SUM(H11:H12)</f>
        <v>274</v>
      </c>
      <c r="I13" s="169"/>
      <c r="J13" s="169">
        <f>SUM(J11:J12)</f>
        <v>273</v>
      </c>
      <c r="L13" s="169">
        <f>SUM(L11:L12)</f>
        <v>708</v>
      </c>
      <c r="M13" s="169"/>
      <c r="N13" s="170">
        <f>SUM(N11:N12)</f>
        <v>434</v>
      </c>
      <c r="P13" s="162"/>
      <c r="Q13" s="169">
        <f>SUM(Q11:Q12)</f>
        <v>1142</v>
      </c>
      <c r="S13" s="169">
        <f>SUM(S11:S12)</f>
        <v>554</v>
      </c>
    </row>
    <row r="14" spans="1:28" s="161" customFormat="1" ht="15.6" x14ac:dyDescent="0.3">
      <c r="A14" s="160"/>
      <c r="B14" s="160"/>
      <c r="C14" s="160"/>
      <c r="D14" s="169"/>
      <c r="F14" s="169"/>
      <c r="G14" s="169"/>
      <c r="H14" s="169"/>
      <c r="I14" s="169"/>
      <c r="J14" s="169"/>
      <c r="K14" s="169"/>
      <c r="L14" s="169"/>
      <c r="M14" s="169"/>
      <c r="N14" s="170"/>
      <c r="O14" s="170"/>
      <c r="P14" s="171"/>
      <c r="Q14" s="169"/>
      <c r="R14" s="169"/>
      <c r="S14" s="169"/>
      <c r="T14" s="169"/>
    </row>
    <row r="15" spans="1:28" s="161" customFormat="1" ht="15.6" x14ac:dyDescent="0.3">
      <c r="A15" s="160"/>
      <c r="B15" s="160" t="s">
        <v>10</v>
      </c>
      <c r="C15" s="160"/>
      <c r="D15" s="169">
        <v>27</v>
      </c>
      <c r="F15" s="169">
        <v>25</v>
      </c>
      <c r="G15" s="169"/>
      <c r="H15" s="169">
        <v>22</v>
      </c>
      <c r="I15" s="169"/>
      <c r="J15" s="169">
        <v>22</v>
      </c>
      <c r="K15" s="169"/>
      <c r="L15" s="169">
        <v>21</v>
      </c>
      <c r="M15" s="169"/>
      <c r="N15" s="170">
        <f>42-21</f>
        <v>21</v>
      </c>
      <c r="O15" s="170"/>
      <c r="P15" s="171"/>
      <c r="Q15" s="169">
        <f>+L15+N15</f>
        <v>42</v>
      </c>
      <c r="S15" s="169">
        <f>+D15+F15</f>
        <v>52</v>
      </c>
    </row>
    <row r="16" spans="1:28" s="161" customFormat="1" ht="15.6" x14ac:dyDescent="0.3">
      <c r="A16" s="160"/>
      <c r="B16" s="160" t="s">
        <v>130</v>
      </c>
      <c r="C16" s="160"/>
      <c r="D16" s="172">
        <v>53</v>
      </c>
      <c r="E16" s="173"/>
      <c r="F16" s="172">
        <f>124+298</f>
        <v>422</v>
      </c>
      <c r="G16" s="172"/>
      <c r="H16" s="172">
        <f>342+400</f>
        <v>742</v>
      </c>
      <c r="I16" s="172"/>
      <c r="J16" s="172">
        <f>475+145</f>
        <v>620</v>
      </c>
      <c r="K16" s="172"/>
      <c r="L16" s="172">
        <f>507-2-20</f>
        <v>485</v>
      </c>
      <c r="M16" s="172"/>
      <c r="N16" s="174">
        <v>470</v>
      </c>
      <c r="O16" s="174"/>
      <c r="P16" s="175"/>
      <c r="Q16" s="172">
        <f>+L16+N16</f>
        <v>955</v>
      </c>
      <c r="R16" s="173"/>
      <c r="S16" s="172">
        <f>+D16+F16</f>
        <v>475</v>
      </c>
      <c r="T16" s="176"/>
    </row>
    <row r="17" spans="1:20" s="161" customFormat="1" ht="15.6" x14ac:dyDescent="0.3">
      <c r="A17" s="160"/>
      <c r="B17" s="160"/>
      <c r="C17" s="160"/>
      <c r="D17" s="177">
        <f>SUM(D15:D16)</f>
        <v>80</v>
      </c>
      <c r="F17" s="177">
        <f>SUM(F15:F16)</f>
        <v>447</v>
      </c>
      <c r="G17" s="167"/>
      <c r="H17" s="177">
        <f>SUM(H15:H16)</f>
        <v>764</v>
      </c>
      <c r="I17" s="167"/>
      <c r="J17" s="177">
        <f>SUM(J15:J16)</f>
        <v>642</v>
      </c>
      <c r="K17" s="167"/>
      <c r="L17" s="177">
        <f>SUM(L15:L16)</f>
        <v>506</v>
      </c>
      <c r="M17" s="167"/>
      <c r="N17" s="178">
        <f>SUM(N15:N16)</f>
        <v>491</v>
      </c>
      <c r="O17" s="179"/>
      <c r="P17" s="175"/>
      <c r="Q17" s="177">
        <f>SUM(Q15:Q16)</f>
        <v>997</v>
      </c>
      <c r="R17" s="167"/>
      <c r="S17" s="177">
        <f>SUM(S15:S16)</f>
        <v>527</v>
      </c>
      <c r="T17" s="167"/>
    </row>
    <row r="18" spans="1:20" s="161" customFormat="1" ht="15.6" x14ac:dyDescent="0.3">
      <c r="A18" s="160"/>
      <c r="B18" s="160"/>
      <c r="C18" s="160"/>
      <c r="D18" s="167"/>
      <c r="F18" s="167"/>
      <c r="G18" s="167"/>
      <c r="H18" s="167"/>
      <c r="I18" s="167"/>
      <c r="J18" s="167"/>
      <c r="K18" s="167"/>
      <c r="L18" s="167"/>
      <c r="M18" s="167"/>
      <c r="N18" s="167"/>
      <c r="O18" s="179"/>
      <c r="P18" s="175"/>
      <c r="Q18" s="167"/>
      <c r="R18" s="167"/>
      <c r="S18" s="167"/>
      <c r="T18" s="167"/>
    </row>
    <row r="19" spans="1:20" s="161" customFormat="1" ht="15.6" x14ac:dyDescent="0.3">
      <c r="A19" s="160"/>
      <c r="B19" s="163" t="s">
        <v>161</v>
      </c>
      <c r="C19" s="160"/>
      <c r="D19" s="172">
        <v>20</v>
      </c>
      <c r="F19" s="172">
        <v>20</v>
      </c>
      <c r="G19" s="172"/>
      <c r="H19" s="172">
        <v>22</v>
      </c>
      <c r="I19" s="172"/>
      <c r="J19" s="172">
        <v>22</v>
      </c>
      <c r="K19" s="172"/>
      <c r="L19" s="174">
        <v>16</v>
      </c>
      <c r="M19" s="174"/>
      <c r="N19" s="174">
        <f>32-16</f>
        <v>16</v>
      </c>
      <c r="O19" s="174"/>
      <c r="P19" s="180"/>
      <c r="Q19" s="174">
        <f>+L19+N19</f>
        <v>32</v>
      </c>
      <c r="S19" s="172">
        <f>+D19+F19</f>
        <v>40</v>
      </c>
    </row>
    <row r="20" spans="1:20" s="161" customFormat="1" ht="15.6" x14ac:dyDescent="0.3">
      <c r="A20" s="160"/>
      <c r="B20" s="163" t="s">
        <v>272</v>
      </c>
      <c r="C20" s="160"/>
      <c r="D20" s="161">
        <v>8</v>
      </c>
      <c r="F20" s="161">
        <v>7</v>
      </c>
      <c r="H20" s="161">
        <v>7</v>
      </c>
      <c r="J20" s="161">
        <v>8</v>
      </c>
      <c r="L20" s="181">
        <v>0</v>
      </c>
      <c r="M20" s="181"/>
      <c r="N20" s="181">
        <v>0</v>
      </c>
      <c r="O20" s="181"/>
      <c r="P20" s="175"/>
      <c r="Q20" s="181">
        <f>+L20+N20</f>
        <v>0</v>
      </c>
      <c r="S20" s="161">
        <f>+D20+F20</f>
        <v>15</v>
      </c>
      <c r="T20" s="167"/>
    </row>
    <row r="21" spans="1:20" s="161" customFormat="1" ht="15.6" x14ac:dyDescent="0.3">
      <c r="A21" s="160"/>
      <c r="B21" s="160"/>
      <c r="C21" s="160"/>
      <c r="D21" s="182">
        <f>SUM(D19:D20)</f>
        <v>28</v>
      </c>
      <c r="F21" s="182">
        <f>SUM(F19:F20)</f>
        <v>27</v>
      </c>
      <c r="G21" s="169"/>
      <c r="H21" s="182">
        <f>SUM(H19:H20)</f>
        <v>29</v>
      </c>
      <c r="I21" s="169"/>
      <c r="J21" s="182">
        <f>SUM(J19:J20)</f>
        <v>30</v>
      </c>
      <c r="K21" s="169"/>
      <c r="L21" s="183">
        <f>SUM(L19:L20)</f>
        <v>16</v>
      </c>
      <c r="M21" s="170"/>
      <c r="N21" s="183">
        <f>SUM(N19:N20)</f>
        <v>16</v>
      </c>
      <c r="O21" s="170"/>
      <c r="P21" s="171"/>
      <c r="Q21" s="183">
        <f>SUM(Q19:Q20)</f>
        <v>32</v>
      </c>
      <c r="R21" s="169"/>
      <c r="S21" s="182">
        <f>SUM(S19:S20)</f>
        <v>55</v>
      </c>
      <c r="T21" s="169"/>
    </row>
    <row r="22" spans="1:20" s="161" customFormat="1" ht="15.6" x14ac:dyDescent="0.3">
      <c r="A22" s="160"/>
      <c r="B22" s="160"/>
      <c r="C22" s="160"/>
      <c r="O22" s="181"/>
      <c r="P22" s="175"/>
    </row>
    <row r="23" spans="1:20" s="161" customFormat="1" ht="15.6" x14ac:dyDescent="0.3">
      <c r="A23" s="160"/>
      <c r="B23" s="160"/>
      <c r="C23" s="160" t="s">
        <v>12</v>
      </c>
      <c r="D23" s="177">
        <f>+D13+D17+D21</f>
        <v>386</v>
      </c>
      <c r="F23" s="177">
        <f>+F13+F17+F21</f>
        <v>750</v>
      </c>
      <c r="G23" s="167"/>
      <c r="H23" s="177">
        <f>+H13+H17+H21</f>
        <v>1067</v>
      </c>
      <c r="I23" s="167"/>
      <c r="J23" s="177">
        <f>+J13+J17+J21</f>
        <v>945</v>
      </c>
      <c r="K23" s="167"/>
      <c r="L23" s="177">
        <f>+L13+L17+L21</f>
        <v>1230</v>
      </c>
      <c r="M23" s="167"/>
      <c r="N23" s="177">
        <f>+N13+N17+N21</f>
        <v>941</v>
      </c>
      <c r="O23" s="179"/>
      <c r="P23" s="175"/>
      <c r="Q23" s="177">
        <f>+Q13+Q17+Q21</f>
        <v>2171</v>
      </c>
      <c r="R23" s="167"/>
      <c r="S23" s="177">
        <f>+S13+S17+S21</f>
        <v>1136</v>
      </c>
      <c r="T23" s="167"/>
    </row>
    <row r="24" spans="1:20" s="161" customFormat="1" ht="15.6" x14ac:dyDescent="0.3">
      <c r="A24" s="160"/>
      <c r="B24" s="160"/>
      <c r="C24" s="160"/>
      <c r="D24" s="167"/>
      <c r="F24" s="167"/>
      <c r="G24" s="167"/>
      <c r="H24" s="167"/>
      <c r="I24" s="167"/>
      <c r="J24" s="167"/>
      <c r="K24" s="167"/>
      <c r="L24" s="179"/>
      <c r="M24" s="179"/>
      <c r="N24" s="179"/>
      <c r="O24" s="179"/>
      <c r="P24" s="175"/>
      <c r="Q24" s="179"/>
      <c r="R24" s="167"/>
      <c r="S24" s="167"/>
      <c r="T24" s="167"/>
    </row>
    <row r="25" spans="1:20" s="161" customFormat="1" ht="15.6" x14ac:dyDescent="0.3">
      <c r="A25" s="160" t="s">
        <v>14</v>
      </c>
      <c r="B25" s="160"/>
      <c r="C25" s="160"/>
      <c r="L25" s="181"/>
      <c r="M25" s="181"/>
      <c r="N25" s="181"/>
      <c r="O25" s="181"/>
      <c r="P25" s="175"/>
      <c r="Q25" s="181"/>
    </row>
    <row r="26" spans="1:20" s="161" customFormat="1" ht="15.6" x14ac:dyDescent="0.3">
      <c r="A26" s="160"/>
      <c r="B26" s="163" t="s">
        <v>269</v>
      </c>
      <c r="C26" s="160"/>
      <c r="L26" s="181"/>
      <c r="M26" s="181"/>
      <c r="N26" s="181"/>
      <c r="O26" s="181"/>
      <c r="P26" s="175"/>
      <c r="Q26" s="181"/>
    </row>
    <row r="27" spans="1:20" s="161" customFormat="1" ht="15.6" x14ac:dyDescent="0.3">
      <c r="A27" s="160"/>
      <c r="B27" s="163"/>
      <c r="C27" s="160" t="s">
        <v>270</v>
      </c>
      <c r="D27" s="164">
        <v>58</v>
      </c>
      <c r="F27" s="164">
        <v>58</v>
      </c>
      <c r="G27" s="161" t="s">
        <v>46</v>
      </c>
      <c r="H27" s="164">
        <v>39</v>
      </c>
      <c r="I27" s="161" t="s">
        <v>46</v>
      </c>
      <c r="J27" s="164">
        <v>40</v>
      </c>
      <c r="K27" s="161" t="s">
        <v>46</v>
      </c>
      <c r="L27" s="164">
        <v>83</v>
      </c>
      <c r="M27" s="164"/>
      <c r="N27" s="165">
        <f>174-83+5</f>
        <v>96</v>
      </c>
      <c r="O27" s="184"/>
      <c r="P27" s="175"/>
      <c r="Q27" s="164">
        <f>+L27+N27</f>
        <v>179</v>
      </c>
      <c r="R27" s="185"/>
      <c r="S27" s="164">
        <f>+D27+F27</f>
        <v>116</v>
      </c>
    </row>
    <row r="28" spans="1:20" s="161" customFormat="1" ht="15.6" x14ac:dyDescent="0.3">
      <c r="A28" s="160"/>
      <c r="B28" s="163"/>
      <c r="C28" s="160" t="s">
        <v>271</v>
      </c>
      <c r="D28" s="166">
        <v>8</v>
      </c>
      <c r="F28" s="166">
        <v>4</v>
      </c>
      <c r="H28" s="166">
        <v>3</v>
      </c>
      <c r="J28" s="166">
        <v>-1</v>
      </c>
      <c r="L28" s="166">
        <v>6</v>
      </c>
      <c r="M28" s="167"/>
      <c r="N28" s="168">
        <f>13-6</f>
        <v>7</v>
      </c>
      <c r="O28" s="184"/>
      <c r="P28" s="175"/>
      <c r="Q28" s="166">
        <f>+L28+N28</f>
        <v>13</v>
      </c>
      <c r="R28" s="185"/>
      <c r="S28" s="166">
        <f>+D28+F28</f>
        <v>12</v>
      </c>
    </row>
    <row r="29" spans="1:20" s="161" customFormat="1" ht="15.6" x14ac:dyDescent="0.3">
      <c r="A29" s="160"/>
      <c r="B29" s="163"/>
      <c r="C29" s="160"/>
      <c r="D29" s="169">
        <f>SUM(D27:D28)</f>
        <v>66</v>
      </c>
      <c r="F29" s="169">
        <f>SUM(F27:F28)</f>
        <v>62</v>
      </c>
      <c r="H29" s="169">
        <f>SUM(H27:H28)</f>
        <v>42</v>
      </c>
      <c r="J29" s="169">
        <f>SUM(J27:J28)</f>
        <v>39</v>
      </c>
      <c r="L29" s="169">
        <f>SUM(L27:L28)</f>
        <v>89</v>
      </c>
      <c r="M29" s="169"/>
      <c r="N29" s="170">
        <f>SUM(N27:N28)</f>
        <v>103</v>
      </c>
      <c r="O29" s="184"/>
      <c r="P29" s="175"/>
      <c r="Q29" s="169">
        <f>SUM(Q27:Q28)</f>
        <v>192</v>
      </c>
      <c r="R29" s="185"/>
      <c r="S29" s="169">
        <f>SUM(S27:S28)</f>
        <v>128</v>
      </c>
    </row>
    <row r="30" spans="1:20" s="161" customFormat="1" ht="15.6" x14ac:dyDescent="0.3">
      <c r="A30" s="160"/>
      <c r="B30" s="160"/>
      <c r="C30" s="163"/>
      <c r="D30" s="170"/>
      <c r="E30" s="167"/>
      <c r="F30" s="170"/>
      <c r="G30" s="167"/>
      <c r="H30" s="170"/>
      <c r="I30" s="167"/>
      <c r="J30" s="170"/>
      <c r="K30" s="167"/>
      <c r="L30" s="170"/>
      <c r="M30" s="170"/>
      <c r="N30" s="170"/>
      <c r="O30" s="184"/>
      <c r="P30" s="175"/>
      <c r="Q30" s="170"/>
      <c r="R30" s="186"/>
      <c r="S30" s="170"/>
    </row>
    <row r="31" spans="1:20" s="161" customFormat="1" ht="15.6" x14ac:dyDescent="0.3">
      <c r="A31" s="160"/>
      <c r="B31" s="160" t="s">
        <v>10</v>
      </c>
      <c r="C31" s="160"/>
      <c r="D31" s="161">
        <v>18</v>
      </c>
      <c r="F31" s="161">
        <v>17</v>
      </c>
      <c r="H31" s="161">
        <v>17</v>
      </c>
      <c r="J31" s="161">
        <f>15+2</f>
        <v>17</v>
      </c>
      <c r="L31" s="161">
        <v>16</v>
      </c>
      <c r="N31" s="181">
        <f>33-16</f>
        <v>17</v>
      </c>
      <c r="O31" s="181"/>
      <c r="P31" s="175"/>
      <c r="Q31" s="161">
        <f>+L31+N31</f>
        <v>33</v>
      </c>
      <c r="S31" s="161">
        <f>+D31+F31</f>
        <v>35</v>
      </c>
    </row>
    <row r="32" spans="1:20" s="161" customFormat="1" ht="15.6" x14ac:dyDescent="0.3">
      <c r="A32" s="160"/>
      <c r="B32" s="160" t="s">
        <v>130</v>
      </c>
      <c r="C32" s="160"/>
      <c r="D32" s="172">
        <v>49</v>
      </c>
      <c r="F32" s="172">
        <f>115+275</f>
        <v>390</v>
      </c>
      <c r="G32" s="172"/>
      <c r="H32" s="172">
        <f>314+372</f>
        <v>686</v>
      </c>
      <c r="I32" s="172"/>
      <c r="J32" s="172">
        <f>439+133</f>
        <v>572</v>
      </c>
      <c r="K32" s="172"/>
      <c r="L32" s="172">
        <f>462-13</f>
        <v>449</v>
      </c>
      <c r="M32" s="172"/>
      <c r="N32" s="174">
        <f>887-449-3</f>
        <v>435</v>
      </c>
      <c r="O32" s="184"/>
      <c r="P32" s="180"/>
      <c r="Q32" s="172">
        <f>+L32+N32</f>
        <v>884</v>
      </c>
      <c r="R32" s="185"/>
      <c r="S32" s="172">
        <f>+D32+F32</f>
        <v>439</v>
      </c>
      <c r="T32" s="187"/>
    </row>
    <row r="33" spans="1:21" s="161" customFormat="1" ht="14.25" customHeight="1" x14ac:dyDescent="0.3">
      <c r="A33" s="160"/>
      <c r="B33" s="160" t="s">
        <v>161</v>
      </c>
      <c r="C33" s="160"/>
      <c r="D33" s="172">
        <v>13</v>
      </c>
      <c r="F33" s="172">
        <v>15</v>
      </c>
      <c r="G33" s="172"/>
      <c r="H33" s="172">
        <v>14</v>
      </c>
      <c r="I33" s="172"/>
      <c r="J33" s="172">
        <v>15</v>
      </c>
      <c r="K33" s="172"/>
      <c r="L33" s="172">
        <v>14</v>
      </c>
      <c r="M33" s="172"/>
      <c r="N33" s="174">
        <f>26-14</f>
        <v>12</v>
      </c>
      <c r="O33" s="184"/>
      <c r="P33" s="180"/>
      <c r="Q33" s="172">
        <f>+L33+N33</f>
        <v>26</v>
      </c>
      <c r="R33" s="185"/>
      <c r="S33" s="172">
        <f>+D33+F33</f>
        <v>28</v>
      </c>
      <c r="T33" s="167"/>
    </row>
    <row r="34" spans="1:21" s="161" customFormat="1" ht="15.6" x14ac:dyDescent="0.3">
      <c r="A34" s="160"/>
      <c r="B34" s="160"/>
      <c r="C34" s="160"/>
      <c r="D34" s="177">
        <f>SUM(D29:D33)</f>
        <v>146</v>
      </c>
      <c r="F34" s="177">
        <f>SUM(F29:F33)</f>
        <v>484</v>
      </c>
      <c r="G34" s="167"/>
      <c r="H34" s="177">
        <f>SUM(H29:H33)</f>
        <v>759</v>
      </c>
      <c r="I34" s="167"/>
      <c r="J34" s="177">
        <f>SUM(J29:J33)</f>
        <v>643</v>
      </c>
      <c r="K34" s="167"/>
      <c r="L34" s="177">
        <f>SUM(L29:L33)</f>
        <v>568</v>
      </c>
      <c r="M34" s="167"/>
      <c r="N34" s="177">
        <f>SUM(N29:N33)</f>
        <v>567</v>
      </c>
      <c r="O34" s="179"/>
      <c r="P34" s="175"/>
      <c r="Q34" s="177">
        <f>SUM(Q29:Q33)</f>
        <v>1135</v>
      </c>
      <c r="R34" s="167"/>
      <c r="S34" s="177">
        <f>SUM(S29:S33)</f>
        <v>630</v>
      </c>
      <c r="T34" s="167"/>
    </row>
    <row r="35" spans="1:21" s="161" customFormat="1" ht="15.6" x14ac:dyDescent="0.3">
      <c r="A35" s="160"/>
      <c r="B35" s="160"/>
      <c r="C35" s="160"/>
      <c r="D35" s="186"/>
      <c r="F35" s="186"/>
      <c r="G35" s="186"/>
      <c r="H35" s="186"/>
      <c r="I35" s="186"/>
      <c r="J35" s="186"/>
      <c r="K35" s="186"/>
      <c r="L35" s="188"/>
      <c r="M35" s="188"/>
      <c r="N35" s="188"/>
      <c r="O35" s="188"/>
      <c r="P35" s="175"/>
      <c r="Q35" s="188"/>
      <c r="R35" s="167"/>
      <c r="S35" s="186"/>
      <c r="T35" s="186"/>
    </row>
    <row r="36" spans="1:21" s="161" customFormat="1" ht="15.6" x14ac:dyDescent="0.3">
      <c r="A36" s="160" t="s">
        <v>15</v>
      </c>
      <c r="B36" s="160"/>
      <c r="C36" s="160"/>
      <c r="D36" s="186"/>
      <c r="F36" s="186"/>
      <c r="G36" s="186"/>
      <c r="H36" s="186"/>
      <c r="I36" s="186"/>
      <c r="J36" s="186"/>
      <c r="K36" s="186"/>
      <c r="L36" s="188"/>
      <c r="M36" s="188"/>
      <c r="N36" s="188"/>
      <c r="O36" s="188"/>
      <c r="P36" s="175"/>
      <c r="Q36" s="188"/>
      <c r="R36" s="167"/>
      <c r="S36" s="186"/>
      <c r="T36" s="186"/>
    </row>
    <row r="37" spans="1:21" s="161" customFormat="1" ht="15.6" x14ac:dyDescent="0.3">
      <c r="A37" s="160"/>
      <c r="B37" s="163" t="s">
        <v>9</v>
      </c>
      <c r="D37" s="181">
        <v>204</v>
      </c>
      <c r="E37" s="181"/>
      <c r="F37" s="181">
        <v>183</v>
      </c>
      <c r="G37" s="181"/>
      <c r="H37" s="181">
        <v>191</v>
      </c>
      <c r="I37" s="181"/>
      <c r="J37" s="181">
        <v>190</v>
      </c>
      <c r="K37" s="181"/>
      <c r="L37" s="181">
        <f>179+20</f>
        <v>199</v>
      </c>
      <c r="M37" s="181"/>
      <c r="N37" s="181">
        <v>218</v>
      </c>
      <c r="O37" s="181"/>
      <c r="P37" s="175"/>
      <c r="Q37" s="181">
        <f>+L37+N37</f>
        <v>417</v>
      </c>
      <c r="R37" s="181"/>
      <c r="S37" s="181">
        <f>+D37+F37</f>
        <v>387</v>
      </c>
      <c r="U37" s="189" t="s">
        <v>173</v>
      </c>
    </row>
    <row r="38" spans="1:21" s="161" customFormat="1" ht="15.6" x14ac:dyDescent="0.3">
      <c r="A38" s="160"/>
      <c r="B38" s="160" t="s">
        <v>10</v>
      </c>
      <c r="C38" s="160"/>
      <c r="D38" s="181">
        <v>4</v>
      </c>
      <c r="E38" s="181"/>
      <c r="F38" s="174">
        <v>3</v>
      </c>
      <c r="G38" s="174"/>
      <c r="H38" s="174">
        <v>4</v>
      </c>
      <c r="I38" s="174"/>
      <c r="J38" s="174">
        <v>5</v>
      </c>
      <c r="K38" s="174"/>
      <c r="L38" s="174">
        <v>4</v>
      </c>
      <c r="M38" s="174"/>
      <c r="N38" s="174">
        <f>7-4</f>
        <v>3</v>
      </c>
      <c r="O38" s="174"/>
      <c r="P38" s="180"/>
      <c r="Q38" s="181">
        <f>+L38+N38</f>
        <v>7</v>
      </c>
      <c r="R38" s="181"/>
      <c r="S38" s="181">
        <f>+D38+F38</f>
        <v>7</v>
      </c>
    </row>
    <row r="39" spans="1:21" s="161" customFormat="1" ht="15.6" x14ac:dyDescent="0.3">
      <c r="A39" s="160"/>
      <c r="B39" s="160" t="s">
        <v>130</v>
      </c>
      <c r="C39" s="160"/>
      <c r="D39" s="174">
        <v>0</v>
      </c>
      <c r="E39" s="174"/>
      <c r="F39" s="174">
        <v>2</v>
      </c>
      <c r="G39" s="174"/>
      <c r="H39" s="174">
        <f>3+2</f>
        <v>5</v>
      </c>
      <c r="I39" s="174"/>
      <c r="J39" s="174">
        <v>3</v>
      </c>
      <c r="K39" s="174"/>
      <c r="L39" s="174">
        <f>4-1</f>
        <v>3</v>
      </c>
      <c r="M39" s="174"/>
      <c r="N39" s="174">
        <v>6</v>
      </c>
      <c r="O39" s="174"/>
      <c r="P39" s="180"/>
      <c r="Q39" s="181">
        <f>+L39+N39</f>
        <v>9</v>
      </c>
      <c r="R39" s="174"/>
      <c r="S39" s="181">
        <f>+D39+F39</f>
        <v>2</v>
      </c>
      <c r="T39" s="187"/>
    </row>
    <row r="40" spans="1:21" s="161" customFormat="1" ht="15.6" x14ac:dyDescent="0.3">
      <c r="A40" s="160"/>
      <c r="B40" s="160" t="s">
        <v>161</v>
      </c>
      <c r="C40" s="160"/>
      <c r="D40" s="174">
        <v>1</v>
      </c>
      <c r="E40" s="181"/>
      <c r="F40" s="174">
        <v>1</v>
      </c>
      <c r="G40" s="174"/>
      <c r="H40" s="174">
        <v>0</v>
      </c>
      <c r="I40" s="174"/>
      <c r="J40" s="174">
        <v>1</v>
      </c>
      <c r="K40" s="174"/>
      <c r="L40" s="174">
        <v>1</v>
      </c>
      <c r="M40" s="174"/>
      <c r="N40" s="174">
        <f>2-1</f>
        <v>1</v>
      </c>
      <c r="O40" s="174"/>
      <c r="P40" s="180"/>
      <c r="Q40" s="181">
        <f>+L40+N40</f>
        <v>2</v>
      </c>
      <c r="R40" s="181"/>
      <c r="S40" s="181">
        <f>+D40+F40</f>
        <v>2</v>
      </c>
    </row>
    <row r="41" spans="1:21" s="161" customFormat="1" ht="15.6" x14ac:dyDescent="0.3">
      <c r="A41" s="160"/>
      <c r="B41" s="160" t="s">
        <v>129</v>
      </c>
      <c r="C41" s="160"/>
      <c r="D41" s="174">
        <v>1</v>
      </c>
      <c r="E41" s="181"/>
      <c r="F41" s="174">
        <v>1</v>
      </c>
      <c r="G41" s="174"/>
      <c r="H41" s="174">
        <v>1</v>
      </c>
      <c r="I41" s="174"/>
      <c r="J41" s="174">
        <v>2</v>
      </c>
      <c r="K41" s="174"/>
      <c r="L41" s="174">
        <v>0</v>
      </c>
      <c r="M41" s="174"/>
      <c r="N41" s="174">
        <v>0</v>
      </c>
      <c r="O41" s="174"/>
      <c r="P41" s="180"/>
      <c r="Q41" s="181">
        <f>+L41+N41</f>
        <v>0</v>
      </c>
      <c r="R41" s="181"/>
      <c r="S41" s="181">
        <f>+D41+F41</f>
        <v>2</v>
      </c>
      <c r="T41" s="167"/>
    </row>
    <row r="42" spans="1:21" s="161" customFormat="1" ht="15.6" x14ac:dyDescent="0.3">
      <c r="A42" s="160"/>
      <c r="B42" s="160"/>
      <c r="C42" s="160"/>
      <c r="D42" s="178">
        <f>SUM(D37:D41)</f>
        <v>210</v>
      </c>
      <c r="E42" s="181"/>
      <c r="F42" s="178">
        <f>SUM(F37:F41)</f>
        <v>190</v>
      </c>
      <c r="G42" s="179"/>
      <c r="H42" s="178">
        <f>SUM(H37:H41)</f>
        <v>201</v>
      </c>
      <c r="I42" s="179"/>
      <c r="J42" s="178">
        <f>SUM(J37:J41)</f>
        <v>201</v>
      </c>
      <c r="K42" s="179"/>
      <c r="L42" s="178">
        <f>SUM(L37:L41)</f>
        <v>207</v>
      </c>
      <c r="M42" s="179"/>
      <c r="N42" s="178">
        <f>SUM(N37:N41)</f>
        <v>228</v>
      </c>
      <c r="O42" s="179"/>
      <c r="P42" s="175"/>
      <c r="Q42" s="178">
        <f>SUM(Q37:Q41)</f>
        <v>435</v>
      </c>
      <c r="R42" s="179"/>
      <c r="S42" s="178">
        <f>SUM(S37:S41)</f>
        <v>400</v>
      </c>
      <c r="T42" s="167"/>
    </row>
    <row r="43" spans="1:21" s="161" customFormat="1" ht="15.6" x14ac:dyDescent="0.3">
      <c r="A43" s="160"/>
      <c r="B43" s="160"/>
      <c r="C43" s="160"/>
      <c r="D43" s="167"/>
      <c r="F43" s="167"/>
      <c r="G43" s="167"/>
      <c r="H43" s="167"/>
      <c r="I43" s="167"/>
      <c r="J43" s="167"/>
      <c r="K43" s="167"/>
      <c r="L43" s="179"/>
      <c r="M43" s="179"/>
      <c r="N43" s="179"/>
      <c r="O43" s="179"/>
      <c r="P43" s="175"/>
      <c r="Q43" s="179"/>
      <c r="R43" s="167"/>
      <c r="S43" s="167"/>
      <c r="T43" s="167"/>
    </row>
    <row r="44" spans="1:21" s="161" customFormat="1" ht="15.6" x14ac:dyDescent="0.3">
      <c r="A44" s="163" t="s">
        <v>273</v>
      </c>
      <c r="B44" s="160"/>
      <c r="C44" s="160"/>
      <c r="L44" s="181"/>
      <c r="M44" s="181"/>
      <c r="N44" s="181"/>
      <c r="O44" s="181"/>
      <c r="P44" s="175"/>
      <c r="Q44" s="181"/>
    </row>
    <row r="45" spans="1:21" s="161" customFormat="1" ht="15.6" x14ac:dyDescent="0.3">
      <c r="A45" s="160"/>
      <c r="B45" s="160" t="s">
        <v>274</v>
      </c>
      <c r="C45" s="160"/>
      <c r="D45" s="190">
        <f>63-3</f>
        <v>60</v>
      </c>
      <c r="E45" s="181"/>
      <c r="F45" s="190">
        <f>61-3-3</f>
        <v>55</v>
      </c>
      <c r="G45" s="190"/>
      <c r="H45" s="190">
        <v>53</v>
      </c>
      <c r="I45" s="190"/>
      <c r="J45" s="190">
        <f>49-5</f>
        <v>44</v>
      </c>
      <c r="K45" s="190"/>
      <c r="L45" s="190">
        <f>90-9-2+4</f>
        <v>83</v>
      </c>
      <c r="M45" s="190"/>
      <c r="N45" s="190">
        <f>88-3</f>
        <v>85</v>
      </c>
      <c r="O45" s="190"/>
      <c r="P45" s="175"/>
      <c r="Q45" s="181">
        <f>+L45+N45</f>
        <v>168</v>
      </c>
      <c r="R45" s="190"/>
      <c r="S45" s="181">
        <f t="shared" ref="S45:S62" si="0">+D45+F45</f>
        <v>115</v>
      </c>
      <c r="U45" s="161" t="s">
        <v>275</v>
      </c>
    </row>
    <row r="46" spans="1:21" s="161" customFormat="1" ht="30.6" x14ac:dyDescent="0.3">
      <c r="A46" s="160"/>
      <c r="B46" s="160" t="s">
        <v>276</v>
      </c>
      <c r="C46" s="160"/>
      <c r="D46" s="190">
        <v>30</v>
      </c>
      <c r="E46" s="181"/>
      <c r="F46" s="190">
        <v>26</v>
      </c>
      <c r="G46" s="190"/>
      <c r="H46" s="190">
        <v>20</v>
      </c>
      <c r="I46" s="190"/>
      <c r="J46" s="190">
        <v>16</v>
      </c>
      <c r="K46" s="190"/>
      <c r="L46" s="190">
        <v>28</v>
      </c>
      <c r="M46" s="190"/>
      <c r="N46" s="190">
        <v>19</v>
      </c>
      <c r="O46" s="190"/>
      <c r="P46" s="175"/>
      <c r="Q46" s="181">
        <f t="shared" ref="Q46:Q62" si="1">+L46+N46</f>
        <v>47</v>
      </c>
      <c r="R46" s="190"/>
      <c r="S46" s="181">
        <f t="shared" si="0"/>
        <v>56</v>
      </c>
      <c r="U46" s="191" t="s">
        <v>277</v>
      </c>
    </row>
    <row r="47" spans="1:21" s="161" customFormat="1" ht="15.6" x14ac:dyDescent="0.3">
      <c r="A47" s="160"/>
      <c r="B47" s="160" t="s">
        <v>278</v>
      </c>
      <c r="C47" s="160"/>
      <c r="D47" s="190">
        <v>4</v>
      </c>
      <c r="E47" s="181"/>
      <c r="F47" s="190">
        <v>3</v>
      </c>
      <c r="G47" s="190"/>
      <c r="H47" s="190">
        <v>3</v>
      </c>
      <c r="I47" s="190"/>
      <c r="J47" s="190">
        <v>3</v>
      </c>
      <c r="K47" s="190"/>
      <c r="L47" s="190">
        <v>3</v>
      </c>
      <c r="M47" s="190"/>
      <c r="N47" s="190">
        <v>6</v>
      </c>
      <c r="O47" s="190"/>
      <c r="P47" s="175"/>
      <c r="Q47" s="181">
        <f t="shared" si="1"/>
        <v>9</v>
      </c>
      <c r="R47" s="190"/>
      <c r="S47" s="181">
        <f t="shared" si="0"/>
        <v>7</v>
      </c>
      <c r="U47" s="191" t="s">
        <v>279</v>
      </c>
    </row>
    <row r="48" spans="1:21" s="161" customFormat="1" ht="15.6" x14ac:dyDescent="0.3">
      <c r="A48" s="160"/>
      <c r="B48" s="160" t="s">
        <v>280</v>
      </c>
      <c r="C48" s="160"/>
      <c r="D48" s="190">
        <v>8</v>
      </c>
      <c r="E48" s="181"/>
      <c r="F48" s="190">
        <v>7</v>
      </c>
      <c r="G48" s="190"/>
      <c r="H48" s="190">
        <v>9</v>
      </c>
      <c r="I48" s="190"/>
      <c r="J48" s="190">
        <v>13</v>
      </c>
      <c r="K48" s="190"/>
      <c r="L48" s="190">
        <v>12</v>
      </c>
      <c r="M48" s="190"/>
      <c r="N48" s="190">
        <f>25-12</f>
        <v>13</v>
      </c>
      <c r="O48" s="190"/>
      <c r="P48" s="175"/>
      <c r="Q48" s="181">
        <f t="shared" si="1"/>
        <v>25</v>
      </c>
      <c r="R48" s="190"/>
      <c r="S48" s="181">
        <f t="shared" si="0"/>
        <v>15</v>
      </c>
    </row>
    <row r="49" spans="1:21" s="161" customFormat="1" ht="30.6" x14ac:dyDescent="0.3">
      <c r="A49" s="160"/>
      <c r="B49" s="160" t="s">
        <v>281</v>
      </c>
      <c r="C49" s="160"/>
      <c r="D49" s="190">
        <f>14+1-3-7</f>
        <v>5</v>
      </c>
      <c r="E49" s="181"/>
      <c r="F49" s="190">
        <f>4-1</f>
        <v>3</v>
      </c>
      <c r="G49" s="190"/>
      <c r="H49" s="190">
        <f>4+2</f>
        <v>6</v>
      </c>
      <c r="I49" s="190"/>
      <c r="J49" s="190">
        <f>8+5-2</f>
        <v>11</v>
      </c>
      <c r="K49" s="190"/>
      <c r="L49" s="190">
        <f>9+1-1</f>
        <v>9</v>
      </c>
      <c r="M49" s="190"/>
      <c r="N49" s="190">
        <f>20-9+2</f>
        <v>13</v>
      </c>
      <c r="O49" s="190"/>
      <c r="P49" s="175"/>
      <c r="Q49" s="181">
        <f t="shared" si="1"/>
        <v>22</v>
      </c>
      <c r="R49" s="190"/>
      <c r="S49" s="181">
        <f t="shared" si="0"/>
        <v>8</v>
      </c>
      <c r="U49" s="191" t="s">
        <v>282</v>
      </c>
    </row>
    <row r="50" spans="1:21" s="161" customFormat="1" ht="45.6" x14ac:dyDescent="0.3">
      <c r="A50" s="160"/>
      <c r="B50" s="160" t="s">
        <v>283</v>
      </c>
      <c r="C50" s="160"/>
      <c r="D50" s="190">
        <v>23</v>
      </c>
      <c r="E50" s="181"/>
      <c r="F50" s="190">
        <v>24</v>
      </c>
      <c r="G50" s="190"/>
      <c r="H50" s="190">
        <v>27</v>
      </c>
      <c r="I50" s="190"/>
      <c r="J50" s="190">
        <f>26+1</f>
        <v>27</v>
      </c>
      <c r="K50" s="190"/>
      <c r="L50" s="190">
        <v>32</v>
      </c>
      <c r="M50" s="190"/>
      <c r="N50" s="190">
        <f>71-32</f>
        <v>39</v>
      </c>
      <c r="O50" s="190"/>
      <c r="P50" s="175"/>
      <c r="Q50" s="181">
        <f t="shared" si="1"/>
        <v>71</v>
      </c>
      <c r="R50" s="190"/>
      <c r="S50" s="181">
        <f t="shared" si="0"/>
        <v>47</v>
      </c>
      <c r="U50" s="191" t="s">
        <v>284</v>
      </c>
    </row>
    <row r="51" spans="1:21" s="161" customFormat="1" ht="15.6" x14ac:dyDescent="0.3">
      <c r="A51" s="160"/>
      <c r="B51" s="160" t="s">
        <v>285</v>
      </c>
      <c r="C51" s="160"/>
      <c r="D51" s="190">
        <v>3</v>
      </c>
      <c r="E51" s="181"/>
      <c r="F51" s="190">
        <v>3</v>
      </c>
      <c r="G51" s="190"/>
      <c r="H51" s="190">
        <v>2</v>
      </c>
      <c r="I51" s="190"/>
      <c r="J51" s="190">
        <v>2</v>
      </c>
      <c r="K51" s="190"/>
      <c r="L51" s="190">
        <v>3</v>
      </c>
      <c r="M51" s="190"/>
      <c r="N51" s="190">
        <f>7-3</f>
        <v>4</v>
      </c>
      <c r="O51" s="190"/>
      <c r="P51" s="175"/>
      <c r="Q51" s="181">
        <f t="shared" si="1"/>
        <v>7</v>
      </c>
      <c r="R51" s="190"/>
      <c r="S51" s="181">
        <f t="shared" si="0"/>
        <v>6</v>
      </c>
    </row>
    <row r="52" spans="1:21" s="161" customFormat="1" ht="30.6" x14ac:dyDescent="0.3">
      <c r="A52" s="160"/>
      <c r="B52" s="160" t="s">
        <v>286</v>
      </c>
      <c r="C52" s="160"/>
      <c r="D52" s="190">
        <v>17</v>
      </c>
      <c r="E52" s="181"/>
      <c r="F52" s="190">
        <v>18</v>
      </c>
      <c r="G52" s="190"/>
      <c r="H52" s="190">
        <v>11</v>
      </c>
      <c r="I52" s="190"/>
      <c r="J52" s="190">
        <v>12</v>
      </c>
      <c r="K52" s="190"/>
      <c r="L52" s="190">
        <v>20</v>
      </c>
      <c r="M52" s="190"/>
      <c r="N52" s="190">
        <f>34-20</f>
        <v>14</v>
      </c>
      <c r="O52" s="190"/>
      <c r="P52" s="175"/>
      <c r="Q52" s="181">
        <f t="shared" si="1"/>
        <v>34</v>
      </c>
      <c r="R52" s="190"/>
      <c r="S52" s="181">
        <f t="shared" si="0"/>
        <v>35</v>
      </c>
      <c r="U52" s="191" t="s">
        <v>287</v>
      </c>
    </row>
    <row r="53" spans="1:21" s="161" customFormat="1" ht="15.6" x14ac:dyDescent="0.3">
      <c r="A53" s="160"/>
      <c r="B53" s="160" t="s">
        <v>288</v>
      </c>
      <c r="C53" s="160"/>
      <c r="D53" s="159">
        <v>0</v>
      </c>
      <c r="E53" s="181"/>
      <c r="F53" s="159">
        <v>2</v>
      </c>
      <c r="G53" s="159"/>
      <c r="H53" s="159">
        <v>1</v>
      </c>
      <c r="I53" s="159"/>
      <c r="J53" s="159">
        <v>1</v>
      </c>
      <c r="K53" s="159"/>
      <c r="L53" s="159">
        <v>1</v>
      </c>
      <c r="M53" s="159"/>
      <c r="N53" s="159">
        <v>1</v>
      </c>
      <c r="O53" s="159"/>
      <c r="P53" s="180"/>
      <c r="Q53" s="181">
        <f t="shared" si="1"/>
        <v>2</v>
      </c>
      <c r="R53" s="190"/>
      <c r="S53" s="181">
        <f t="shared" si="0"/>
        <v>2</v>
      </c>
    </row>
    <row r="54" spans="1:21" s="161" customFormat="1" ht="15.6" x14ac:dyDescent="0.3">
      <c r="A54" s="160"/>
      <c r="B54" s="160" t="s">
        <v>289</v>
      </c>
      <c r="C54" s="160"/>
      <c r="D54" s="159">
        <v>0</v>
      </c>
      <c r="E54" s="181"/>
      <c r="F54" s="159">
        <v>1</v>
      </c>
      <c r="G54" s="159"/>
      <c r="H54" s="159">
        <v>0</v>
      </c>
      <c r="I54" s="159"/>
      <c r="J54" s="159">
        <v>0</v>
      </c>
      <c r="K54" s="159"/>
      <c r="L54" s="159">
        <v>1</v>
      </c>
      <c r="M54" s="159"/>
      <c r="N54" s="159">
        <v>0</v>
      </c>
      <c r="O54" s="159"/>
      <c r="P54" s="180"/>
      <c r="Q54" s="181">
        <f t="shared" si="1"/>
        <v>1</v>
      </c>
      <c r="R54" s="190"/>
      <c r="S54" s="181">
        <f t="shared" si="0"/>
        <v>1</v>
      </c>
    </row>
    <row r="55" spans="1:21" s="161" customFormat="1" ht="15.6" x14ac:dyDescent="0.3">
      <c r="A55" s="160"/>
      <c r="B55" s="160" t="s">
        <v>290</v>
      </c>
      <c r="C55" s="160"/>
      <c r="D55" s="190">
        <v>1</v>
      </c>
      <c r="E55" s="181"/>
      <c r="F55" s="190">
        <v>1</v>
      </c>
      <c r="G55" s="190"/>
      <c r="H55" s="190">
        <v>1</v>
      </c>
      <c r="I55" s="190"/>
      <c r="J55" s="190">
        <v>1</v>
      </c>
      <c r="K55" s="190"/>
      <c r="L55" s="190">
        <v>1</v>
      </c>
      <c r="M55" s="190"/>
      <c r="N55" s="190">
        <v>1</v>
      </c>
      <c r="O55" s="190"/>
      <c r="P55" s="175"/>
      <c r="Q55" s="181">
        <f t="shared" si="1"/>
        <v>2</v>
      </c>
      <c r="R55" s="190"/>
      <c r="S55" s="181">
        <f t="shared" si="0"/>
        <v>2</v>
      </c>
    </row>
    <row r="56" spans="1:21" s="161" customFormat="1" ht="15.6" x14ac:dyDescent="0.3">
      <c r="A56" s="160"/>
      <c r="B56" s="160" t="s">
        <v>291</v>
      </c>
      <c r="C56" s="160"/>
      <c r="D56" s="190">
        <v>4</v>
      </c>
      <c r="E56" s="181"/>
      <c r="F56" s="190">
        <v>4</v>
      </c>
      <c r="G56" s="190"/>
      <c r="H56" s="190">
        <v>2</v>
      </c>
      <c r="I56" s="190"/>
      <c r="J56" s="190">
        <v>3</v>
      </c>
      <c r="K56" s="190"/>
      <c r="L56" s="190">
        <v>5</v>
      </c>
      <c r="M56" s="190"/>
      <c r="N56" s="190">
        <f>9-5</f>
        <v>4</v>
      </c>
      <c r="O56" s="190"/>
      <c r="P56" s="175"/>
      <c r="Q56" s="181">
        <f t="shared" si="1"/>
        <v>9</v>
      </c>
      <c r="R56" s="190"/>
      <c r="S56" s="181">
        <f t="shared" si="0"/>
        <v>8</v>
      </c>
    </row>
    <row r="57" spans="1:21" s="161" customFormat="1" ht="15.6" x14ac:dyDescent="0.3">
      <c r="A57" s="160"/>
      <c r="B57" s="160" t="s">
        <v>292</v>
      </c>
      <c r="C57" s="160"/>
      <c r="D57" s="190">
        <v>3</v>
      </c>
      <c r="E57" s="181"/>
      <c r="F57" s="190">
        <f>7-2</f>
        <v>5</v>
      </c>
      <c r="G57" s="190"/>
      <c r="H57" s="190">
        <v>8</v>
      </c>
      <c r="I57" s="190"/>
      <c r="J57" s="190">
        <v>3</v>
      </c>
      <c r="K57" s="190"/>
      <c r="L57" s="190">
        <v>6</v>
      </c>
      <c r="M57" s="190"/>
      <c r="N57" s="190">
        <f>13-6</f>
        <v>7</v>
      </c>
      <c r="O57" s="190"/>
      <c r="P57" s="175"/>
      <c r="Q57" s="181">
        <f t="shared" si="1"/>
        <v>13</v>
      </c>
      <c r="R57" s="190"/>
      <c r="S57" s="181">
        <f t="shared" si="0"/>
        <v>8</v>
      </c>
    </row>
    <row r="58" spans="1:21" s="161" customFormat="1" ht="15.6" x14ac:dyDescent="0.3">
      <c r="A58" s="160"/>
      <c r="B58" s="160" t="s">
        <v>293</v>
      </c>
      <c r="C58" s="160"/>
      <c r="D58" s="190">
        <v>3</v>
      </c>
      <c r="E58" s="181"/>
      <c r="F58" s="190">
        <v>1</v>
      </c>
      <c r="G58" s="190"/>
      <c r="H58" s="190">
        <v>5</v>
      </c>
      <c r="I58" s="190"/>
      <c r="J58" s="190">
        <v>-3</v>
      </c>
      <c r="K58" s="190"/>
      <c r="L58" s="190">
        <f>-3+2</f>
        <v>-1</v>
      </c>
      <c r="M58" s="190"/>
      <c r="N58" s="190">
        <v>1</v>
      </c>
      <c r="O58" s="190"/>
      <c r="P58" s="175"/>
      <c r="Q58" s="181">
        <f t="shared" si="1"/>
        <v>0</v>
      </c>
      <c r="R58" s="190"/>
      <c r="S58" s="181">
        <f t="shared" si="0"/>
        <v>4</v>
      </c>
    </row>
    <row r="59" spans="1:21" s="161" customFormat="1" ht="15.6" x14ac:dyDescent="0.3">
      <c r="A59" s="160"/>
      <c r="B59" s="160" t="s">
        <v>294</v>
      </c>
      <c r="C59" s="160"/>
      <c r="D59" s="159">
        <v>2</v>
      </c>
      <c r="E59" s="181"/>
      <c r="F59" s="159">
        <v>0</v>
      </c>
      <c r="G59" s="159"/>
      <c r="H59" s="159">
        <v>0</v>
      </c>
      <c r="I59" s="159"/>
      <c r="J59" s="159">
        <v>0</v>
      </c>
      <c r="K59" s="159"/>
      <c r="L59" s="159">
        <v>0</v>
      </c>
      <c r="M59" s="159"/>
      <c r="N59" s="159">
        <v>0</v>
      </c>
      <c r="O59" s="159"/>
      <c r="P59" s="175"/>
      <c r="Q59" s="181">
        <f t="shared" si="1"/>
        <v>0</v>
      </c>
      <c r="R59" s="190"/>
      <c r="S59" s="181">
        <f t="shared" si="0"/>
        <v>2</v>
      </c>
      <c r="T59" s="172"/>
    </row>
    <row r="60" spans="1:21" s="161" customFormat="1" ht="15.6" x14ac:dyDescent="0.3">
      <c r="A60" s="160"/>
      <c r="B60" s="160" t="s">
        <v>295</v>
      </c>
      <c r="C60" s="160"/>
      <c r="D60" s="159">
        <v>0</v>
      </c>
      <c r="E60" s="181"/>
      <c r="F60" s="159">
        <v>0</v>
      </c>
      <c r="G60" s="159"/>
      <c r="H60" s="159">
        <v>0</v>
      </c>
      <c r="I60" s="159"/>
      <c r="J60" s="159">
        <v>0</v>
      </c>
      <c r="K60" s="159"/>
      <c r="L60" s="159">
        <v>2</v>
      </c>
      <c r="M60" s="159"/>
      <c r="N60" s="159">
        <v>0</v>
      </c>
      <c r="O60" s="159"/>
      <c r="P60" s="175"/>
      <c r="Q60" s="181">
        <f t="shared" si="1"/>
        <v>2</v>
      </c>
      <c r="R60" s="190"/>
      <c r="S60" s="181">
        <f t="shared" si="0"/>
        <v>0</v>
      </c>
      <c r="T60" s="172"/>
    </row>
    <row r="61" spans="1:21" s="161" customFormat="1" ht="15.6" x14ac:dyDescent="0.3">
      <c r="A61" s="160"/>
      <c r="B61" s="160" t="s">
        <v>296</v>
      </c>
      <c r="C61" s="160"/>
      <c r="D61" s="159">
        <v>0</v>
      </c>
      <c r="E61" s="181"/>
      <c r="F61" s="159">
        <v>0</v>
      </c>
      <c r="G61" s="159"/>
      <c r="H61" s="159">
        <v>0</v>
      </c>
      <c r="I61" s="159"/>
      <c r="J61" s="159">
        <v>0</v>
      </c>
      <c r="K61" s="159"/>
      <c r="L61" s="159">
        <v>1</v>
      </c>
      <c r="M61" s="159"/>
      <c r="N61" s="159">
        <v>2</v>
      </c>
      <c r="O61" s="159"/>
      <c r="P61" s="175"/>
      <c r="Q61" s="181">
        <f t="shared" si="1"/>
        <v>3</v>
      </c>
      <c r="R61" s="190"/>
      <c r="S61" s="181">
        <f t="shared" si="0"/>
        <v>0</v>
      </c>
      <c r="T61" s="172"/>
    </row>
    <row r="62" spans="1:21" s="161" customFormat="1" ht="60.6" x14ac:dyDescent="0.3">
      <c r="A62" s="160"/>
      <c r="B62" s="160" t="s">
        <v>11</v>
      </c>
      <c r="C62" s="160"/>
      <c r="D62" s="181">
        <f>3+1+3</f>
        <v>7</v>
      </c>
      <c r="E62" s="181"/>
      <c r="F62" s="181">
        <v>7</v>
      </c>
      <c r="G62" s="181"/>
      <c r="H62" s="181">
        <v>3</v>
      </c>
      <c r="I62" s="181"/>
      <c r="J62" s="181">
        <v>3</v>
      </c>
      <c r="K62" s="181"/>
      <c r="L62" s="181">
        <v>4</v>
      </c>
      <c r="M62" s="181"/>
      <c r="N62" s="181">
        <v>5</v>
      </c>
      <c r="O62" s="181"/>
      <c r="P62" s="175"/>
      <c r="Q62" s="181">
        <f t="shared" si="1"/>
        <v>9</v>
      </c>
      <c r="R62" s="181"/>
      <c r="S62" s="181">
        <f t="shared" si="0"/>
        <v>14</v>
      </c>
      <c r="T62" s="167"/>
      <c r="U62" s="191" t="s">
        <v>297</v>
      </c>
    </row>
    <row r="63" spans="1:21" s="161" customFormat="1" ht="15.6" x14ac:dyDescent="0.3">
      <c r="A63" s="160"/>
      <c r="B63" s="160" t="s">
        <v>298</v>
      </c>
      <c r="C63" s="160"/>
      <c r="D63" s="192">
        <f>SUM(D45:D62)</f>
        <v>170</v>
      </c>
      <c r="F63" s="192">
        <f>SUM(F45:F62)</f>
        <v>160</v>
      </c>
      <c r="G63" s="169"/>
      <c r="H63" s="192">
        <f>SUM(H45:H62)</f>
        <v>151</v>
      </c>
      <c r="I63" s="169"/>
      <c r="J63" s="192">
        <f>SUM(J45:J62)</f>
        <v>136</v>
      </c>
      <c r="K63" s="169"/>
      <c r="L63" s="193">
        <f>SUM(L45:L62)</f>
        <v>210</v>
      </c>
      <c r="M63" s="170"/>
      <c r="N63" s="193">
        <f>SUM(N45:N62)</f>
        <v>214</v>
      </c>
      <c r="O63" s="170"/>
      <c r="P63" s="175"/>
      <c r="Q63" s="193">
        <f>SUM(Q45:Q62)</f>
        <v>424</v>
      </c>
      <c r="R63" s="169"/>
      <c r="S63" s="192">
        <f>SUM(S45:S62)</f>
        <v>330</v>
      </c>
      <c r="T63" s="169"/>
    </row>
    <row r="64" spans="1:21" s="161" customFormat="1" ht="15.6" x14ac:dyDescent="0.3">
      <c r="A64" s="160"/>
      <c r="B64" s="160"/>
      <c r="C64" s="160"/>
      <c r="D64" s="169"/>
      <c r="F64" s="169"/>
      <c r="G64" s="169"/>
      <c r="H64" s="169"/>
      <c r="I64" s="169"/>
      <c r="J64" s="169"/>
      <c r="K64" s="169"/>
      <c r="L64" s="170"/>
      <c r="M64" s="170"/>
      <c r="N64" s="170"/>
      <c r="O64" s="170"/>
      <c r="P64" s="175"/>
      <c r="Q64" s="170"/>
      <c r="R64" s="169"/>
      <c r="S64" s="169"/>
      <c r="T64" s="169"/>
    </row>
    <row r="65" spans="1:21" s="161" customFormat="1" ht="15.6" x14ac:dyDescent="0.3">
      <c r="A65" s="160"/>
      <c r="B65" s="160" t="s">
        <v>299</v>
      </c>
      <c r="C65" s="160"/>
      <c r="D65" s="190">
        <v>3</v>
      </c>
      <c r="E65" s="181"/>
      <c r="F65" s="190">
        <v>2</v>
      </c>
      <c r="G65" s="190"/>
      <c r="H65" s="190">
        <v>3</v>
      </c>
      <c r="I65" s="190"/>
      <c r="J65" s="190">
        <v>4</v>
      </c>
      <c r="K65" s="190"/>
      <c r="L65" s="190">
        <v>5</v>
      </c>
      <c r="M65" s="190"/>
      <c r="N65" s="190">
        <f>12-2-5+5-1-2-2</f>
        <v>5</v>
      </c>
      <c r="O65" s="190"/>
      <c r="P65" s="175"/>
      <c r="Q65" s="181">
        <f>+L65+N65</f>
        <v>10</v>
      </c>
      <c r="R65" s="190"/>
      <c r="S65" s="181">
        <f>+D65+F65</f>
        <v>5</v>
      </c>
    </row>
    <row r="66" spans="1:21" s="161" customFormat="1" ht="15.6" x14ac:dyDescent="0.3">
      <c r="A66" s="160"/>
      <c r="B66" s="160" t="s">
        <v>300</v>
      </c>
      <c r="C66" s="160"/>
      <c r="D66" s="174">
        <v>4</v>
      </c>
      <c r="E66" s="174"/>
      <c r="F66" s="174">
        <f>3+17</f>
        <v>20</v>
      </c>
      <c r="G66" s="174"/>
      <c r="H66" s="174">
        <f>24+15</f>
        <v>39</v>
      </c>
      <c r="I66" s="174"/>
      <c r="J66" s="174">
        <f>15+29</f>
        <v>44</v>
      </c>
      <c r="K66" s="174"/>
      <c r="L66" s="174">
        <v>33</v>
      </c>
      <c r="M66" s="174"/>
      <c r="N66" s="174">
        <v>30</v>
      </c>
      <c r="O66" s="174"/>
      <c r="P66" s="180"/>
      <c r="Q66" s="181">
        <f>+L66+N66</f>
        <v>63</v>
      </c>
      <c r="R66" s="174"/>
      <c r="S66" s="181">
        <f>+D66+F66</f>
        <v>24</v>
      </c>
      <c r="T66" s="187"/>
      <c r="U66" s="161" t="s">
        <v>301</v>
      </c>
    </row>
    <row r="67" spans="1:21" s="161" customFormat="1" ht="15.6" x14ac:dyDescent="0.3">
      <c r="A67" s="160"/>
      <c r="B67" s="160" t="s">
        <v>302</v>
      </c>
      <c r="C67" s="160"/>
      <c r="D67" s="174">
        <v>3</v>
      </c>
      <c r="E67" s="174"/>
      <c r="F67" s="174">
        <v>3</v>
      </c>
      <c r="G67" s="174"/>
      <c r="H67" s="174">
        <v>2</v>
      </c>
      <c r="I67" s="174"/>
      <c r="J67" s="174">
        <v>4</v>
      </c>
      <c r="K67" s="174"/>
      <c r="L67" s="174">
        <v>0</v>
      </c>
      <c r="M67" s="174"/>
      <c r="N67" s="174">
        <v>0</v>
      </c>
      <c r="O67" s="174"/>
      <c r="P67" s="180"/>
      <c r="Q67" s="181">
        <f>+L67+N67</f>
        <v>0</v>
      </c>
      <c r="R67" s="174"/>
      <c r="S67" s="181">
        <f>+D67+F67</f>
        <v>6</v>
      </c>
      <c r="T67" s="172"/>
    </row>
    <row r="68" spans="1:21" s="161" customFormat="1" ht="15.6" x14ac:dyDescent="0.3">
      <c r="A68" s="160"/>
      <c r="B68" s="160" t="s">
        <v>128</v>
      </c>
      <c r="C68" s="160"/>
      <c r="D68" s="174">
        <v>3</v>
      </c>
      <c r="E68" s="174"/>
      <c r="F68" s="174">
        <v>0</v>
      </c>
      <c r="G68" s="174"/>
      <c r="H68" s="174">
        <v>2</v>
      </c>
      <c r="I68" s="174"/>
      <c r="J68" s="174">
        <v>2</v>
      </c>
      <c r="K68" s="174"/>
      <c r="L68" s="174">
        <v>0</v>
      </c>
      <c r="M68" s="174"/>
      <c r="N68" s="174">
        <v>1</v>
      </c>
      <c r="O68" s="174"/>
      <c r="P68" s="180"/>
      <c r="Q68" s="181">
        <f>+L68+N68</f>
        <v>1</v>
      </c>
      <c r="R68" s="174"/>
      <c r="S68" s="181">
        <f>+D68+F68</f>
        <v>3</v>
      </c>
      <c r="T68" s="172"/>
    </row>
    <row r="69" spans="1:21" s="161" customFormat="1" ht="15.6" x14ac:dyDescent="0.3">
      <c r="A69" s="160"/>
      <c r="B69" s="160" t="s">
        <v>303</v>
      </c>
      <c r="C69" s="160"/>
      <c r="D69" s="194">
        <f>11-3-2</f>
        <v>6</v>
      </c>
      <c r="F69" s="194">
        <f>6-3-1</f>
        <v>2</v>
      </c>
      <c r="G69" s="169"/>
      <c r="H69" s="194">
        <v>-1</v>
      </c>
      <c r="I69" s="169"/>
      <c r="J69" s="194">
        <f>6-3-2</f>
        <v>1</v>
      </c>
      <c r="K69" s="169"/>
      <c r="L69" s="195">
        <v>0</v>
      </c>
      <c r="M69" s="170"/>
      <c r="N69" s="195">
        <v>1</v>
      </c>
      <c r="O69" s="170"/>
      <c r="P69" s="171"/>
      <c r="Q69" s="196">
        <f>+L69+N69</f>
        <v>1</v>
      </c>
      <c r="R69" s="169"/>
      <c r="S69" s="168">
        <f>+D69+F69</f>
        <v>8</v>
      </c>
      <c r="T69" s="169"/>
      <c r="U69" s="161" t="s">
        <v>304</v>
      </c>
    </row>
    <row r="70" spans="1:21" s="161" customFormat="1" ht="15.6" x14ac:dyDescent="0.3">
      <c r="A70" s="160"/>
      <c r="B70" s="160"/>
      <c r="C70" s="160" t="s">
        <v>305</v>
      </c>
      <c r="D70" s="169">
        <f>SUM(D63:D69)</f>
        <v>189</v>
      </c>
      <c r="F70" s="169">
        <f>SUM(F63:F69)</f>
        <v>187</v>
      </c>
      <c r="G70" s="169"/>
      <c r="H70" s="169">
        <f>SUM(H63:H69)</f>
        <v>196</v>
      </c>
      <c r="I70" s="169"/>
      <c r="J70" s="169">
        <f>SUM(J63:J69)</f>
        <v>191</v>
      </c>
      <c r="K70" s="169"/>
      <c r="L70" s="169">
        <f>SUM(L63:L69)</f>
        <v>248</v>
      </c>
      <c r="M70" s="170"/>
      <c r="N70" s="169">
        <f>SUM(N63:N69)</f>
        <v>251</v>
      </c>
      <c r="O70" s="170"/>
      <c r="P70" s="171"/>
      <c r="Q70" s="169">
        <f>SUM(Q63:Q69)</f>
        <v>499</v>
      </c>
      <c r="R70" s="169"/>
      <c r="S70" s="169">
        <f>SUM(S63:S69)</f>
        <v>376</v>
      </c>
      <c r="T70" s="169"/>
    </row>
    <row r="71" spans="1:21" s="161" customFormat="1" ht="15.6" x14ac:dyDescent="0.3">
      <c r="A71" s="160" t="s">
        <v>306</v>
      </c>
      <c r="B71" s="160"/>
      <c r="C71" s="160"/>
      <c r="D71" s="169"/>
      <c r="F71" s="169"/>
      <c r="G71" s="169"/>
      <c r="H71" s="169"/>
      <c r="I71" s="169"/>
      <c r="J71" s="169"/>
      <c r="K71" s="169"/>
      <c r="L71" s="170"/>
      <c r="M71" s="170"/>
      <c r="N71" s="170"/>
      <c r="O71" s="170"/>
      <c r="P71" s="171"/>
      <c r="Q71" s="170"/>
      <c r="R71" s="169"/>
      <c r="S71" s="169"/>
      <c r="T71" s="169"/>
    </row>
    <row r="72" spans="1:21" s="161" customFormat="1" ht="15.6" x14ac:dyDescent="0.3">
      <c r="A72" s="160"/>
      <c r="B72" s="160" t="s">
        <v>307</v>
      </c>
      <c r="C72" s="160"/>
      <c r="D72" s="197">
        <v>0</v>
      </c>
      <c r="E72" s="181"/>
      <c r="F72" s="197">
        <v>3</v>
      </c>
      <c r="G72" s="197"/>
      <c r="H72" s="197">
        <v>0</v>
      </c>
      <c r="I72" s="197"/>
      <c r="J72" s="197">
        <v>0</v>
      </c>
      <c r="K72" s="197"/>
      <c r="L72" s="197">
        <f>9+2</f>
        <v>11</v>
      </c>
      <c r="M72" s="197"/>
      <c r="N72" s="197">
        <v>5</v>
      </c>
      <c r="O72" s="197"/>
      <c r="P72" s="171"/>
      <c r="Q72" s="181">
        <f t="shared" ref="Q72:Q78" si="2">+L72+N72</f>
        <v>16</v>
      </c>
      <c r="R72" s="198"/>
      <c r="S72" s="181">
        <f t="shared" ref="S72:S78" si="3">+D72+F72</f>
        <v>3</v>
      </c>
      <c r="T72" s="172"/>
    </row>
    <row r="73" spans="1:21" s="161" customFormat="1" ht="15.6" x14ac:dyDescent="0.3">
      <c r="A73" s="160"/>
      <c r="B73" s="160" t="s">
        <v>308</v>
      </c>
      <c r="C73" s="160"/>
      <c r="D73" s="197">
        <v>0</v>
      </c>
      <c r="E73" s="181"/>
      <c r="F73" s="197">
        <v>0</v>
      </c>
      <c r="G73" s="197"/>
      <c r="H73" s="197">
        <v>0</v>
      </c>
      <c r="I73" s="197"/>
      <c r="J73" s="197">
        <v>0</v>
      </c>
      <c r="K73" s="197"/>
      <c r="L73" s="197">
        <v>0</v>
      </c>
      <c r="M73" s="197"/>
      <c r="N73" s="197">
        <v>2</v>
      </c>
      <c r="O73" s="197"/>
      <c r="P73" s="171"/>
      <c r="Q73" s="181">
        <f t="shared" si="2"/>
        <v>2</v>
      </c>
      <c r="R73" s="198"/>
      <c r="S73" s="181">
        <f t="shared" si="3"/>
        <v>0</v>
      </c>
      <c r="T73" s="172"/>
    </row>
    <row r="74" spans="1:21" s="161" customFormat="1" ht="15.6" x14ac:dyDescent="0.3">
      <c r="A74" s="160"/>
      <c r="B74" s="160" t="s">
        <v>309</v>
      </c>
      <c r="C74" s="160"/>
      <c r="D74" s="197">
        <v>0</v>
      </c>
      <c r="E74" s="181"/>
      <c r="F74" s="197">
        <v>0</v>
      </c>
      <c r="G74" s="197"/>
      <c r="H74" s="197">
        <v>5</v>
      </c>
      <c r="I74" s="197"/>
      <c r="J74" s="197">
        <v>0</v>
      </c>
      <c r="K74" s="197"/>
      <c r="L74" s="197">
        <v>0</v>
      </c>
      <c r="M74" s="197"/>
      <c r="N74" s="197">
        <v>2</v>
      </c>
      <c r="O74" s="197"/>
      <c r="P74" s="171"/>
      <c r="Q74" s="181">
        <f t="shared" si="2"/>
        <v>2</v>
      </c>
      <c r="R74" s="169"/>
      <c r="S74" s="181">
        <f t="shared" si="3"/>
        <v>0</v>
      </c>
      <c r="T74" s="172"/>
    </row>
    <row r="75" spans="1:21" s="161" customFormat="1" ht="15.6" x14ac:dyDescent="0.3">
      <c r="A75" s="160"/>
      <c r="B75" s="160" t="s">
        <v>310</v>
      </c>
      <c r="C75" s="160"/>
      <c r="D75" s="197">
        <v>0</v>
      </c>
      <c r="E75" s="181"/>
      <c r="F75" s="197">
        <v>0</v>
      </c>
      <c r="G75" s="197"/>
      <c r="H75" s="197">
        <v>0</v>
      </c>
      <c r="I75" s="197"/>
      <c r="J75" s="197">
        <v>81</v>
      </c>
      <c r="K75" s="197"/>
      <c r="L75" s="197">
        <v>0</v>
      </c>
      <c r="M75" s="197"/>
      <c r="N75" s="197">
        <v>0</v>
      </c>
      <c r="O75" s="197"/>
      <c r="P75" s="171"/>
      <c r="Q75" s="181">
        <f t="shared" si="2"/>
        <v>0</v>
      </c>
      <c r="R75" s="169"/>
      <c r="S75" s="181">
        <f t="shared" si="3"/>
        <v>0</v>
      </c>
      <c r="T75" s="172"/>
    </row>
    <row r="76" spans="1:21" s="161" customFormat="1" ht="15.6" x14ac:dyDescent="0.3">
      <c r="A76" s="160"/>
      <c r="B76" s="160" t="s">
        <v>311</v>
      </c>
      <c r="C76" s="160"/>
      <c r="D76" s="197">
        <v>0</v>
      </c>
      <c r="E76" s="181"/>
      <c r="F76" s="197">
        <v>0</v>
      </c>
      <c r="G76" s="197"/>
      <c r="H76" s="197">
        <v>0</v>
      </c>
      <c r="I76" s="197"/>
      <c r="J76" s="197">
        <v>0</v>
      </c>
      <c r="K76" s="197"/>
      <c r="L76" s="197">
        <v>0</v>
      </c>
      <c r="M76" s="197"/>
      <c r="N76" s="197">
        <v>0</v>
      </c>
      <c r="O76" s="197"/>
      <c r="P76" s="171"/>
      <c r="Q76" s="181">
        <f t="shared" si="2"/>
        <v>0</v>
      </c>
      <c r="R76" s="169"/>
      <c r="S76" s="181">
        <f t="shared" si="3"/>
        <v>0</v>
      </c>
      <c r="T76" s="172"/>
    </row>
    <row r="77" spans="1:21" s="161" customFormat="1" ht="15.6" x14ac:dyDescent="0.3">
      <c r="A77" s="160"/>
      <c r="B77" s="160" t="s">
        <v>312</v>
      </c>
      <c r="C77" s="160"/>
      <c r="D77" s="159">
        <v>0</v>
      </c>
      <c r="E77" s="181"/>
      <c r="F77" s="159">
        <f>20+28</f>
        <v>48</v>
      </c>
      <c r="G77" s="159"/>
      <c r="H77" s="159">
        <v>0</v>
      </c>
      <c r="I77" s="159"/>
      <c r="J77" s="159">
        <f>40+17</f>
        <v>57</v>
      </c>
      <c r="K77" s="159"/>
      <c r="L77" s="159">
        <v>0</v>
      </c>
      <c r="M77" s="159"/>
      <c r="N77" s="159">
        <v>0</v>
      </c>
      <c r="O77" s="159"/>
      <c r="P77" s="171"/>
      <c r="Q77" s="181">
        <f t="shared" si="2"/>
        <v>0</v>
      </c>
      <c r="R77" s="169"/>
      <c r="S77" s="181">
        <f t="shared" si="3"/>
        <v>48</v>
      </c>
      <c r="T77" s="172"/>
    </row>
    <row r="78" spans="1:21" s="161" customFormat="1" ht="15.6" x14ac:dyDescent="0.3">
      <c r="A78" s="160"/>
      <c r="B78" s="160" t="s">
        <v>313</v>
      </c>
      <c r="C78" s="160"/>
      <c r="D78" s="199">
        <v>0</v>
      </c>
      <c r="E78" s="181"/>
      <c r="F78" s="199">
        <v>-4</v>
      </c>
      <c r="G78" s="159"/>
      <c r="H78" s="199">
        <v>-2</v>
      </c>
      <c r="I78" s="159"/>
      <c r="J78" s="199">
        <v>-7</v>
      </c>
      <c r="K78" s="159"/>
      <c r="L78" s="199">
        <v>0</v>
      </c>
      <c r="M78" s="159"/>
      <c r="N78" s="199">
        <v>0</v>
      </c>
      <c r="O78" s="159"/>
      <c r="P78" s="171"/>
      <c r="Q78" s="196">
        <f t="shared" si="2"/>
        <v>0</v>
      </c>
      <c r="R78" s="169"/>
      <c r="S78" s="168">
        <f t="shared" si="3"/>
        <v>-4</v>
      </c>
      <c r="T78" s="172"/>
    </row>
    <row r="79" spans="1:21" s="161" customFormat="1" ht="15.6" x14ac:dyDescent="0.3">
      <c r="A79" s="160"/>
      <c r="B79" s="160"/>
      <c r="C79" s="160"/>
      <c r="D79" s="197">
        <f>SUM(D72:D78)</f>
        <v>0</v>
      </c>
      <c r="F79" s="200">
        <f>SUM(F72:F78)</f>
        <v>47</v>
      </c>
      <c r="G79" s="200"/>
      <c r="H79" s="200">
        <f>SUM(H72:H78)</f>
        <v>3</v>
      </c>
      <c r="I79" s="200"/>
      <c r="J79" s="200">
        <f>SUM(J72:J78)</f>
        <v>131</v>
      </c>
      <c r="K79" s="200"/>
      <c r="L79" s="197">
        <f>SUM(L72:L78)</f>
        <v>11</v>
      </c>
      <c r="M79" s="197"/>
      <c r="N79" s="197">
        <f>SUM(N72:N78)</f>
        <v>9</v>
      </c>
      <c r="O79" s="197"/>
      <c r="P79" s="171"/>
      <c r="Q79" s="197">
        <f>SUM(Q72:Q78)</f>
        <v>20</v>
      </c>
      <c r="R79" s="169"/>
      <c r="S79" s="200">
        <f>SUM(S72:S78)</f>
        <v>47</v>
      </c>
      <c r="T79" s="200"/>
    </row>
    <row r="80" spans="1:21" s="161" customFormat="1" ht="15.6" x14ac:dyDescent="0.3">
      <c r="A80" s="160"/>
      <c r="B80" s="160"/>
      <c r="C80" s="160"/>
      <c r="D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01"/>
      <c r="Q80" s="169"/>
      <c r="R80" s="169"/>
      <c r="S80" s="169"/>
      <c r="T80" s="169"/>
    </row>
    <row r="81" spans="1:21" s="161" customFormat="1" ht="15.6" x14ac:dyDescent="0.3">
      <c r="A81" s="160" t="s">
        <v>314</v>
      </c>
      <c r="B81" s="160"/>
      <c r="C81" s="160"/>
      <c r="D81" s="166">
        <f>59+5</f>
        <v>64</v>
      </c>
      <c r="F81" s="166">
        <v>53</v>
      </c>
      <c r="G81" s="167"/>
      <c r="H81" s="166">
        <v>37</v>
      </c>
      <c r="I81" s="167"/>
      <c r="J81" s="166">
        <v>27</v>
      </c>
      <c r="K81" s="167"/>
      <c r="L81" s="166">
        <f>22+1</f>
        <v>23</v>
      </c>
      <c r="M81" s="167"/>
      <c r="N81" s="168">
        <v>25</v>
      </c>
      <c r="O81" s="167"/>
      <c r="P81" s="162"/>
      <c r="Q81" s="196">
        <f>+L81+N81</f>
        <v>48</v>
      </c>
      <c r="S81" s="168">
        <f>+D81+F81</f>
        <v>117</v>
      </c>
      <c r="T81" s="167"/>
    </row>
    <row r="82" spans="1:21" s="161" customFormat="1" ht="15.6" x14ac:dyDescent="0.3">
      <c r="A82" s="160"/>
      <c r="B82" s="160"/>
      <c r="C82" s="160"/>
      <c r="P82" s="162"/>
    </row>
    <row r="83" spans="1:21" s="161" customFormat="1" ht="15.6" x14ac:dyDescent="0.3">
      <c r="A83" s="160" t="s">
        <v>22</v>
      </c>
      <c r="B83" s="160"/>
      <c r="C83" s="160"/>
      <c r="D83" s="164">
        <f>D23-D34-D42-D70-D79-D81</f>
        <v>-223</v>
      </c>
      <c r="F83" s="164">
        <f>F23-F34-F42-F70-F79-F81</f>
        <v>-211</v>
      </c>
      <c r="G83" s="164"/>
      <c r="H83" s="164">
        <f>H23-H34-H42-H70-H79-H81</f>
        <v>-129</v>
      </c>
      <c r="I83" s="164"/>
      <c r="J83" s="164">
        <f>J23-J34-J42-J70-J79-J81</f>
        <v>-248</v>
      </c>
      <c r="K83" s="164"/>
      <c r="L83" s="164">
        <f>L23-L34-L42-L70-L79-L81</f>
        <v>173</v>
      </c>
      <c r="M83" s="164"/>
      <c r="N83" s="164">
        <f>N23-N34-N42-N70-N79-N81</f>
        <v>-139</v>
      </c>
      <c r="O83" s="164"/>
      <c r="P83" s="202"/>
      <c r="Q83" s="164">
        <f>Q23-Q34-Q42-Q70-Q79-Q81</f>
        <v>34</v>
      </c>
      <c r="S83" s="164">
        <f>S23-S34-S42-S70-S79-S81</f>
        <v>-434</v>
      </c>
      <c r="T83" s="164"/>
      <c r="U83" s="161" t="s">
        <v>46</v>
      </c>
    </row>
    <row r="84" spans="1:21" s="161" customFormat="1" ht="15.6" x14ac:dyDescent="0.3">
      <c r="A84" s="160"/>
      <c r="B84" s="160"/>
      <c r="C84" s="160"/>
      <c r="D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2"/>
      <c r="Q84" s="167"/>
    </row>
    <row r="85" spans="1:21" s="161" customFormat="1" ht="15.6" x14ac:dyDescent="0.3">
      <c r="A85" s="160"/>
      <c r="B85" s="160"/>
      <c r="C85" s="160"/>
      <c r="D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2"/>
      <c r="Q85" s="167"/>
    </row>
    <row r="86" spans="1:21" s="161" customFormat="1" ht="15.6" x14ac:dyDescent="0.3">
      <c r="A86" s="160"/>
      <c r="B86" s="160"/>
      <c r="C86" s="160"/>
      <c r="D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2"/>
      <c r="Q86" s="167"/>
    </row>
    <row r="87" spans="1:21" s="161" customFormat="1" ht="15.6" x14ac:dyDescent="0.3">
      <c r="A87" s="163" t="s">
        <v>23</v>
      </c>
      <c r="B87" s="160"/>
      <c r="C87" s="160"/>
      <c r="D87" s="164">
        <v>9</v>
      </c>
      <c r="F87" s="164">
        <v>6</v>
      </c>
      <c r="G87" s="164"/>
      <c r="H87" s="164">
        <f>8</f>
        <v>8</v>
      </c>
      <c r="I87" s="164"/>
      <c r="J87" s="164">
        <f>29-23</f>
        <v>6</v>
      </c>
      <c r="K87" s="164"/>
      <c r="L87" s="164">
        <v>5</v>
      </c>
      <c r="M87" s="164"/>
      <c r="N87" s="164">
        <v>5</v>
      </c>
      <c r="O87" s="164"/>
      <c r="P87" s="202"/>
      <c r="Q87" s="164">
        <f>+L87+N87</f>
        <v>10</v>
      </c>
      <c r="R87" s="164"/>
      <c r="S87" s="164">
        <f>+D87+F87</f>
        <v>15</v>
      </c>
      <c r="T87" s="164"/>
    </row>
    <row r="88" spans="1:21" s="161" customFormat="1" ht="15.6" x14ac:dyDescent="0.3">
      <c r="A88" s="160"/>
      <c r="B88" s="160"/>
      <c r="C88" s="160"/>
      <c r="P88" s="162"/>
    </row>
    <row r="89" spans="1:21" s="161" customFormat="1" ht="15.6" x14ac:dyDescent="0.3">
      <c r="A89" s="160"/>
      <c r="B89" s="160"/>
      <c r="C89" s="160"/>
      <c r="P89" s="162"/>
    </row>
    <row r="90" spans="1:21" s="161" customFormat="1" ht="15.6" x14ac:dyDescent="0.3">
      <c r="A90" s="160" t="s">
        <v>24</v>
      </c>
      <c r="B90" s="203"/>
      <c r="C90" s="203"/>
      <c r="P90" s="162"/>
    </row>
    <row r="91" spans="1:21" s="161" customFormat="1" ht="30.6" x14ac:dyDescent="0.3">
      <c r="A91" s="160"/>
      <c r="B91" s="160" t="s">
        <v>315</v>
      </c>
      <c r="C91" s="160"/>
      <c r="D91" s="161">
        <v>-129</v>
      </c>
      <c r="F91" s="172">
        <v>-131</v>
      </c>
      <c r="G91" s="172"/>
      <c r="H91" s="228">
        <f>-154-5+2+3</f>
        <v>-154</v>
      </c>
      <c r="I91" s="172"/>
      <c r="J91" s="228">
        <f>-560+414</f>
        <v>-146</v>
      </c>
      <c r="K91" s="204"/>
      <c r="L91" s="205">
        <v>-140</v>
      </c>
      <c r="M91" s="205"/>
      <c r="N91" s="205">
        <f>-283+140</f>
        <v>-143</v>
      </c>
      <c r="O91" s="181"/>
      <c r="P91" s="175"/>
      <c r="Q91" s="181">
        <f>+N91+L91</f>
        <v>-283</v>
      </c>
      <c r="S91" s="172">
        <f>+D91+F91</f>
        <v>-260</v>
      </c>
      <c r="U91" s="191" t="s">
        <v>316</v>
      </c>
    </row>
    <row r="92" spans="1:21" s="161" customFormat="1" ht="15.6" x14ac:dyDescent="0.3">
      <c r="A92" s="160"/>
      <c r="B92" s="160"/>
      <c r="C92" s="160"/>
      <c r="D92" s="167"/>
      <c r="F92" s="167"/>
      <c r="G92" s="167"/>
      <c r="H92" s="167"/>
      <c r="I92" s="167"/>
      <c r="J92" s="167"/>
      <c r="K92" s="167"/>
      <c r="L92" s="179"/>
      <c r="M92" s="179"/>
      <c r="N92" s="179"/>
      <c r="O92" s="179"/>
      <c r="P92" s="175"/>
      <c r="Q92" s="179"/>
      <c r="R92" s="167"/>
      <c r="S92" s="167"/>
      <c r="T92" s="167"/>
    </row>
    <row r="93" spans="1:21" s="161" customFormat="1" ht="15.6" x14ac:dyDescent="0.3">
      <c r="A93" s="160"/>
      <c r="B93" s="160"/>
      <c r="C93" s="160"/>
      <c r="D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2"/>
      <c r="Q93" s="167"/>
      <c r="R93" s="167"/>
      <c r="S93" s="167"/>
      <c r="T93" s="167"/>
    </row>
    <row r="94" spans="1:21" s="161" customFormat="1" ht="15.6" x14ac:dyDescent="0.3">
      <c r="A94" s="163" t="s">
        <v>317</v>
      </c>
      <c r="B94" s="160"/>
      <c r="C94" s="160"/>
      <c r="P94" s="162"/>
      <c r="Q94" s="181"/>
      <c r="R94" s="181"/>
      <c r="S94" s="181"/>
      <c r="T94" s="181"/>
    </row>
    <row r="95" spans="1:21" s="161" customFormat="1" ht="27.75" customHeight="1" x14ac:dyDescent="0.3">
      <c r="A95" s="160"/>
      <c r="B95" s="257" t="s">
        <v>318</v>
      </c>
      <c r="C95" s="258"/>
      <c r="D95" s="161">
        <v>4</v>
      </c>
      <c r="F95" s="161">
        <v>3</v>
      </c>
      <c r="H95" s="161">
        <v>3</v>
      </c>
      <c r="J95" s="161">
        <v>4</v>
      </c>
      <c r="L95" s="181">
        <v>1</v>
      </c>
      <c r="M95" s="181"/>
      <c r="N95" s="181">
        <f>2-1</f>
        <v>1</v>
      </c>
      <c r="O95" s="181"/>
      <c r="P95" s="175"/>
      <c r="Q95" s="181">
        <f>+L95+N95</f>
        <v>2</v>
      </c>
      <c r="S95" s="161">
        <f>+D95+F95</f>
        <v>7</v>
      </c>
    </row>
    <row r="96" spans="1:21" s="161" customFormat="1" ht="15.6" x14ac:dyDescent="0.3">
      <c r="A96" s="160"/>
      <c r="B96" s="163" t="s">
        <v>319</v>
      </c>
      <c r="C96" s="160"/>
      <c r="D96" s="174">
        <v>-1</v>
      </c>
      <c r="E96" s="181"/>
      <c r="F96" s="174">
        <v>101</v>
      </c>
      <c r="G96" s="174"/>
      <c r="H96" s="174">
        <v>0</v>
      </c>
      <c r="I96" s="174"/>
      <c r="J96" s="174">
        <v>89</v>
      </c>
      <c r="K96" s="174"/>
      <c r="L96" s="174">
        <f>106-35</f>
        <v>71</v>
      </c>
      <c r="M96" s="174"/>
      <c r="N96" s="174">
        <f>104-71-35</f>
        <v>-2</v>
      </c>
      <c r="O96" s="172"/>
      <c r="P96" s="162"/>
      <c r="Q96" s="174">
        <f t="shared" ref="Q96:Q102" si="4">+L96+N96</f>
        <v>69</v>
      </c>
      <c r="R96" s="181"/>
      <c r="S96" s="181">
        <f t="shared" ref="S96:S102" si="5">+D96+F96</f>
        <v>100</v>
      </c>
      <c r="T96" s="181"/>
    </row>
    <row r="97" spans="1:26" s="161" customFormat="1" ht="15.6" x14ac:dyDescent="0.3">
      <c r="A97" s="160"/>
      <c r="B97" s="163" t="s">
        <v>320</v>
      </c>
      <c r="C97" s="160"/>
      <c r="D97" s="206">
        <v>-2</v>
      </c>
      <c r="E97" s="181"/>
      <c r="F97" s="206">
        <v>0</v>
      </c>
      <c r="G97" s="206"/>
      <c r="H97" s="206">
        <v>3</v>
      </c>
      <c r="I97" s="206"/>
      <c r="J97" s="174">
        <v>0</v>
      </c>
      <c r="K97" s="174"/>
      <c r="L97" s="174">
        <v>0</v>
      </c>
      <c r="M97" s="174"/>
      <c r="N97" s="174">
        <v>0</v>
      </c>
      <c r="O97" s="207"/>
      <c r="P97" s="208"/>
      <c r="Q97" s="174">
        <f t="shared" si="4"/>
        <v>0</v>
      </c>
      <c r="R97" s="206"/>
      <c r="S97" s="181">
        <f t="shared" si="5"/>
        <v>-2</v>
      </c>
      <c r="T97" s="181"/>
    </row>
    <row r="98" spans="1:26" s="161" customFormat="1" ht="15.6" x14ac:dyDescent="0.3">
      <c r="A98" s="160"/>
      <c r="B98" s="163" t="s">
        <v>321</v>
      </c>
      <c r="C98" s="160"/>
      <c r="D98" s="206">
        <v>0</v>
      </c>
      <c r="E98" s="181"/>
      <c r="F98" s="206">
        <v>0</v>
      </c>
      <c r="G98" s="206"/>
      <c r="H98" s="206">
        <v>1</v>
      </c>
      <c r="I98" s="206"/>
      <c r="J98" s="174">
        <v>1</v>
      </c>
      <c r="K98" s="174"/>
      <c r="L98" s="174">
        <v>1</v>
      </c>
      <c r="M98" s="174"/>
      <c r="N98" s="174">
        <v>1</v>
      </c>
      <c r="O98" s="207"/>
      <c r="P98" s="208"/>
      <c r="Q98" s="174">
        <f t="shared" si="4"/>
        <v>2</v>
      </c>
      <c r="R98" s="206"/>
      <c r="S98" s="181">
        <f t="shared" si="5"/>
        <v>0</v>
      </c>
      <c r="T98" s="181"/>
    </row>
    <row r="99" spans="1:26" s="161" customFormat="1" ht="15.6" x14ac:dyDescent="0.3">
      <c r="A99" s="160"/>
      <c r="B99" s="163" t="s">
        <v>322</v>
      </c>
      <c r="C99" s="160"/>
      <c r="D99" s="174">
        <v>3</v>
      </c>
      <c r="E99" s="181"/>
      <c r="F99" s="174">
        <v>0</v>
      </c>
      <c r="G99" s="174"/>
      <c r="H99" s="174">
        <f>-1-14-1</f>
        <v>-16</v>
      </c>
      <c r="I99" s="174"/>
      <c r="J99" s="174">
        <v>3</v>
      </c>
      <c r="K99" s="174"/>
      <c r="L99" s="174">
        <v>1</v>
      </c>
      <c r="M99" s="174"/>
      <c r="N99" s="174">
        <v>4</v>
      </c>
      <c r="O99" s="172"/>
      <c r="P99" s="162"/>
      <c r="Q99" s="174">
        <f t="shared" si="4"/>
        <v>5</v>
      </c>
      <c r="R99" s="181"/>
      <c r="S99" s="181">
        <f t="shared" si="5"/>
        <v>3</v>
      </c>
      <c r="T99" s="181"/>
      <c r="U99" s="161" t="s">
        <v>323</v>
      </c>
    </row>
    <row r="100" spans="1:26" s="161" customFormat="1" ht="15.6" x14ac:dyDescent="0.3">
      <c r="A100" s="160"/>
      <c r="B100" s="163" t="s">
        <v>324</v>
      </c>
      <c r="C100" s="160"/>
      <c r="D100" s="174">
        <v>0</v>
      </c>
      <c r="E100" s="181"/>
      <c r="F100" s="174">
        <v>0</v>
      </c>
      <c r="G100" s="174"/>
      <c r="H100" s="174">
        <v>0</v>
      </c>
      <c r="I100" s="174"/>
      <c r="J100" s="174">
        <v>0</v>
      </c>
      <c r="K100" s="174"/>
      <c r="L100" s="174">
        <v>0</v>
      </c>
      <c r="M100" s="174"/>
      <c r="N100" s="174">
        <v>8</v>
      </c>
      <c r="O100" s="172"/>
      <c r="P100" s="162"/>
      <c r="Q100" s="174">
        <f t="shared" si="4"/>
        <v>8</v>
      </c>
      <c r="R100" s="181"/>
      <c r="S100" s="181">
        <v>0</v>
      </c>
      <c r="T100" s="181"/>
    </row>
    <row r="101" spans="1:26" s="161" customFormat="1" ht="15.6" x14ac:dyDescent="0.3">
      <c r="A101" s="160"/>
      <c r="B101" s="163" t="s">
        <v>325</v>
      </c>
      <c r="C101" s="160"/>
      <c r="D101" s="174">
        <v>0</v>
      </c>
      <c r="E101" s="181"/>
      <c r="F101" s="174">
        <v>0</v>
      </c>
      <c r="G101" s="174"/>
      <c r="H101" s="174">
        <v>-20</v>
      </c>
      <c r="I101" s="174"/>
      <c r="J101" s="174">
        <v>-68</v>
      </c>
      <c r="K101" s="174"/>
      <c r="L101" s="174">
        <v>0</v>
      </c>
      <c r="M101" s="174"/>
      <c r="N101" s="174">
        <v>-190</v>
      </c>
      <c r="O101" s="172"/>
      <c r="P101" s="162"/>
      <c r="Q101" s="174">
        <f t="shared" si="4"/>
        <v>-190</v>
      </c>
      <c r="R101" s="181"/>
      <c r="S101" s="181">
        <f t="shared" si="5"/>
        <v>0</v>
      </c>
      <c r="T101" s="206"/>
    </row>
    <row r="102" spans="1:26" s="161" customFormat="1" ht="15.6" x14ac:dyDescent="0.3">
      <c r="A102" s="160"/>
      <c r="B102" s="163" t="s">
        <v>326</v>
      </c>
      <c r="C102" s="160"/>
      <c r="D102" s="172">
        <v>130</v>
      </c>
      <c r="F102" s="172">
        <v>76</v>
      </c>
      <c r="G102" s="172"/>
      <c r="H102" s="172">
        <v>5</v>
      </c>
      <c r="I102" s="172"/>
      <c r="J102" s="172">
        <v>44</v>
      </c>
      <c r="K102" s="172"/>
      <c r="L102" s="172">
        <v>0</v>
      </c>
      <c r="M102" s="172"/>
      <c r="N102" s="172">
        <v>2</v>
      </c>
      <c r="O102" s="172"/>
      <c r="P102" s="162"/>
      <c r="Q102" s="174">
        <f t="shared" si="4"/>
        <v>2</v>
      </c>
      <c r="R102" s="181"/>
      <c r="S102" s="161">
        <f t="shared" si="5"/>
        <v>206</v>
      </c>
      <c r="T102" s="206"/>
    </row>
    <row r="103" spans="1:26" s="161" customFormat="1" ht="15.6" x14ac:dyDescent="0.3">
      <c r="A103" s="160"/>
      <c r="B103" s="160"/>
      <c r="C103" s="160"/>
      <c r="D103" s="209">
        <f>SUM(D95:D102)</f>
        <v>134</v>
      </c>
      <c r="F103" s="209">
        <f>SUM(F95:F102)</f>
        <v>180</v>
      </c>
      <c r="G103" s="210"/>
      <c r="H103" s="209">
        <f>SUM(H95:H102)</f>
        <v>-24</v>
      </c>
      <c r="I103" s="210"/>
      <c r="J103" s="209">
        <f>SUM(J95:J102)</f>
        <v>73</v>
      </c>
      <c r="K103" s="210"/>
      <c r="L103" s="209">
        <f>SUM(L95:L102)</f>
        <v>74</v>
      </c>
      <c r="M103" s="210"/>
      <c r="N103" s="209">
        <f>SUM(N95:N102)</f>
        <v>-176</v>
      </c>
      <c r="O103" s="210"/>
      <c r="P103" s="162"/>
      <c r="Q103" s="209">
        <f>SUM(Q95:Q102)</f>
        <v>-102</v>
      </c>
      <c r="R103" s="179"/>
      <c r="S103" s="209">
        <f>SUM(S95:S102)</f>
        <v>314</v>
      </c>
      <c r="T103" s="179"/>
    </row>
    <row r="104" spans="1:26" s="161" customFormat="1" ht="15.6" x14ac:dyDescent="0.3">
      <c r="A104" s="160"/>
      <c r="B104" s="160"/>
      <c r="C104" s="160"/>
      <c r="P104" s="162"/>
      <c r="Q104" s="181"/>
      <c r="R104" s="181"/>
      <c r="S104" s="181"/>
      <c r="T104" s="181"/>
    </row>
    <row r="105" spans="1:26" s="161" customFormat="1" ht="15.6" x14ac:dyDescent="0.3">
      <c r="A105" s="160"/>
      <c r="B105" s="160"/>
      <c r="C105" s="160"/>
      <c r="P105" s="162"/>
      <c r="Q105" s="181"/>
      <c r="R105" s="181"/>
      <c r="S105" s="181"/>
      <c r="T105" s="181"/>
    </row>
    <row r="106" spans="1:26" s="161" customFormat="1" ht="15.6" x14ac:dyDescent="0.3">
      <c r="A106" s="160" t="s">
        <v>327</v>
      </c>
      <c r="B106" s="160"/>
      <c r="C106" s="203"/>
      <c r="D106" s="161">
        <f>+D83+D87+D91+D103</f>
        <v>-209</v>
      </c>
      <c r="F106" s="172">
        <f>+F83+F87+F91+F103</f>
        <v>-156</v>
      </c>
      <c r="G106" s="172"/>
      <c r="H106" s="172">
        <f>+H83+H87+H91+H103</f>
        <v>-299</v>
      </c>
      <c r="I106" s="172"/>
      <c r="J106" s="172">
        <f>+J83+J87+J91+J103</f>
        <v>-315</v>
      </c>
      <c r="K106" s="172"/>
      <c r="L106" s="172">
        <f>+L83+L87+L91+L103</f>
        <v>112</v>
      </c>
      <c r="M106" s="172"/>
      <c r="N106" s="172">
        <f>+N83+N87+N91+N103</f>
        <v>-453</v>
      </c>
      <c r="O106" s="172"/>
      <c r="P106" s="216"/>
      <c r="Q106" s="172">
        <f>+Q83+Q87+Q91+Q103</f>
        <v>-341</v>
      </c>
      <c r="R106" s="172"/>
      <c r="S106" s="172">
        <f>+S83+S87+S91+S103</f>
        <v>-365</v>
      </c>
      <c r="T106" s="181"/>
    </row>
    <row r="107" spans="1:26" s="161" customFormat="1" ht="15" x14ac:dyDescent="0.25">
      <c r="A107" s="203"/>
      <c r="B107" s="211"/>
      <c r="C107" s="203"/>
      <c r="P107" s="162"/>
      <c r="Q107" s="181"/>
      <c r="R107" s="181"/>
      <c r="S107" s="181"/>
      <c r="T107" s="181"/>
    </row>
    <row r="108" spans="1:26" s="161" customFormat="1" ht="15.6" x14ac:dyDescent="0.3">
      <c r="A108" s="160"/>
      <c r="B108" s="160"/>
      <c r="C108" s="160"/>
      <c r="D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2"/>
      <c r="Q108" s="179"/>
      <c r="R108" s="179"/>
      <c r="S108" s="179"/>
      <c r="T108" s="179"/>
    </row>
    <row r="109" spans="1:26" s="161" customFormat="1" ht="15.6" x14ac:dyDescent="0.3">
      <c r="A109" s="163" t="s">
        <v>25</v>
      </c>
      <c r="B109" s="160"/>
      <c r="C109" s="160"/>
      <c r="D109" s="212">
        <v>119</v>
      </c>
      <c r="F109" s="212">
        <v>0</v>
      </c>
      <c r="G109" s="210"/>
      <c r="H109" s="212">
        <v>0</v>
      </c>
      <c r="I109" s="210"/>
      <c r="J109" s="212">
        <v>2</v>
      </c>
      <c r="K109" s="210"/>
      <c r="L109" s="212">
        <v>0</v>
      </c>
      <c r="M109" s="210"/>
      <c r="N109" s="212">
        <v>0</v>
      </c>
      <c r="O109" s="210"/>
      <c r="P109" s="162"/>
      <c r="Q109" s="213">
        <f>+L109+N109</f>
        <v>0</v>
      </c>
      <c r="R109" s="181"/>
      <c r="S109" s="166">
        <f>+D109+F109</f>
        <v>119</v>
      </c>
      <c r="T109" s="214"/>
    </row>
    <row r="110" spans="1:26" s="161" customFormat="1" ht="15.6" x14ac:dyDescent="0.3">
      <c r="A110" s="163"/>
      <c r="B110" s="160"/>
      <c r="C110" s="160"/>
      <c r="P110" s="162"/>
      <c r="Q110" s="181"/>
      <c r="R110" s="181"/>
      <c r="S110" s="181"/>
      <c r="T110" s="181"/>
    </row>
    <row r="111" spans="1:26" s="161" customFormat="1" ht="15.6" x14ac:dyDescent="0.3">
      <c r="A111" s="215"/>
      <c r="B111" s="215"/>
      <c r="C111" s="215"/>
      <c r="P111" s="216"/>
    </row>
    <row r="112" spans="1:26" s="161" customFormat="1" ht="30" customHeight="1" x14ac:dyDescent="0.3">
      <c r="A112" s="251" t="s">
        <v>328</v>
      </c>
      <c r="B112" s="251"/>
      <c r="C112" s="251"/>
      <c r="D112" s="217">
        <f>+D106+D109</f>
        <v>-90</v>
      </c>
      <c r="E112" s="190"/>
      <c r="F112" s="217">
        <f>+F106+F109</f>
        <v>-156</v>
      </c>
      <c r="G112" s="217"/>
      <c r="H112" s="217">
        <f>+H106+H109</f>
        <v>-299</v>
      </c>
      <c r="I112" s="217"/>
      <c r="J112" s="217">
        <f>+J106+J109</f>
        <v>-313</v>
      </c>
      <c r="K112" s="217"/>
      <c r="L112" s="217">
        <f>+L106+L109</f>
        <v>112</v>
      </c>
      <c r="M112" s="217"/>
      <c r="N112" s="217">
        <f>+N106+N109</f>
        <v>-453</v>
      </c>
      <c r="O112" s="217"/>
      <c r="P112" s="216"/>
      <c r="Q112" s="217">
        <f>+Q106+Q109</f>
        <v>-341</v>
      </c>
      <c r="R112" s="170"/>
      <c r="S112" s="217">
        <f>+S106+S109</f>
        <v>-246</v>
      </c>
      <c r="T112" s="217"/>
      <c r="V112" s="190"/>
      <c r="W112" s="190"/>
      <c r="X112" s="190"/>
      <c r="Y112" s="190"/>
      <c r="Z112" s="181"/>
    </row>
    <row r="113" spans="1:21" s="161" customFormat="1" ht="15.6" x14ac:dyDescent="0.3">
      <c r="A113" s="215" t="s">
        <v>329</v>
      </c>
      <c r="B113" s="215"/>
      <c r="C113" s="215"/>
      <c r="D113" s="218"/>
      <c r="E113" s="181"/>
      <c r="F113" s="218"/>
      <c r="G113" s="218"/>
      <c r="H113" s="218"/>
      <c r="I113" s="218"/>
      <c r="J113" s="218"/>
      <c r="K113" s="218"/>
      <c r="O113" s="218"/>
      <c r="P113" s="180"/>
      <c r="T113" s="219"/>
    </row>
    <row r="114" spans="1:21" s="161" customFormat="1" ht="15.6" x14ac:dyDescent="0.3">
      <c r="A114" s="215"/>
      <c r="B114" s="215" t="s">
        <v>330</v>
      </c>
      <c r="C114" s="215"/>
      <c r="D114" s="218"/>
      <c r="E114" s="181"/>
      <c r="F114" s="218"/>
      <c r="G114" s="218"/>
      <c r="H114" s="218"/>
      <c r="I114" s="218"/>
      <c r="J114" s="218"/>
      <c r="K114" s="218"/>
      <c r="L114" s="218">
        <v>2</v>
      </c>
      <c r="M114" s="218"/>
      <c r="N114" s="218">
        <v>0</v>
      </c>
      <c r="O114" s="218"/>
      <c r="P114" s="180"/>
      <c r="Q114" s="218">
        <f>+N114+L114</f>
        <v>2</v>
      </c>
      <c r="R114" s="181"/>
      <c r="S114" s="218">
        <f>+D114+F114</f>
        <v>0</v>
      </c>
      <c r="T114" s="219"/>
    </row>
    <row r="115" spans="1:21" s="161" customFormat="1" ht="15.6" x14ac:dyDescent="0.3">
      <c r="A115" s="215"/>
      <c r="B115" s="215" t="s">
        <v>331</v>
      </c>
      <c r="C115" s="215"/>
      <c r="D115" s="220"/>
      <c r="E115" s="181"/>
      <c r="F115" s="220"/>
      <c r="G115" s="218"/>
      <c r="H115" s="220"/>
      <c r="I115" s="218"/>
      <c r="J115" s="220"/>
      <c r="K115" s="218"/>
      <c r="L115" s="220">
        <v>0</v>
      </c>
      <c r="M115" s="218"/>
      <c r="N115" s="220">
        <v>-9</v>
      </c>
      <c r="O115" s="218"/>
      <c r="P115" s="180"/>
      <c r="Q115" s="221">
        <f>+N115+L115</f>
        <v>-9</v>
      </c>
      <c r="R115" s="181"/>
      <c r="S115" s="220">
        <f>+D115+F115</f>
        <v>0</v>
      </c>
      <c r="T115" s="219"/>
    </row>
    <row r="116" spans="1:21" s="161" customFormat="1" ht="15.6" x14ac:dyDescent="0.3">
      <c r="A116" s="215"/>
      <c r="B116" s="215"/>
      <c r="C116" s="215"/>
      <c r="D116" s="218">
        <f>SUM(D114:D115)</f>
        <v>0</v>
      </c>
      <c r="E116" s="181"/>
      <c r="F116" s="218">
        <f>SUM(F114:F115)</f>
        <v>0</v>
      </c>
      <c r="G116" s="218"/>
      <c r="H116" s="218">
        <f>SUM(H114:H115)</f>
        <v>0</v>
      </c>
      <c r="I116" s="218"/>
      <c r="J116" s="218">
        <f>SUM(J114:J115)</f>
        <v>0</v>
      </c>
      <c r="K116" s="218"/>
      <c r="L116" s="218">
        <f>SUM(L114:L115)</f>
        <v>2</v>
      </c>
      <c r="M116" s="218"/>
      <c r="N116" s="218">
        <f>SUM(N114:N115)</f>
        <v>-9</v>
      </c>
      <c r="O116" s="218"/>
      <c r="P116" s="180"/>
      <c r="Q116" s="218">
        <f>SUM(Q114:Q115)</f>
        <v>-7</v>
      </c>
      <c r="R116" s="181"/>
      <c r="S116" s="218">
        <f>SUM(S114:S115)</f>
        <v>0</v>
      </c>
      <c r="T116" s="219"/>
    </row>
    <row r="117" spans="1:21" s="161" customFormat="1" ht="27" customHeight="1" x14ac:dyDescent="0.3">
      <c r="A117" s="251" t="s">
        <v>332</v>
      </c>
      <c r="B117" s="251"/>
      <c r="C117" s="251"/>
      <c r="D117" s="220">
        <v>0</v>
      </c>
      <c r="F117" s="220">
        <v>0</v>
      </c>
      <c r="G117" s="219"/>
      <c r="H117" s="220">
        <v>0</v>
      </c>
      <c r="I117" s="219"/>
      <c r="J117" s="220">
        <v>0</v>
      </c>
      <c r="K117" s="219"/>
      <c r="L117" s="220">
        <v>5</v>
      </c>
      <c r="M117" s="218"/>
      <c r="N117" s="220">
        <v>0</v>
      </c>
      <c r="O117" s="219"/>
      <c r="P117" s="216"/>
      <c r="Q117" s="213">
        <f>+L117+N117</f>
        <v>5</v>
      </c>
      <c r="S117" s="168">
        <f>+D117+F117</f>
        <v>0</v>
      </c>
      <c r="T117" s="219"/>
    </row>
    <row r="118" spans="1:21" s="161" customFormat="1" ht="15.6" x14ac:dyDescent="0.3">
      <c r="A118" s="215"/>
      <c r="B118" s="215"/>
      <c r="C118" s="215"/>
      <c r="D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6"/>
      <c r="Q118" s="219"/>
      <c r="S118" s="219"/>
      <c r="T118" s="219"/>
    </row>
    <row r="119" spans="1:21" s="161" customFormat="1" ht="16.2" thickBot="1" x14ac:dyDescent="0.35">
      <c r="A119" s="215" t="s">
        <v>333</v>
      </c>
      <c r="B119" s="215"/>
      <c r="C119" s="215"/>
      <c r="D119" s="222">
        <f>+D112+D116+D117</f>
        <v>-90</v>
      </c>
      <c r="F119" s="222">
        <f>+F112+F116+F117</f>
        <v>-156</v>
      </c>
      <c r="H119" s="222">
        <f>+H112+H116+H117</f>
        <v>-299</v>
      </c>
      <c r="J119" s="222">
        <f>+J112+J116+J117</f>
        <v>-313</v>
      </c>
      <c r="L119" s="222">
        <f>+L112+L116+L117</f>
        <v>119</v>
      </c>
      <c r="M119" s="223"/>
      <c r="N119" s="222">
        <f>+N112+N116+N117</f>
        <v>-462</v>
      </c>
      <c r="P119" s="216"/>
      <c r="Q119" s="222">
        <f>+Q112+Q116+Q117</f>
        <v>-343</v>
      </c>
      <c r="S119" s="222">
        <f>+S112+S116+S117</f>
        <v>-246</v>
      </c>
    </row>
    <row r="120" spans="1:21" s="161" customFormat="1" ht="15.6" thickTop="1" x14ac:dyDescent="0.25"/>
    <row r="121" spans="1:21" s="161" customFormat="1" ht="15.6" x14ac:dyDescent="0.3">
      <c r="A121" s="215" t="s">
        <v>334</v>
      </c>
      <c r="D121" s="224">
        <f>+D13-D29-D63-D72-D75-D78</f>
        <v>42</v>
      </c>
      <c r="F121" s="224">
        <f>+F13-F29-F63-F72</f>
        <v>51</v>
      </c>
      <c r="H121" s="224">
        <f>+H13-H29-H63-H72-H78</f>
        <v>83</v>
      </c>
      <c r="J121" s="224">
        <f>+J13-J29-J63-J72-J78</f>
        <v>105</v>
      </c>
      <c r="L121" s="224">
        <f>+L13-L29-L63-L72-L75-L78</f>
        <v>398</v>
      </c>
      <c r="N121" s="224">
        <f>+N13-N29-N63-N72-N75-N78</f>
        <v>112</v>
      </c>
      <c r="Q121" s="224">
        <f t="shared" ref="Q121:Q126" si="6">+L121+N121</f>
        <v>510</v>
      </c>
      <c r="S121" s="224">
        <f t="shared" ref="S121:S126" si="7">+D121+F121</f>
        <v>93</v>
      </c>
      <c r="U121" s="189"/>
    </row>
    <row r="122" spans="1:21" s="161" customFormat="1" ht="15.6" x14ac:dyDescent="0.3">
      <c r="A122" s="215" t="s">
        <v>335</v>
      </c>
      <c r="D122" s="181">
        <f>+D15-D31-D65-D73-D76</f>
        <v>6</v>
      </c>
      <c r="E122" s="181"/>
      <c r="F122" s="181">
        <f>+F15-F31-F65</f>
        <v>6</v>
      </c>
      <c r="G122" s="181"/>
      <c r="H122" s="181">
        <f>+H15-H31-H65-H73-H76</f>
        <v>2</v>
      </c>
      <c r="I122" s="181"/>
      <c r="J122" s="181">
        <f>+J15-J31-J65-J73</f>
        <v>1</v>
      </c>
      <c r="K122" s="181"/>
      <c r="L122" s="181">
        <f>+L15-L31-L65-L73-L76</f>
        <v>0</v>
      </c>
      <c r="M122" s="181"/>
      <c r="N122" s="181">
        <f>+N15-N31-N65-N73-N76</f>
        <v>-3</v>
      </c>
      <c r="O122" s="181"/>
      <c r="P122" s="181"/>
      <c r="Q122" s="181">
        <f t="shared" si="6"/>
        <v>-3</v>
      </c>
      <c r="S122" s="161">
        <f t="shared" si="7"/>
        <v>12</v>
      </c>
    </row>
    <row r="123" spans="1:21" s="161" customFormat="1" ht="15.6" x14ac:dyDescent="0.3">
      <c r="A123" s="215" t="s">
        <v>336</v>
      </c>
      <c r="D123" s="181">
        <f>+D16-D32-D66-D74</f>
        <v>0</v>
      </c>
      <c r="E123" s="181"/>
      <c r="F123" s="181">
        <f>+F16-F32-F66</f>
        <v>12</v>
      </c>
      <c r="G123" s="181"/>
      <c r="H123" s="181">
        <f>+H16-H32-H66-H74</f>
        <v>12</v>
      </c>
      <c r="I123" s="181"/>
      <c r="J123" s="181">
        <f>+J16-J32-J66-J74</f>
        <v>4</v>
      </c>
      <c r="K123" s="181"/>
      <c r="L123" s="181">
        <f>+L16-L32-L66-L74</f>
        <v>3</v>
      </c>
      <c r="M123" s="181"/>
      <c r="N123" s="181">
        <f>+N16-N32-N66-N74</f>
        <v>3</v>
      </c>
      <c r="O123" s="181"/>
      <c r="P123" s="181"/>
      <c r="Q123" s="181">
        <f t="shared" si="6"/>
        <v>6</v>
      </c>
      <c r="S123" s="161">
        <f t="shared" si="7"/>
        <v>12</v>
      </c>
    </row>
    <row r="124" spans="1:21" s="161" customFormat="1" ht="15.6" x14ac:dyDescent="0.3">
      <c r="A124" s="215" t="s">
        <v>337</v>
      </c>
      <c r="D124" s="181">
        <f>+D20-D67</f>
        <v>5</v>
      </c>
      <c r="E124" s="181"/>
      <c r="F124" s="181">
        <f>+F20-F67</f>
        <v>4</v>
      </c>
      <c r="G124" s="181"/>
      <c r="H124" s="181">
        <f>+H20-H67</f>
        <v>5</v>
      </c>
      <c r="I124" s="181"/>
      <c r="J124" s="181">
        <f>+J20-J67</f>
        <v>4</v>
      </c>
      <c r="K124" s="181"/>
      <c r="L124" s="181">
        <f>+L20-L67</f>
        <v>0</v>
      </c>
      <c r="M124" s="181"/>
      <c r="N124" s="181">
        <f>+N20-N67</f>
        <v>0</v>
      </c>
      <c r="O124" s="181"/>
      <c r="P124" s="181"/>
      <c r="Q124" s="181">
        <f t="shared" si="6"/>
        <v>0</v>
      </c>
      <c r="S124" s="161">
        <f t="shared" si="7"/>
        <v>9</v>
      </c>
    </row>
    <row r="125" spans="1:21" s="161" customFormat="1" ht="15.6" x14ac:dyDescent="0.3">
      <c r="A125" s="215" t="s">
        <v>128</v>
      </c>
      <c r="D125" s="181">
        <f>+D19-D33-D68</f>
        <v>4</v>
      </c>
      <c r="E125" s="181"/>
      <c r="F125" s="181">
        <f>+F19-F33-F68</f>
        <v>5</v>
      </c>
      <c r="G125" s="181"/>
      <c r="H125" s="181">
        <f>+H19-H33-H68</f>
        <v>6</v>
      </c>
      <c r="I125" s="181"/>
      <c r="J125" s="181">
        <f>+J19-J33-J68</f>
        <v>5</v>
      </c>
      <c r="K125" s="181"/>
      <c r="L125" s="181">
        <f>+L19-L33-L68</f>
        <v>2</v>
      </c>
      <c r="M125" s="181"/>
      <c r="N125" s="181">
        <f>+N19-N33-N68</f>
        <v>3</v>
      </c>
      <c r="O125" s="181"/>
      <c r="P125" s="181"/>
      <c r="Q125" s="181">
        <f t="shared" si="6"/>
        <v>5</v>
      </c>
      <c r="S125" s="161">
        <f t="shared" si="7"/>
        <v>9</v>
      </c>
    </row>
    <row r="126" spans="1:21" s="161" customFormat="1" ht="15.6" x14ac:dyDescent="0.3">
      <c r="A126" s="215" t="s">
        <v>338</v>
      </c>
      <c r="D126" s="168">
        <f>-D69</f>
        <v>-6</v>
      </c>
      <c r="E126" s="181"/>
      <c r="F126" s="168">
        <f>-F69</f>
        <v>-2</v>
      </c>
      <c r="G126" s="181"/>
      <c r="H126" s="168">
        <f>-H69</f>
        <v>1</v>
      </c>
      <c r="I126" s="181"/>
      <c r="J126" s="168">
        <f>-J69</f>
        <v>-1</v>
      </c>
      <c r="K126" s="181"/>
      <c r="L126" s="168">
        <f>-L69</f>
        <v>0</v>
      </c>
      <c r="M126" s="181"/>
      <c r="N126" s="168">
        <f>-N69</f>
        <v>-1</v>
      </c>
      <c r="O126" s="181"/>
      <c r="P126" s="181"/>
      <c r="Q126" s="181">
        <f t="shared" si="6"/>
        <v>-1</v>
      </c>
      <c r="S126" s="172">
        <f t="shared" si="7"/>
        <v>-8</v>
      </c>
    </row>
    <row r="127" spans="1:21" s="161" customFormat="1" ht="16.2" thickBot="1" x14ac:dyDescent="0.35">
      <c r="A127" s="215" t="s">
        <v>339</v>
      </c>
      <c r="D127" s="225">
        <f>SUM(D121:D126)</f>
        <v>51</v>
      </c>
      <c r="F127" s="225">
        <f>SUM(F121:F126)</f>
        <v>76</v>
      </c>
      <c r="H127" s="225">
        <f>SUM(H121:H126)</f>
        <v>109</v>
      </c>
      <c r="J127" s="225">
        <f>SUM(J121:J126)</f>
        <v>118</v>
      </c>
      <c r="L127" s="226">
        <f>SUM(L121:L126)</f>
        <v>403</v>
      </c>
      <c r="M127" s="155"/>
      <c r="N127" s="226">
        <f>SUM(N121:N126)</f>
        <v>114</v>
      </c>
      <c r="Q127" s="226">
        <f>SUM(Q121:Q126)</f>
        <v>517</v>
      </c>
      <c r="S127" s="225">
        <f>SUM(S121:S126)</f>
        <v>127</v>
      </c>
      <c r="U127" s="227" t="s">
        <v>46</v>
      </c>
    </row>
    <row r="128" spans="1:21" s="161" customFormat="1" ht="15.6" thickTop="1" x14ac:dyDescent="0.25"/>
    <row r="129" s="161" customFormat="1" ht="15" x14ac:dyDescent="0.25"/>
  </sheetData>
  <mergeCells count="6">
    <mergeCell ref="A112:C112"/>
    <mergeCell ref="A117:C117"/>
    <mergeCell ref="A1:S1"/>
    <mergeCell ref="D6:J6"/>
    <mergeCell ref="Q6:T6"/>
    <mergeCell ref="B95:C95"/>
  </mergeCells>
  <phoneticPr fontId="0" type="noConversion"/>
  <printOptions horizontalCentered="1"/>
  <pageMargins left="0.25" right="0.25" top="0.19" bottom="0.17" header="0" footer="0"/>
  <pageSetup scale="68" fitToHeight="0" orientation="landscape" r:id="rId1"/>
  <headerFooter alignWithMargins="0"/>
  <rowBreaks count="2" manualBreakCount="2">
    <brk id="43" max="21" man="1"/>
    <brk id="83" max="2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K28" sqref="K28"/>
    </sheetView>
  </sheetViews>
  <sheetFormatPr defaultRowHeight="13.2" x14ac:dyDescent="0.25"/>
  <cols>
    <col min="1" max="1" width="2.109375" customWidth="1"/>
    <col min="2" max="2" width="56.109375" customWidth="1"/>
    <col min="3" max="3" width="2.6640625" customWidth="1"/>
    <col min="4" max="4" width="13.109375" bestFit="1" customWidth="1"/>
    <col min="5" max="5" width="13.33203125" customWidth="1"/>
  </cols>
  <sheetData>
    <row r="1" spans="1:5" x14ac:dyDescent="0.25">
      <c r="D1" s="2"/>
      <c r="E1" s="32"/>
    </row>
    <row r="2" spans="1:5" x14ac:dyDescent="0.25">
      <c r="D2" s="1"/>
      <c r="E2" s="33"/>
    </row>
    <row r="4" spans="1:5" ht="15.6" x14ac:dyDescent="0.3">
      <c r="A4" s="249" t="s">
        <v>43</v>
      </c>
      <c r="B4" s="249"/>
      <c r="C4" s="249"/>
      <c r="D4" s="249"/>
      <c r="E4" s="249"/>
    </row>
    <row r="5" spans="1:5" x14ac:dyDescent="0.25">
      <c r="A5" s="250" t="s">
        <v>44</v>
      </c>
      <c r="B5" s="250"/>
      <c r="C5" s="250"/>
      <c r="D5" s="250"/>
      <c r="E5" s="250"/>
    </row>
    <row r="6" spans="1:5" x14ac:dyDescent="0.25">
      <c r="A6" s="247" t="s">
        <v>45</v>
      </c>
      <c r="B6" s="247"/>
      <c r="C6" s="247"/>
      <c r="D6" s="247"/>
      <c r="E6" s="247"/>
    </row>
    <row r="9" spans="1:5" x14ac:dyDescent="0.25">
      <c r="D9" s="4" t="s">
        <v>5</v>
      </c>
      <c r="E9" s="4" t="s">
        <v>6</v>
      </c>
    </row>
    <row r="10" spans="1:5" x14ac:dyDescent="0.25">
      <c r="A10" s="6" t="s">
        <v>7</v>
      </c>
      <c r="B10" s="6"/>
      <c r="C10" s="6" t="s">
        <v>46</v>
      </c>
      <c r="D10" s="5">
        <v>2003</v>
      </c>
      <c r="E10" s="5">
        <v>2003</v>
      </c>
    </row>
    <row r="12" spans="1:5" x14ac:dyDescent="0.25">
      <c r="A12" t="s">
        <v>47</v>
      </c>
    </row>
    <row r="14" spans="1:5" x14ac:dyDescent="0.25">
      <c r="A14" t="s">
        <v>48</v>
      </c>
    </row>
    <row r="15" spans="1:5" x14ac:dyDescent="0.25">
      <c r="B15" t="s">
        <v>49</v>
      </c>
      <c r="D15" s="34">
        <v>915</v>
      </c>
      <c r="E15" s="34">
        <v>944</v>
      </c>
    </row>
    <row r="16" spans="1:5" x14ac:dyDescent="0.25">
      <c r="B16" t="s">
        <v>50</v>
      </c>
      <c r="D16" s="12">
        <v>69</v>
      </c>
      <c r="E16" s="12">
        <v>79</v>
      </c>
    </row>
    <row r="17" spans="1:5" x14ac:dyDescent="0.25">
      <c r="B17" s="35" t="s">
        <v>347</v>
      </c>
      <c r="D17" s="12">
        <v>507</v>
      </c>
      <c r="E17" s="12">
        <f>422-2-12</f>
        <v>408</v>
      </c>
    </row>
    <row r="18" spans="1:5" x14ac:dyDescent="0.25">
      <c r="B18" t="s">
        <v>11</v>
      </c>
      <c r="D18" s="16">
        <f>118+20</f>
        <v>138</v>
      </c>
      <c r="E18" s="16">
        <f>117+16</f>
        <v>133</v>
      </c>
    </row>
    <row r="19" spans="1:5" x14ac:dyDescent="0.25">
      <c r="A19" t="s">
        <v>51</v>
      </c>
      <c r="D19" s="12">
        <f>SUM(D15:D18)</f>
        <v>1629</v>
      </c>
      <c r="E19" s="12">
        <f>SUM(E15:E18)</f>
        <v>1564</v>
      </c>
    </row>
    <row r="20" spans="1:5" x14ac:dyDescent="0.25">
      <c r="D20" s="12"/>
      <c r="E20" s="12"/>
    </row>
    <row r="21" spans="1:5" x14ac:dyDescent="0.25">
      <c r="A21" t="s">
        <v>52</v>
      </c>
      <c r="D21" s="12">
        <v>5941</v>
      </c>
      <c r="E21" s="12">
        <f>6043-4</f>
        <v>6039</v>
      </c>
    </row>
    <row r="22" spans="1:5" x14ac:dyDescent="0.25">
      <c r="D22" s="12"/>
      <c r="E22" s="12"/>
    </row>
    <row r="23" spans="1:5" x14ac:dyDescent="0.25">
      <c r="A23" t="s">
        <v>53</v>
      </c>
      <c r="D23" s="12">
        <v>474</v>
      </c>
      <c r="E23" s="12">
        <v>469</v>
      </c>
    </row>
    <row r="24" spans="1:5" x14ac:dyDescent="0.25">
      <c r="D24" s="12"/>
      <c r="E24" s="12"/>
    </row>
    <row r="25" spans="1:5" x14ac:dyDescent="0.25">
      <c r="A25" t="s">
        <v>54</v>
      </c>
      <c r="D25" s="12">
        <v>481</v>
      </c>
      <c r="E25" s="12">
        <v>505</v>
      </c>
    </row>
    <row r="26" spans="1:5" x14ac:dyDescent="0.25">
      <c r="D26" s="12"/>
      <c r="E26" s="12"/>
    </row>
    <row r="27" spans="1:5" x14ac:dyDescent="0.25">
      <c r="A27" t="s">
        <v>55</v>
      </c>
      <c r="D27" s="16">
        <f>163-20</f>
        <v>143</v>
      </c>
      <c r="E27" s="16">
        <v>186</v>
      </c>
    </row>
    <row r="28" spans="1:5" ht="13.8" thickBot="1" x14ac:dyDescent="0.3">
      <c r="D28" s="36">
        <f>SUM(D19:D27)</f>
        <v>8668</v>
      </c>
      <c r="E28" s="36">
        <f>SUM(E19:E27)</f>
        <v>8763</v>
      </c>
    </row>
    <row r="29" spans="1:5" ht="13.8" thickTop="1" x14ac:dyDescent="0.25"/>
    <row r="31" spans="1:5" x14ac:dyDescent="0.25">
      <c r="A31" t="s">
        <v>56</v>
      </c>
    </row>
    <row r="33" spans="1:5" x14ac:dyDescent="0.25">
      <c r="A33" t="s">
        <v>57</v>
      </c>
    </row>
    <row r="34" spans="1:5" x14ac:dyDescent="0.25">
      <c r="B34" t="s">
        <v>58</v>
      </c>
      <c r="D34" s="34">
        <v>567</v>
      </c>
      <c r="E34" s="34">
        <v>492</v>
      </c>
    </row>
    <row r="35" spans="1:5" x14ac:dyDescent="0.25">
      <c r="B35" t="s">
        <v>59</v>
      </c>
      <c r="D35" s="12">
        <v>125</v>
      </c>
      <c r="E35" s="12">
        <v>124</v>
      </c>
    </row>
    <row r="36" spans="1:5" x14ac:dyDescent="0.25">
      <c r="B36" t="s">
        <v>60</v>
      </c>
      <c r="D36" s="12">
        <v>146</v>
      </c>
      <c r="E36" s="12">
        <f>122+4-2</f>
        <v>124</v>
      </c>
    </row>
    <row r="37" spans="1:5" x14ac:dyDescent="0.25">
      <c r="B37" t="s">
        <v>61</v>
      </c>
      <c r="D37" s="12">
        <v>88</v>
      </c>
      <c r="E37" s="12">
        <v>88</v>
      </c>
    </row>
    <row r="38" spans="1:5" x14ac:dyDescent="0.25">
      <c r="B38" t="s">
        <v>62</v>
      </c>
      <c r="D38" s="12">
        <v>126</v>
      </c>
      <c r="E38" s="12">
        <v>117</v>
      </c>
    </row>
    <row r="39" spans="1:5" x14ac:dyDescent="0.25">
      <c r="B39" t="s">
        <v>11</v>
      </c>
      <c r="D39" s="16">
        <v>214</v>
      </c>
      <c r="E39" s="16">
        <f>236+2</f>
        <v>238</v>
      </c>
    </row>
    <row r="40" spans="1:5" x14ac:dyDescent="0.25">
      <c r="A40" t="s">
        <v>63</v>
      </c>
      <c r="D40" s="12">
        <f>SUM(D34:D39)</f>
        <v>1266</v>
      </c>
      <c r="E40" s="12">
        <f>SUM(E34:E39)</f>
        <v>1183</v>
      </c>
    </row>
    <row r="41" spans="1:5" x14ac:dyDescent="0.25">
      <c r="D41" s="12"/>
      <c r="E41" s="12"/>
    </row>
    <row r="42" spans="1:5" x14ac:dyDescent="0.25">
      <c r="A42" t="s">
        <v>64</v>
      </c>
      <c r="D42" s="12">
        <f>5634</f>
        <v>5634</v>
      </c>
      <c r="E42" s="12">
        <f>5979+188</f>
        <v>6167</v>
      </c>
    </row>
    <row r="43" spans="1:5" x14ac:dyDescent="0.25">
      <c r="D43" s="12"/>
      <c r="E43" s="12"/>
    </row>
    <row r="44" spans="1:5" x14ac:dyDescent="0.25">
      <c r="A44" t="s">
        <v>65</v>
      </c>
      <c r="D44" s="12">
        <v>938</v>
      </c>
      <c r="E44" s="12">
        <v>925</v>
      </c>
    </row>
    <row r="45" spans="1:5" x14ac:dyDescent="0.25">
      <c r="D45" s="12"/>
      <c r="E45" s="12"/>
    </row>
    <row r="46" spans="1:5" x14ac:dyDescent="0.25">
      <c r="A46" t="s">
        <v>66</v>
      </c>
      <c r="D46" s="12">
        <v>85</v>
      </c>
      <c r="E46" s="12">
        <v>86</v>
      </c>
    </row>
    <row r="47" spans="1:5" x14ac:dyDescent="0.25">
      <c r="D47" s="12"/>
      <c r="E47" s="12"/>
    </row>
    <row r="48" spans="1:5" x14ac:dyDescent="0.25">
      <c r="A48" t="s">
        <v>67</v>
      </c>
      <c r="D48" s="12">
        <v>463</v>
      </c>
      <c r="E48" s="12">
        <v>460</v>
      </c>
    </row>
    <row r="49" spans="1:6" x14ac:dyDescent="0.25">
      <c r="D49" s="12"/>
      <c r="E49" s="12"/>
    </row>
    <row r="50" spans="1:6" x14ac:dyDescent="0.25">
      <c r="A50" t="s">
        <v>68</v>
      </c>
      <c r="D50" s="16">
        <v>282</v>
      </c>
      <c r="E50" s="16">
        <v>-58</v>
      </c>
    </row>
    <row r="51" spans="1:6" ht="13.8" thickBot="1" x14ac:dyDescent="0.3">
      <c r="D51" s="36">
        <f>SUM(D40:D50)</f>
        <v>8668</v>
      </c>
      <c r="E51" s="36">
        <f>SUM(E40:E50)</f>
        <v>8763</v>
      </c>
    </row>
    <row r="52" spans="1:6" ht="13.8" thickTop="1" x14ac:dyDescent="0.25">
      <c r="A52" s="7"/>
      <c r="B52" s="7"/>
      <c r="C52" s="7"/>
      <c r="D52" s="7"/>
      <c r="E52" s="7"/>
    </row>
    <row r="53" spans="1:6" x14ac:dyDescent="0.25">
      <c r="A53" s="7"/>
      <c r="B53" s="7"/>
      <c r="C53" s="7"/>
      <c r="D53" s="7"/>
      <c r="E53" s="7"/>
      <c r="F53" s="7"/>
    </row>
  </sheetData>
  <mergeCells count="3">
    <mergeCell ref="A4:E4"/>
    <mergeCell ref="A5:E5"/>
    <mergeCell ref="A6:E6"/>
  </mergeCells>
  <phoneticPr fontId="0" type="noConversion"/>
  <printOptions horizontalCentered="1"/>
  <pageMargins left="0.75" right="0.75" top="0.6" bottom="0.64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view="pageBreakPreview" zoomScale="60" zoomScaleNormal="100" workbookViewId="0">
      <selection activeCell="B66" sqref="B66:B69"/>
    </sheetView>
  </sheetViews>
  <sheetFormatPr defaultColWidth="9.109375" defaultRowHeight="13.2" x14ac:dyDescent="0.25"/>
  <cols>
    <col min="1" max="1" width="3.33203125" style="96" customWidth="1"/>
    <col min="2" max="2" width="3.44140625" style="96" customWidth="1"/>
    <col min="3" max="3" width="67.109375" style="96" customWidth="1"/>
    <col min="4" max="4" width="13.44140625" style="96" hidden="1" customWidth="1"/>
    <col min="5" max="5" width="1.44140625" style="96" hidden="1" customWidth="1"/>
    <col min="6" max="6" width="13.44140625" style="96" hidden="1" customWidth="1"/>
    <col min="7" max="8" width="13.44140625" style="96" customWidth="1"/>
    <col min="9" max="9" width="3.44140625" style="96" customWidth="1"/>
    <col min="10" max="10" width="13.44140625" style="96" customWidth="1"/>
    <col min="11" max="11" width="57.6640625" style="35" customWidth="1"/>
    <col min="12" max="12" width="1.109375" style="96" customWidth="1"/>
    <col min="13" max="13" width="24.5546875" style="96" customWidth="1"/>
    <col min="14" max="16384" width="9.109375" style="96"/>
  </cols>
  <sheetData>
    <row r="1" spans="1:13" ht="15.6" x14ac:dyDescent="0.3">
      <c r="A1" s="259" t="s">
        <v>122</v>
      </c>
      <c r="B1" s="260"/>
      <c r="C1" s="260"/>
      <c r="D1" s="260"/>
      <c r="E1" s="260"/>
      <c r="F1" s="260"/>
      <c r="G1" s="95"/>
      <c r="H1" s="95"/>
      <c r="I1" s="95"/>
      <c r="J1" s="95"/>
    </row>
    <row r="2" spans="1:13" x14ac:dyDescent="0.25">
      <c r="A2" s="261" t="s">
        <v>123</v>
      </c>
      <c r="B2" s="262"/>
      <c r="C2" s="262"/>
      <c r="D2" s="262"/>
      <c r="E2" s="262"/>
      <c r="F2" s="262"/>
      <c r="G2" s="98"/>
      <c r="H2" s="98"/>
      <c r="I2" s="98"/>
      <c r="J2" s="98"/>
    </row>
    <row r="3" spans="1:13" ht="15" x14ac:dyDescent="0.25">
      <c r="A3" s="263" t="s">
        <v>124</v>
      </c>
      <c r="B3" s="264"/>
      <c r="C3" s="264"/>
      <c r="D3" s="264"/>
      <c r="E3" s="264"/>
      <c r="F3" s="264"/>
      <c r="G3" s="100"/>
      <c r="H3" s="100"/>
      <c r="I3" s="100"/>
      <c r="J3" s="100"/>
    </row>
    <row r="4" spans="1:13" x14ac:dyDescent="0.25">
      <c r="A4" s="261" t="str">
        <f>+'P&amp;L Crib'!I5</f>
        <v>Draft 7/21/03   8 am</v>
      </c>
      <c r="B4" s="262"/>
      <c r="C4" s="262"/>
      <c r="D4" s="262"/>
      <c r="E4" s="262"/>
      <c r="F4" s="262"/>
      <c r="G4" s="98"/>
      <c r="H4" s="98"/>
      <c r="I4" s="98"/>
      <c r="J4" s="98"/>
    </row>
    <row r="5" spans="1:13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</row>
    <row r="6" spans="1:13" x14ac:dyDescent="0.25">
      <c r="D6" s="101">
        <v>37437</v>
      </c>
      <c r="E6" s="102"/>
      <c r="F6" s="101">
        <v>37529</v>
      </c>
      <c r="G6" s="101">
        <v>37621</v>
      </c>
      <c r="H6" s="101">
        <v>37711</v>
      </c>
      <c r="I6" s="101"/>
      <c r="J6" s="101">
        <v>37802</v>
      </c>
      <c r="K6" s="103" t="s">
        <v>125</v>
      </c>
    </row>
    <row r="7" spans="1:13" x14ac:dyDescent="0.25">
      <c r="A7" s="104"/>
      <c r="B7" s="105"/>
      <c r="C7" s="106"/>
    </row>
    <row r="8" spans="1:13" s="118" customFormat="1" ht="15" x14ac:dyDescent="0.25">
      <c r="A8" s="119" t="s">
        <v>126</v>
      </c>
      <c r="B8" s="35"/>
      <c r="C8" s="120"/>
      <c r="D8" s="121">
        <v>1051</v>
      </c>
      <c r="E8" s="121"/>
      <c r="F8" s="121">
        <v>963</v>
      </c>
      <c r="G8" s="121">
        <v>1142</v>
      </c>
      <c r="H8" s="121">
        <v>944</v>
      </c>
      <c r="I8" s="121"/>
      <c r="J8" s="121">
        <f>913+2</f>
        <v>915</v>
      </c>
      <c r="K8" s="155"/>
      <c r="L8" s="35"/>
      <c r="M8" s="35"/>
    </row>
    <row r="9" spans="1:13" s="118" customFormat="1" ht="6.75" customHeight="1" x14ac:dyDescent="0.25">
      <c r="A9" s="119"/>
      <c r="B9" s="35"/>
      <c r="C9" s="120"/>
      <c r="D9" s="121"/>
      <c r="E9" s="121"/>
      <c r="F9" s="121"/>
      <c r="G9" s="121"/>
      <c r="H9" s="121"/>
      <c r="I9" s="121"/>
      <c r="J9" s="121"/>
      <c r="K9" s="155"/>
      <c r="L9" s="35"/>
      <c r="M9" s="35"/>
    </row>
    <row r="10" spans="1:13" s="118" customFormat="1" ht="15" x14ac:dyDescent="0.25">
      <c r="A10" s="119" t="s">
        <v>53</v>
      </c>
      <c r="B10" s="35"/>
      <c r="C10" s="120"/>
      <c r="D10" s="122"/>
      <c r="E10" s="122"/>
      <c r="F10" s="122"/>
      <c r="G10" s="122"/>
      <c r="H10" s="122"/>
      <c r="I10" s="122"/>
      <c r="J10" s="122"/>
      <c r="K10" s="155"/>
      <c r="L10" s="35"/>
      <c r="M10" s="35"/>
    </row>
    <row r="11" spans="1:13" s="118" customFormat="1" ht="15" hidden="1" x14ac:dyDescent="0.25">
      <c r="A11" s="119"/>
      <c r="B11" s="35" t="s">
        <v>127</v>
      </c>
      <c r="C11" s="120"/>
      <c r="D11" s="122">
        <v>0</v>
      </c>
      <c r="E11" s="122"/>
      <c r="F11" s="122">
        <f>400-400</f>
        <v>0</v>
      </c>
      <c r="G11" s="122">
        <v>0</v>
      </c>
      <c r="H11" s="122">
        <v>0</v>
      </c>
      <c r="I11" s="122"/>
      <c r="J11" s="122">
        <v>0</v>
      </c>
      <c r="K11" s="155"/>
      <c r="L11" s="35"/>
      <c r="M11" s="35"/>
    </row>
    <row r="12" spans="1:13" s="118" customFormat="1" ht="15" x14ac:dyDescent="0.25">
      <c r="A12" s="119"/>
      <c r="B12" s="242" t="s">
        <v>128</v>
      </c>
      <c r="C12" s="243"/>
      <c r="D12" s="122">
        <f>32+15</f>
        <v>47</v>
      </c>
      <c r="E12" s="122"/>
      <c r="F12" s="122">
        <f>34+15</f>
        <v>49</v>
      </c>
      <c r="G12" s="122">
        <f>52-37-15</f>
        <v>0</v>
      </c>
      <c r="H12" s="122">
        <v>0</v>
      </c>
      <c r="I12" s="122"/>
      <c r="J12" s="122">
        <v>0</v>
      </c>
      <c r="K12" s="155"/>
      <c r="L12" s="35"/>
      <c r="M12" s="35"/>
    </row>
    <row r="13" spans="1:13" s="118" customFormat="1" ht="15" x14ac:dyDescent="0.25">
      <c r="A13" s="119"/>
      <c r="B13" s="242" t="s">
        <v>129</v>
      </c>
      <c r="C13" s="243"/>
      <c r="D13" s="122">
        <v>12</v>
      </c>
      <c r="E13" s="122"/>
      <c r="F13" s="122">
        <v>12</v>
      </c>
      <c r="G13" s="122">
        <v>12</v>
      </c>
      <c r="H13" s="122">
        <v>1</v>
      </c>
      <c r="I13" s="122"/>
      <c r="J13" s="122">
        <v>1</v>
      </c>
      <c r="K13" s="155"/>
      <c r="L13" s="35"/>
      <c r="M13" s="35"/>
    </row>
    <row r="14" spans="1:13" s="118" customFormat="1" ht="15.75" customHeight="1" x14ac:dyDescent="0.25">
      <c r="A14" s="119"/>
      <c r="B14" s="242" t="s">
        <v>130</v>
      </c>
      <c r="C14" s="243"/>
      <c r="D14" s="122">
        <v>8</v>
      </c>
      <c r="E14" s="122"/>
      <c r="F14" s="122">
        <v>3</v>
      </c>
      <c r="G14" s="122">
        <f>2+6</f>
        <v>8</v>
      </c>
      <c r="H14" s="122">
        <f>6+1</f>
        <v>7</v>
      </c>
      <c r="I14" s="122"/>
      <c r="J14" s="122">
        <f>6+1</f>
        <v>7</v>
      </c>
      <c r="K14" s="155"/>
      <c r="L14" s="35"/>
      <c r="M14" s="35"/>
    </row>
    <row r="15" spans="1:13" s="118" customFormat="1" ht="15" x14ac:dyDescent="0.25">
      <c r="A15" s="119"/>
      <c r="B15" s="242" t="s">
        <v>131</v>
      </c>
      <c r="C15" s="243"/>
      <c r="D15" s="122">
        <v>9</v>
      </c>
      <c r="E15" s="122"/>
      <c r="F15" s="122">
        <v>9</v>
      </c>
      <c r="G15" s="122">
        <f>1+8</f>
        <v>9</v>
      </c>
      <c r="H15" s="122">
        <v>1</v>
      </c>
      <c r="I15" s="122"/>
      <c r="J15" s="122">
        <v>1</v>
      </c>
      <c r="K15" s="155"/>
      <c r="L15" s="35"/>
      <c r="M15" s="35"/>
    </row>
    <row r="16" spans="1:13" s="118" customFormat="1" ht="15" x14ac:dyDescent="0.25">
      <c r="A16" s="119"/>
      <c r="B16" s="242" t="s">
        <v>132</v>
      </c>
      <c r="C16" s="243"/>
      <c r="D16" s="122">
        <v>13</v>
      </c>
      <c r="E16" s="122"/>
      <c r="F16" s="122">
        <v>13</v>
      </c>
      <c r="G16" s="122">
        <v>13</v>
      </c>
      <c r="H16" s="122">
        <v>13</v>
      </c>
      <c r="I16" s="122"/>
      <c r="J16" s="122">
        <v>13</v>
      </c>
      <c r="K16" s="155"/>
      <c r="L16" s="35"/>
      <c r="M16" s="35"/>
    </row>
    <row r="17" spans="1:13" s="118" customFormat="1" ht="15" x14ac:dyDescent="0.25">
      <c r="A17" s="119"/>
      <c r="B17" s="242" t="s">
        <v>133</v>
      </c>
      <c r="C17" s="243"/>
      <c r="D17" s="122">
        <v>27</v>
      </c>
      <c r="E17" s="122"/>
      <c r="F17" s="122">
        <v>26</v>
      </c>
      <c r="G17" s="122">
        <v>25</v>
      </c>
      <c r="H17" s="122">
        <v>25</v>
      </c>
      <c r="I17" s="122"/>
      <c r="J17" s="122">
        <v>25</v>
      </c>
      <c r="K17" s="155"/>
      <c r="L17" s="35"/>
      <c r="M17" s="35"/>
    </row>
    <row r="18" spans="1:13" s="118" customFormat="1" ht="15" x14ac:dyDescent="0.25">
      <c r="A18" s="119"/>
      <c r="B18" s="242" t="s">
        <v>134</v>
      </c>
      <c r="C18" s="243"/>
      <c r="D18" s="122">
        <v>17</v>
      </c>
      <c r="E18" s="122"/>
      <c r="F18" s="122">
        <v>17</v>
      </c>
      <c r="G18" s="122">
        <v>17</v>
      </c>
      <c r="H18" s="122">
        <v>17</v>
      </c>
      <c r="I18" s="122"/>
      <c r="J18" s="122">
        <v>17</v>
      </c>
      <c r="K18" s="155"/>
      <c r="L18" s="35"/>
      <c r="M18" s="35"/>
    </row>
    <row r="19" spans="1:13" s="118" customFormat="1" ht="13.8" x14ac:dyDescent="0.25">
      <c r="A19" s="119"/>
      <c r="B19" s="242" t="s">
        <v>135</v>
      </c>
      <c r="C19" s="243"/>
      <c r="D19" s="122">
        <v>10</v>
      </c>
      <c r="E19" s="122"/>
      <c r="F19" s="122">
        <v>10</v>
      </c>
      <c r="G19" s="122">
        <v>10</v>
      </c>
      <c r="H19" s="122">
        <v>10</v>
      </c>
      <c r="I19" s="122"/>
      <c r="J19" s="122">
        <v>0</v>
      </c>
      <c r="K19" s="242" t="s">
        <v>136</v>
      </c>
      <c r="L19" s="35"/>
      <c r="M19" s="35"/>
    </row>
    <row r="20" spans="1:13" s="118" customFormat="1" ht="15" x14ac:dyDescent="0.25">
      <c r="A20" s="119"/>
      <c r="B20" s="242" t="s">
        <v>137</v>
      </c>
      <c r="C20" s="243"/>
      <c r="D20" s="123">
        <v>3</v>
      </c>
      <c r="E20" s="122"/>
      <c r="F20" s="123">
        <v>2</v>
      </c>
      <c r="G20" s="123">
        <v>5</v>
      </c>
      <c r="H20" s="123">
        <v>5</v>
      </c>
      <c r="I20" s="122"/>
      <c r="J20" s="123">
        <v>5</v>
      </c>
      <c r="K20" s="155"/>
      <c r="L20" s="35"/>
      <c r="M20" s="35"/>
    </row>
    <row r="21" spans="1:13" s="118" customFormat="1" ht="15" x14ac:dyDescent="0.25">
      <c r="A21" s="120"/>
      <c r="B21" s="156"/>
      <c r="C21" s="156"/>
      <c r="D21" s="122">
        <f>SUM(D12:D20)</f>
        <v>146</v>
      </c>
      <c r="E21" s="122"/>
      <c r="F21" s="122">
        <f>SUM(F11:F20)</f>
        <v>141</v>
      </c>
      <c r="G21" s="122">
        <f>SUM(G11:G20)</f>
        <v>99</v>
      </c>
      <c r="H21" s="122">
        <f>SUM(H11:H20)</f>
        <v>79</v>
      </c>
      <c r="I21" s="122"/>
      <c r="J21" s="122">
        <f>SUM(J11:J20)</f>
        <v>69</v>
      </c>
      <c r="K21" s="155"/>
      <c r="L21" s="35"/>
      <c r="M21" s="35"/>
    </row>
    <row r="22" spans="1:13" s="118" customFormat="1" ht="6" customHeight="1" x14ac:dyDescent="0.25">
      <c r="A22" s="119"/>
      <c r="B22" s="120"/>
      <c r="C22" s="120"/>
      <c r="D22" s="122"/>
      <c r="E22" s="122"/>
      <c r="F22" s="122"/>
      <c r="G22" s="122"/>
      <c r="H22" s="122"/>
      <c r="I22" s="122"/>
      <c r="J22" s="122"/>
      <c r="K22" s="155"/>
      <c r="L22" s="35"/>
      <c r="M22" s="35"/>
    </row>
    <row r="23" spans="1:13" s="118" customFormat="1" ht="15" x14ac:dyDescent="0.25">
      <c r="A23" s="119" t="s">
        <v>138</v>
      </c>
      <c r="B23" s="120"/>
      <c r="C23" s="120"/>
      <c r="D23" s="122"/>
      <c r="E23" s="122"/>
      <c r="F23" s="122"/>
      <c r="G23" s="122"/>
      <c r="H23" s="122"/>
      <c r="I23" s="122"/>
      <c r="J23" s="122"/>
      <c r="K23" s="155"/>
      <c r="L23" s="35"/>
      <c r="M23" s="35"/>
    </row>
    <row r="24" spans="1:13" s="118" customFormat="1" ht="15" x14ac:dyDescent="0.25">
      <c r="A24" s="119"/>
      <c r="B24" s="120" t="s">
        <v>139</v>
      </c>
      <c r="C24" s="120"/>
      <c r="D24" s="122">
        <v>120</v>
      </c>
      <c r="E24" s="122"/>
      <c r="F24" s="122">
        <f>79+2</f>
        <v>81</v>
      </c>
      <c r="G24" s="122">
        <v>44</v>
      </c>
      <c r="H24" s="122">
        <f>112+17-2</f>
        <v>127</v>
      </c>
      <c r="I24" s="122"/>
      <c r="J24" s="122">
        <v>175</v>
      </c>
      <c r="K24" s="155"/>
      <c r="L24" s="35"/>
      <c r="M24" s="35"/>
    </row>
    <row r="25" spans="1:13" s="118" customFormat="1" ht="15" x14ac:dyDescent="0.25">
      <c r="A25" s="119"/>
      <c r="B25" s="120" t="s">
        <v>140</v>
      </c>
      <c r="C25" s="120"/>
      <c r="D25" s="122">
        <v>11</v>
      </c>
      <c r="E25" s="122"/>
      <c r="F25" s="122">
        <v>9</v>
      </c>
      <c r="G25" s="122">
        <v>7</v>
      </c>
      <c r="H25" s="122">
        <f>24-17</f>
        <v>7</v>
      </c>
      <c r="I25" s="122"/>
      <c r="J25" s="122">
        <v>7</v>
      </c>
      <c r="K25" s="155"/>
      <c r="L25" s="35"/>
      <c r="M25" s="35"/>
    </row>
    <row r="26" spans="1:13" s="118" customFormat="1" ht="15" x14ac:dyDescent="0.25">
      <c r="A26" s="119"/>
      <c r="B26" s="120" t="s">
        <v>130</v>
      </c>
      <c r="C26" s="120"/>
      <c r="D26" s="122">
        <f>329+225</f>
        <v>554</v>
      </c>
      <c r="E26" s="122"/>
      <c r="F26" s="122">
        <f>185+155</f>
        <v>340</v>
      </c>
      <c r="G26" s="122">
        <f>115+360+2-12</f>
        <v>465</v>
      </c>
      <c r="H26" s="122">
        <f>277-12</f>
        <v>265</v>
      </c>
      <c r="I26" s="122"/>
      <c r="J26" s="122">
        <v>316</v>
      </c>
      <c r="K26" s="155"/>
      <c r="L26" s="35"/>
      <c r="M26" s="35"/>
    </row>
    <row r="27" spans="1:13" s="118" customFormat="1" ht="15" x14ac:dyDescent="0.25">
      <c r="A27" s="119"/>
      <c r="B27" s="120" t="s">
        <v>128</v>
      </c>
      <c r="C27" s="120"/>
      <c r="D27" s="122">
        <v>10</v>
      </c>
      <c r="E27" s="122"/>
      <c r="F27" s="122">
        <v>11</v>
      </c>
      <c r="G27" s="122">
        <v>10</v>
      </c>
      <c r="H27" s="122">
        <v>9</v>
      </c>
      <c r="I27" s="122"/>
      <c r="J27" s="122">
        <v>9</v>
      </c>
      <c r="K27" s="155"/>
      <c r="L27" s="35"/>
      <c r="M27" s="35"/>
    </row>
    <row r="28" spans="1:13" s="118" customFormat="1" ht="15" x14ac:dyDescent="0.25">
      <c r="A28" s="120"/>
      <c r="B28" s="120" t="s">
        <v>11</v>
      </c>
      <c r="C28" s="120"/>
      <c r="D28" s="124">
        <v>1</v>
      </c>
      <c r="E28" s="124"/>
      <c r="F28" s="124">
        <v>2</v>
      </c>
      <c r="G28" s="124">
        <v>1</v>
      </c>
      <c r="H28" s="124">
        <v>0</v>
      </c>
      <c r="I28" s="124"/>
      <c r="J28" s="124">
        <v>0</v>
      </c>
      <c r="K28" s="155"/>
      <c r="L28" s="35"/>
      <c r="M28" s="35"/>
    </row>
    <row r="29" spans="1:13" s="118" customFormat="1" ht="15" x14ac:dyDescent="0.25">
      <c r="A29" s="120"/>
      <c r="B29" s="120"/>
      <c r="C29" s="120"/>
      <c r="D29" s="125">
        <f>SUM(D24:D28)</f>
        <v>696</v>
      </c>
      <c r="E29" s="126"/>
      <c r="F29" s="125">
        <f>SUM(F24:F28)</f>
        <v>443</v>
      </c>
      <c r="G29" s="125">
        <f>SUM(G24:G28)</f>
        <v>527</v>
      </c>
      <c r="H29" s="125">
        <f>SUM(H24:H28)</f>
        <v>408</v>
      </c>
      <c r="I29" s="126"/>
      <c r="J29" s="125">
        <f>SUM(J24:J28)</f>
        <v>507</v>
      </c>
      <c r="K29" s="155"/>
      <c r="L29" s="35"/>
      <c r="M29" s="35"/>
    </row>
    <row r="30" spans="1:13" s="118" customFormat="1" ht="5.25" customHeight="1" x14ac:dyDescent="0.25">
      <c r="A30" s="120"/>
      <c r="B30" s="120"/>
      <c r="C30" s="120"/>
      <c r="D30" s="126"/>
      <c r="E30" s="126"/>
      <c r="F30" s="126"/>
      <c r="G30" s="126"/>
      <c r="H30" s="126"/>
      <c r="I30" s="126"/>
      <c r="J30" s="126"/>
      <c r="K30" s="155"/>
      <c r="L30" s="35"/>
      <c r="M30" s="35"/>
    </row>
    <row r="31" spans="1:13" s="118" customFormat="1" ht="15" x14ac:dyDescent="0.25">
      <c r="A31" s="119" t="s">
        <v>141</v>
      </c>
      <c r="B31" s="120"/>
      <c r="C31" s="120"/>
      <c r="D31" s="127"/>
      <c r="E31" s="127"/>
      <c r="F31" s="127"/>
      <c r="G31" s="127"/>
      <c r="H31" s="127"/>
      <c r="I31" s="127"/>
      <c r="J31" s="127"/>
      <c r="K31" s="155"/>
      <c r="L31" s="35"/>
      <c r="M31" s="35"/>
    </row>
    <row r="32" spans="1:13" s="118" customFormat="1" ht="13.8" x14ac:dyDescent="0.25">
      <c r="A32" s="119"/>
      <c r="B32" s="119" t="s">
        <v>142</v>
      </c>
      <c r="C32" s="120"/>
      <c r="D32" s="124">
        <v>22</v>
      </c>
      <c r="E32" s="124"/>
      <c r="F32" s="124">
        <v>24</v>
      </c>
      <c r="G32" s="124">
        <v>19</v>
      </c>
      <c r="H32" s="124">
        <v>19</v>
      </c>
      <c r="I32" s="124"/>
      <c r="J32" s="124">
        <v>18</v>
      </c>
      <c r="K32" s="242" t="s">
        <v>143</v>
      </c>
      <c r="L32" s="35"/>
      <c r="M32" s="35"/>
    </row>
    <row r="33" spans="1:13" s="118" customFormat="1" ht="13.8" x14ac:dyDescent="0.25">
      <c r="A33" s="119"/>
      <c r="B33" s="119" t="s">
        <v>144</v>
      </c>
      <c r="C33" s="120"/>
      <c r="D33" s="124">
        <v>5</v>
      </c>
      <c r="E33" s="124"/>
      <c r="F33" s="124">
        <v>3</v>
      </c>
      <c r="G33" s="124">
        <v>1</v>
      </c>
      <c r="H33" s="124">
        <v>7</v>
      </c>
      <c r="I33" s="124"/>
      <c r="J33" s="124">
        <v>6</v>
      </c>
      <c r="K33" s="242" t="s">
        <v>145</v>
      </c>
      <c r="L33" s="35"/>
      <c r="M33" s="35"/>
    </row>
    <row r="34" spans="1:13" s="118" customFormat="1" ht="13.8" x14ac:dyDescent="0.25">
      <c r="A34" s="119"/>
      <c r="B34" s="119" t="s">
        <v>146</v>
      </c>
      <c r="C34" s="120"/>
      <c r="D34" s="124"/>
      <c r="E34" s="124"/>
      <c r="F34" s="124"/>
      <c r="G34" s="124">
        <v>17</v>
      </c>
      <c r="H34" s="124">
        <v>16</v>
      </c>
      <c r="I34" s="124"/>
      <c r="J34" s="124">
        <v>0</v>
      </c>
      <c r="K34" s="242"/>
      <c r="L34" s="35"/>
      <c r="M34" s="35"/>
    </row>
    <row r="35" spans="1:13" s="118" customFormat="1" ht="13.8" x14ac:dyDescent="0.25">
      <c r="A35" s="120"/>
      <c r="B35" s="120" t="s">
        <v>147</v>
      </c>
      <c r="C35" s="120"/>
      <c r="D35" s="127">
        <v>4</v>
      </c>
      <c r="E35" s="127"/>
      <c r="F35" s="127">
        <v>2</v>
      </c>
      <c r="G35" s="127">
        <v>2</v>
      </c>
      <c r="H35" s="127">
        <v>3</v>
      </c>
      <c r="I35" s="127"/>
      <c r="J35" s="127">
        <v>3</v>
      </c>
      <c r="K35" s="242"/>
      <c r="L35" s="35"/>
      <c r="M35" s="35"/>
    </row>
    <row r="36" spans="1:13" s="118" customFormat="1" ht="13.8" x14ac:dyDescent="0.25">
      <c r="A36" s="120"/>
      <c r="B36" s="119" t="s">
        <v>148</v>
      </c>
      <c r="C36" s="120"/>
      <c r="D36" s="124">
        <v>6</v>
      </c>
      <c r="E36" s="124"/>
      <c r="F36" s="124">
        <v>6</v>
      </c>
      <c r="G36" s="124">
        <v>5</v>
      </c>
      <c r="H36" s="124">
        <v>5</v>
      </c>
      <c r="I36" s="124"/>
      <c r="J36" s="124">
        <v>7</v>
      </c>
      <c r="K36" s="242"/>
      <c r="L36" s="35"/>
      <c r="M36" s="35"/>
    </row>
    <row r="37" spans="1:13" s="118" customFormat="1" ht="13.8" x14ac:dyDescent="0.25">
      <c r="A37" s="120"/>
      <c r="B37" s="119" t="s">
        <v>149</v>
      </c>
      <c r="C37" s="120"/>
      <c r="D37" s="124">
        <v>0</v>
      </c>
      <c r="E37" s="124"/>
      <c r="F37" s="124">
        <v>0</v>
      </c>
      <c r="G37" s="124">
        <v>0</v>
      </c>
      <c r="H37" s="124">
        <f>34-21</f>
        <v>13</v>
      </c>
      <c r="I37" s="124"/>
      <c r="J37" s="124">
        <v>10</v>
      </c>
      <c r="K37" s="242"/>
      <c r="L37" s="35"/>
      <c r="M37" s="35"/>
    </row>
    <row r="38" spans="1:13" s="118" customFormat="1" ht="26.25" customHeight="1" x14ac:dyDescent="0.25">
      <c r="A38" s="120"/>
      <c r="B38" s="119" t="s">
        <v>130</v>
      </c>
      <c r="C38" s="120"/>
      <c r="D38" s="124">
        <f>4+110</f>
        <v>114</v>
      </c>
      <c r="E38" s="124"/>
      <c r="F38" s="124">
        <f>4+42</f>
        <v>46</v>
      </c>
      <c r="G38" s="124">
        <f>68+27</f>
        <v>95</v>
      </c>
      <c r="H38" s="124">
        <v>35</v>
      </c>
      <c r="I38" s="124"/>
      <c r="J38" s="124">
        <v>25</v>
      </c>
      <c r="K38" s="242"/>
      <c r="L38" s="35"/>
      <c r="M38" s="35"/>
    </row>
    <row r="39" spans="1:13" s="118" customFormat="1" ht="13.8" x14ac:dyDescent="0.25">
      <c r="A39" s="120"/>
      <c r="B39" s="119" t="s">
        <v>150</v>
      </c>
      <c r="C39" s="120"/>
      <c r="D39" s="124">
        <v>13</v>
      </c>
      <c r="E39" s="124"/>
      <c r="F39" s="124">
        <v>10</v>
      </c>
      <c r="G39" s="124">
        <v>6</v>
      </c>
      <c r="H39" s="124">
        <f>2</f>
        <v>2</v>
      </c>
      <c r="I39" s="124"/>
      <c r="J39" s="124">
        <v>14</v>
      </c>
      <c r="K39" s="244" t="s">
        <v>151</v>
      </c>
      <c r="L39" s="35"/>
      <c r="M39" s="35"/>
    </row>
    <row r="40" spans="1:13" s="118" customFormat="1" ht="13.8" x14ac:dyDescent="0.25">
      <c r="A40" s="120"/>
      <c r="B40" s="119" t="s">
        <v>152</v>
      </c>
      <c r="C40" s="120"/>
      <c r="D40" s="128">
        <v>3</v>
      </c>
      <c r="E40" s="128"/>
      <c r="F40" s="128">
        <v>3</v>
      </c>
      <c r="G40" s="128">
        <v>3</v>
      </c>
      <c r="H40" s="128">
        <v>2</v>
      </c>
      <c r="I40" s="128"/>
      <c r="J40" s="128">
        <v>3</v>
      </c>
      <c r="K40" s="242"/>
      <c r="L40" s="35"/>
      <c r="M40" s="35"/>
    </row>
    <row r="41" spans="1:13" s="118" customFormat="1" ht="13.8" x14ac:dyDescent="0.25">
      <c r="A41" s="120"/>
      <c r="B41" s="119" t="s">
        <v>153</v>
      </c>
      <c r="C41" s="120"/>
      <c r="D41" s="128">
        <v>4</v>
      </c>
      <c r="E41" s="128"/>
      <c r="F41" s="128">
        <v>5</v>
      </c>
      <c r="G41" s="128">
        <v>2</v>
      </c>
      <c r="H41" s="128">
        <v>1</v>
      </c>
      <c r="I41" s="128"/>
      <c r="J41" s="128">
        <v>1</v>
      </c>
      <c r="K41" s="242"/>
      <c r="L41" s="35"/>
      <c r="M41" s="35"/>
    </row>
    <row r="42" spans="1:13" s="118" customFormat="1" ht="13.8" x14ac:dyDescent="0.25">
      <c r="A42" s="120"/>
      <c r="B42" s="119" t="s">
        <v>154</v>
      </c>
      <c r="C42" s="120"/>
      <c r="D42" s="128">
        <v>7</v>
      </c>
      <c r="E42" s="128"/>
      <c r="F42" s="128">
        <v>7</v>
      </c>
      <c r="G42" s="128">
        <v>2</v>
      </c>
      <c r="H42" s="128">
        <v>11</v>
      </c>
      <c r="I42" s="128"/>
      <c r="J42" s="128">
        <v>7</v>
      </c>
      <c r="K42" s="242"/>
      <c r="L42" s="35"/>
      <c r="M42" s="35"/>
    </row>
    <row r="43" spans="1:13" s="118" customFormat="1" ht="13.8" x14ac:dyDescent="0.25">
      <c r="A43" s="120"/>
      <c r="B43" s="119" t="s">
        <v>155</v>
      </c>
      <c r="C43" s="120"/>
      <c r="D43" s="128">
        <v>4</v>
      </c>
      <c r="E43" s="128"/>
      <c r="F43" s="128">
        <v>1</v>
      </c>
      <c r="G43" s="128">
        <v>6</v>
      </c>
      <c r="H43" s="128">
        <f>10-4</f>
        <v>6</v>
      </c>
      <c r="I43" s="128"/>
      <c r="J43" s="128">
        <v>7</v>
      </c>
      <c r="K43" s="242"/>
      <c r="L43" s="35"/>
      <c r="M43" s="35"/>
    </row>
    <row r="44" spans="1:13" s="118" customFormat="1" ht="13.8" x14ac:dyDescent="0.25">
      <c r="A44" s="120"/>
      <c r="B44" s="119" t="s">
        <v>156</v>
      </c>
      <c r="C44" s="120"/>
      <c r="D44" s="128">
        <v>5</v>
      </c>
      <c r="E44" s="128"/>
      <c r="F44" s="128">
        <v>5</v>
      </c>
      <c r="G44" s="128">
        <v>5</v>
      </c>
      <c r="H44" s="128">
        <v>5</v>
      </c>
      <c r="I44" s="128"/>
      <c r="J44" s="128">
        <v>5</v>
      </c>
      <c r="K44" s="242"/>
      <c r="L44" s="35"/>
      <c r="M44" s="35"/>
    </row>
    <row r="45" spans="1:13" s="118" customFormat="1" ht="13.8" x14ac:dyDescent="0.25">
      <c r="A45" s="120"/>
      <c r="B45" s="119" t="s">
        <v>157</v>
      </c>
      <c r="C45" s="120"/>
      <c r="D45" s="128">
        <v>0</v>
      </c>
      <c r="E45" s="128"/>
      <c r="F45" s="128">
        <v>0</v>
      </c>
      <c r="G45" s="128">
        <v>0</v>
      </c>
      <c r="H45" s="128">
        <v>0</v>
      </c>
      <c r="I45" s="128"/>
      <c r="J45" s="128">
        <v>5</v>
      </c>
      <c r="K45" s="242" t="s">
        <v>158</v>
      </c>
      <c r="L45" s="35"/>
      <c r="M45" s="35"/>
    </row>
    <row r="46" spans="1:13" s="118" customFormat="1" ht="13.8" x14ac:dyDescent="0.25">
      <c r="A46" s="120"/>
      <c r="B46" s="119" t="s">
        <v>191</v>
      </c>
      <c r="C46" s="120"/>
      <c r="D46" s="128">
        <v>0</v>
      </c>
      <c r="E46" s="128"/>
      <c r="F46" s="128">
        <v>0</v>
      </c>
      <c r="G46" s="128">
        <v>0</v>
      </c>
      <c r="H46" s="128">
        <v>0</v>
      </c>
      <c r="I46" s="128"/>
      <c r="J46" s="128">
        <v>21</v>
      </c>
      <c r="K46" s="242"/>
      <c r="L46" s="35"/>
      <c r="M46" s="35"/>
    </row>
    <row r="47" spans="1:13" s="118" customFormat="1" ht="13.8" x14ac:dyDescent="0.25">
      <c r="A47" s="120"/>
      <c r="B47" s="119" t="s">
        <v>159</v>
      </c>
      <c r="C47" s="120"/>
      <c r="D47" s="127">
        <v>8</v>
      </c>
      <c r="E47" s="127"/>
      <c r="F47" s="127">
        <v>9</v>
      </c>
      <c r="G47" s="127">
        <v>8</v>
      </c>
      <c r="H47" s="127">
        <f>4+4</f>
        <v>8</v>
      </c>
      <c r="I47" s="127"/>
      <c r="J47" s="127">
        <v>7</v>
      </c>
      <c r="K47" s="244" t="s">
        <v>46</v>
      </c>
      <c r="L47" s="35"/>
      <c r="M47" s="35"/>
    </row>
    <row r="48" spans="1:13" s="118" customFormat="1" ht="13.8" x14ac:dyDescent="0.25">
      <c r="A48" s="120"/>
      <c r="B48" s="120"/>
      <c r="C48" s="120"/>
      <c r="D48" s="129">
        <f>SUM(D32:D47)</f>
        <v>195</v>
      </c>
      <c r="E48" s="122"/>
      <c r="F48" s="129">
        <f>SUM(F32:F47)</f>
        <v>121</v>
      </c>
      <c r="G48" s="129">
        <f>SUM(G32:G47)</f>
        <v>171</v>
      </c>
      <c r="H48" s="129">
        <f>SUM(H32:H47)</f>
        <v>133</v>
      </c>
      <c r="I48" s="122"/>
      <c r="J48" s="129">
        <f>SUM(J32:J47)</f>
        <v>139</v>
      </c>
      <c r="K48" s="242"/>
      <c r="L48" s="35"/>
      <c r="M48" s="35"/>
    </row>
    <row r="49" spans="1:13" s="118" customFormat="1" ht="8.25" customHeight="1" x14ac:dyDescent="0.25">
      <c r="A49" s="120"/>
      <c r="B49" s="120"/>
      <c r="C49" s="120"/>
      <c r="D49" s="124"/>
      <c r="E49" s="124"/>
      <c r="F49" s="124"/>
      <c r="G49" s="124"/>
      <c r="H49" s="124"/>
      <c r="I49" s="124"/>
      <c r="J49" s="124"/>
      <c r="K49" s="242"/>
      <c r="L49" s="35"/>
      <c r="M49" s="35"/>
    </row>
    <row r="50" spans="1:13" s="118" customFormat="1" ht="13.8" x14ac:dyDescent="0.25">
      <c r="A50" s="119" t="s">
        <v>51</v>
      </c>
      <c r="B50" s="120"/>
      <c r="C50" s="120"/>
      <c r="D50" s="122">
        <f>+D8+D21+D29+D48</f>
        <v>2088</v>
      </c>
      <c r="E50" s="122"/>
      <c r="F50" s="122">
        <f>+F8+F21+F29+F48</f>
        <v>1668</v>
      </c>
      <c r="G50" s="122">
        <f>+G8+G21+G29+G48</f>
        <v>1939</v>
      </c>
      <c r="H50" s="122">
        <f>+H8+H21+H29+H48</f>
        <v>1564</v>
      </c>
      <c r="I50" s="122"/>
      <c r="J50" s="122">
        <f>+J8+J21+J29+J48</f>
        <v>1630</v>
      </c>
      <c r="K50" s="242"/>
      <c r="L50" s="35"/>
      <c r="M50" s="35"/>
    </row>
    <row r="51" spans="1:13" s="118" customFormat="1" ht="6" customHeight="1" x14ac:dyDescent="0.25">
      <c r="A51" s="120"/>
      <c r="B51" s="120"/>
      <c r="C51" s="120"/>
      <c r="D51" s="126"/>
      <c r="E51" s="126"/>
      <c r="F51" s="126"/>
      <c r="G51" s="126"/>
      <c r="H51" s="126"/>
      <c r="I51" s="126"/>
      <c r="J51" s="126"/>
      <c r="K51" s="242"/>
      <c r="L51" s="35"/>
      <c r="M51" s="35"/>
    </row>
    <row r="52" spans="1:13" s="118" customFormat="1" ht="5.25" customHeight="1" x14ac:dyDescent="0.25">
      <c r="A52" s="120"/>
      <c r="B52" s="120"/>
      <c r="C52" s="120"/>
      <c r="D52" s="124"/>
      <c r="E52" s="124"/>
      <c r="F52" s="124"/>
      <c r="G52" s="124"/>
      <c r="H52" s="124"/>
      <c r="I52" s="124"/>
      <c r="J52" s="124"/>
      <c r="K52" s="242"/>
      <c r="L52" s="35"/>
      <c r="M52" s="35"/>
    </row>
    <row r="53" spans="1:13" s="118" customFormat="1" ht="13.8" x14ac:dyDescent="0.25">
      <c r="A53" s="119" t="s">
        <v>160</v>
      </c>
      <c r="B53" s="120"/>
      <c r="C53" s="120"/>
      <c r="D53" s="117"/>
      <c r="E53" s="117"/>
      <c r="F53" s="117"/>
      <c r="G53" s="117"/>
      <c r="H53" s="117"/>
      <c r="I53" s="117"/>
      <c r="J53" s="117"/>
      <c r="K53" s="245"/>
      <c r="L53" s="35"/>
      <c r="M53" s="35"/>
    </row>
    <row r="54" spans="1:13" s="118" customFormat="1" ht="13.8" x14ac:dyDescent="0.25">
      <c r="A54" s="119"/>
      <c r="B54" s="120" t="s">
        <v>9</v>
      </c>
      <c r="C54" s="120"/>
      <c r="D54" s="127">
        <v>6429</v>
      </c>
      <c r="E54" s="127"/>
      <c r="F54" s="127">
        <v>6200</v>
      </c>
      <c r="G54" s="127">
        <v>5857</v>
      </c>
      <c r="H54" s="127">
        <v>5975</v>
      </c>
      <c r="I54" s="127"/>
      <c r="J54" s="127">
        <v>5879</v>
      </c>
      <c r="K54" s="242"/>
      <c r="L54" s="35"/>
      <c r="M54" s="35"/>
    </row>
    <row r="55" spans="1:13" s="118" customFormat="1" ht="13.8" x14ac:dyDescent="0.25">
      <c r="A55" s="119"/>
      <c r="B55" s="120" t="s">
        <v>10</v>
      </c>
      <c r="C55" s="120"/>
      <c r="D55" s="127">
        <v>49</v>
      </c>
      <c r="E55" s="127"/>
      <c r="F55" s="127">
        <v>48</v>
      </c>
      <c r="G55" s="127">
        <v>44</v>
      </c>
      <c r="H55" s="127">
        <v>43</v>
      </c>
      <c r="I55" s="127"/>
      <c r="J55" s="127">
        <v>44</v>
      </c>
      <c r="K55" s="242"/>
      <c r="L55" s="35"/>
      <c r="M55" s="35"/>
    </row>
    <row r="56" spans="1:13" s="118" customFormat="1" ht="13.8" x14ac:dyDescent="0.25">
      <c r="A56" s="119"/>
      <c r="B56" s="120" t="s">
        <v>130</v>
      </c>
      <c r="C56" s="120"/>
      <c r="D56" s="127">
        <v>19</v>
      </c>
      <c r="E56" s="127"/>
      <c r="F56" s="127">
        <v>18</v>
      </c>
      <c r="G56" s="127">
        <v>11</v>
      </c>
      <c r="H56" s="127">
        <f>14-4</f>
        <v>10</v>
      </c>
      <c r="I56" s="127"/>
      <c r="J56" s="127">
        <v>8</v>
      </c>
      <c r="K56" s="242"/>
      <c r="L56" s="35"/>
      <c r="M56" s="35"/>
    </row>
    <row r="57" spans="1:13" s="118" customFormat="1" ht="13.8" x14ac:dyDescent="0.25">
      <c r="A57" s="119"/>
      <c r="B57" s="120" t="s">
        <v>161</v>
      </c>
      <c r="C57" s="120"/>
      <c r="D57" s="127">
        <v>12</v>
      </c>
      <c r="E57" s="127"/>
      <c r="F57" s="127">
        <v>11</v>
      </c>
      <c r="G57" s="127">
        <v>11</v>
      </c>
      <c r="H57" s="127">
        <v>11</v>
      </c>
      <c r="I57" s="127"/>
      <c r="J57" s="127">
        <v>10</v>
      </c>
      <c r="K57" s="242"/>
      <c r="L57" s="35"/>
      <c r="M57" s="35"/>
    </row>
    <row r="58" spans="1:13" s="118" customFormat="1" ht="13.8" x14ac:dyDescent="0.25">
      <c r="A58" s="120"/>
      <c r="B58" s="119" t="s">
        <v>129</v>
      </c>
      <c r="C58" s="120"/>
      <c r="D58" s="130">
        <f>95-12</f>
        <v>83</v>
      </c>
      <c r="E58" s="122"/>
      <c r="F58" s="130">
        <f>94-11</f>
        <v>83</v>
      </c>
      <c r="G58" s="130">
        <f>93-11</f>
        <v>82</v>
      </c>
      <c r="H58" s="130">
        <f>10-10</f>
        <v>0</v>
      </c>
      <c r="I58" s="122"/>
      <c r="J58" s="130">
        <v>0</v>
      </c>
      <c r="K58" s="242"/>
      <c r="L58" s="35"/>
      <c r="M58" s="35"/>
    </row>
    <row r="59" spans="1:13" s="118" customFormat="1" ht="13.8" x14ac:dyDescent="0.25">
      <c r="A59" s="120"/>
      <c r="B59" s="120"/>
      <c r="C59" s="120"/>
      <c r="D59" s="122">
        <f>SUM(D54:D58)</f>
        <v>6592</v>
      </c>
      <c r="E59" s="122"/>
      <c r="F59" s="122">
        <f>SUM(F53:F58)</f>
        <v>6360</v>
      </c>
      <c r="G59" s="122">
        <f>SUM(G53:G58)</f>
        <v>6005</v>
      </c>
      <c r="H59" s="122">
        <f>SUM(H53:H58)</f>
        <v>6039</v>
      </c>
      <c r="I59" s="122"/>
      <c r="J59" s="122">
        <f>SUM(J53:J58)</f>
        <v>5941</v>
      </c>
      <c r="K59" s="242"/>
      <c r="L59" s="35"/>
      <c r="M59" s="35"/>
    </row>
    <row r="60" spans="1:13" s="118" customFormat="1" ht="15.75" customHeight="1" x14ac:dyDescent="0.25">
      <c r="A60" s="120" t="s">
        <v>162</v>
      </c>
      <c r="B60" s="120"/>
      <c r="C60" s="35"/>
      <c r="D60" s="122"/>
      <c r="E60" s="122"/>
      <c r="F60" s="122"/>
      <c r="G60" s="122"/>
      <c r="H60" s="122"/>
      <c r="I60" s="122"/>
      <c r="J60" s="122"/>
      <c r="K60" s="242"/>
      <c r="L60" s="35"/>
      <c r="M60" s="35"/>
    </row>
    <row r="61" spans="1:13" s="118" customFormat="1" ht="13.8" x14ac:dyDescent="0.25">
      <c r="A61" s="120"/>
      <c r="B61" s="242" t="s">
        <v>127</v>
      </c>
      <c r="C61" s="35"/>
      <c r="D61" s="122">
        <v>0</v>
      </c>
      <c r="E61" s="122"/>
      <c r="F61" s="122">
        <v>400</v>
      </c>
      <c r="G61" s="122">
        <v>400</v>
      </c>
      <c r="H61" s="122">
        <v>400</v>
      </c>
      <c r="I61" s="122"/>
      <c r="J61" s="122">
        <v>400</v>
      </c>
      <c r="K61" s="242"/>
      <c r="L61" s="35"/>
      <c r="M61" s="35"/>
    </row>
    <row r="62" spans="1:13" s="118" customFormat="1" ht="13.8" x14ac:dyDescent="0.25">
      <c r="A62" s="120"/>
      <c r="B62" s="242" t="s">
        <v>128</v>
      </c>
      <c r="C62" s="35"/>
      <c r="D62" s="122">
        <v>0</v>
      </c>
      <c r="E62" s="122"/>
      <c r="F62" s="122">
        <v>0</v>
      </c>
      <c r="G62" s="122">
        <f>37+15</f>
        <v>52</v>
      </c>
      <c r="H62" s="122">
        <f>15+39</f>
        <v>54</v>
      </c>
      <c r="I62" s="122"/>
      <c r="J62" s="122">
        <f>16+41</f>
        <v>57</v>
      </c>
      <c r="K62" s="242" t="s">
        <v>163</v>
      </c>
      <c r="L62" s="35"/>
      <c r="M62" s="35"/>
    </row>
    <row r="63" spans="1:13" s="118" customFormat="1" ht="27.6" x14ac:dyDescent="0.25">
      <c r="A63" s="120"/>
      <c r="B63" s="242" t="s">
        <v>164</v>
      </c>
      <c r="C63" s="35"/>
      <c r="D63" s="123">
        <v>0</v>
      </c>
      <c r="E63" s="122"/>
      <c r="F63" s="123">
        <v>0</v>
      </c>
      <c r="G63" s="123">
        <v>15</v>
      </c>
      <c r="H63" s="123">
        <v>15</v>
      </c>
      <c r="I63" s="122"/>
      <c r="J63" s="123">
        <f>15+2</f>
        <v>17</v>
      </c>
      <c r="K63" s="244" t="s">
        <v>165</v>
      </c>
      <c r="L63" s="35"/>
      <c r="M63" s="35"/>
    </row>
    <row r="64" spans="1:13" s="118" customFormat="1" ht="13.5" customHeight="1" x14ac:dyDescent="0.25">
      <c r="A64" s="120"/>
      <c r="B64" s="120"/>
      <c r="C64" s="35"/>
      <c r="D64" s="122">
        <f>SUM(D61:D63)</f>
        <v>0</v>
      </c>
      <c r="E64" s="122"/>
      <c r="F64" s="122">
        <f>SUM(F61:F63)</f>
        <v>400</v>
      </c>
      <c r="G64" s="122">
        <f>SUM(G61:G63)</f>
        <v>467</v>
      </c>
      <c r="H64" s="122">
        <f>SUM(H61:H63)</f>
        <v>469</v>
      </c>
      <c r="I64" s="122"/>
      <c r="J64" s="122">
        <f>SUM(J61:J63)</f>
        <v>474</v>
      </c>
      <c r="K64" s="242"/>
      <c r="L64" s="35"/>
      <c r="M64" s="35"/>
    </row>
    <row r="65" spans="1:13" s="118" customFormat="1" ht="13.5" customHeight="1" x14ac:dyDescent="0.25">
      <c r="A65" s="119" t="s">
        <v>166</v>
      </c>
      <c r="B65" s="120"/>
      <c r="C65" s="120"/>
      <c r="D65" s="122"/>
      <c r="E65" s="122"/>
      <c r="F65" s="122"/>
      <c r="G65" s="122"/>
      <c r="H65" s="122"/>
      <c r="I65" s="122"/>
      <c r="J65" s="122"/>
      <c r="K65" s="242"/>
      <c r="L65" s="35"/>
      <c r="M65" s="35"/>
    </row>
    <row r="66" spans="1:13" s="118" customFormat="1" ht="13.8" x14ac:dyDescent="0.25">
      <c r="A66" s="119"/>
      <c r="B66" s="120" t="s">
        <v>167</v>
      </c>
      <c r="C66" s="120"/>
      <c r="D66" s="127">
        <v>30</v>
      </c>
      <c r="E66" s="127"/>
      <c r="F66" s="127">
        <v>30</v>
      </c>
      <c r="G66" s="127">
        <v>30</v>
      </c>
      <c r="H66" s="127">
        <v>30</v>
      </c>
      <c r="I66" s="127"/>
      <c r="J66" s="127">
        <v>30</v>
      </c>
      <c r="K66" s="242"/>
      <c r="L66" s="35"/>
      <c r="M66" s="35"/>
    </row>
    <row r="67" spans="1:13" s="118" customFormat="1" ht="11.25" customHeight="1" x14ac:dyDescent="0.25">
      <c r="A67" s="119"/>
      <c r="B67" s="120" t="s">
        <v>168</v>
      </c>
      <c r="C67" s="120"/>
      <c r="D67" s="127"/>
      <c r="E67" s="127"/>
      <c r="F67" s="127"/>
      <c r="G67" s="127"/>
      <c r="H67" s="127"/>
      <c r="I67" s="127"/>
      <c r="J67" s="127" t="s">
        <v>46</v>
      </c>
      <c r="K67" s="242"/>
      <c r="L67" s="35"/>
      <c r="M67" s="35"/>
    </row>
    <row r="68" spans="1:13" s="118" customFormat="1" ht="13.8" x14ac:dyDescent="0.25">
      <c r="A68" s="119"/>
      <c r="B68" s="120"/>
      <c r="C68" s="120" t="s">
        <v>169</v>
      </c>
      <c r="D68" s="127">
        <v>33</v>
      </c>
      <c r="E68" s="127"/>
      <c r="F68" s="127">
        <v>34</v>
      </c>
      <c r="G68" s="127">
        <v>41</v>
      </c>
      <c r="H68" s="127">
        <v>41</v>
      </c>
      <c r="I68" s="127"/>
      <c r="J68" s="127">
        <v>41</v>
      </c>
      <c r="K68" s="242"/>
      <c r="L68" s="35"/>
      <c r="M68" s="35"/>
    </row>
    <row r="69" spans="1:13" s="118" customFormat="1" ht="13.8" x14ac:dyDescent="0.25">
      <c r="A69" s="119"/>
      <c r="B69" s="120"/>
      <c r="C69" s="120" t="s">
        <v>170</v>
      </c>
      <c r="D69" s="127">
        <v>42</v>
      </c>
      <c r="E69" s="127"/>
      <c r="F69" s="127">
        <v>36</v>
      </c>
      <c r="G69" s="127">
        <v>31</v>
      </c>
      <c r="H69" s="127">
        <v>26</v>
      </c>
      <c r="I69" s="127"/>
      <c r="J69" s="127">
        <f>26-5</f>
        <v>21</v>
      </c>
      <c r="K69" s="242" t="s">
        <v>171</v>
      </c>
      <c r="L69" s="35"/>
      <c r="M69" s="35"/>
    </row>
    <row r="70" spans="1:13" s="118" customFormat="1" ht="12.75" customHeight="1" x14ac:dyDescent="0.25">
      <c r="A70" s="119"/>
      <c r="B70" s="120" t="s">
        <v>172</v>
      </c>
      <c r="C70" s="120"/>
      <c r="D70" s="35"/>
      <c r="E70" s="35"/>
      <c r="F70" s="35"/>
      <c r="G70" s="35"/>
      <c r="H70" s="35"/>
      <c r="I70" s="35"/>
      <c r="J70" s="35"/>
      <c r="K70" s="242"/>
      <c r="L70" s="35"/>
      <c r="M70" s="35"/>
    </row>
    <row r="71" spans="1:13" s="118" customFormat="1" ht="13.8" x14ac:dyDescent="0.25">
      <c r="A71" s="119"/>
      <c r="B71" s="120"/>
      <c r="C71" s="120" t="s">
        <v>169</v>
      </c>
      <c r="D71" s="127">
        <f>153-26</f>
        <v>127</v>
      </c>
      <c r="E71" s="127"/>
      <c r="F71" s="127">
        <v>130</v>
      </c>
      <c r="G71" s="127">
        <v>131</v>
      </c>
      <c r="H71" s="127">
        <f>131+4</f>
        <v>135</v>
      </c>
      <c r="I71" s="127"/>
      <c r="J71" s="127">
        <v>128</v>
      </c>
      <c r="K71" s="242" t="s">
        <v>46</v>
      </c>
      <c r="L71" s="35"/>
      <c r="M71" s="35"/>
    </row>
    <row r="72" spans="1:13" s="118" customFormat="1" ht="13.8" x14ac:dyDescent="0.25">
      <c r="A72" s="119"/>
      <c r="B72" s="120"/>
      <c r="C72" s="120" t="s">
        <v>170</v>
      </c>
      <c r="D72" s="127">
        <v>26</v>
      </c>
      <c r="E72" s="127"/>
      <c r="F72" s="127">
        <v>25</v>
      </c>
      <c r="G72" s="127">
        <f>26-2</f>
        <v>24</v>
      </c>
      <c r="H72" s="127">
        <v>23</v>
      </c>
      <c r="I72" s="127"/>
      <c r="J72" s="127">
        <v>22</v>
      </c>
      <c r="K72" s="242"/>
      <c r="L72" s="35"/>
      <c r="M72" s="35"/>
    </row>
    <row r="73" spans="1:13" s="118" customFormat="1" ht="11.25" customHeight="1" x14ac:dyDescent="0.25">
      <c r="A73" s="119"/>
      <c r="B73" s="120" t="s">
        <v>130</v>
      </c>
      <c r="C73" s="120"/>
      <c r="D73" s="35"/>
      <c r="E73" s="35"/>
      <c r="F73" s="35"/>
      <c r="G73" s="35"/>
      <c r="H73" s="35"/>
      <c r="I73" s="35"/>
      <c r="J73" s="35"/>
      <c r="K73" s="242"/>
      <c r="L73" s="35"/>
      <c r="M73" s="35"/>
    </row>
    <row r="74" spans="1:13" s="118" customFormat="1" ht="13.8" x14ac:dyDescent="0.25">
      <c r="A74" s="119"/>
      <c r="B74" s="120"/>
      <c r="C74" s="120" t="s">
        <v>169</v>
      </c>
      <c r="D74" s="127">
        <f>121-49</f>
        <v>72</v>
      </c>
      <c r="E74" s="127"/>
      <c r="F74" s="127">
        <v>75</v>
      </c>
      <c r="G74" s="127">
        <v>79</v>
      </c>
      <c r="H74" s="127">
        <v>79</v>
      </c>
      <c r="I74" s="127"/>
      <c r="J74" s="127">
        <v>79</v>
      </c>
      <c r="K74" s="242"/>
      <c r="L74" s="35"/>
      <c r="M74" s="35"/>
    </row>
    <row r="75" spans="1:13" s="118" customFormat="1" ht="13.8" x14ac:dyDescent="0.25">
      <c r="A75" s="119"/>
      <c r="B75" s="120"/>
      <c r="C75" s="120" t="s">
        <v>170</v>
      </c>
      <c r="D75" s="127">
        <v>49</v>
      </c>
      <c r="E75" s="127"/>
      <c r="F75" s="127">
        <v>47</v>
      </c>
      <c r="G75" s="127">
        <f>49-3</f>
        <v>46</v>
      </c>
      <c r="H75" s="127">
        <v>45</v>
      </c>
      <c r="I75" s="127"/>
      <c r="J75" s="127">
        <v>44</v>
      </c>
      <c r="K75" s="242"/>
      <c r="L75" s="35"/>
      <c r="M75" s="35"/>
    </row>
    <row r="76" spans="1:13" s="118" customFormat="1" ht="12.75" customHeight="1" x14ac:dyDescent="0.25">
      <c r="A76" s="119"/>
      <c r="B76" s="120" t="s">
        <v>173</v>
      </c>
      <c r="C76" s="120"/>
      <c r="D76" s="127"/>
      <c r="E76" s="127"/>
      <c r="F76" s="127"/>
      <c r="G76" s="127"/>
      <c r="H76" s="127"/>
      <c r="I76" s="127"/>
      <c r="J76" s="127"/>
      <c r="K76" s="242"/>
      <c r="L76" s="35"/>
      <c r="M76" s="35"/>
    </row>
    <row r="77" spans="1:13" s="118" customFormat="1" ht="13.8" x14ac:dyDescent="0.25">
      <c r="A77" s="119"/>
      <c r="B77" s="120"/>
      <c r="C77" s="120" t="s">
        <v>170</v>
      </c>
      <c r="D77" s="127">
        <v>0</v>
      </c>
      <c r="E77" s="127"/>
      <c r="F77" s="127">
        <v>0</v>
      </c>
      <c r="G77" s="127">
        <v>0</v>
      </c>
      <c r="H77" s="127">
        <f>131-5</f>
        <v>126</v>
      </c>
      <c r="I77" s="127"/>
      <c r="J77" s="127">
        <f>131-15</f>
        <v>116</v>
      </c>
      <c r="K77" s="242" t="s">
        <v>174</v>
      </c>
      <c r="L77" s="35"/>
      <c r="M77" s="35"/>
    </row>
    <row r="78" spans="1:13" s="118" customFormat="1" ht="13.8" x14ac:dyDescent="0.25">
      <c r="A78" s="119"/>
      <c r="B78" s="120" t="s">
        <v>175</v>
      </c>
      <c r="C78" s="120"/>
      <c r="D78" s="123">
        <v>-2</v>
      </c>
      <c r="E78" s="122"/>
      <c r="F78" s="123">
        <v>-2</v>
      </c>
      <c r="G78" s="123">
        <v>-2</v>
      </c>
      <c r="H78" s="123">
        <v>0</v>
      </c>
      <c r="I78" s="122"/>
      <c r="J78" s="123">
        <v>0</v>
      </c>
      <c r="K78" s="242"/>
      <c r="L78" s="35"/>
      <c r="M78" s="35"/>
    </row>
    <row r="79" spans="1:13" s="118" customFormat="1" ht="13.8" x14ac:dyDescent="0.25">
      <c r="A79" s="119"/>
      <c r="B79" s="120"/>
      <c r="C79" s="120"/>
      <c r="D79" s="127">
        <f>SUM(D66:D78)</f>
        <v>377</v>
      </c>
      <c r="E79" s="127"/>
      <c r="F79" s="127">
        <f>SUM(F66:F78)</f>
        <v>375</v>
      </c>
      <c r="G79" s="127">
        <f>SUM(G66:G78)</f>
        <v>380</v>
      </c>
      <c r="H79" s="127">
        <f>SUM(H66:H78)</f>
        <v>505</v>
      </c>
      <c r="I79" s="127"/>
      <c r="J79" s="127">
        <f>SUM(J66:J78)</f>
        <v>481</v>
      </c>
      <c r="K79" s="242"/>
      <c r="L79" s="35"/>
      <c r="M79" s="35"/>
    </row>
    <row r="80" spans="1:13" s="118" customFormat="1" ht="12.75" customHeight="1" x14ac:dyDescent="0.25">
      <c r="A80" s="119" t="s">
        <v>176</v>
      </c>
      <c r="B80" s="120"/>
      <c r="C80" s="120"/>
      <c r="D80" s="127"/>
      <c r="E80" s="127"/>
      <c r="F80" s="127"/>
      <c r="G80" s="127"/>
      <c r="H80" s="127"/>
      <c r="I80" s="127"/>
      <c r="J80" s="127"/>
      <c r="K80" s="242"/>
      <c r="L80" s="35"/>
      <c r="M80" s="35"/>
    </row>
    <row r="81" spans="1:13" s="118" customFormat="1" ht="13.8" x14ac:dyDescent="0.25">
      <c r="A81" s="119"/>
      <c r="B81" s="119" t="s">
        <v>177</v>
      </c>
      <c r="C81" s="120"/>
      <c r="D81" s="127"/>
      <c r="E81" s="127"/>
      <c r="F81" s="127"/>
      <c r="G81" s="127"/>
      <c r="H81" s="127"/>
      <c r="I81" s="127"/>
      <c r="J81" s="127"/>
      <c r="K81" s="242"/>
      <c r="L81" s="35"/>
      <c r="M81" s="35"/>
    </row>
    <row r="82" spans="1:13" s="118" customFormat="1" ht="13.8" x14ac:dyDescent="0.25">
      <c r="A82" s="120"/>
      <c r="B82" s="35"/>
      <c r="C82" s="120" t="s">
        <v>178</v>
      </c>
      <c r="D82" s="124">
        <v>5</v>
      </c>
      <c r="E82" s="124"/>
      <c r="F82" s="124">
        <v>5</v>
      </c>
      <c r="G82" s="124">
        <f>2+3</f>
        <v>5</v>
      </c>
      <c r="H82" s="124">
        <v>6</v>
      </c>
      <c r="I82" s="124"/>
      <c r="J82" s="124">
        <v>6</v>
      </c>
      <c r="K82" s="242"/>
      <c r="L82" s="35"/>
      <c r="M82" s="35"/>
    </row>
    <row r="83" spans="1:13" s="118" customFormat="1" ht="13.8" x14ac:dyDescent="0.25">
      <c r="A83" s="120"/>
      <c r="B83" s="35"/>
      <c r="C83" s="120" t="s">
        <v>179</v>
      </c>
      <c r="D83" s="127">
        <v>1</v>
      </c>
      <c r="E83" s="127"/>
      <c r="F83" s="127">
        <v>1</v>
      </c>
      <c r="G83" s="127">
        <v>1</v>
      </c>
      <c r="H83" s="127">
        <v>1</v>
      </c>
      <c r="I83" s="127"/>
      <c r="J83" s="127">
        <v>1</v>
      </c>
      <c r="K83" s="242"/>
      <c r="L83" s="35"/>
      <c r="M83" s="35"/>
    </row>
    <row r="84" spans="1:13" s="118" customFormat="1" ht="13.8" x14ac:dyDescent="0.25">
      <c r="A84" s="120"/>
      <c r="B84" s="35"/>
      <c r="C84" s="119" t="s">
        <v>180</v>
      </c>
      <c r="D84" s="127">
        <v>45</v>
      </c>
      <c r="E84" s="127"/>
      <c r="F84" s="127">
        <v>48</v>
      </c>
      <c r="G84" s="127">
        <v>9</v>
      </c>
      <c r="H84" s="127">
        <v>10</v>
      </c>
      <c r="I84" s="127"/>
      <c r="J84" s="127">
        <v>11</v>
      </c>
      <c r="K84" s="242"/>
      <c r="L84" s="35"/>
      <c r="M84" s="35"/>
    </row>
    <row r="85" spans="1:13" s="118" customFormat="1" ht="13.8" x14ac:dyDescent="0.25">
      <c r="A85" s="120"/>
      <c r="B85" s="35"/>
      <c r="C85" s="119" t="s">
        <v>181</v>
      </c>
      <c r="D85" s="127">
        <v>34</v>
      </c>
      <c r="E85" s="127"/>
      <c r="F85" s="127">
        <v>34</v>
      </c>
      <c r="G85" s="127">
        <v>6</v>
      </c>
      <c r="H85" s="127">
        <v>6</v>
      </c>
      <c r="I85" s="127"/>
      <c r="J85" s="127">
        <v>6</v>
      </c>
      <c r="K85" s="242"/>
      <c r="L85" s="35"/>
      <c r="M85" s="35"/>
    </row>
    <row r="86" spans="1:13" s="118" customFormat="1" ht="13.8" x14ac:dyDescent="0.25">
      <c r="A86" s="120"/>
      <c r="B86" s="120"/>
      <c r="C86" s="120"/>
      <c r="D86" s="129">
        <f>SUM(D82:D85)</f>
        <v>85</v>
      </c>
      <c r="E86" s="122"/>
      <c r="F86" s="129">
        <f>SUM(F82:F85)</f>
        <v>88</v>
      </c>
      <c r="G86" s="129">
        <f>SUM(G82:G85)</f>
        <v>21</v>
      </c>
      <c r="H86" s="129">
        <f>SUM(H82:H85)</f>
        <v>23</v>
      </c>
      <c r="I86" s="122"/>
      <c r="J86" s="129">
        <f>SUM(J82:J85)</f>
        <v>24</v>
      </c>
      <c r="K86" s="242"/>
      <c r="L86" s="35"/>
      <c r="M86" s="35"/>
    </row>
    <row r="87" spans="1:13" s="118" customFormat="1" ht="9.75" customHeight="1" x14ac:dyDescent="0.25">
      <c r="A87" s="120"/>
      <c r="B87" s="120"/>
      <c r="C87" s="35"/>
      <c r="D87" s="122"/>
      <c r="E87" s="122"/>
      <c r="F87" s="122"/>
      <c r="G87" s="122"/>
      <c r="H87" s="122"/>
      <c r="I87" s="122"/>
      <c r="J87" s="122"/>
      <c r="K87" s="242"/>
      <c r="L87" s="35"/>
      <c r="M87" s="35"/>
    </row>
    <row r="88" spans="1:13" s="118" customFormat="1" ht="13.8" x14ac:dyDescent="0.25">
      <c r="A88" s="120"/>
      <c r="B88" s="119" t="s">
        <v>182</v>
      </c>
      <c r="C88" s="120"/>
      <c r="D88" s="128">
        <f>13+2</f>
        <v>15</v>
      </c>
      <c r="E88" s="128"/>
      <c r="F88" s="128">
        <f>11+2</f>
        <v>13</v>
      </c>
      <c r="G88" s="128">
        <f>9+2</f>
        <v>11</v>
      </c>
      <c r="H88" s="128">
        <v>10</v>
      </c>
      <c r="I88" s="128"/>
      <c r="J88" s="128">
        <f>8+1</f>
        <v>9</v>
      </c>
      <c r="K88" s="242"/>
      <c r="L88" s="35"/>
      <c r="M88" s="35"/>
    </row>
    <row r="89" spans="1:13" s="118" customFormat="1" ht="15" x14ac:dyDescent="0.25">
      <c r="A89" s="120"/>
      <c r="B89" s="119" t="s">
        <v>183</v>
      </c>
      <c r="C89" s="120"/>
      <c r="D89" s="158">
        <v>7</v>
      </c>
      <c r="E89" s="158"/>
      <c r="F89" s="158">
        <v>5</v>
      </c>
      <c r="G89" s="158">
        <v>3</v>
      </c>
      <c r="H89" s="158">
        <v>3</v>
      </c>
      <c r="I89" s="131"/>
      <c r="J89" s="159">
        <v>0</v>
      </c>
      <c r="K89" s="242" t="s">
        <v>184</v>
      </c>
      <c r="L89" s="35"/>
      <c r="M89" s="35"/>
    </row>
    <row r="90" spans="1:13" s="118" customFormat="1" ht="13.8" x14ac:dyDescent="0.25">
      <c r="A90" s="120"/>
      <c r="B90" s="119" t="s">
        <v>185</v>
      </c>
      <c r="C90" s="120"/>
      <c r="D90" s="128">
        <v>2</v>
      </c>
      <c r="E90" s="128"/>
      <c r="F90" s="128">
        <v>2</v>
      </c>
      <c r="G90" s="128">
        <v>2</v>
      </c>
      <c r="H90" s="128">
        <v>2</v>
      </c>
      <c r="I90" s="128"/>
      <c r="J90" s="128">
        <v>3</v>
      </c>
      <c r="K90" s="242" t="s">
        <v>46</v>
      </c>
      <c r="L90" s="35"/>
      <c r="M90" s="35"/>
    </row>
    <row r="91" spans="1:13" s="118" customFormat="1" ht="13.8" x14ac:dyDescent="0.25">
      <c r="A91" s="120"/>
      <c r="B91" s="119" t="s">
        <v>142</v>
      </c>
      <c r="C91" s="120"/>
      <c r="D91" s="127">
        <v>99</v>
      </c>
      <c r="E91" s="127"/>
      <c r="F91" s="127">
        <v>103</v>
      </c>
      <c r="G91" s="127">
        <v>93</v>
      </c>
      <c r="H91" s="127">
        <v>89</v>
      </c>
      <c r="I91" s="127"/>
      <c r="J91" s="127">
        <f>72</f>
        <v>72</v>
      </c>
      <c r="K91" s="244" t="s">
        <v>186</v>
      </c>
      <c r="L91" s="35"/>
      <c r="M91" s="35"/>
    </row>
    <row r="92" spans="1:13" s="118" customFormat="1" ht="13.8" x14ac:dyDescent="0.25">
      <c r="A92" s="120"/>
      <c r="B92" s="119" t="s">
        <v>130</v>
      </c>
      <c r="C92" s="120"/>
      <c r="D92" s="127">
        <f>1+1</f>
        <v>2</v>
      </c>
      <c r="E92" s="127"/>
      <c r="F92" s="127">
        <f>2+1</f>
        <v>3</v>
      </c>
      <c r="G92" s="127">
        <f>1+4</f>
        <v>5</v>
      </c>
      <c r="H92" s="127">
        <v>1</v>
      </c>
      <c r="I92" s="127"/>
      <c r="J92" s="127">
        <v>1</v>
      </c>
      <c r="K92" s="242"/>
      <c r="L92" s="35"/>
      <c r="M92" s="35"/>
    </row>
    <row r="93" spans="1:13" s="118" customFormat="1" ht="13.8" x14ac:dyDescent="0.25">
      <c r="A93" s="120"/>
      <c r="B93" s="119" t="s">
        <v>187</v>
      </c>
      <c r="C93" s="120"/>
      <c r="D93" s="127">
        <v>19</v>
      </c>
      <c r="E93" s="127"/>
      <c r="F93" s="127">
        <v>19</v>
      </c>
      <c r="G93" s="127">
        <v>19</v>
      </c>
      <c r="H93" s="127">
        <v>0</v>
      </c>
      <c r="I93" s="127"/>
      <c r="J93" s="127">
        <v>0</v>
      </c>
      <c r="K93" s="242"/>
      <c r="L93" s="35"/>
      <c r="M93" s="35"/>
    </row>
    <row r="94" spans="1:13" s="118" customFormat="1" ht="13.8" x14ac:dyDescent="0.25">
      <c r="A94" s="120"/>
      <c r="B94" s="119" t="s">
        <v>188</v>
      </c>
      <c r="C94" s="120"/>
      <c r="D94" s="127">
        <v>4</v>
      </c>
      <c r="E94" s="127"/>
      <c r="F94" s="127">
        <v>4</v>
      </c>
      <c r="G94" s="127">
        <v>3</v>
      </c>
      <c r="H94" s="127">
        <v>3</v>
      </c>
      <c r="I94" s="127"/>
      <c r="J94" s="127">
        <v>3</v>
      </c>
      <c r="K94" s="242"/>
      <c r="L94" s="35"/>
      <c r="M94" s="35"/>
    </row>
    <row r="95" spans="1:13" s="118" customFormat="1" ht="13.8" x14ac:dyDescent="0.25">
      <c r="A95" s="120"/>
      <c r="B95" s="119" t="s">
        <v>189</v>
      </c>
      <c r="C95" s="120"/>
      <c r="D95" s="127">
        <v>5</v>
      </c>
      <c r="E95" s="127"/>
      <c r="F95" s="127">
        <v>5</v>
      </c>
      <c r="G95" s="127">
        <v>5</v>
      </c>
      <c r="H95" s="127">
        <v>5</v>
      </c>
      <c r="I95" s="127"/>
      <c r="J95" s="127">
        <v>1</v>
      </c>
      <c r="K95" s="242" t="s">
        <v>190</v>
      </c>
      <c r="L95" s="35"/>
      <c r="M95" s="35"/>
    </row>
    <row r="96" spans="1:13" s="118" customFormat="1" ht="13.8" x14ac:dyDescent="0.25">
      <c r="A96" s="120"/>
      <c r="B96" s="119" t="s">
        <v>173</v>
      </c>
      <c r="C96" s="120"/>
      <c r="D96" s="127">
        <v>0</v>
      </c>
      <c r="E96" s="127"/>
      <c r="F96" s="127">
        <v>0</v>
      </c>
      <c r="G96" s="127">
        <v>0</v>
      </c>
      <c r="H96" s="127">
        <v>21</v>
      </c>
      <c r="I96" s="127"/>
      <c r="J96" s="127">
        <v>21</v>
      </c>
      <c r="K96" s="242"/>
      <c r="L96" s="35"/>
      <c r="M96" s="35"/>
    </row>
    <row r="97" spans="1:13" s="118" customFormat="1" ht="13.8" x14ac:dyDescent="0.25">
      <c r="A97" s="119" t="s">
        <v>46</v>
      </c>
      <c r="B97" s="119" t="s">
        <v>191</v>
      </c>
      <c r="C97" s="120"/>
      <c r="D97" s="127">
        <v>49</v>
      </c>
      <c r="E97" s="127"/>
      <c r="F97" s="127">
        <v>49</v>
      </c>
      <c r="G97" s="127">
        <f>27-17</f>
        <v>10</v>
      </c>
      <c r="H97" s="127">
        <f>7+2+1-2+21</f>
        <v>29</v>
      </c>
      <c r="I97" s="127"/>
      <c r="J97" s="127">
        <f>29-21</f>
        <v>8</v>
      </c>
      <c r="K97" s="242" t="s">
        <v>341</v>
      </c>
      <c r="L97" s="35"/>
      <c r="M97" s="35"/>
    </row>
    <row r="98" spans="1:13" s="118" customFormat="1" ht="13.8" x14ac:dyDescent="0.25">
      <c r="A98" s="120"/>
      <c r="B98" s="120"/>
      <c r="C98" s="120"/>
      <c r="D98" s="132">
        <f>SUM(D86:D97)</f>
        <v>287</v>
      </c>
      <c r="E98" s="122"/>
      <c r="F98" s="132">
        <f>SUM(F88:F97)+F86</f>
        <v>291</v>
      </c>
      <c r="G98" s="132">
        <f>SUM(G88:G97)+G86</f>
        <v>172</v>
      </c>
      <c r="H98" s="132">
        <f>SUM(H88:H97)+H86</f>
        <v>186</v>
      </c>
      <c r="I98" s="122"/>
      <c r="J98" s="132">
        <f>SUM(J88:J97)+J86</f>
        <v>142</v>
      </c>
      <c r="K98" s="242"/>
      <c r="L98" s="35"/>
      <c r="M98" s="35"/>
    </row>
    <row r="99" spans="1:13" s="118" customFormat="1" ht="6" customHeight="1" x14ac:dyDescent="0.25">
      <c r="A99" s="120"/>
      <c r="B99" s="120"/>
      <c r="C99" s="120"/>
      <c r="D99" s="122"/>
      <c r="E99" s="122"/>
      <c r="F99" s="122"/>
      <c r="G99" s="122"/>
      <c r="H99" s="122"/>
      <c r="I99" s="122"/>
      <c r="J99" s="122"/>
      <c r="K99" s="242"/>
      <c r="L99" s="35"/>
      <c r="M99" s="35"/>
    </row>
    <row r="100" spans="1:13" s="118" customFormat="1" ht="14.4" thickBot="1" x14ac:dyDescent="0.3">
      <c r="A100" s="119" t="s">
        <v>192</v>
      </c>
      <c r="B100" s="120"/>
      <c r="C100" s="120"/>
      <c r="D100" s="133">
        <f>D50+D59+D98+D79</f>
        <v>9344</v>
      </c>
      <c r="E100" s="134"/>
      <c r="F100" s="133">
        <f>F50+F59+F98+F79+F64</f>
        <v>9094</v>
      </c>
      <c r="G100" s="133">
        <f>G50+G59+G98+G79+G64</f>
        <v>8963</v>
      </c>
      <c r="H100" s="133">
        <f>H50+H59+H98+H79+H64</f>
        <v>8763</v>
      </c>
      <c r="I100" s="134"/>
      <c r="J100" s="135">
        <f>J50+J59+J98+J79+J64</f>
        <v>8668</v>
      </c>
      <c r="K100" s="242"/>
      <c r="L100" s="35"/>
      <c r="M100" s="35"/>
    </row>
    <row r="101" spans="1:13" s="118" customFormat="1" ht="6" customHeight="1" thickTop="1" x14ac:dyDescent="0.25">
      <c r="A101" s="119"/>
      <c r="B101" s="120"/>
      <c r="C101" s="120"/>
      <c r="D101" s="35"/>
      <c r="E101" s="35"/>
      <c r="F101" s="35"/>
      <c r="G101" s="35"/>
      <c r="H101" s="35"/>
      <c r="I101" s="35"/>
      <c r="J101" s="136"/>
      <c r="K101" s="242"/>
      <c r="L101" s="35"/>
      <c r="M101" s="35"/>
    </row>
    <row r="102" spans="1:13" s="118" customFormat="1" ht="13.8" hidden="1" x14ac:dyDescent="0.25">
      <c r="A102" s="252" t="str">
        <f>A4</f>
        <v>Draft 7/21/03   8 am</v>
      </c>
      <c r="B102" s="252"/>
      <c r="C102" s="252"/>
      <c r="D102" s="35"/>
      <c r="E102" s="35"/>
      <c r="F102" s="35"/>
      <c r="G102" s="35"/>
      <c r="H102" s="35"/>
      <c r="I102" s="35"/>
      <c r="J102" s="136"/>
      <c r="K102" s="242"/>
      <c r="L102" s="35"/>
      <c r="M102" s="35"/>
    </row>
    <row r="103" spans="1:13" s="118" customFormat="1" ht="13.8" hidden="1" x14ac:dyDescent="0.25">
      <c r="A103" s="119"/>
      <c r="B103" s="120"/>
      <c r="C103" s="120"/>
      <c r="D103" s="137">
        <v>37437</v>
      </c>
      <c r="E103" s="138"/>
      <c r="F103" s="137">
        <v>37529</v>
      </c>
      <c r="G103" s="137">
        <v>37529</v>
      </c>
      <c r="H103" s="137">
        <v>37529</v>
      </c>
      <c r="I103" s="138"/>
      <c r="J103" s="139">
        <v>37529</v>
      </c>
      <c r="K103" s="242"/>
      <c r="L103" s="35"/>
      <c r="M103" s="35"/>
    </row>
    <row r="104" spans="1:13" s="118" customFormat="1" ht="13.8" x14ac:dyDescent="0.25">
      <c r="A104" s="119"/>
      <c r="B104" s="120"/>
      <c r="C104" s="120"/>
      <c r="D104" s="35"/>
      <c r="E104" s="35"/>
      <c r="F104" s="35"/>
      <c r="G104" s="35"/>
      <c r="H104" s="35"/>
      <c r="I104" s="35"/>
      <c r="J104" s="136"/>
      <c r="K104" s="242"/>
      <c r="L104" s="35"/>
      <c r="M104" s="35"/>
    </row>
    <row r="105" spans="1:13" s="118" customFormat="1" ht="13.8" x14ac:dyDescent="0.25">
      <c r="A105" s="119" t="s">
        <v>193</v>
      </c>
      <c r="B105" s="119"/>
      <c r="C105" s="120"/>
      <c r="D105" s="140">
        <v>450</v>
      </c>
      <c r="E105" s="140"/>
      <c r="F105" s="140">
        <f>560-132-97</f>
        <v>331</v>
      </c>
      <c r="G105" s="140">
        <f>694-447</f>
        <v>247</v>
      </c>
      <c r="H105" s="140">
        <f>492-244</f>
        <v>248</v>
      </c>
      <c r="I105" s="140"/>
      <c r="J105" s="141">
        <f>259+5+2</f>
        <v>266</v>
      </c>
      <c r="K105" s="242"/>
      <c r="L105" s="35"/>
      <c r="M105" s="35"/>
    </row>
    <row r="106" spans="1:13" s="118" customFormat="1" ht="13.8" x14ac:dyDescent="0.25">
      <c r="A106" s="119" t="s">
        <v>130</v>
      </c>
      <c r="B106" s="119"/>
      <c r="C106" s="120"/>
      <c r="D106" s="142">
        <f>186+308</f>
        <v>494</v>
      </c>
      <c r="E106" s="143"/>
      <c r="F106" s="142">
        <f>132+97</f>
        <v>229</v>
      </c>
      <c r="G106" s="142">
        <f>447-3</f>
        <v>444</v>
      </c>
      <c r="H106" s="142">
        <v>244</v>
      </c>
      <c r="I106" s="143"/>
      <c r="J106" s="144">
        <v>301</v>
      </c>
      <c r="K106" s="242"/>
      <c r="L106" s="35"/>
      <c r="M106" s="35"/>
    </row>
    <row r="107" spans="1:13" s="118" customFormat="1" ht="18.75" customHeight="1" x14ac:dyDescent="0.25">
      <c r="A107" s="119"/>
      <c r="B107" s="119"/>
      <c r="C107" s="120"/>
      <c r="D107" s="143">
        <f>SUM(D105:D106)</f>
        <v>944</v>
      </c>
      <c r="E107" s="143"/>
      <c r="F107" s="143">
        <f>SUM(F105:F106)</f>
        <v>560</v>
      </c>
      <c r="G107" s="143">
        <f>SUM(G105:G106)</f>
        <v>691</v>
      </c>
      <c r="H107" s="143">
        <f>SUM(H105:H106)</f>
        <v>492</v>
      </c>
      <c r="I107" s="143"/>
      <c r="J107" s="145">
        <f>SUM(J105:J106)</f>
        <v>567</v>
      </c>
      <c r="K107" s="242"/>
      <c r="L107" s="35"/>
      <c r="M107" s="35"/>
    </row>
    <row r="108" spans="1:13" s="118" customFormat="1" ht="18.75" customHeight="1" x14ac:dyDescent="0.25">
      <c r="A108" s="119" t="s">
        <v>194</v>
      </c>
      <c r="B108" s="120"/>
      <c r="C108" s="120"/>
      <c r="D108" s="124"/>
      <c r="E108" s="124"/>
      <c r="F108" s="124"/>
      <c r="G108" s="124"/>
      <c r="H108" s="124"/>
      <c r="I108" s="124"/>
      <c r="J108" s="124"/>
      <c r="K108" s="242"/>
      <c r="L108" s="35"/>
      <c r="M108" s="35"/>
    </row>
    <row r="109" spans="1:13" s="118" customFormat="1" ht="11.25" customHeight="1" x14ac:dyDescent="0.25">
      <c r="A109" s="119"/>
      <c r="B109" s="120" t="s">
        <v>195</v>
      </c>
      <c r="C109" s="120"/>
      <c r="D109" s="124">
        <v>0</v>
      </c>
      <c r="E109" s="124"/>
      <c r="F109" s="124">
        <v>0</v>
      </c>
      <c r="G109" s="124">
        <v>2</v>
      </c>
      <c r="H109" s="124">
        <v>1</v>
      </c>
      <c r="I109" s="124"/>
      <c r="J109" s="124">
        <v>1</v>
      </c>
      <c r="K109" s="242"/>
      <c r="L109" s="35"/>
      <c r="M109" s="35"/>
    </row>
    <row r="110" spans="1:13" s="118" customFormat="1" ht="11.25" customHeight="1" x14ac:dyDescent="0.25">
      <c r="A110" s="119"/>
      <c r="B110" s="120" t="s">
        <v>196</v>
      </c>
      <c r="C110" s="120"/>
      <c r="D110" s="124">
        <v>0</v>
      </c>
      <c r="E110" s="124"/>
      <c r="F110" s="124">
        <v>0</v>
      </c>
      <c r="G110" s="124">
        <v>0</v>
      </c>
      <c r="H110" s="124">
        <v>0</v>
      </c>
      <c r="I110" s="124"/>
      <c r="J110" s="124">
        <v>1</v>
      </c>
      <c r="K110" s="242"/>
      <c r="L110" s="35"/>
      <c r="M110" s="35"/>
    </row>
    <row r="111" spans="1:13" s="118" customFormat="1" ht="13.8" x14ac:dyDescent="0.25">
      <c r="A111" s="120"/>
      <c r="B111" s="119" t="s">
        <v>168</v>
      </c>
      <c r="C111" s="120"/>
      <c r="D111" s="124">
        <v>7</v>
      </c>
      <c r="E111" s="124"/>
      <c r="F111" s="124">
        <v>4</v>
      </c>
      <c r="G111" s="124">
        <v>0</v>
      </c>
      <c r="H111" s="124">
        <v>0</v>
      </c>
      <c r="I111" s="124"/>
      <c r="J111" s="124">
        <v>0</v>
      </c>
      <c r="K111" s="242"/>
      <c r="L111" s="35"/>
      <c r="M111" s="35"/>
    </row>
    <row r="112" spans="1:13" s="118" customFormat="1" ht="13.8" x14ac:dyDescent="0.25">
      <c r="A112" s="120"/>
      <c r="B112" s="119" t="s">
        <v>172</v>
      </c>
      <c r="C112" s="120"/>
      <c r="D112" s="124">
        <v>2</v>
      </c>
      <c r="E112" s="124"/>
      <c r="F112" s="124">
        <v>7</v>
      </c>
      <c r="G112" s="124">
        <v>1</v>
      </c>
      <c r="H112" s="124">
        <v>0</v>
      </c>
      <c r="I112" s="124"/>
      <c r="J112" s="124">
        <v>0</v>
      </c>
      <c r="K112" s="242"/>
      <c r="L112" s="35"/>
      <c r="M112" s="35"/>
    </row>
    <row r="113" spans="1:13" s="118" customFormat="1" ht="13.8" x14ac:dyDescent="0.25">
      <c r="A113" s="120"/>
      <c r="B113" s="119" t="s">
        <v>197</v>
      </c>
      <c r="C113" s="120"/>
      <c r="D113" s="124">
        <v>0</v>
      </c>
      <c r="E113" s="124"/>
      <c r="F113" s="124">
        <v>0</v>
      </c>
      <c r="G113" s="124">
        <v>0</v>
      </c>
      <c r="H113" s="124">
        <v>121</v>
      </c>
      <c r="I113" s="124"/>
      <c r="J113" s="124">
        <v>121</v>
      </c>
      <c r="K113" s="242"/>
      <c r="L113" s="35"/>
      <c r="M113" s="35"/>
    </row>
    <row r="114" spans="1:13" s="118" customFormat="1" ht="13.8" x14ac:dyDescent="0.25">
      <c r="A114" s="120"/>
      <c r="B114" s="119" t="s">
        <v>198</v>
      </c>
      <c r="C114" s="120"/>
      <c r="D114" s="124">
        <v>0</v>
      </c>
      <c r="E114" s="124"/>
      <c r="F114" s="124">
        <v>0</v>
      </c>
      <c r="G114" s="124">
        <v>1</v>
      </c>
      <c r="H114" s="124">
        <v>2</v>
      </c>
      <c r="I114" s="124"/>
      <c r="J114" s="124">
        <v>2</v>
      </c>
      <c r="K114" s="242"/>
      <c r="L114" s="35"/>
      <c r="M114" s="35"/>
    </row>
    <row r="115" spans="1:13" s="118" customFormat="1" ht="15" x14ac:dyDescent="0.25">
      <c r="A115" s="120"/>
      <c r="B115" s="155" t="s">
        <v>199</v>
      </c>
      <c r="C115" s="120"/>
      <c r="D115" s="124">
        <v>1</v>
      </c>
      <c r="E115" s="124"/>
      <c r="F115" s="124">
        <v>1</v>
      </c>
      <c r="G115" s="124">
        <v>0</v>
      </c>
      <c r="H115" s="124">
        <v>0</v>
      </c>
      <c r="I115" s="124"/>
      <c r="J115" s="124">
        <v>0</v>
      </c>
      <c r="K115" s="242"/>
      <c r="L115" s="35"/>
      <c r="M115" s="35"/>
    </row>
    <row r="116" spans="1:13" s="118" customFormat="1" ht="13.8" x14ac:dyDescent="0.25">
      <c r="A116" s="120"/>
      <c r="B116" s="120"/>
      <c r="C116" s="120"/>
      <c r="D116" s="146">
        <f>SUM(D109:D115)</f>
        <v>10</v>
      </c>
      <c r="E116" s="126"/>
      <c r="F116" s="146">
        <f>SUM(F109:F115)</f>
        <v>12</v>
      </c>
      <c r="G116" s="146">
        <f>SUM(G109:G115)</f>
        <v>4</v>
      </c>
      <c r="H116" s="146">
        <f>SUM(H109:H115)</f>
        <v>124</v>
      </c>
      <c r="I116" s="126"/>
      <c r="J116" s="146">
        <f>SUM(J109:J115)</f>
        <v>125</v>
      </c>
      <c r="K116" s="242"/>
      <c r="L116" s="35"/>
      <c r="M116" s="35"/>
    </row>
    <row r="117" spans="1:13" s="118" customFormat="1" ht="5.25" customHeight="1" x14ac:dyDescent="0.25">
      <c r="A117" s="120"/>
      <c r="B117" s="120"/>
      <c r="C117" s="120"/>
      <c r="D117" s="126"/>
      <c r="E117" s="126"/>
      <c r="F117" s="126"/>
      <c r="G117" s="126"/>
      <c r="H117" s="126"/>
      <c r="I117" s="126"/>
      <c r="J117" s="126"/>
      <c r="K117" s="242"/>
      <c r="L117" s="35"/>
      <c r="M117" s="35"/>
    </row>
    <row r="118" spans="1:13" s="118" customFormat="1" ht="13.8" x14ac:dyDescent="0.25">
      <c r="A118" s="119" t="s">
        <v>200</v>
      </c>
      <c r="B118" s="120"/>
      <c r="C118" s="120"/>
      <c r="D118" s="122">
        <f>152+27+5</f>
        <v>184</v>
      </c>
      <c r="E118" s="122"/>
      <c r="F118" s="122">
        <v>173</v>
      </c>
      <c r="G118" s="122">
        <f>156-8-1</f>
        <v>147</v>
      </c>
      <c r="H118" s="122">
        <f>122+4-2</f>
        <v>124</v>
      </c>
      <c r="I118" s="122"/>
      <c r="J118" s="122">
        <v>146</v>
      </c>
      <c r="K118" s="242" t="s">
        <v>201</v>
      </c>
      <c r="L118" s="35"/>
      <c r="M118" s="35"/>
    </row>
    <row r="119" spans="1:13" s="118" customFormat="1" ht="6.75" customHeight="1" x14ac:dyDescent="0.25">
      <c r="A119" s="120"/>
      <c r="B119" s="120"/>
      <c r="C119" s="120"/>
      <c r="D119" s="122"/>
      <c r="E119" s="122"/>
      <c r="F119" s="122"/>
      <c r="G119" s="122"/>
      <c r="H119" s="122"/>
      <c r="I119" s="122"/>
      <c r="J119" s="122"/>
      <c r="K119" s="242"/>
      <c r="L119" s="35"/>
      <c r="M119" s="35"/>
    </row>
    <row r="120" spans="1:13" s="118" customFormat="1" ht="13.8" x14ac:dyDescent="0.25">
      <c r="A120" s="119" t="s">
        <v>202</v>
      </c>
      <c r="B120" s="120"/>
      <c r="C120" s="120"/>
      <c r="D120" s="122">
        <v>83</v>
      </c>
      <c r="E120" s="122"/>
      <c r="F120" s="122">
        <f>76-2</f>
        <v>74</v>
      </c>
      <c r="G120" s="122">
        <v>92</v>
      </c>
      <c r="H120" s="122">
        <v>88</v>
      </c>
      <c r="I120" s="122"/>
      <c r="J120" s="122">
        <v>88</v>
      </c>
      <c r="K120" s="242"/>
      <c r="L120" s="35"/>
      <c r="M120" s="35"/>
    </row>
    <row r="121" spans="1:13" s="118" customFormat="1" ht="6" customHeight="1" x14ac:dyDescent="0.25">
      <c r="A121" s="120"/>
      <c r="B121" s="120"/>
      <c r="C121" s="120"/>
      <c r="D121" s="122"/>
      <c r="E121" s="122"/>
      <c r="F121" s="122"/>
      <c r="G121" s="122"/>
      <c r="H121" s="122"/>
      <c r="I121" s="122"/>
      <c r="J121" s="122"/>
      <c r="K121" s="242"/>
      <c r="L121" s="35"/>
      <c r="M121" s="35"/>
    </row>
    <row r="122" spans="1:13" s="118" customFormat="1" ht="13.8" x14ac:dyDescent="0.25">
      <c r="A122" s="119" t="s">
        <v>65</v>
      </c>
      <c r="B122" s="120"/>
      <c r="C122" s="120"/>
      <c r="D122" s="122" t="s">
        <v>46</v>
      </c>
      <c r="E122" s="122"/>
      <c r="F122" s="122" t="s">
        <v>46</v>
      </c>
      <c r="G122" s="122" t="s">
        <v>46</v>
      </c>
      <c r="H122" s="122" t="s">
        <v>46</v>
      </c>
      <c r="I122" s="122"/>
      <c r="J122" s="122" t="s">
        <v>46</v>
      </c>
      <c r="K122" s="242"/>
      <c r="L122" s="35"/>
      <c r="M122" s="35"/>
    </row>
    <row r="123" spans="1:13" s="118" customFormat="1" ht="13.8" x14ac:dyDescent="0.25">
      <c r="A123" s="119"/>
      <c r="B123" s="120" t="s">
        <v>139</v>
      </c>
      <c r="C123" s="120"/>
      <c r="D123" s="122">
        <v>131</v>
      </c>
      <c r="E123" s="122"/>
      <c r="F123" s="122">
        <v>133</v>
      </c>
      <c r="G123" s="122">
        <f>142</f>
        <v>142</v>
      </c>
      <c r="H123" s="122">
        <f>124-16-3</f>
        <v>105</v>
      </c>
      <c r="I123" s="122"/>
      <c r="J123" s="122">
        <v>109</v>
      </c>
      <c r="K123" s="242"/>
      <c r="L123" s="35"/>
      <c r="M123" s="35"/>
    </row>
    <row r="124" spans="1:13" s="118" customFormat="1" ht="13.8" x14ac:dyDescent="0.25">
      <c r="A124" s="119"/>
      <c r="B124" s="120" t="s">
        <v>140</v>
      </c>
      <c r="C124" s="120"/>
      <c r="D124" s="122">
        <v>1</v>
      </c>
      <c r="E124" s="122"/>
      <c r="F124" s="122">
        <v>1</v>
      </c>
      <c r="G124" s="122">
        <v>1</v>
      </c>
      <c r="H124" s="122">
        <v>1</v>
      </c>
      <c r="I124" s="122"/>
      <c r="J124" s="122">
        <v>1</v>
      </c>
      <c r="K124" s="242"/>
      <c r="L124" s="35"/>
      <c r="M124" s="35"/>
    </row>
    <row r="125" spans="1:13" s="118" customFormat="1" ht="13.8" x14ac:dyDescent="0.25">
      <c r="A125" s="119"/>
      <c r="B125" s="120" t="s">
        <v>130</v>
      </c>
      <c r="C125" s="120"/>
      <c r="D125" s="123">
        <f>104+4</f>
        <v>108</v>
      </c>
      <c r="E125" s="122"/>
      <c r="F125" s="123">
        <v>24</v>
      </c>
      <c r="G125" s="123">
        <f>40+16</f>
        <v>56</v>
      </c>
      <c r="H125" s="123">
        <v>11</v>
      </c>
      <c r="I125" s="122"/>
      <c r="J125" s="123">
        <v>16</v>
      </c>
      <c r="K125" s="242"/>
      <c r="L125" s="35"/>
      <c r="M125" s="35"/>
    </row>
    <row r="126" spans="1:13" s="118" customFormat="1" ht="13.8" x14ac:dyDescent="0.25">
      <c r="A126" s="119"/>
      <c r="B126" s="120"/>
      <c r="C126" s="120"/>
      <c r="D126" s="122">
        <f>SUM(D123:D125)</f>
        <v>240</v>
      </c>
      <c r="E126" s="122"/>
      <c r="F126" s="122">
        <f>SUM(F123:F125)</f>
        <v>158</v>
      </c>
      <c r="G126" s="122">
        <f>SUM(G123:G125)</f>
        <v>199</v>
      </c>
      <c r="H126" s="122">
        <f>SUM(H123:H125)</f>
        <v>117</v>
      </c>
      <c r="I126" s="122"/>
      <c r="J126" s="122">
        <f>SUM(J123:J125)</f>
        <v>126</v>
      </c>
      <c r="K126" s="242"/>
      <c r="L126" s="35"/>
      <c r="M126" s="35"/>
    </row>
    <row r="127" spans="1:13" s="118" customFormat="1" ht="12.75" customHeight="1" x14ac:dyDescent="0.25">
      <c r="A127" s="119"/>
      <c r="B127" s="120"/>
      <c r="C127" s="120"/>
      <c r="D127" s="122"/>
      <c r="E127" s="122"/>
      <c r="F127" s="122"/>
      <c r="G127" s="122"/>
      <c r="H127" s="122"/>
      <c r="I127" s="122"/>
      <c r="J127" s="122"/>
      <c r="K127" s="242"/>
      <c r="L127" s="35"/>
      <c r="M127" s="35"/>
    </row>
    <row r="128" spans="1:13" s="118" customFormat="1" ht="13.8" x14ac:dyDescent="0.25">
      <c r="A128" s="120" t="s">
        <v>203</v>
      </c>
      <c r="B128" s="119"/>
      <c r="C128" s="120"/>
      <c r="D128" s="147"/>
      <c r="E128" s="147"/>
      <c r="F128" s="147"/>
      <c r="G128" s="147"/>
      <c r="H128" s="147"/>
      <c r="I128" s="147"/>
      <c r="J128" s="147"/>
      <c r="K128" s="242"/>
      <c r="L128" s="35"/>
      <c r="M128" s="35"/>
    </row>
    <row r="129" spans="1:13" s="118" customFormat="1" ht="13.8" x14ac:dyDescent="0.25">
      <c r="A129" s="120"/>
      <c r="B129" s="119" t="s">
        <v>204</v>
      </c>
      <c r="C129" s="120"/>
      <c r="D129" s="127">
        <v>12</v>
      </c>
      <c r="E129" s="127"/>
      <c r="F129" s="127">
        <v>21</v>
      </c>
      <c r="G129" s="127">
        <v>22</v>
      </c>
      <c r="H129" s="127">
        <v>23</v>
      </c>
      <c r="I129" s="127"/>
      <c r="J129" s="127">
        <v>21</v>
      </c>
      <c r="K129" s="242"/>
      <c r="L129" s="35"/>
      <c r="M129" s="35"/>
    </row>
    <row r="130" spans="1:13" s="118" customFormat="1" ht="13.8" x14ac:dyDescent="0.25">
      <c r="A130" s="120"/>
      <c r="B130" s="119" t="s">
        <v>205</v>
      </c>
      <c r="C130" s="120"/>
      <c r="D130" s="127">
        <v>65</v>
      </c>
      <c r="E130" s="127"/>
      <c r="F130" s="127">
        <v>72</v>
      </c>
      <c r="G130" s="127">
        <v>62</v>
      </c>
      <c r="H130" s="127">
        <v>61</v>
      </c>
      <c r="I130" s="127"/>
      <c r="J130" s="127">
        <v>57</v>
      </c>
      <c r="K130" s="242"/>
      <c r="L130" s="35"/>
      <c r="M130" s="35"/>
    </row>
    <row r="131" spans="1:13" s="118" customFormat="1" ht="13.8" x14ac:dyDescent="0.25">
      <c r="A131" s="120"/>
      <c r="B131" s="119" t="s">
        <v>206</v>
      </c>
      <c r="C131" s="120"/>
      <c r="D131" s="127">
        <v>10</v>
      </c>
      <c r="E131" s="127"/>
      <c r="F131" s="127">
        <v>10</v>
      </c>
      <c r="G131" s="127">
        <v>10</v>
      </c>
      <c r="H131" s="127">
        <v>10</v>
      </c>
      <c r="I131" s="127"/>
      <c r="J131" s="127">
        <v>0</v>
      </c>
      <c r="K131" s="242" t="s">
        <v>207</v>
      </c>
      <c r="L131" s="35"/>
      <c r="M131" s="35"/>
    </row>
    <row r="132" spans="1:13" s="118" customFormat="1" ht="13.8" x14ac:dyDescent="0.25">
      <c r="A132" s="120"/>
      <c r="B132" s="119" t="s">
        <v>208</v>
      </c>
      <c r="C132" s="120"/>
      <c r="D132" s="127">
        <v>12</v>
      </c>
      <c r="E132" s="127"/>
      <c r="F132" s="127">
        <v>12</v>
      </c>
      <c r="G132" s="127">
        <v>11</v>
      </c>
      <c r="H132" s="127">
        <v>9</v>
      </c>
      <c r="I132" s="127"/>
      <c r="J132" s="127">
        <v>10</v>
      </c>
      <c r="K132" s="242"/>
      <c r="L132" s="35"/>
      <c r="M132" s="35"/>
    </row>
    <row r="133" spans="1:13" s="118" customFormat="1" ht="13.8" x14ac:dyDescent="0.25">
      <c r="A133" s="120"/>
      <c r="B133" s="119" t="s">
        <v>209</v>
      </c>
      <c r="C133" s="120"/>
      <c r="D133" s="127">
        <v>3</v>
      </c>
      <c r="E133" s="127"/>
      <c r="F133" s="127">
        <v>2</v>
      </c>
      <c r="G133" s="127">
        <v>6</v>
      </c>
      <c r="H133" s="127">
        <f>9-3</f>
        <v>6</v>
      </c>
      <c r="I133" s="127"/>
      <c r="J133" s="127">
        <v>6</v>
      </c>
      <c r="K133" s="242"/>
      <c r="L133" s="35"/>
      <c r="M133" s="35"/>
    </row>
    <row r="134" spans="1:13" s="118" customFormat="1" ht="13.8" x14ac:dyDescent="0.25">
      <c r="A134" s="120"/>
      <c r="B134" s="119" t="s">
        <v>210</v>
      </c>
      <c r="C134" s="120"/>
      <c r="D134" s="127">
        <v>20</v>
      </c>
      <c r="E134" s="127"/>
      <c r="F134" s="127">
        <v>21</v>
      </c>
      <c r="G134" s="127">
        <v>21</v>
      </c>
      <c r="H134" s="127">
        <v>22</v>
      </c>
      <c r="I134" s="127"/>
      <c r="J134" s="127">
        <v>22</v>
      </c>
      <c r="K134" s="242"/>
      <c r="L134" s="35"/>
      <c r="M134" s="35"/>
    </row>
    <row r="135" spans="1:13" s="118" customFormat="1" ht="13.8" x14ac:dyDescent="0.25">
      <c r="A135" s="120"/>
      <c r="B135" s="119" t="s">
        <v>211</v>
      </c>
      <c r="C135" s="120"/>
      <c r="D135" s="127">
        <v>23</v>
      </c>
      <c r="E135" s="127"/>
      <c r="F135" s="127">
        <v>13</v>
      </c>
      <c r="G135" s="127">
        <v>8</v>
      </c>
      <c r="H135" s="127">
        <v>3</v>
      </c>
      <c r="I135" s="127"/>
      <c r="J135" s="127">
        <v>3</v>
      </c>
      <c r="K135" s="242"/>
      <c r="L135" s="35"/>
      <c r="M135" s="35"/>
    </row>
    <row r="136" spans="1:13" s="118" customFormat="1" ht="13.8" x14ac:dyDescent="0.25">
      <c r="A136" s="120"/>
      <c r="B136" s="119" t="s">
        <v>212</v>
      </c>
      <c r="C136" s="120"/>
      <c r="D136" s="127">
        <v>21</v>
      </c>
      <c r="E136" s="127"/>
      <c r="F136" s="127">
        <v>19</v>
      </c>
      <c r="G136" s="127">
        <v>10</v>
      </c>
      <c r="H136" s="127">
        <v>9</v>
      </c>
      <c r="I136" s="127"/>
      <c r="J136" s="127">
        <v>8</v>
      </c>
      <c r="K136" s="242"/>
      <c r="L136" s="35"/>
      <c r="M136" s="35"/>
    </row>
    <row r="137" spans="1:13" s="118" customFormat="1" ht="13.8" x14ac:dyDescent="0.25">
      <c r="A137" s="120"/>
      <c r="B137" s="119" t="s">
        <v>213</v>
      </c>
      <c r="C137" s="120"/>
      <c r="D137" s="124">
        <v>22</v>
      </c>
      <c r="E137" s="124"/>
      <c r="F137" s="124">
        <v>28</v>
      </c>
      <c r="G137" s="124">
        <v>23</v>
      </c>
      <c r="H137" s="124">
        <v>20</v>
      </c>
      <c r="I137" s="124"/>
      <c r="J137" s="124">
        <v>21</v>
      </c>
      <c r="K137" s="242"/>
      <c r="L137" s="35"/>
      <c r="M137" s="35"/>
    </row>
    <row r="138" spans="1:13" s="118" customFormat="1" ht="13.8" x14ac:dyDescent="0.25">
      <c r="A138" s="120"/>
      <c r="B138" s="119" t="s">
        <v>214</v>
      </c>
      <c r="C138" s="120"/>
      <c r="D138" s="127">
        <v>4</v>
      </c>
      <c r="E138" s="127"/>
      <c r="F138" s="127">
        <v>2</v>
      </c>
      <c r="G138" s="127">
        <v>0</v>
      </c>
      <c r="H138" s="127">
        <v>0</v>
      </c>
      <c r="I138" s="127"/>
      <c r="J138" s="127">
        <v>0</v>
      </c>
      <c r="K138" s="242"/>
      <c r="L138" s="35"/>
      <c r="M138" s="35"/>
    </row>
    <row r="139" spans="1:13" s="118" customFormat="1" ht="13.8" x14ac:dyDescent="0.25">
      <c r="A139" s="120"/>
      <c r="B139" s="119" t="s">
        <v>188</v>
      </c>
      <c r="C139" s="120"/>
      <c r="D139" s="127">
        <v>1</v>
      </c>
      <c r="E139" s="127"/>
      <c r="F139" s="127">
        <v>1</v>
      </c>
      <c r="G139" s="127">
        <v>1</v>
      </c>
      <c r="H139" s="127">
        <f>7-6</f>
        <v>1</v>
      </c>
      <c r="I139" s="127"/>
      <c r="J139" s="127">
        <v>1</v>
      </c>
      <c r="K139" s="242"/>
      <c r="L139" s="35"/>
      <c r="M139" s="35"/>
    </row>
    <row r="140" spans="1:13" s="118" customFormat="1" ht="13.8" x14ac:dyDescent="0.25">
      <c r="A140" s="120"/>
      <c r="B140" s="119" t="s">
        <v>189</v>
      </c>
      <c r="C140" s="120"/>
      <c r="D140" s="124">
        <v>6</v>
      </c>
      <c r="E140" s="124"/>
      <c r="F140" s="124">
        <v>6</v>
      </c>
      <c r="G140" s="124">
        <v>6</v>
      </c>
      <c r="H140" s="124">
        <v>6</v>
      </c>
      <c r="I140" s="124"/>
      <c r="J140" s="124">
        <v>0</v>
      </c>
      <c r="K140" s="242" t="s">
        <v>215</v>
      </c>
      <c r="L140" s="35"/>
      <c r="M140" s="35"/>
    </row>
    <row r="141" spans="1:13" s="118" customFormat="1" ht="13.8" x14ac:dyDescent="0.25">
      <c r="A141" s="120"/>
      <c r="B141" s="119" t="s">
        <v>140</v>
      </c>
      <c r="C141" s="120"/>
      <c r="D141" s="124">
        <v>1</v>
      </c>
      <c r="E141" s="124"/>
      <c r="F141" s="124">
        <v>1</v>
      </c>
      <c r="G141" s="124">
        <v>1</v>
      </c>
      <c r="H141" s="124">
        <v>0</v>
      </c>
      <c r="I141" s="124"/>
      <c r="J141" s="124">
        <v>0</v>
      </c>
      <c r="K141" s="242"/>
      <c r="L141" s="35"/>
      <c r="M141" s="35"/>
    </row>
    <row r="142" spans="1:13" s="118" customFormat="1" ht="13.8" x14ac:dyDescent="0.25">
      <c r="A142" s="120"/>
      <c r="B142" s="119" t="s">
        <v>216</v>
      </c>
      <c r="C142" s="120"/>
      <c r="D142" s="124">
        <v>0</v>
      </c>
      <c r="E142" s="124"/>
      <c r="F142" s="124">
        <v>0</v>
      </c>
      <c r="G142" s="124">
        <v>0</v>
      </c>
      <c r="H142" s="124">
        <v>0</v>
      </c>
      <c r="I142" s="124"/>
      <c r="J142" s="124">
        <v>6</v>
      </c>
      <c r="K142" s="242"/>
      <c r="L142" s="35"/>
      <c r="M142" s="35"/>
    </row>
    <row r="143" spans="1:13" s="118" customFormat="1" ht="13.8" x14ac:dyDescent="0.25">
      <c r="A143" s="120"/>
      <c r="B143" s="119" t="s">
        <v>217</v>
      </c>
      <c r="C143" s="120"/>
      <c r="D143" s="124"/>
      <c r="E143" s="124"/>
      <c r="F143" s="124"/>
      <c r="G143" s="124">
        <v>2</v>
      </c>
      <c r="H143" s="124">
        <v>3</v>
      </c>
      <c r="I143" s="124"/>
      <c r="J143" s="124">
        <v>0</v>
      </c>
      <c r="K143" s="242"/>
      <c r="L143" s="35"/>
      <c r="M143" s="35"/>
    </row>
    <row r="144" spans="1:13" s="118" customFormat="1" ht="13.8" x14ac:dyDescent="0.25">
      <c r="A144" s="120"/>
      <c r="B144" s="119" t="s">
        <v>130</v>
      </c>
      <c r="C144" s="120"/>
      <c r="D144" s="124">
        <f>4+17</f>
        <v>21</v>
      </c>
      <c r="E144" s="124"/>
      <c r="F144" s="124">
        <v>15</v>
      </c>
      <c r="G144" s="124">
        <f>18+2-1+8-1</f>
        <v>26</v>
      </c>
      <c r="H144" s="124">
        <v>22</v>
      </c>
      <c r="I144" s="124"/>
      <c r="J144" s="124">
        <v>20</v>
      </c>
      <c r="K144" s="242" t="s">
        <v>46</v>
      </c>
      <c r="L144" s="35"/>
      <c r="M144" s="35"/>
    </row>
    <row r="145" spans="1:13" s="118" customFormat="1" ht="13.8" x14ac:dyDescent="0.25">
      <c r="A145" s="120"/>
      <c r="B145" s="119" t="s">
        <v>129</v>
      </c>
      <c r="C145" s="120"/>
      <c r="D145" s="127">
        <v>3</v>
      </c>
      <c r="E145" s="127"/>
      <c r="F145" s="127">
        <v>3</v>
      </c>
      <c r="G145" s="127">
        <v>3</v>
      </c>
      <c r="H145" s="127">
        <v>1</v>
      </c>
      <c r="I145" s="127"/>
      <c r="J145" s="127">
        <v>1</v>
      </c>
      <c r="K145" s="242"/>
      <c r="L145" s="35"/>
      <c r="M145" s="35"/>
    </row>
    <row r="146" spans="1:13" s="118" customFormat="1" ht="13.8" x14ac:dyDescent="0.25">
      <c r="A146" s="120"/>
      <c r="B146" s="119" t="s">
        <v>173</v>
      </c>
      <c r="C146" s="120"/>
      <c r="D146" s="127">
        <v>0</v>
      </c>
      <c r="E146" s="127"/>
      <c r="F146" s="127">
        <v>0</v>
      </c>
      <c r="G146" s="127">
        <v>0</v>
      </c>
      <c r="H146" s="127">
        <v>36</v>
      </c>
      <c r="I146" s="127"/>
      <c r="J146" s="127">
        <v>32</v>
      </c>
      <c r="K146" s="242"/>
      <c r="L146" s="35"/>
      <c r="M146" s="35"/>
    </row>
    <row r="147" spans="1:13" s="118" customFormat="1" ht="13.8" x14ac:dyDescent="0.25">
      <c r="A147" s="120"/>
      <c r="B147" s="119" t="s">
        <v>11</v>
      </c>
      <c r="C147" s="120"/>
      <c r="D147" s="127">
        <v>6</v>
      </c>
      <c r="E147" s="127"/>
      <c r="F147" s="127">
        <f>7+1</f>
        <v>8</v>
      </c>
      <c r="G147" s="127">
        <f>7+1+1-1</f>
        <v>8</v>
      </c>
      <c r="H147" s="127">
        <f>2+2+2</f>
        <v>6</v>
      </c>
      <c r="I147" s="127"/>
      <c r="J147" s="127">
        <f>2+4</f>
        <v>6</v>
      </c>
      <c r="K147" s="242" t="s">
        <v>46</v>
      </c>
      <c r="L147" s="35"/>
      <c r="M147" s="35"/>
    </row>
    <row r="148" spans="1:13" s="118" customFormat="1" ht="13.8" x14ac:dyDescent="0.25">
      <c r="A148" s="120"/>
      <c r="B148" s="120"/>
      <c r="C148" s="120"/>
      <c r="D148" s="129">
        <f>SUM(D128:D147)</f>
        <v>230</v>
      </c>
      <c r="E148" s="122"/>
      <c r="F148" s="129">
        <f>SUM(F128:F147)</f>
        <v>234</v>
      </c>
      <c r="G148" s="129">
        <f>SUM(G128:G147)</f>
        <v>220</v>
      </c>
      <c r="H148" s="129">
        <f>SUM(H128:H147)</f>
        <v>238</v>
      </c>
      <c r="I148" s="122"/>
      <c r="J148" s="129">
        <f>SUM(J128:J147)</f>
        <v>214</v>
      </c>
      <c r="K148" s="242"/>
      <c r="L148" s="35"/>
      <c r="M148" s="35"/>
    </row>
    <row r="149" spans="1:13" s="118" customFormat="1" ht="13.8" x14ac:dyDescent="0.25">
      <c r="A149" s="120"/>
      <c r="B149" s="120"/>
      <c r="C149" s="120"/>
      <c r="D149" s="122"/>
      <c r="E149" s="122"/>
      <c r="F149" s="122"/>
      <c r="G149" s="122"/>
      <c r="H149" s="122"/>
      <c r="I149" s="122"/>
      <c r="J149" s="122"/>
      <c r="K149" s="242"/>
      <c r="L149" s="35"/>
      <c r="M149" s="35"/>
    </row>
    <row r="150" spans="1:13" s="118" customFormat="1" ht="13.8" x14ac:dyDescent="0.25">
      <c r="A150" s="119" t="s">
        <v>218</v>
      </c>
      <c r="B150" s="120"/>
      <c r="C150" s="120"/>
      <c r="D150" s="122">
        <f>+D107+D116+D120+D118+D126+D148</f>
        <v>1691</v>
      </c>
      <c r="E150" s="122"/>
      <c r="F150" s="122">
        <f>+F107+F116+F120+F118+F126+F148</f>
        <v>1211</v>
      </c>
      <c r="G150" s="122">
        <f>+G107+G116+G120+G118+G126+G148</f>
        <v>1353</v>
      </c>
      <c r="H150" s="122">
        <f>+H107+H116+H120+H118+H126+H148</f>
        <v>1183</v>
      </c>
      <c r="I150" s="122"/>
      <c r="J150" s="122">
        <f>+J107+J116+J120+J118+J126+J148</f>
        <v>1266</v>
      </c>
      <c r="K150" s="242"/>
      <c r="L150" s="35"/>
      <c r="M150" s="35"/>
    </row>
    <row r="151" spans="1:13" s="118" customFormat="1" ht="4.5" customHeight="1" x14ac:dyDescent="0.25">
      <c r="A151" s="120"/>
      <c r="B151" s="120"/>
      <c r="C151" s="120"/>
      <c r="D151" s="126"/>
      <c r="E151" s="126"/>
      <c r="F151" s="126"/>
      <c r="G151" s="126"/>
      <c r="H151" s="126"/>
      <c r="I151" s="126"/>
      <c r="J151" s="126"/>
      <c r="K151" s="242"/>
      <c r="L151" s="35"/>
      <c r="M151" s="35"/>
    </row>
    <row r="152" spans="1:13" s="118" customFormat="1" ht="13.8" x14ac:dyDescent="0.25">
      <c r="A152" s="119" t="s">
        <v>219</v>
      </c>
      <c r="B152" s="120"/>
      <c r="C152" s="120"/>
      <c r="D152" s="127"/>
      <c r="E152" s="127"/>
      <c r="F152" s="127"/>
      <c r="G152" s="127"/>
      <c r="H152" s="127"/>
      <c r="I152" s="127"/>
      <c r="J152" s="127"/>
      <c r="K152" s="242"/>
      <c r="L152" s="35"/>
      <c r="M152" s="35"/>
    </row>
    <row r="153" spans="1:13" s="118" customFormat="1" ht="13.8" x14ac:dyDescent="0.25">
      <c r="A153" s="120"/>
      <c r="B153" s="119" t="s">
        <v>220</v>
      </c>
      <c r="C153" s="120"/>
      <c r="D153" s="127">
        <v>1400</v>
      </c>
      <c r="E153" s="127"/>
      <c r="F153" s="127">
        <v>1388</v>
      </c>
      <c r="G153" s="127">
        <v>1388</v>
      </c>
      <c r="H153" s="127">
        <v>1388</v>
      </c>
      <c r="I153" s="127"/>
      <c r="J153" s="127">
        <v>1288</v>
      </c>
      <c r="K153" s="242" t="s">
        <v>221</v>
      </c>
      <c r="L153" s="35"/>
      <c r="M153" s="35"/>
    </row>
    <row r="154" spans="1:13" s="118" customFormat="1" ht="13.8" x14ac:dyDescent="0.25">
      <c r="A154" s="120"/>
      <c r="B154" s="119" t="s">
        <v>222</v>
      </c>
      <c r="C154" s="120"/>
      <c r="D154" s="127">
        <v>433</v>
      </c>
      <c r="E154" s="127"/>
      <c r="F154" s="127">
        <v>433</v>
      </c>
      <c r="G154" s="127">
        <v>433</v>
      </c>
      <c r="H154" s="127">
        <v>433</v>
      </c>
      <c r="I154" s="127"/>
      <c r="J154" s="127">
        <v>433</v>
      </c>
      <c r="K154" s="242"/>
      <c r="L154" s="35"/>
      <c r="M154" s="35"/>
    </row>
    <row r="155" spans="1:13" s="118" customFormat="1" ht="13.8" x14ac:dyDescent="0.25">
      <c r="A155" s="120"/>
      <c r="B155" s="119" t="s">
        <v>223</v>
      </c>
      <c r="C155" s="120"/>
      <c r="D155" s="127">
        <v>614</v>
      </c>
      <c r="E155" s="127"/>
      <c r="F155" s="127">
        <v>629</v>
      </c>
      <c r="G155" s="127">
        <v>566</v>
      </c>
      <c r="H155" s="127">
        <v>581</v>
      </c>
      <c r="I155" s="127"/>
      <c r="J155" s="127">
        <v>596</v>
      </c>
      <c r="K155" s="242" t="s">
        <v>224</v>
      </c>
      <c r="L155" s="35"/>
      <c r="M155" s="35"/>
    </row>
    <row r="156" spans="1:13" s="118" customFormat="1" ht="13.8" x14ac:dyDescent="0.25">
      <c r="A156" s="120"/>
      <c r="B156" s="119" t="s">
        <v>225</v>
      </c>
      <c r="C156" s="120"/>
      <c r="D156" s="127">
        <v>317</v>
      </c>
      <c r="E156" s="127"/>
      <c r="F156" s="127">
        <v>314</v>
      </c>
      <c r="G156" s="127">
        <v>335</v>
      </c>
      <c r="H156" s="127">
        <v>343</v>
      </c>
      <c r="I156" s="127"/>
      <c r="J156" s="127">
        <v>367</v>
      </c>
      <c r="K156" s="242" t="s">
        <v>226</v>
      </c>
      <c r="L156" s="35"/>
      <c r="M156" s="35"/>
    </row>
    <row r="157" spans="1:13" s="118" customFormat="1" ht="13.8" x14ac:dyDescent="0.25">
      <c r="A157" s="120"/>
      <c r="B157" s="119" t="s">
        <v>227</v>
      </c>
      <c r="C157" s="120"/>
      <c r="D157" s="127">
        <v>357</v>
      </c>
      <c r="E157" s="127"/>
      <c r="F157" s="127">
        <v>368</v>
      </c>
      <c r="G157" s="127">
        <v>371</v>
      </c>
      <c r="H157" s="127">
        <v>382</v>
      </c>
      <c r="I157" s="127"/>
      <c r="J157" s="127">
        <v>394</v>
      </c>
      <c r="K157" s="242" t="s">
        <v>228</v>
      </c>
      <c r="L157" s="35"/>
      <c r="M157" s="35"/>
    </row>
    <row r="158" spans="1:13" s="118" customFormat="1" ht="13.8" x14ac:dyDescent="0.25">
      <c r="A158" s="120"/>
      <c r="B158" s="119" t="s">
        <v>229</v>
      </c>
      <c r="C158" s="120"/>
      <c r="D158" s="127">
        <v>103</v>
      </c>
      <c r="E158" s="127"/>
      <c r="F158" s="127">
        <v>102</v>
      </c>
      <c r="G158" s="127">
        <v>109</v>
      </c>
      <c r="H158" s="127">
        <v>112</v>
      </c>
      <c r="I158" s="127"/>
      <c r="J158" s="127">
        <v>119</v>
      </c>
      <c r="K158" s="242" t="s">
        <v>226</v>
      </c>
      <c r="L158" s="35"/>
      <c r="M158" s="35"/>
    </row>
    <row r="159" spans="1:13" s="118" customFormat="1" ht="13.8" x14ac:dyDescent="0.25">
      <c r="A159" s="120"/>
      <c r="B159" s="119" t="s">
        <v>230</v>
      </c>
      <c r="C159" s="120"/>
      <c r="D159" s="124">
        <v>1125</v>
      </c>
      <c r="E159" s="124"/>
      <c r="F159" s="124">
        <v>1125</v>
      </c>
      <c r="G159" s="124">
        <v>1125</v>
      </c>
      <c r="H159" s="124">
        <v>1125</v>
      </c>
      <c r="I159" s="124"/>
      <c r="J159" s="124">
        <v>1125</v>
      </c>
      <c r="K159" s="242"/>
      <c r="L159" s="35"/>
      <c r="M159" s="35"/>
    </row>
    <row r="160" spans="1:13" s="118" customFormat="1" ht="13.8" x14ac:dyDescent="0.25">
      <c r="A160" s="120"/>
      <c r="B160" s="120" t="s">
        <v>231</v>
      </c>
      <c r="C160" s="120"/>
      <c r="D160" s="124">
        <v>124</v>
      </c>
      <c r="E160" s="124"/>
      <c r="F160" s="124">
        <v>124</v>
      </c>
      <c r="G160" s="124">
        <v>124</v>
      </c>
      <c r="H160" s="124">
        <v>124</v>
      </c>
      <c r="I160" s="124"/>
      <c r="J160" s="124">
        <v>124</v>
      </c>
      <c r="K160" s="242"/>
      <c r="L160" s="35"/>
      <c r="M160" s="35"/>
    </row>
    <row r="161" spans="1:13" s="118" customFormat="1" ht="13.8" x14ac:dyDescent="0.25">
      <c r="A161" s="120"/>
      <c r="B161" s="119" t="s">
        <v>198</v>
      </c>
      <c r="C161" s="120"/>
      <c r="D161" s="127">
        <v>120</v>
      </c>
      <c r="E161" s="127"/>
      <c r="F161" s="127">
        <v>120</v>
      </c>
      <c r="G161" s="127">
        <v>119</v>
      </c>
      <c r="H161" s="127">
        <v>118</v>
      </c>
      <c r="I161" s="127"/>
      <c r="J161" s="127">
        <v>118</v>
      </c>
      <c r="K161" s="242"/>
      <c r="L161" s="35"/>
      <c r="M161" s="35"/>
    </row>
    <row r="162" spans="1:13" s="118" customFormat="1" ht="13.8" x14ac:dyDescent="0.25">
      <c r="A162" s="120"/>
      <c r="B162" s="119" t="s">
        <v>232</v>
      </c>
      <c r="C162" s="120"/>
      <c r="D162" s="124">
        <v>684</v>
      </c>
      <c r="E162" s="124"/>
      <c r="F162" s="124">
        <v>671</v>
      </c>
      <c r="G162" s="124">
        <v>525</v>
      </c>
      <c r="H162" s="124">
        <v>525</v>
      </c>
      <c r="I162" s="124"/>
      <c r="J162" s="124">
        <v>525</v>
      </c>
      <c r="K162" s="242"/>
      <c r="L162" s="35"/>
      <c r="M162" s="35"/>
    </row>
    <row r="163" spans="1:13" s="118" customFormat="1" ht="13.8" x14ac:dyDescent="0.25">
      <c r="A163" s="120"/>
      <c r="B163" s="119" t="s">
        <v>233</v>
      </c>
      <c r="C163" s="120"/>
      <c r="D163" s="124">
        <v>463</v>
      </c>
      <c r="E163" s="124"/>
      <c r="F163" s="124">
        <v>413</v>
      </c>
      <c r="G163" s="124">
        <v>364</v>
      </c>
      <c r="H163" s="124">
        <v>364</v>
      </c>
      <c r="I163" s="124"/>
      <c r="J163" s="124">
        <v>364</v>
      </c>
      <c r="K163" s="242"/>
      <c r="L163" s="35"/>
      <c r="M163" s="35"/>
    </row>
    <row r="164" spans="1:13" s="118" customFormat="1" ht="13.8" x14ac:dyDescent="0.25">
      <c r="A164" s="120"/>
      <c r="B164" s="119" t="s">
        <v>234</v>
      </c>
      <c r="C164" s="120"/>
      <c r="D164" s="124">
        <v>0</v>
      </c>
      <c r="E164" s="124"/>
      <c r="F164" s="124">
        <v>500</v>
      </c>
      <c r="G164" s="124">
        <v>500</v>
      </c>
      <c r="H164" s="124">
        <v>480</v>
      </c>
      <c r="I164" s="124"/>
      <c r="J164" s="124">
        <v>0</v>
      </c>
      <c r="K164" s="242" t="s">
        <v>235</v>
      </c>
      <c r="L164" s="35"/>
      <c r="M164" s="35"/>
    </row>
    <row r="165" spans="1:13" s="118" customFormat="1" ht="13.8" x14ac:dyDescent="0.25">
      <c r="A165" s="120"/>
      <c r="B165" s="119" t="s">
        <v>236</v>
      </c>
      <c r="C165" s="120"/>
      <c r="D165" s="128">
        <v>59</v>
      </c>
      <c r="E165" s="128"/>
      <c r="F165" s="128">
        <v>58</v>
      </c>
      <c r="G165" s="128">
        <v>0</v>
      </c>
      <c r="H165" s="128">
        <v>0</v>
      </c>
      <c r="I165" s="128"/>
      <c r="J165" s="128">
        <v>0</v>
      </c>
      <c r="K165" s="242"/>
      <c r="L165" s="35"/>
      <c r="M165" s="35"/>
    </row>
    <row r="166" spans="1:13" s="118" customFormat="1" ht="13.8" x14ac:dyDescent="0.25">
      <c r="A166" s="120"/>
      <c r="B166" s="119" t="s">
        <v>237</v>
      </c>
      <c r="C166" s="120"/>
      <c r="D166" s="128">
        <v>0</v>
      </c>
      <c r="E166" s="128"/>
      <c r="F166" s="128">
        <v>0</v>
      </c>
      <c r="G166" s="128">
        <v>0</v>
      </c>
      <c r="H166" s="128">
        <v>188</v>
      </c>
      <c r="I166" s="128"/>
      <c r="J166" s="128">
        <f>297-121</f>
        <v>176</v>
      </c>
      <c r="K166" s="242" t="s">
        <v>238</v>
      </c>
      <c r="L166" s="35"/>
      <c r="M166" s="35"/>
    </row>
    <row r="167" spans="1:13" s="118" customFormat="1" ht="13.8" x14ac:dyDescent="0.25">
      <c r="A167" s="120"/>
      <c r="B167" s="119" t="s">
        <v>129</v>
      </c>
      <c r="C167" s="120"/>
      <c r="D167" s="127">
        <v>140</v>
      </c>
      <c r="E167" s="127"/>
      <c r="F167" s="127">
        <v>140</v>
      </c>
      <c r="G167" s="127">
        <v>139</v>
      </c>
      <c r="H167" s="127">
        <v>0</v>
      </c>
      <c r="I167" s="127"/>
      <c r="J167" s="127">
        <v>0</v>
      </c>
      <c r="K167" s="242"/>
      <c r="L167" s="35"/>
      <c r="M167" s="35"/>
    </row>
    <row r="168" spans="1:13" s="118" customFormat="1" ht="13.8" x14ac:dyDescent="0.25">
      <c r="A168" s="120"/>
      <c r="B168" s="119" t="s">
        <v>239</v>
      </c>
      <c r="C168" s="120"/>
      <c r="D168" s="127">
        <v>0</v>
      </c>
      <c r="E168" s="127"/>
      <c r="F168" s="127">
        <v>0</v>
      </c>
      <c r="G168" s="127">
        <v>4</v>
      </c>
      <c r="H168" s="127">
        <f>4</f>
        <v>4</v>
      </c>
      <c r="I168" s="127"/>
      <c r="J168" s="127">
        <f>3+1+1</f>
        <v>5</v>
      </c>
      <c r="K168" s="242" t="s">
        <v>240</v>
      </c>
      <c r="L168" s="35"/>
      <c r="M168" s="35"/>
    </row>
    <row r="169" spans="1:13" s="118" customFormat="1" ht="13.8" x14ac:dyDescent="0.25">
      <c r="A169" s="120"/>
      <c r="B169" s="120"/>
      <c r="C169" s="120"/>
      <c r="D169" s="129">
        <f>SUM(D153:D168)</f>
        <v>5939</v>
      </c>
      <c r="E169" s="122"/>
      <c r="F169" s="129">
        <f>SUM(F153:F168)</f>
        <v>6385</v>
      </c>
      <c r="G169" s="129">
        <f>SUM(G153:G168)</f>
        <v>6102</v>
      </c>
      <c r="H169" s="129">
        <f>SUM(H153:H168)</f>
        <v>6167</v>
      </c>
      <c r="I169" s="122"/>
      <c r="J169" s="129">
        <f>SUM(J153:J168)</f>
        <v>5634</v>
      </c>
      <c r="K169" s="242"/>
      <c r="L169" s="35"/>
      <c r="M169" s="35"/>
    </row>
    <row r="170" spans="1:13" s="118" customFormat="1" ht="6" customHeight="1" x14ac:dyDescent="0.25">
      <c r="A170" s="120"/>
      <c r="B170" s="120"/>
      <c r="C170" s="120"/>
      <c r="D170" s="122"/>
      <c r="E170" s="122"/>
      <c r="F170" s="122"/>
      <c r="G170" s="122"/>
      <c r="H170" s="122"/>
      <c r="I170" s="122"/>
      <c r="J170" s="122"/>
      <c r="K170" s="242"/>
      <c r="L170" s="35"/>
      <c r="M170" s="35"/>
    </row>
    <row r="171" spans="1:13" s="118" customFormat="1" ht="11.25" customHeight="1" x14ac:dyDescent="0.25">
      <c r="A171" s="119" t="s">
        <v>241</v>
      </c>
      <c r="B171" s="120"/>
      <c r="C171" s="120"/>
      <c r="D171" s="122" t="s">
        <v>46</v>
      </c>
      <c r="E171" s="122"/>
      <c r="F171" s="122" t="s">
        <v>46</v>
      </c>
      <c r="G171" s="122" t="s">
        <v>46</v>
      </c>
      <c r="H171" s="122" t="s">
        <v>46</v>
      </c>
      <c r="I171" s="122"/>
      <c r="J171" s="122" t="s">
        <v>46</v>
      </c>
      <c r="K171" s="242"/>
      <c r="L171" s="35"/>
      <c r="M171" s="35"/>
    </row>
    <row r="172" spans="1:13" s="118" customFormat="1" ht="13.8" x14ac:dyDescent="0.25">
      <c r="A172" s="119"/>
      <c r="B172" s="120" t="s">
        <v>139</v>
      </c>
      <c r="C172" s="120"/>
      <c r="D172" s="122">
        <v>1348</v>
      </c>
      <c r="E172" s="122"/>
      <c r="F172" s="122">
        <v>1291</v>
      </c>
      <c r="G172" s="122">
        <f>1264</f>
        <v>1264</v>
      </c>
      <c r="H172" s="122">
        <f>906+16+3</f>
        <v>925</v>
      </c>
      <c r="I172" s="122"/>
      <c r="J172" s="122">
        <v>938</v>
      </c>
      <c r="K172" s="242"/>
      <c r="L172" s="35"/>
      <c r="M172" s="35"/>
    </row>
    <row r="173" spans="1:13" s="118" customFormat="1" ht="13.8" x14ac:dyDescent="0.25">
      <c r="A173" s="119"/>
      <c r="B173" s="120" t="s">
        <v>242</v>
      </c>
      <c r="C173" s="120"/>
      <c r="D173" s="123">
        <v>1</v>
      </c>
      <c r="E173" s="122"/>
      <c r="F173" s="123">
        <v>0</v>
      </c>
      <c r="G173" s="123">
        <v>0</v>
      </c>
      <c r="H173" s="123">
        <v>0</v>
      </c>
      <c r="I173" s="122"/>
      <c r="J173" s="123">
        <v>0</v>
      </c>
      <c r="K173" s="242"/>
      <c r="L173" s="35"/>
      <c r="M173" s="35"/>
    </row>
    <row r="174" spans="1:13" s="118" customFormat="1" ht="13.8" hidden="1" x14ac:dyDescent="0.25">
      <c r="A174" s="119"/>
      <c r="B174" s="120" t="s">
        <v>130</v>
      </c>
      <c r="C174" s="120"/>
      <c r="D174" s="122">
        <v>0</v>
      </c>
      <c r="E174" s="122"/>
      <c r="F174" s="122">
        <v>0</v>
      </c>
      <c r="G174" s="122">
        <v>0</v>
      </c>
      <c r="H174" s="122">
        <v>0</v>
      </c>
      <c r="I174" s="122"/>
      <c r="J174" s="122">
        <v>0</v>
      </c>
      <c r="K174" s="242"/>
      <c r="L174" s="35"/>
      <c r="M174" s="35"/>
    </row>
    <row r="175" spans="1:13" s="118" customFormat="1" ht="13.8" hidden="1" x14ac:dyDescent="0.25">
      <c r="A175" s="119"/>
      <c r="B175" s="120" t="s">
        <v>172</v>
      </c>
      <c r="C175" s="120"/>
      <c r="D175" s="123">
        <v>0</v>
      </c>
      <c r="E175" s="122"/>
      <c r="F175" s="123">
        <v>0</v>
      </c>
      <c r="G175" s="123">
        <v>0</v>
      </c>
      <c r="H175" s="123">
        <v>0</v>
      </c>
      <c r="I175" s="122"/>
      <c r="J175" s="123">
        <v>0</v>
      </c>
      <c r="K175" s="242"/>
      <c r="L175" s="35"/>
      <c r="M175" s="35"/>
    </row>
    <row r="176" spans="1:13" s="118" customFormat="1" ht="13.8" x14ac:dyDescent="0.25">
      <c r="A176" s="119"/>
      <c r="B176" s="120"/>
      <c r="C176" s="120"/>
      <c r="D176" s="122">
        <f>SUM(D172:D175)</f>
        <v>1349</v>
      </c>
      <c r="E176" s="122"/>
      <c r="F176" s="122">
        <f>SUM(F172:F175)</f>
        <v>1291</v>
      </c>
      <c r="G176" s="122">
        <f>SUM(G172:G175)</f>
        <v>1264</v>
      </c>
      <c r="H176" s="122">
        <f>SUM(H172:H175)</f>
        <v>925</v>
      </c>
      <c r="I176" s="122"/>
      <c r="J176" s="122">
        <f>SUM(J172:J175)</f>
        <v>938</v>
      </c>
      <c r="K176" s="242"/>
      <c r="L176" s="35"/>
      <c r="M176" s="35"/>
    </row>
    <row r="177" spans="1:13" s="118" customFormat="1" ht="8.25" customHeight="1" x14ac:dyDescent="0.25">
      <c r="A177" s="120"/>
      <c r="B177" s="120"/>
      <c r="C177" s="120"/>
      <c r="D177" s="126"/>
      <c r="E177" s="126"/>
      <c r="F177" s="126"/>
      <c r="G177" s="126"/>
      <c r="H177" s="126"/>
      <c r="I177" s="126"/>
      <c r="J177" s="126"/>
      <c r="K177" s="242"/>
      <c r="L177" s="35"/>
      <c r="M177" s="35"/>
    </row>
    <row r="178" spans="1:13" s="118" customFormat="1" ht="13.8" x14ac:dyDescent="0.25">
      <c r="A178" s="119" t="s">
        <v>243</v>
      </c>
      <c r="B178" s="120"/>
      <c r="C178" s="120"/>
      <c r="D178" s="126">
        <v>91</v>
      </c>
      <c r="E178" s="126"/>
      <c r="F178" s="126">
        <v>92</v>
      </c>
      <c r="G178" s="126">
        <v>92</v>
      </c>
      <c r="H178" s="126">
        <v>86</v>
      </c>
      <c r="I178" s="126"/>
      <c r="J178" s="126">
        <v>85</v>
      </c>
      <c r="K178" s="242"/>
      <c r="L178" s="35"/>
      <c r="M178" s="35"/>
    </row>
    <row r="179" spans="1:13" s="118" customFormat="1" ht="6.75" customHeight="1" x14ac:dyDescent="0.25">
      <c r="A179" s="120"/>
      <c r="B179" s="120"/>
      <c r="C179" s="120"/>
      <c r="D179" s="124"/>
      <c r="E179" s="124"/>
      <c r="F179" s="124"/>
      <c r="G179" s="124"/>
      <c r="H179" s="124"/>
      <c r="I179" s="124"/>
      <c r="J179" s="124"/>
      <c r="K179" s="242"/>
      <c r="L179" s="35"/>
      <c r="M179" s="35"/>
    </row>
    <row r="180" spans="1:13" s="118" customFormat="1" ht="13.8" x14ac:dyDescent="0.25">
      <c r="A180" s="119" t="s">
        <v>244</v>
      </c>
      <c r="B180" s="120"/>
      <c r="C180" s="120"/>
      <c r="D180" s="127"/>
      <c r="E180" s="127"/>
      <c r="F180" s="127"/>
      <c r="G180" s="127"/>
      <c r="H180" s="127"/>
      <c r="I180" s="127"/>
      <c r="J180" s="127"/>
      <c r="K180" s="242"/>
      <c r="L180" s="35"/>
      <c r="M180" s="35"/>
    </row>
    <row r="181" spans="1:13" s="118" customFormat="1" ht="13.8" x14ac:dyDescent="0.25">
      <c r="A181" s="120"/>
      <c r="B181" s="119" t="s">
        <v>245</v>
      </c>
      <c r="C181" s="120"/>
      <c r="D181" s="127">
        <v>12</v>
      </c>
      <c r="E181" s="127"/>
      <c r="F181" s="127">
        <v>12</v>
      </c>
      <c r="G181" s="127">
        <v>12</v>
      </c>
      <c r="H181" s="127">
        <v>12</v>
      </c>
      <c r="I181" s="127"/>
      <c r="J181" s="127">
        <f>14+1</f>
        <v>15</v>
      </c>
      <c r="K181" s="244" t="s">
        <v>246</v>
      </c>
      <c r="L181" s="35"/>
      <c r="M181" s="35"/>
    </row>
    <row r="182" spans="1:13" s="118" customFormat="1" ht="13.8" x14ac:dyDescent="0.25">
      <c r="A182" s="120"/>
      <c r="B182" s="119" t="s">
        <v>247</v>
      </c>
      <c r="C182" s="120"/>
      <c r="D182" s="127">
        <v>18</v>
      </c>
      <c r="E182" s="127"/>
      <c r="F182" s="127">
        <v>14</v>
      </c>
      <c r="G182" s="127">
        <f>11+2+1</f>
        <v>14</v>
      </c>
      <c r="H182" s="127">
        <v>12</v>
      </c>
      <c r="I182" s="127"/>
      <c r="J182" s="127">
        <f>10+1</f>
        <v>11</v>
      </c>
      <c r="K182" s="242"/>
      <c r="L182" s="35"/>
      <c r="M182" s="35"/>
    </row>
    <row r="183" spans="1:13" s="118" customFormat="1" ht="13.8" x14ac:dyDescent="0.25">
      <c r="A183" s="120"/>
      <c r="B183" s="119" t="s">
        <v>248</v>
      </c>
      <c r="C183" s="120"/>
      <c r="D183" s="127">
        <v>13</v>
      </c>
      <c r="E183" s="127"/>
      <c r="F183" s="127">
        <v>9</v>
      </c>
      <c r="G183" s="127">
        <v>8</v>
      </c>
      <c r="H183" s="127">
        <v>8</v>
      </c>
      <c r="I183" s="127"/>
      <c r="J183" s="127">
        <v>8</v>
      </c>
      <c r="K183" s="242"/>
      <c r="L183" s="35"/>
      <c r="M183" s="35"/>
    </row>
    <row r="184" spans="1:13" s="118" customFormat="1" ht="13.8" x14ac:dyDescent="0.25">
      <c r="A184" s="120"/>
      <c r="B184" s="119" t="s">
        <v>249</v>
      </c>
      <c r="C184" s="120"/>
      <c r="D184" s="127">
        <f>114</f>
        <v>114</v>
      </c>
      <c r="E184" s="127"/>
      <c r="F184" s="127">
        <f>90</f>
        <v>90</v>
      </c>
      <c r="G184" s="127">
        <f>91</f>
        <v>91</v>
      </c>
      <c r="H184" s="127">
        <v>91</v>
      </c>
      <c r="I184" s="127"/>
      <c r="J184" s="127">
        <v>91</v>
      </c>
      <c r="K184" s="242"/>
      <c r="L184" s="35"/>
      <c r="M184" s="35"/>
    </row>
    <row r="185" spans="1:13" s="118" customFormat="1" ht="13.8" x14ac:dyDescent="0.25">
      <c r="A185" s="120"/>
      <c r="B185" s="119" t="s">
        <v>250</v>
      </c>
      <c r="C185" s="120"/>
      <c r="D185" s="127">
        <v>76</v>
      </c>
      <c r="E185" s="127"/>
      <c r="F185" s="127">
        <v>80</v>
      </c>
      <c r="G185" s="127">
        <f>88+2</f>
        <v>90</v>
      </c>
      <c r="H185" s="127">
        <v>93</v>
      </c>
      <c r="I185" s="127"/>
      <c r="J185" s="127">
        <v>92</v>
      </c>
      <c r="K185" s="242"/>
      <c r="L185" s="35"/>
      <c r="M185" s="35"/>
    </row>
    <row r="186" spans="1:13" s="118" customFormat="1" ht="13.8" x14ac:dyDescent="0.25">
      <c r="A186" s="120"/>
      <c r="B186" s="119" t="s">
        <v>204</v>
      </c>
      <c r="C186" s="120"/>
      <c r="D186" s="128">
        <v>85</v>
      </c>
      <c r="E186" s="128"/>
      <c r="F186" s="128">
        <v>70</v>
      </c>
      <c r="G186" s="128">
        <v>67</v>
      </c>
      <c r="H186" s="128">
        <v>66</v>
      </c>
      <c r="I186" s="128"/>
      <c r="J186" s="128">
        <v>64</v>
      </c>
      <c r="K186" s="242"/>
      <c r="L186" s="35"/>
      <c r="M186" s="35"/>
    </row>
    <row r="187" spans="1:13" s="118" customFormat="1" ht="13.8" x14ac:dyDescent="0.25">
      <c r="A187" s="120"/>
      <c r="B187" s="119" t="s">
        <v>251</v>
      </c>
      <c r="C187" s="120"/>
      <c r="D187" s="122">
        <f>30+3</f>
        <v>33</v>
      </c>
      <c r="E187" s="122"/>
      <c r="F187" s="122">
        <f>29+3</f>
        <v>32</v>
      </c>
      <c r="G187" s="122">
        <f>28+3</f>
        <v>31</v>
      </c>
      <c r="H187" s="122">
        <v>31</v>
      </c>
      <c r="I187" s="122"/>
      <c r="J187" s="122">
        <f>32-8</f>
        <v>24</v>
      </c>
      <c r="K187" s="242"/>
      <c r="L187" s="35"/>
      <c r="M187" s="35"/>
    </row>
    <row r="188" spans="1:13" s="118" customFormat="1" ht="13.8" x14ac:dyDescent="0.25">
      <c r="A188" s="120"/>
      <c r="B188" s="119" t="s">
        <v>252</v>
      </c>
      <c r="C188" s="120"/>
      <c r="D188" s="127">
        <v>-3</v>
      </c>
      <c r="E188" s="127"/>
      <c r="F188" s="127">
        <v>-3</v>
      </c>
      <c r="G188" s="127">
        <f>19-3</f>
        <v>16</v>
      </c>
      <c r="H188" s="127">
        <f>16+6</f>
        <v>22</v>
      </c>
      <c r="I188" s="127"/>
      <c r="J188" s="127">
        <f>16+9</f>
        <v>25</v>
      </c>
      <c r="K188" s="242"/>
      <c r="L188" s="35"/>
      <c r="M188" s="35"/>
    </row>
    <row r="189" spans="1:13" s="118" customFormat="1" ht="13.8" x14ac:dyDescent="0.25">
      <c r="A189" s="120"/>
      <c r="B189" s="119" t="s">
        <v>253</v>
      </c>
      <c r="C189" s="120"/>
      <c r="D189" s="127">
        <v>10</v>
      </c>
      <c r="E189" s="127"/>
      <c r="F189" s="127">
        <f>10</f>
        <v>10</v>
      </c>
      <c r="G189" s="127">
        <v>9</v>
      </c>
      <c r="H189" s="127">
        <v>9</v>
      </c>
      <c r="I189" s="127"/>
      <c r="J189" s="127">
        <v>9</v>
      </c>
      <c r="K189" s="242"/>
      <c r="L189" s="35"/>
      <c r="M189" s="35"/>
    </row>
    <row r="190" spans="1:13" s="118" customFormat="1" ht="13.8" x14ac:dyDescent="0.25">
      <c r="A190" s="120"/>
      <c r="B190" s="119" t="s">
        <v>254</v>
      </c>
      <c r="C190" s="120"/>
      <c r="D190" s="127">
        <v>0</v>
      </c>
      <c r="E190" s="127"/>
      <c r="F190" s="127">
        <v>19</v>
      </c>
      <c r="G190" s="127">
        <v>18</v>
      </c>
      <c r="H190" s="127">
        <v>17</v>
      </c>
      <c r="I190" s="127"/>
      <c r="J190" s="127">
        <v>17</v>
      </c>
      <c r="K190" s="242"/>
      <c r="L190" s="35"/>
      <c r="M190" s="35"/>
    </row>
    <row r="191" spans="1:13" s="118" customFormat="1" ht="13.8" x14ac:dyDescent="0.25">
      <c r="A191" s="120"/>
      <c r="B191" s="119" t="s">
        <v>255</v>
      </c>
      <c r="C191" s="120"/>
      <c r="D191" s="127">
        <v>0</v>
      </c>
      <c r="E191" s="127"/>
      <c r="F191" s="127">
        <f>43-1</f>
        <v>42</v>
      </c>
      <c r="G191" s="127">
        <v>42</v>
      </c>
      <c r="H191" s="127">
        <f>8+33</f>
        <v>41</v>
      </c>
      <c r="I191" s="127"/>
      <c r="J191" s="127">
        <f>35+8</f>
        <v>43</v>
      </c>
      <c r="K191" s="242" t="s">
        <v>256</v>
      </c>
      <c r="L191" s="35"/>
      <c r="M191" s="35"/>
    </row>
    <row r="192" spans="1:13" s="118" customFormat="1" ht="13.8" x14ac:dyDescent="0.25">
      <c r="A192" s="120"/>
      <c r="B192" s="119" t="s">
        <v>257</v>
      </c>
      <c r="C192" s="120"/>
      <c r="D192" s="127">
        <v>0</v>
      </c>
      <c r="E192" s="127"/>
      <c r="F192" s="127">
        <v>0</v>
      </c>
      <c r="G192" s="127">
        <v>0</v>
      </c>
      <c r="H192" s="127">
        <v>33</v>
      </c>
      <c r="I192" s="127"/>
      <c r="J192" s="127">
        <v>35</v>
      </c>
      <c r="K192" s="242" t="s">
        <v>258</v>
      </c>
      <c r="L192" s="35"/>
      <c r="M192" s="35"/>
    </row>
    <row r="193" spans="1:13" s="118" customFormat="1" ht="13.8" x14ac:dyDescent="0.25">
      <c r="A193" s="120"/>
      <c r="B193" s="119" t="s">
        <v>259</v>
      </c>
      <c r="C193" s="120"/>
      <c r="D193" s="127">
        <v>0</v>
      </c>
      <c r="E193" s="127"/>
      <c r="F193" s="127">
        <v>0</v>
      </c>
      <c r="G193" s="127">
        <v>0</v>
      </c>
      <c r="H193" s="127">
        <v>22</v>
      </c>
      <c r="I193" s="127"/>
      <c r="J193" s="127">
        <v>21</v>
      </c>
      <c r="K193" s="242"/>
      <c r="L193" s="35"/>
      <c r="M193" s="35"/>
    </row>
    <row r="194" spans="1:13" s="118" customFormat="1" ht="13.8" x14ac:dyDescent="0.25">
      <c r="A194" s="120"/>
      <c r="B194" s="148" t="s">
        <v>129</v>
      </c>
      <c r="C194" s="120"/>
      <c r="D194" s="127">
        <v>3</v>
      </c>
      <c r="E194" s="127"/>
      <c r="F194" s="127">
        <v>3</v>
      </c>
      <c r="G194" s="127">
        <v>3</v>
      </c>
      <c r="H194" s="127">
        <v>0</v>
      </c>
      <c r="I194" s="127"/>
      <c r="J194" s="127">
        <v>0</v>
      </c>
      <c r="K194" s="242"/>
      <c r="L194" s="35"/>
      <c r="M194" s="35"/>
    </row>
    <row r="195" spans="1:13" s="118" customFormat="1" ht="13.8" x14ac:dyDescent="0.25">
      <c r="A195" s="120"/>
      <c r="B195" s="119" t="s">
        <v>260</v>
      </c>
      <c r="C195" s="120"/>
      <c r="D195" s="127">
        <v>4</v>
      </c>
      <c r="E195" s="127"/>
      <c r="F195" s="127">
        <v>3</v>
      </c>
      <c r="G195" s="127">
        <v>3</v>
      </c>
      <c r="H195" s="127">
        <v>3</v>
      </c>
      <c r="I195" s="127"/>
      <c r="J195" s="127">
        <v>7</v>
      </c>
      <c r="K195" s="242" t="s">
        <v>261</v>
      </c>
      <c r="L195" s="35"/>
      <c r="M195" s="35"/>
    </row>
    <row r="196" spans="1:13" s="118" customFormat="1" ht="13.8" x14ac:dyDescent="0.25">
      <c r="A196" s="120"/>
      <c r="B196" s="119" t="s">
        <v>262</v>
      </c>
      <c r="C196" s="120"/>
      <c r="D196" s="149">
        <v>-13</v>
      </c>
      <c r="E196" s="126"/>
      <c r="F196" s="149">
        <v>-12</v>
      </c>
      <c r="G196" s="149">
        <v>-12</v>
      </c>
      <c r="H196" s="149">
        <v>0</v>
      </c>
      <c r="I196" s="126"/>
      <c r="J196" s="149">
        <v>1</v>
      </c>
      <c r="K196" s="242"/>
      <c r="L196" s="35"/>
      <c r="M196" s="35"/>
    </row>
    <row r="197" spans="1:13" s="118" customFormat="1" ht="13.8" x14ac:dyDescent="0.25">
      <c r="A197" s="120"/>
      <c r="B197" s="120"/>
      <c r="C197" s="120"/>
      <c r="D197" s="150">
        <f>SUM(D181:D196)</f>
        <v>352</v>
      </c>
      <c r="E197" s="122"/>
      <c r="F197" s="150">
        <f>SUM(F181:F196)</f>
        <v>369</v>
      </c>
      <c r="G197" s="150">
        <f>SUM(G181:G196)</f>
        <v>392</v>
      </c>
      <c r="H197" s="150">
        <f>SUM(H181:H196)</f>
        <v>460</v>
      </c>
      <c r="I197" s="122"/>
      <c r="J197" s="150">
        <f>SUM(J181:J196)</f>
        <v>463</v>
      </c>
      <c r="K197" s="242"/>
      <c r="L197" s="35"/>
      <c r="M197" s="35"/>
    </row>
    <row r="198" spans="1:13" s="118" customFormat="1" ht="9" customHeight="1" x14ac:dyDescent="0.25">
      <c r="A198" s="120"/>
      <c r="B198" s="120"/>
      <c r="C198" s="120"/>
      <c r="D198" s="127"/>
      <c r="E198" s="127"/>
      <c r="F198" s="127"/>
      <c r="G198" s="127"/>
      <c r="H198" s="127"/>
      <c r="I198" s="127"/>
      <c r="J198" s="127"/>
      <c r="K198" s="242"/>
      <c r="L198" s="35"/>
      <c r="M198" s="35"/>
    </row>
    <row r="199" spans="1:13" s="118" customFormat="1" ht="13.8" x14ac:dyDescent="0.25">
      <c r="A199" s="119" t="s">
        <v>263</v>
      </c>
      <c r="B199" s="120"/>
      <c r="C199" s="120"/>
      <c r="D199" s="122">
        <f>D150+D169+D176+D178+D197</f>
        <v>9422</v>
      </c>
      <c r="E199" s="122"/>
      <c r="F199" s="122">
        <f>F150+F169+F176+F178+F197</f>
        <v>9348</v>
      </c>
      <c r="G199" s="122">
        <f>G150+G169+G176+G178+G197</f>
        <v>9203</v>
      </c>
      <c r="H199" s="122">
        <f>H150+H169+H176+H178+H197</f>
        <v>8821</v>
      </c>
      <c r="I199" s="122"/>
      <c r="J199" s="122">
        <f>J150+J169+J176+J178+J197</f>
        <v>8386</v>
      </c>
      <c r="K199" s="242"/>
      <c r="L199" s="35"/>
      <c r="M199" s="35"/>
    </row>
    <row r="200" spans="1:13" s="118" customFormat="1" ht="9" customHeight="1" x14ac:dyDescent="0.25">
      <c r="A200" s="120"/>
      <c r="B200" s="120"/>
      <c r="C200" s="120"/>
      <c r="D200" s="122"/>
      <c r="E200" s="122"/>
      <c r="F200" s="122"/>
      <c r="G200" s="122"/>
      <c r="H200" s="122"/>
      <c r="I200" s="122"/>
      <c r="J200" s="122"/>
      <c r="K200" s="242"/>
      <c r="L200" s="35"/>
      <c r="M200" s="35"/>
    </row>
    <row r="201" spans="1:13" s="118" customFormat="1" ht="13.8" x14ac:dyDescent="0.25">
      <c r="A201" s="151" t="s">
        <v>264</v>
      </c>
      <c r="B201" s="151"/>
      <c r="C201" s="152"/>
      <c r="D201" s="123">
        <v>-78</v>
      </c>
      <c r="E201" s="122"/>
      <c r="F201" s="123">
        <f>-214-8-35+1+2</f>
        <v>-254</v>
      </c>
      <c r="G201" s="123">
        <v>-240</v>
      </c>
      <c r="H201" s="123">
        <v>-58</v>
      </c>
      <c r="I201" s="122"/>
      <c r="J201" s="123">
        <v>282</v>
      </c>
      <c r="K201" s="242"/>
      <c r="L201" s="35"/>
      <c r="M201" s="35"/>
    </row>
    <row r="202" spans="1:13" s="118" customFormat="1" ht="7.5" customHeight="1" x14ac:dyDescent="0.25">
      <c r="A202" s="120"/>
      <c r="B202" s="120"/>
      <c r="C202" s="119"/>
      <c r="D202" s="127"/>
      <c r="E202" s="127"/>
      <c r="F202" s="127"/>
      <c r="G202" s="127"/>
      <c r="H202" s="127"/>
      <c r="I202" s="127"/>
      <c r="J202" s="127"/>
      <c r="K202" s="242"/>
      <c r="L202" s="35"/>
      <c r="M202" s="35"/>
    </row>
    <row r="203" spans="1:13" s="118" customFormat="1" ht="14.4" thickBot="1" x14ac:dyDescent="0.3">
      <c r="A203" s="120"/>
      <c r="B203" s="120" t="s">
        <v>265</v>
      </c>
      <c r="C203" s="119"/>
      <c r="D203" s="153">
        <f>SUM(D199:D201)</f>
        <v>9344</v>
      </c>
      <c r="E203" s="134"/>
      <c r="F203" s="153">
        <f>SUM(F199:F201)</f>
        <v>9094</v>
      </c>
      <c r="G203" s="153">
        <f>SUM(G199:G201)</f>
        <v>8963</v>
      </c>
      <c r="H203" s="153">
        <f>SUM(H199:H201)</f>
        <v>8763</v>
      </c>
      <c r="I203" s="134"/>
      <c r="J203" s="154">
        <f>SUM(J199:J201)</f>
        <v>8668</v>
      </c>
      <c r="K203" s="242"/>
      <c r="L203" s="35"/>
      <c r="M203" s="35"/>
    </row>
    <row r="204" spans="1:13" s="118" customFormat="1" ht="14.4" thickTop="1" x14ac:dyDescent="0.25">
      <c r="A204" s="120"/>
      <c r="B204" s="120"/>
      <c r="C204" s="119"/>
      <c r="D204" s="122">
        <f>+D203-D100</f>
        <v>0</v>
      </c>
      <c r="E204" s="122"/>
      <c r="F204" s="122">
        <f>+F203-F100</f>
        <v>0</v>
      </c>
      <c r="G204" s="122">
        <f>+G203-G100</f>
        <v>0</v>
      </c>
      <c r="H204" s="122">
        <f>+H203-H100</f>
        <v>0</v>
      </c>
      <c r="I204" s="122"/>
      <c r="J204" s="122">
        <f>+J203-J100</f>
        <v>0</v>
      </c>
      <c r="K204" s="242"/>
      <c r="L204" s="35"/>
      <c r="M204" s="35"/>
    </row>
    <row r="205" spans="1:13" s="118" customFormat="1" ht="13.8" x14ac:dyDescent="0.25">
      <c r="K205" s="242"/>
    </row>
    <row r="206" spans="1:13" s="118" customFormat="1" x14ac:dyDescent="0.25">
      <c r="K206" s="35"/>
    </row>
    <row r="207" spans="1:13" s="118" customFormat="1" x14ac:dyDescent="0.25">
      <c r="K207" s="35"/>
    </row>
    <row r="208" spans="1:13" s="118" customFormat="1" x14ac:dyDescent="0.25">
      <c r="K208" s="35"/>
    </row>
    <row r="209" spans="11:11" s="118" customFormat="1" x14ac:dyDescent="0.25">
      <c r="K209" s="35"/>
    </row>
    <row r="210" spans="11:11" s="118" customFormat="1" x14ac:dyDescent="0.25">
      <c r="K210" s="35"/>
    </row>
    <row r="211" spans="11:11" s="118" customFormat="1" x14ac:dyDescent="0.25">
      <c r="K211" s="35"/>
    </row>
    <row r="212" spans="11:11" s="118" customFormat="1" x14ac:dyDescent="0.25">
      <c r="K212" s="35"/>
    </row>
    <row r="213" spans="11:11" s="118" customFormat="1" x14ac:dyDescent="0.25">
      <c r="K213" s="35"/>
    </row>
    <row r="214" spans="11:11" s="118" customFormat="1" x14ac:dyDescent="0.25">
      <c r="K214" s="35"/>
    </row>
    <row r="215" spans="11:11" s="118" customFormat="1" x14ac:dyDescent="0.25">
      <c r="K215" s="35"/>
    </row>
    <row r="216" spans="11:11" s="118" customFormat="1" x14ac:dyDescent="0.25">
      <c r="K216" s="35"/>
    </row>
    <row r="217" spans="11:11" s="118" customFormat="1" x14ac:dyDescent="0.25">
      <c r="K217" s="35"/>
    </row>
    <row r="218" spans="11:11" s="118" customFormat="1" x14ac:dyDescent="0.25">
      <c r="K218" s="35"/>
    </row>
    <row r="219" spans="11:11" s="118" customFormat="1" x14ac:dyDescent="0.25">
      <c r="K219" s="35"/>
    </row>
    <row r="220" spans="11:11" s="118" customFormat="1" x14ac:dyDescent="0.25">
      <c r="K220" s="35"/>
    </row>
    <row r="221" spans="11:11" s="118" customFormat="1" x14ac:dyDescent="0.25">
      <c r="K221" s="35"/>
    </row>
    <row r="222" spans="11:11" s="118" customFormat="1" x14ac:dyDescent="0.25">
      <c r="K222" s="35"/>
    </row>
    <row r="223" spans="11:11" s="118" customFormat="1" x14ac:dyDescent="0.25">
      <c r="K223" s="35"/>
    </row>
    <row r="224" spans="11:11" s="118" customFormat="1" x14ac:dyDescent="0.25">
      <c r="K224" s="35"/>
    </row>
    <row r="225" spans="11:11" s="118" customFormat="1" x14ac:dyDescent="0.25">
      <c r="K225" s="35"/>
    </row>
    <row r="226" spans="11:11" s="118" customFormat="1" x14ac:dyDescent="0.25">
      <c r="K226" s="35"/>
    </row>
    <row r="227" spans="11:11" s="118" customFormat="1" x14ac:dyDescent="0.25">
      <c r="K227" s="35"/>
    </row>
    <row r="228" spans="11:11" s="118" customFormat="1" x14ac:dyDescent="0.25">
      <c r="K228" s="35"/>
    </row>
    <row r="229" spans="11:11" s="118" customFormat="1" x14ac:dyDescent="0.25">
      <c r="K229" s="35"/>
    </row>
    <row r="230" spans="11:11" s="118" customFormat="1" x14ac:dyDescent="0.25">
      <c r="K230" s="35"/>
    </row>
    <row r="231" spans="11:11" s="118" customFormat="1" x14ac:dyDescent="0.25">
      <c r="K231" s="35"/>
    </row>
    <row r="232" spans="11:11" s="118" customFormat="1" x14ac:dyDescent="0.25">
      <c r="K232" s="35"/>
    </row>
  </sheetData>
  <mergeCells count="5">
    <mergeCell ref="A102:C102"/>
    <mergeCell ref="A1:F1"/>
    <mergeCell ref="A2:F2"/>
    <mergeCell ref="A3:F3"/>
    <mergeCell ref="A4:F4"/>
  </mergeCells>
  <phoneticPr fontId="0" type="noConversion"/>
  <pageMargins left="0.25" right="0.25" top="0.17" bottom="0.19" header="0" footer="0"/>
  <pageSetup scale="78" fitToHeight="0" orientation="landscape" r:id="rId1"/>
  <headerFooter alignWithMargins="0"/>
  <rowBreaks count="3" manualBreakCount="3">
    <brk id="52" max="16383" man="1"/>
    <brk id="100" max="12" man="1"/>
    <brk id="151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9"/>
  <sheetViews>
    <sheetView workbookViewId="0">
      <selection activeCell="A2" sqref="A2:H2"/>
    </sheetView>
  </sheetViews>
  <sheetFormatPr defaultColWidth="12.6640625" defaultRowHeight="13.2" x14ac:dyDescent="0.25"/>
  <cols>
    <col min="1" max="2" width="2.44140625" style="38" customWidth="1"/>
    <col min="3" max="3" width="55.109375" style="38" customWidth="1"/>
    <col min="4" max="4" width="18.33203125" style="38" customWidth="1"/>
    <col min="5" max="5" width="5.6640625" style="38" hidden="1" customWidth="1"/>
    <col min="6" max="6" width="1.5546875" style="38" customWidth="1"/>
    <col min="7" max="7" width="18.109375" style="47" customWidth="1"/>
    <col min="8" max="8" width="14.88671875" style="39" hidden="1" customWidth="1"/>
    <col min="9" max="9" width="12.6640625" style="39" hidden="1" customWidth="1"/>
    <col min="10" max="10" width="12.88671875" style="39" customWidth="1"/>
    <col min="11" max="11" width="12.88671875" style="38" customWidth="1"/>
    <col min="12" max="16384" width="12.6640625" style="38"/>
  </cols>
  <sheetData>
    <row r="1" spans="1:11" ht="15.6" x14ac:dyDescent="0.3">
      <c r="A1" s="37"/>
      <c r="G1" s="240"/>
    </row>
    <row r="2" spans="1:11" x14ac:dyDescent="0.25">
      <c r="A2" s="265" t="s">
        <v>0</v>
      </c>
      <c r="B2" s="265"/>
      <c r="C2" s="266"/>
      <c r="D2" s="266"/>
      <c r="E2" s="266"/>
      <c r="F2" s="266"/>
      <c r="G2" s="266"/>
      <c r="H2" s="266"/>
    </row>
    <row r="3" spans="1:11" x14ac:dyDescent="0.25">
      <c r="A3" s="267" t="s">
        <v>69</v>
      </c>
      <c r="B3" s="267"/>
      <c r="C3" s="268"/>
      <c r="D3" s="268"/>
      <c r="E3" s="268"/>
      <c r="F3" s="268"/>
      <c r="G3" s="268"/>
      <c r="H3" s="268"/>
    </row>
    <row r="4" spans="1:11" x14ac:dyDescent="0.25">
      <c r="A4" s="269" t="s">
        <v>7</v>
      </c>
      <c r="B4" s="269"/>
      <c r="C4" s="268"/>
      <c r="D4" s="268"/>
      <c r="E4" s="268"/>
      <c r="F4" s="268"/>
      <c r="G4" s="268"/>
      <c r="H4" s="268"/>
    </row>
    <row r="5" spans="1:11" x14ac:dyDescent="0.25">
      <c r="A5" s="269" t="s">
        <v>45</v>
      </c>
      <c r="B5" s="269"/>
      <c r="C5" s="268"/>
      <c r="D5" s="268"/>
      <c r="E5" s="268"/>
      <c r="F5" s="268"/>
      <c r="G5" s="268"/>
      <c r="H5" s="268"/>
    </row>
    <row r="6" spans="1:11" x14ac:dyDescent="0.25">
      <c r="A6" s="41"/>
      <c r="B6" s="41"/>
      <c r="C6" s="40"/>
      <c r="D6" s="40"/>
      <c r="E6" s="40"/>
      <c r="F6" s="40"/>
      <c r="G6" s="40"/>
      <c r="H6" s="40"/>
    </row>
    <row r="7" spans="1:11" customFormat="1" ht="12.75" customHeight="1" x14ac:dyDescent="0.25">
      <c r="D7" s="237" t="s">
        <v>3</v>
      </c>
      <c r="E7" s="237"/>
      <c r="F7" s="237"/>
      <c r="G7" s="239" t="s">
        <v>4</v>
      </c>
      <c r="H7" s="7"/>
      <c r="I7" s="7"/>
    </row>
    <row r="8" spans="1:11" x14ac:dyDescent="0.25">
      <c r="D8" s="42" t="s">
        <v>70</v>
      </c>
      <c r="E8" s="43"/>
      <c r="G8" s="238" t="s">
        <v>70</v>
      </c>
      <c r="H8" s="42" t="s">
        <v>72</v>
      </c>
      <c r="I8" s="44" t="s">
        <v>71</v>
      </c>
    </row>
    <row r="9" spans="1:11" x14ac:dyDescent="0.25">
      <c r="G9" s="45"/>
      <c r="H9" s="46"/>
    </row>
    <row r="10" spans="1:11" x14ac:dyDescent="0.25">
      <c r="A10" s="38" t="s">
        <v>73</v>
      </c>
    </row>
    <row r="11" spans="1:11" x14ac:dyDescent="0.25">
      <c r="B11" s="38" t="s">
        <v>29</v>
      </c>
      <c r="D11" s="48">
        <v>-462</v>
      </c>
      <c r="E11" s="48">
        <v>119</v>
      </c>
      <c r="G11" s="48">
        <f>+D11+E11</f>
        <v>-343</v>
      </c>
      <c r="H11" s="48">
        <v>-90</v>
      </c>
      <c r="I11" s="48">
        <v>-246</v>
      </c>
    </row>
    <row r="12" spans="1:11" x14ac:dyDescent="0.25">
      <c r="C12" s="38" t="s">
        <v>348</v>
      </c>
      <c r="D12" s="49">
        <v>9</v>
      </c>
      <c r="E12" s="49">
        <v>-2</v>
      </c>
      <c r="G12" s="49">
        <f>+D12+E12</f>
        <v>7</v>
      </c>
      <c r="H12" s="49">
        <v>0</v>
      </c>
      <c r="I12" s="49">
        <v>0</v>
      </c>
    </row>
    <row r="13" spans="1:11" x14ac:dyDescent="0.25">
      <c r="C13" s="38" t="s">
        <v>74</v>
      </c>
      <c r="D13" s="236">
        <v>0</v>
      </c>
      <c r="E13" s="50">
        <v>-5</v>
      </c>
      <c r="G13" s="50">
        <f>+D13+E13</f>
        <v>-5</v>
      </c>
      <c r="H13" s="50">
        <v>0</v>
      </c>
      <c r="I13" s="50">
        <v>0</v>
      </c>
    </row>
    <row r="14" spans="1:11" x14ac:dyDescent="0.25">
      <c r="C14" s="38" t="s">
        <v>349</v>
      </c>
      <c r="D14" s="51">
        <f>SUM(D11:D13)</f>
        <v>-453</v>
      </c>
      <c r="E14" s="51">
        <f>SUM(E11:E13)</f>
        <v>112</v>
      </c>
      <c r="G14" s="51">
        <f>+D14+E14</f>
        <v>-341</v>
      </c>
      <c r="H14" s="51">
        <f>SUM(H11:H12)</f>
        <v>-90</v>
      </c>
      <c r="I14" s="51">
        <f>SUM(I11:I12)</f>
        <v>-246</v>
      </c>
    </row>
    <row r="15" spans="1:11" ht="27.75" customHeight="1" x14ac:dyDescent="0.25">
      <c r="C15" s="52" t="s">
        <v>350</v>
      </c>
      <c r="D15" s="47"/>
      <c r="E15" s="47"/>
      <c r="F15" s="52"/>
      <c r="H15" s="47"/>
      <c r="I15" s="47"/>
      <c r="K15" s="48"/>
    </row>
    <row r="16" spans="1:11" x14ac:dyDescent="0.25">
      <c r="B16" s="53" t="s">
        <v>75</v>
      </c>
      <c r="D16" s="54">
        <v>-1</v>
      </c>
      <c r="E16" s="47">
        <v>-1</v>
      </c>
      <c r="G16" s="54">
        <f t="shared" ref="G16:G27" si="0">+D16+E16</f>
        <v>-2</v>
      </c>
      <c r="H16" s="47">
        <v>-4</v>
      </c>
      <c r="I16" s="47">
        <v>-7</v>
      </c>
      <c r="K16" s="55"/>
    </row>
    <row r="17" spans="2:11" x14ac:dyDescent="0.25">
      <c r="B17" s="38" t="s">
        <v>76</v>
      </c>
      <c r="D17" s="54">
        <v>228</v>
      </c>
      <c r="E17" s="47">
        <f>208-1</f>
        <v>207</v>
      </c>
      <c r="G17" s="54">
        <f t="shared" si="0"/>
        <v>435</v>
      </c>
      <c r="H17" s="47">
        <v>210</v>
      </c>
      <c r="I17" s="47">
        <v>400</v>
      </c>
      <c r="K17" s="55"/>
    </row>
    <row r="18" spans="2:11" x14ac:dyDescent="0.25">
      <c r="C18" s="38" t="s">
        <v>77</v>
      </c>
      <c r="D18" s="54">
        <v>190</v>
      </c>
      <c r="E18" s="54">
        <v>0</v>
      </c>
      <c r="G18" s="54">
        <f t="shared" si="0"/>
        <v>190</v>
      </c>
      <c r="H18" s="54">
        <v>0</v>
      </c>
      <c r="I18" s="54">
        <v>0</v>
      </c>
      <c r="K18" s="55"/>
    </row>
    <row r="19" spans="2:11" x14ac:dyDescent="0.25">
      <c r="B19" s="38" t="s">
        <v>78</v>
      </c>
      <c r="D19" s="54">
        <v>-2</v>
      </c>
      <c r="E19" s="54">
        <v>0</v>
      </c>
      <c r="G19" s="54">
        <f t="shared" si="0"/>
        <v>-2</v>
      </c>
      <c r="H19" s="54">
        <v>-130</v>
      </c>
      <c r="I19" s="54">
        <v>-206</v>
      </c>
      <c r="K19" s="55"/>
    </row>
    <row r="20" spans="2:11" hidden="1" x14ac:dyDescent="0.25">
      <c r="B20" s="38" t="s">
        <v>79</v>
      </c>
      <c r="D20" s="54">
        <v>0</v>
      </c>
      <c r="E20" s="54">
        <v>0</v>
      </c>
      <c r="G20" s="54">
        <f t="shared" si="0"/>
        <v>0</v>
      </c>
      <c r="H20" s="54">
        <v>2</v>
      </c>
      <c r="I20" s="54">
        <v>3</v>
      </c>
      <c r="K20" s="55"/>
    </row>
    <row r="21" spans="2:11" hidden="1" x14ac:dyDescent="0.25">
      <c r="C21" s="38" t="s">
        <v>80</v>
      </c>
      <c r="D21" s="54">
        <v>0</v>
      </c>
      <c r="E21" s="54">
        <v>0</v>
      </c>
      <c r="G21" s="54">
        <f t="shared" si="0"/>
        <v>0</v>
      </c>
      <c r="H21" s="54">
        <v>0</v>
      </c>
      <c r="I21" s="54">
        <v>44</v>
      </c>
      <c r="K21" s="55"/>
    </row>
    <row r="22" spans="2:11" ht="27.75" customHeight="1" x14ac:dyDescent="0.25">
      <c r="C22" s="56" t="s">
        <v>81</v>
      </c>
      <c r="D22" s="54">
        <v>2</v>
      </c>
      <c r="E22" s="47">
        <v>-69</v>
      </c>
      <c r="G22" s="54">
        <f t="shared" si="0"/>
        <v>-67</v>
      </c>
      <c r="H22" s="54">
        <v>2</v>
      </c>
      <c r="I22" s="54">
        <v>-100</v>
      </c>
      <c r="K22" s="55"/>
    </row>
    <row r="23" spans="2:11" x14ac:dyDescent="0.25">
      <c r="B23" s="38" t="s">
        <v>82</v>
      </c>
      <c r="D23" s="54">
        <v>25</v>
      </c>
      <c r="E23" s="47">
        <v>23</v>
      </c>
      <c r="G23" s="54">
        <f t="shared" si="0"/>
        <v>48</v>
      </c>
      <c r="H23" s="47">
        <v>64</v>
      </c>
      <c r="I23" s="47">
        <v>117</v>
      </c>
      <c r="K23" s="55"/>
    </row>
    <row r="24" spans="2:11" x14ac:dyDescent="0.25">
      <c r="B24" s="38" t="s">
        <v>83</v>
      </c>
      <c r="D24" s="54">
        <v>12</v>
      </c>
      <c r="E24" s="47">
        <v>-348</v>
      </c>
      <c r="G24" s="54">
        <f t="shared" si="0"/>
        <v>-336</v>
      </c>
      <c r="H24" s="47">
        <v>23</v>
      </c>
      <c r="I24" s="47">
        <v>120</v>
      </c>
      <c r="K24" s="55"/>
    </row>
    <row r="25" spans="2:11" x14ac:dyDescent="0.25">
      <c r="B25" s="38" t="s">
        <v>84</v>
      </c>
      <c r="D25" s="54">
        <v>5</v>
      </c>
      <c r="E25" s="47">
        <v>5</v>
      </c>
      <c r="G25" s="54">
        <f t="shared" si="0"/>
        <v>10</v>
      </c>
      <c r="H25" s="54">
        <v>3</v>
      </c>
      <c r="I25" s="54">
        <v>8</v>
      </c>
      <c r="K25" s="55"/>
    </row>
    <row r="26" spans="2:11" x14ac:dyDescent="0.25">
      <c r="B26" s="38" t="s">
        <v>85</v>
      </c>
      <c r="D26" s="54">
        <v>28</v>
      </c>
      <c r="E26" s="57">
        <v>26</v>
      </c>
      <c r="G26" s="54">
        <f t="shared" si="0"/>
        <v>54</v>
      </c>
      <c r="H26" s="57">
        <v>27</v>
      </c>
      <c r="I26" s="57">
        <v>55</v>
      </c>
      <c r="K26" s="55"/>
    </row>
    <row r="27" spans="2:11" x14ac:dyDescent="0.25">
      <c r="B27" s="38" t="s">
        <v>86</v>
      </c>
      <c r="D27" s="54">
        <v>9</v>
      </c>
      <c r="E27" s="58">
        <v>0</v>
      </c>
      <c r="G27" s="54">
        <f t="shared" si="0"/>
        <v>9</v>
      </c>
      <c r="H27" s="58">
        <v>-21</v>
      </c>
      <c r="I27" s="58">
        <v>-3</v>
      </c>
      <c r="K27" s="55"/>
    </row>
    <row r="28" spans="2:11" x14ac:dyDescent="0.25">
      <c r="B28" s="59" t="s">
        <v>87</v>
      </c>
      <c r="D28"/>
      <c r="E28"/>
      <c r="G28" s="54" t="s">
        <v>46</v>
      </c>
      <c r="H28" s="60" t="s">
        <v>46</v>
      </c>
      <c r="I28" s="60" t="s">
        <v>46</v>
      </c>
      <c r="K28" s="55"/>
    </row>
    <row r="29" spans="2:11" x14ac:dyDescent="0.25">
      <c r="B29" s="38" t="s">
        <v>88</v>
      </c>
      <c r="D29" s="54">
        <v>-97</v>
      </c>
      <c r="E29" s="61">
        <v>118</v>
      </c>
      <c r="G29" s="54">
        <f t="shared" ref="G29:G34" si="1">+D29+E29</f>
        <v>21</v>
      </c>
      <c r="H29" s="61">
        <v>35</v>
      </c>
      <c r="I29" s="61">
        <v>-159</v>
      </c>
      <c r="K29" s="62"/>
    </row>
    <row r="30" spans="2:11" x14ac:dyDescent="0.25">
      <c r="B30" s="38" t="s">
        <v>89</v>
      </c>
      <c r="D30" s="54">
        <v>-3</v>
      </c>
      <c r="E30" s="63">
        <v>50</v>
      </c>
      <c r="G30" s="54">
        <f t="shared" si="1"/>
        <v>47</v>
      </c>
      <c r="H30" s="63">
        <v>-15</v>
      </c>
      <c r="I30" s="63">
        <v>-117</v>
      </c>
      <c r="K30" s="62"/>
    </row>
    <row r="31" spans="2:11" x14ac:dyDescent="0.25">
      <c r="B31" s="38" t="s">
        <v>90</v>
      </c>
      <c r="D31" s="54">
        <v>73</v>
      </c>
      <c r="E31" s="63">
        <v>-199</v>
      </c>
      <c r="G31" s="54">
        <f t="shared" si="1"/>
        <v>-126</v>
      </c>
      <c r="H31" s="63">
        <v>-165</v>
      </c>
      <c r="I31" s="63">
        <v>-51</v>
      </c>
      <c r="K31" s="62"/>
    </row>
    <row r="32" spans="2:11" x14ac:dyDescent="0.25">
      <c r="B32" s="38" t="s">
        <v>91</v>
      </c>
      <c r="D32" s="54">
        <v>1</v>
      </c>
      <c r="E32" s="63">
        <v>-30</v>
      </c>
      <c r="G32" s="54">
        <f t="shared" si="1"/>
        <v>-29</v>
      </c>
      <c r="H32" s="63">
        <v>-4</v>
      </c>
      <c r="I32" s="63">
        <v>-76</v>
      </c>
      <c r="K32" s="62"/>
    </row>
    <row r="33" spans="1:12" x14ac:dyDescent="0.25">
      <c r="B33" s="38" t="s">
        <v>92</v>
      </c>
      <c r="D33" s="64">
        <v>2</v>
      </c>
      <c r="E33" s="65">
        <f>-6+1+2</f>
        <v>-3</v>
      </c>
      <c r="G33" s="64">
        <f t="shared" si="1"/>
        <v>-1</v>
      </c>
      <c r="H33" s="65">
        <v>-7</v>
      </c>
      <c r="I33" s="65">
        <f>-1-8</f>
        <v>-9</v>
      </c>
      <c r="K33" s="62"/>
    </row>
    <row r="34" spans="1:12" x14ac:dyDescent="0.25">
      <c r="A34" s="38" t="s">
        <v>93</v>
      </c>
      <c r="D34" s="63">
        <f>SUM(D14:D33)</f>
        <v>19</v>
      </c>
      <c r="E34" s="63">
        <f>SUM(E14:E33)</f>
        <v>-109</v>
      </c>
      <c r="G34" s="63">
        <f t="shared" si="1"/>
        <v>-90</v>
      </c>
      <c r="H34" s="63">
        <f>SUM(H14:H33)</f>
        <v>-70</v>
      </c>
      <c r="I34" s="63">
        <f>SUM(I14:I33)</f>
        <v>-227</v>
      </c>
      <c r="K34" s="62"/>
    </row>
    <row r="35" spans="1:12" x14ac:dyDescent="0.25">
      <c r="D35" s="47"/>
      <c r="E35" s="47"/>
      <c r="H35" s="47"/>
      <c r="I35" s="47"/>
      <c r="K35" s="62"/>
    </row>
    <row r="36" spans="1:12" x14ac:dyDescent="0.25">
      <c r="A36" s="38" t="s">
        <v>94</v>
      </c>
      <c r="D36" s="47"/>
      <c r="E36" s="47"/>
      <c r="H36" s="47"/>
      <c r="I36" s="47"/>
      <c r="K36" s="66"/>
      <c r="L36" s="59"/>
    </row>
    <row r="37" spans="1:12" hidden="1" x14ac:dyDescent="0.25">
      <c r="B37" s="38" t="s">
        <v>95</v>
      </c>
      <c r="D37" s="54">
        <v>0</v>
      </c>
      <c r="E37" s="54">
        <v>0</v>
      </c>
      <c r="G37" s="54">
        <f t="shared" ref="G37:G48" si="2">+D37+E37</f>
        <v>0</v>
      </c>
      <c r="H37" s="54">
        <v>200</v>
      </c>
      <c r="I37" s="54">
        <v>200</v>
      </c>
      <c r="K37" s="66"/>
      <c r="L37" s="59"/>
    </row>
    <row r="38" spans="1:12" x14ac:dyDescent="0.25">
      <c r="B38" s="38" t="s">
        <v>96</v>
      </c>
      <c r="D38" s="54">
        <f>5-10</f>
        <v>-5</v>
      </c>
      <c r="E38" s="67">
        <v>7</v>
      </c>
      <c r="G38" s="54">
        <f t="shared" si="2"/>
        <v>2</v>
      </c>
      <c r="H38" s="67">
        <v>18</v>
      </c>
      <c r="I38" s="67">
        <v>9</v>
      </c>
      <c r="K38" s="66"/>
      <c r="L38" s="59"/>
    </row>
    <row r="39" spans="1:12" x14ac:dyDescent="0.25">
      <c r="B39" s="38" t="s">
        <v>97</v>
      </c>
      <c r="D39" s="54">
        <v>-65</v>
      </c>
      <c r="E39" s="57">
        <v>-25</v>
      </c>
      <c r="G39" s="54">
        <f t="shared" si="2"/>
        <v>-90</v>
      </c>
      <c r="H39" s="57">
        <v>-53</v>
      </c>
      <c r="I39" s="57">
        <v>-142</v>
      </c>
      <c r="K39" s="66"/>
      <c r="L39" s="59"/>
    </row>
    <row r="40" spans="1:12" x14ac:dyDescent="0.25">
      <c r="B40" s="38" t="s">
        <v>98</v>
      </c>
      <c r="D40" s="54">
        <v>15</v>
      </c>
      <c r="E40" s="57">
        <v>6</v>
      </c>
      <c r="G40" s="54">
        <f t="shared" si="2"/>
        <v>21</v>
      </c>
      <c r="H40" s="58">
        <v>0</v>
      </c>
      <c r="I40" s="58">
        <v>114</v>
      </c>
      <c r="K40" s="66"/>
      <c r="L40" s="59"/>
    </row>
    <row r="41" spans="1:12" x14ac:dyDescent="0.25">
      <c r="B41" s="38" t="s">
        <v>99</v>
      </c>
      <c r="D41" s="54">
        <v>-1</v>
      </c>
      <c r="E41" s="57">
        <v>-143</v>
      </c>
      <c r="G41" s="54">
        <f t="shared" si="2"/>
        <v>-144</v>
      </c>
      <c r="H41" s="58">
        <v>0</v>
      </c>
      <c r="I41" s="58">
        <v>0</v>
      </c>
      <c r="K41" s="66"/>
      <c r="L41" s="59"/>
    </row>
    <row r="42" spans="1:12" x14ac:dyDescent="0.25">
      <c r="B42" s="38" t="s">
        <v>100</v>
      </c>
      <c r="D42" s="54">
        <v>0</v>
      </c>
      <c r="E42" s="57">
        <v>-1</v>
      </c>
      <c r="G42" s="54">
        <f t="shared" si="2"/>
        <v>-1</v>
      </c>
      <c r="H42" s="57">
        <v>-14</v>
      </c>
      <c r="I42" s="57">
        <v>-16</v>
      </c>
      <c r="K42" s="66"/>
      <c r="L42" s="59"/>
    </row>
    <row r="43" spans="1:12" hidden="1" x14ac:dyDescent="0.25">
      <c r="B43" s="38" t="s">
        <v>101</v>
      </c>
      <c r="D43" s="54">
        <v>0</v>
      </c>
      <c r="E43" s="58">
        <v>0</v>
      </c>
      <c r="G43" s="54">
        <f t="shared" si="2"/>
        <v>0</v>
      </c>
      <c r="H43" s="58">
        <v>-50</v>
      </c>
      <c r="I43" s="58">
        <v>-50</v>
      </c>
      <c r="K43" s="66"/>
      <c r="L43" s="59"/>
    </row>
    <row r="44" spans="1:12" hidden="1" x14ac:dyDescent="0.25">
      <c r="B44" s="38" t="s">
        <v>102</v>
      </c>
      <c r="D44" s="54">
        <v>0</v>
      </c>
      <c r="E44" s="58">
        <v>0</v>
      </c>
      <c r="G44" s="54">
        <f t="shared" si="2"/>
        <v>0</v>
      </c>
      <c r="H44" s="58">
        <v>-89</v>
      </c>
      <c r="I44" s="58">
        <v>-94</v>
      </c>
      <c r="K44" s="66"/>
      <c r="L44" s="59"/>
    </row>
    <row r="45" spans="1:12" hidden="1" x14ac:dyDescent="0.25">
      <c r="B45" s="38" t="s">
        <v>103</v>
      </c>
      <c r="D45" s="54">
        <v>0</v>
      </c>
      <c r="E45" s="58">
        <v>0</v>
      </c>
      <c r="G45" s="54">
        <f t="shared" si="2"/>
        <v>0</v>
      </c>
      <c r="H45" s="58">
        <v>0</v>
      </c>
      <c r="I45" s="58">
        <v>-93</v>
      </c>
      <c r="K45" s="66"/>
      <c r="L45" s="59"/>
    </row>
    <row r="46" spans="1:12" hidden="1" x14ac:dyDescent="0.25">
      <c r="B46" s="38" t="s">
        <v>104</v>
      </c>
      <c r="D46" s="54">
        <v>0</v>
      </c>
      <c r="E46" s="58">
        <v>0</v>
      </c>
      <c r="G46" s="54">
        <f t="shared" si="2"/>
        <v>0</v>
      </c>
      <c r="H46" s="58">
        <v>0</v>
      </c>
      <c r="I46" s="58">
        <v>166</v>
      </c>
      <c r="K46" s="66"/>
      <c r="L46" s="59"/>
    </row>
    <row r="47" spans="1:12" x14ac:dyDescent="0.25">
      <c r="B47" s="38" t="s">
        <v>105</v>
      </c>
      <c r="D47" s="54">
        <v>0</v>
      </c>
      <c r="E47" s="57">
        <v>46</v>
      </c>
      <c r="G47" s="54">
        <f t="shared" si="2"/>
        <v>46</v>
      </c>
      <c r="H47" s="58">
        <v>0</v>
      </c>
      <c r="I47" s="58">
        <v>0</v>
      </c>
      <c r="K47" s="66"/>
      <c r="L47" s="59"/>
    </row>
    <row r="48" spans="1:12" x14ac:dyDescent="0.25">
      <c r="B48" s="38" t="s">
        <v>106</v>
      </c>
      <c r="D48" s="64">
        <v>5</v>
      </c>
      <c r="E48" s="68">
        <v>16</v>
      </c>
      <c r="G48" s="64">
        <f t="shared" si="2"/>
        <v>21</v>
      </c>
      <c r="H48" s="68">
        <v>6</v>
      </c>
      <c r="I48" s="68">
        <v>12</v>
      </c>
      <c r="K48" s="66"/>
      <c r="L48" s="59"/>
    </row>
    <row r="49" spans="1:17" x14ac:dyDescent="0.25">
      <c r="A49" s="38" t="s">
        <v>344</v>
      </c>
      <c r="D49" s="63">
        <f>SUM(D38:D48)</f>
        <v>-51</v>
      </c>
      <c r="E49" s="63">
        <f>SUM(E38:E48)</f>
        <v>-94</v>
      </c>
      <c r="G49" s="63">
        <f>SUM(G38:G48)</f>
        <v>-145</v>
      </c>
      <c r="H49" s="63">
        <f>SUM(H37:H48)</f>
        <v>18</v>
      </c>
      <c r="I49" s="63">
        <f>SUM(I37:I48)</f>
        <v>106</v>
      </c>
      <c r="K49" s="66"/>
      <c r="L49" s="59"/>
    </row>
    <row r="50" spans="1:17" x14ac:dyDescent="0.25">
      <c r="D50" s="47"/>
      <c r="E50" s="47"/>
      <c r="H50" s="47"/>
      <c r="I50" s="47"/>
      <c r="K50" s="66"/>
      <c r="L50" s="59"/>
    </row>
    <row r="51" spans="1:17" x14ac:dyDescent="0.25">
      <c r="A51" s="38" t="s">
        <v>107</v>
      </c>
      <c r="D51" s="47"/>
      <c r="E51" s="47"/>
      <c r="H51" s="47"/>
      <c r="I51" s="47"/>
      <c r="K51" s="66"/>
      <c r="L51" s="59"/>
    </row>
    <row r="52" spans="1:17" x14ac:dyDescent="0.25">
      <c r="B52" s="38" t="s">
        <v>108</v>
      </c>
      <c r="D52" s="54">
        <v>3</v>
      </c>
      <c r="E52" s="54">
        <v>0</v>
      </c>
      <c r="G52" s="54">
        <f>+D52+E52</f>
        <v>3</v>
      </c>
      <c r="H52" s="54">
        <v>0</v>
      </c>
      <c r="I52" s="54">
        <v>0</v>
      </c>
      <c r="K52" s="66"/>
      <c r="L52" s="59"/>
    </row>
    <row r="53" spans="1:17" x14ac:dyDescent="0.25">
      <c r="B53" s="38" t="s">
        <v>109</v>
      </c>
      <c r="D53" s="64">
        <v>-13</v>
      </c>
      <c r="E53" s="65">
        <v>-1</v>
      </c>
      <c r="G53" s="64">
        <f>+D53+E53</f>
        <v>-14</v>
      </c>
      <c r="H53" s="65">
        <v>-90</v>
      </c>
      <c r="I53" s="65">
        <v>-91</v>
      </c>
      <c r="K53" s="66"/>
      <c r="L53" s="59"/>
    </row>
    <row r="54" spans="1:17" x14ac:dyDescent="0.25">
      <c r="A54" s="38" t="s">
        <v>110</v>
      </c>
      <c r="D54" s="63">
        <f>SUM(D52:D53)</f>
        <v>-10</v>
      </c>
      <c r="E54" s="63">
        <f>SUM(E52:E53)</f>
        <v>-1</v>
      </c>
      <c r="G54" s="63">
        <f>SUM(G52:G53)</f>
        <v>-11</v>
      </c>
      <c r="H54" s="63">
        <f>SUM(H52:H53)</f>
        <v>-90</v>
      </c>
      <c r="I54" s="63">
        <f>SUM(I52:I53)</f>
        <v>-91</v>
      </c>
      <c r="K54" s="69"/>
      <c r="L54" s="70"/>
      <c r="M54" s="70"/>
      <c r="N54" s="70"/>
      <c r="O54" s="70"/>
      <c r="P54" s="70"/>
      <c r="Q54" s="70"/>
    </row>
    <row r="55" spans="1:17" x14ac:dyDescent="0.25">
      <c r="D55" s="63"/>
      <c r="E55" s="63"/>
      <c r="G55" s="63"/>
      <c r="H55" s="63"/>
      <c r="I55" s="63"/>
      <c r="K55" s="69"/>
      <c r="L55" s="70"/>
      <c r="M55" s="70"/>
      <c r="N55" s="70"/>
      <c r="O55" s="70"/>
      <c r="P55" s="70"/>
      <c r="Q55" s="70"/>
    </row>
    <row r="56" spans="1:17" x14ac:dyDescent="0.25">
      <c r="A56" s="38" t="s">
        <v>343</v>
      </c>
      <c r="D56" s="54">
        <v>12</v>
      </c>
      <c r="E56" s="54">
        <v>4</v>
      </c>
      <c r="G56" s="61">
        <f>+D56+E56</f>
        <v>16</v>
      </c>
      <c r="H56" s="54">
        <v>-47</v>
      </c>
      <c r="I56" s="54">
        <v>-48</v>
      </c>
      <c r="K56" s="69"/>
      <c r="L56" s="70"/>
      <c r="M56" s="70"/>
      <c r="N56" s="70"/>
      <c r="O56" s="70"/>
      <c r="P56" s="70"/>
      <c r="Q56" s="70"/>
    </row>
    <row r="57" spans="1:17" x14ac:dyDescent="0.25">
      <c r="D57" s="63"/>
      <c r="E57" s="63"/>
      <c r="G57" s="63"/>
      <c r="H57" s="63"/>
      <c r="I57" s="63"/>
      <c r="K57" s="69"/>
      <c r="L57" s="70"/>
      <c r="M57" s="70"/>
      <c r="N57" s="70"/>
      <c r="O57" s="70"/>
      <c r="P57" s="70"/>
      <c r="Q57" s="70"/>
    </row>
    <row r="58" spans="1:17" x14ac:dyDescent="0.25">
      <c r="A58" s="38" t="s">
        <v>111</v>
      </c>
      <c r="D58" s="65">
        <v>1</v>
      </c>
      <c r="E58" s="65">
        <v>2</v>
      </c>
      <c r="G58" s="64">
        <f>+D58+E58</f>
        <v>3</v>
      </c>
      <c r="H58" s="65">
        <v>-5</v>
      </c>
      <c r="I58" s="65">
        <v>7</v>
      </c>
      <c r="K58" s="66"/>
    </row>
    <row r="59" spans="1:17" x14ac:dyDescent="0.25">
      <c r="D59" s="47"/>
      <c r="E59" s="47"/>
      <c r="H59" s="47"/>
      <c r="I59" s="47"/>
      <c r="K59" s="66"/>
    </row>
    <row r="60" spans="1:17" x14ac:dyDescent="0.25">
      <c r="A60" s="53" t="s">
        <v>112</v>
      </c>
      <c r="D60" s="71">
        <f>+D34+D49+D54+D56+D58</f>
        <v>-29</v>
      </c>
      <c r="E60" s="71">
        <f>+E34+E49+E54+E56+E58</f>
        <v>-198</v>
      </c>
      <c r="G60" s="71">
        <f>+D60+E60</f>
        <v>-227</v>
      </c>
      <c r="H60" s="71">
        <f>+H34+H49+H54+H56+H58</f>
        <v>-194</v>
      </c>
      <c r="I60" s="71">
        <f>+I34+I49+I54+I56+I58</f>
        <v>-253</v>
      </c>
      <c r="K60" s="66"/>
    </row>
    <row r="61" spans="1:17" x14ac:dyDescent="0.25">
      <c r="D61" s="47"/>
      <c r="E61" s="47"/>
      <c r="H61" s="47"/>
      <c r="I61" s="47"/>
      <c r="K61" s="66"/>
    </row>
    <row r="62" spans="1:17" x14ac:dyDescent="0.25">
      <c r="A62" s="53" t="s">
        <v>113</v>
      </c>
      <c r="D62" s="65">
        <v>944</v>
      </c>
      <c r="E62" s="65">
        <v>1142</v>
      </c>
      <c r="G62" s="65">
        <v>1142</v>
      </c>
      <c r="H62" s="65">
        <v>1297</v>
      </c>
      <c r="I62" s="65">
        <v>1297</v>
      </c>
      <c r="K62" s="66"/>
    </row>
    <row r="63" spans="1:17" x14ac:dyDescent="0.25">
      <c r="D63" s="47"/>
      <c r="E63" s="47"/>
      <c r="H63" s="47"/>
      <c r="I63" s="47"/>
      <c r="K63" s="66"/>
    </row>
    <row r="64" spans="1:17" ht="13.8" thickBot="1" x14ac:dyDescent="0.3">
      <c r="A64" s="53" t="s">
        <v>114</v>
      </c>
      <c r="D64" s="72">
        <f>+D60+D62</f>
        <v>915</v>
      </c>
      <c r="E64" s="72">
        <f>+E60+E62</f>
        <v>944</v>
      </c>
      <c r="G64" s="72">
        <f>+G60+G62</f>
        <v>915</v>
      </c>
      <c r="H64" s="72">
        <f>+H60+H62</f>
        <v>1103</v>
      </c>
      <c r="I64" s="72">
        <f>+I60+I62</f>
        <v>1044</v>
      </c>
      <c r="K64" s="66"/>
    </row>
    <row r="65" spans="1:14" ht="13.8" thickTop="1" x14ac:dyDescent="0.25">
      <c r="A65" s="73"/>
      <c r="B65" s="73"/>
      <c r="D65" s="74"/>
      <c r="E65" s="74"/>
      <c r="G65" s="74"/>
      <c r="H65" s="75"/>
      <c r="I65" s="75"/>
      <c r="K65" s="66"/>
    </row>
    <row r="66" spans="1:14" x14ac:dyDescent="0.25">
      <c r="A66" s="73"/>
      <c r="B66" s="73"/>
      <c r="D66" s="74"/>
      <c r="E66" s="74"/>
      <c r="G66" s="74"/>
      <c r="H66" s="75"/>
      <c r="I66" s="75"/>
      <c r="K66" s="66"/>
    </row>
    <row r="67" spans="1:14" x14ac:dyDescent="0.25">
      <c r="A67" s="73" t="s">
        <v>115</v>
      </c>
      <c r="B67" s="73"/>
      <c r="D67" s="63"/>
      <c r="E67" s="63"/>
      <c r="G67" s="63"/>
      <c r="H67" s="75"/>
      <c r="I67" s="75"/>
      <c r="K67" s="66"/>
    </row>
    <row r="68" spans="1:14" x14ac:dyDescent="0.25">
      <c r="A68" s="73"/>
      <c r="B68" s="73" t="s">
        <v>116</v>
      </c>
      <c r="D68" s="76">
        <v>101</v>
      </c>
      <c r="E68" s="76">
        <v>109</v>
      </c>
      <c r="F68" s="77"/>
      <c r="G68" s="76">
        <f>109+101</f>
        <v>210</v>
      </c>
      <c r="H68" s="76">
        <v>116</v>
      </c>
      <c r="I68" s="76">
        <v>195</v>
      </c>
      <c r="J68" s="78"/>
      <c r="K68" s="77"/>
      <c r="L68" s="77"/>
      <c r="M68" s="77"/>
      <c r="N68" s="77"/>
    </row>
    <row r="69" spans="1:14" x14ac:dyDescent="0.25">
      <c r="A69" s="79"/>
      <c r="B69" s="73"/>
      <c r="D69" s="80"/>
      <c r="E69" s="80"/>
      <c r="F69" s="77"/>
      <c r="G69" s="80"/>
      <c r="H69" s="81"/>
      <c r="I69" s="81"/>
      <c r="J69" s="78"/>
      <c r="K69" s="77"/>
      <c r="L69" s="82"/>
      <c r="M69" s="77"/>
      <c r="N69" s="77"/>
    </row>
    <row r="70" spans="1:14" x14ac:dyDescent="0.25">
      <c r="A70" s="73" t="s">
        <v>117</v>
      </c>
      <c r="B70" s="73"/>
      <c r="D70" s="83"/>
      <c r="E70" s="83"/>
      <c r="F70" s="77"/>
      <c r="G70" s="83"/>
      <c r="H70" s="81"/>
      <c r="I70" s="81"/>
      <c r="J70" s="78"/>
      <c r="K70" s="77"/>
      <c r="L70" s="77"/>
      <c r="M70" s="77"/>
      <c r="N70" s="77"/>
    </row>
    <row r="71" spans="1:14" x14ac:dyDescent="0.25">
      <c r="A71" s="79"/>
      <c r="B71" s="73" t="s">
        <v>118</v>
      </c>
      <c r="D71" s="76">
        <v>754</v>
      </c>
      <c r="E71" s="76">
        <v>20</v>
      </c>
      <c r="F71" s="77"/>
      <c r="G71" s="76">
        <f>754+20</f>
        <v>774</v>
      </c>
      <c r="H71" s="76">
        <v>32</v>
      </c>
      <c r="I71" s="76">
        <v>71</v>
      </c>
      <c r="J71" s="78"/>
      <c r="K71" s="84"/>
      <c r="L71" s="77"/>
      <c r="M71" s="77"/>
      <c r="N71" s="77"/>
    </row>
    <row r="72" spans="1:14" x14ac:dyDescent="0.25">
      <c r="A72" s="79"/>
      <c r="B72" s="73" t="s">
        <v>119</v>
      </c>
      <c r="D72" s="49">
        <v>9</v>
      </c>
      <c r="E72" s="49">
        <v>0</v>
      </c>
      <c r="F72" s="54"/>
      <c r="G72" s="49">
        <v>9</v>
      </c>
      <c r="H72" s="49">
        <v>0</v>
      </c>
      <c r="I72" s="49">
        <v>0</v>
      </c>
      <c r="J72" s="78"/>
      <c r="K72" s="84"/>
      <c r="L72" s="77"/>
      <c r="M72" s="77"/>
      <c r="N72" s="77"/>
    </row>
    <row r="73" spans="1:14" x14ac:dyDescent="0.25">
      <c r="A73" s="79"/>
      <c r="B73" s="73" t="s">
        <v>120</v>
      </c>
      <c r="D73" s="49">
        <v>580</v>
      </c>
      <c r="E73" s="49">
        <v>20</v>
      </c>
      <c r="G73" s="49">
        <f>580+20</f>
        <v>600</v>
      </c>
      <c r="H73" s="49">
        <v>0</v>
      </c>
      <c r="I73" s="49">
        <v>313</v>
      </c>
      <c r="K73" s="71"/>
    </row>
    <row r="74" spans="1:14" x14ac:dyDescent="0.25">
      <c r="A74" s="79"/>
      <c r="B74" s="79" t="s">
        <v>121</v>
      </c>
      <c r="C74" s="73"/>
      <c r="D74" s="49">
        <v>0</v>
      </c>
      <c r="E74" s="49">
        <v>139</v>
      </c>
      <c r="F74" s="73"/>
      <c r="G74" s="49">
        <v>139</v>
      </c>
      <c r="H74" s="85">
        <v>0</v>
      </c>
      <c r="I74" s="85">
        <v>0</v>
      </c>
    </row>
    <row r="75" spans="1:14" x14ac:dyDescent="0.25">
      <c r="A75" s="86"/>
      <c r="B75" s="86"/>
      <c r="C75" s="87"/>
      <c r="D75" s="88"/>
      <c r="E75" s="88"/>
      <c r="F75" s="87"/>
      <c r="G75" s="88"/>
      <c r="H75" s="89"/>
      <c r="K75" s="73"/>
      <c r="L75" s="73"/>
      <c r="M75" s="73"/>
    </row>
    <row r="76" spans="1:14" x14ac:dyDescent="0.25">
      <c r="A76" s="73"/>
      <c r="B76" s="73"/>
      <c r="C76" s="73"/>
      <c r="D76" s="63"/>
      <c r="E76" s="63"/>
      <c r="F76" s="73"/>
      <c r="G76" s="63"/>
      <c r="K76" s="73"/>
      <c r="L76" s="73"/>
      <c r="M76" s="73"/>
    </row>
    <row r="77" spans="1:14" x14ac:dyDescent="0.25">
      <c r="A77" s="73"/>
      <c r="B77" s="73"/>
      <c r="C77" s="73"/>
      <c r="D77" s="63"/>
      <c r="E77" s="63"/>
      <c r="F77" s="73"/>
      <c r="G77" s="63"/>
    </row>
    <row r="78" spans="1:14" x14ac:dyDescent="0.25">
      <c r="A78" s="73"/>
      <c r="B78" s="73"/>
      <c r="C78" s="73"/>
      <c r="D78" s="63"/>
      <c r="E78" s="63"/>
      <c r="F78" s="73"/>
      <c r="G78" s="63"/>
    </row>
    <row r="79" spans="1:14" x14ac:dyDescent="0.25">
      <c r="A79" s="73"/>
      <c r="B79" s="73"/>
      <c r="C79" s="73"/>
      <c r="D79" s="90"/>
      <c r="E79" s="90"/>
      <c r="F79" s="73"/>
      <c r="G79" s="90"/>
    </row>
    <row r="80" spans="1:14" x14ac:dyDescent="0.25">
      <c r="A80" s="73"/>
      <c r="B80" s="73"/>
      <c r="C80" s="73"/>
      <c r="D80" s="63"/>
      <c r="E80" s="63"/>
      <c r="F80" s="73"/>
      <c r="G80" s="63"/>
    </row>
    <row r="81" spans="1:11" x14ac:dyDescent="0.25">
      <c r="A81" s="73"/>
      <c r="B81" s="73"/>
      <c r="C81" s="73"/>
      <c r="D81" s="63"/>
      <c r="E81" s="63"/>
      <c r="F81" s="73"/>
      <c r="G81" s="63"/>
    </row>
    <row r="82" spans="1:11" x14ac:dyDescent="0.25">
      <c r="A82" s="73"/>
      <c r="B82" s="73"/>
      <c r="C82" s="73"/>
      <c r="D82" s="67"/>
      <c r="E82" s="67"/>
      <c r="F82" s="73"/>
      <c r="G82" s="67"/>
    </row>
    <row r="83" spans="1:11" x14ac:dyDescent="0.25">
      <c r="A83" s="73"/>
      <c r="B83" s="73"/>
      <c r="C83" s="91"/>
      <c r="D83" s="91"/>
      <c r="E83" s="91"/>
      <c r="F83" s="91"/>
      <c r="G83" s="63"/>
    </row>
    <row r="84" spans="1:11" x14ac:dyDescent="0.25">
      <c r="A84" s="73"/>
      <c r="B84" s="73"/>
      <c r="C84" s="91"/>
      <c r="D84" s="91"/>
      <c r="E84" s="91"/>
      <c r="F84" s="91"/>
      <c r="G84" s="92"/>
      <c r="K84" s="71"/>
    </row>
    <row r="85" spans="1:11" x14ac:dyDescent="0.25">
      <c r="A85" s="73"/>
      <c r="B85" s="73"/>
      <c r="C85" s="73"/>
      <c r="D85" s="73"/>
      <c r="E85" s="73"/>
      <c r="F85" s="73"/>
      <c r="G85" s="92"/>
      <c r="K85" s="66"/>
    </row>
    <row r="86" spans="1:11" x14ac:dyDescent="0.25">
      <c r="A86" s="73"/>
      <c r="B86" s="73"/>
      <c r="C86" s="73"/>
      <c r="D86" s="73"/>
      <c r="E86" s="73"/>
      <c r="F86" s="73"/>
      <c r="G86" s="92"/>
      <c r="K86" s="66"/>
    </row>
    <row r="87" spans="1:11" x14ac:dyDescent="0.25">
      <c r="A87" s="73"/>
      <c r="B87" s="73"/>
      <c r="C87" s="73"/>
      <c r="D87" s="73"/>
      <c r="E87" s="73"/>
      <c r="F87" s="73"/>
      <c r="G87" s="92"/>
      <c r="K87" s="66"/>
    </row>
    <row r="88" spans="1:11" x14ac:dyDescent="0.25">
      <c r="A88" s="73"/>
      <c r="B88" s="73"/>
      <c r="C88" s="73"/>
      <c r="D88" s="73"/>
      <c r="E88" s="73"/>
      <c r="F88" s="73"/>
      <c r="G88" s="92"/>
      <c r="K88" s="66"/>
    </row>
    <row r="89" spans="1:11" x14ac:dyDescent="0.25">
      <c r="A89" s="73"/>
      <c r="B89" s="73"/>
      <c r="C89" s="73"/>
      <c r="D89" s="73"/>
      <c r="E89" s="73"/>
      <c r="F89" s="73"/>
      <c r="G89" s="92"/>
      <c r="K89" s="66"/>
    </row>
    <row r="90" spans="1:11" x14ac:dyDescent="0.25">
      <c r="A90" s="73"/>
      <c r="B90" s="73"/>
      <c r="C90" s="73"/>
      <c r="D90" s="73"/>
      <c r="E90" s="73"/>
      <c r="F90" s="73"/>
      <c r="G90" s="92"/>
      <c r="K90" s="66"/>
    </row>
    <row r="91" spans="1:11" x14ac:dyDescent="0.25">
      <c r="A91" s="73"/>
      <c r="B91" s="73"/>
      <c r="C91" s="73"/>
      <c r="D91" s="73"/>
      <c r="E91" s="73"/>
      <c r="F91" s="73"/>
      <c r="G91" s="93"/>
      <c r="K91" s="66"/>
    </row>
    <row r="92" spans="1:11" x14ac:dyDescent="0.25">
      <c r="A92" s="73"/>
      <c r="B92" s="73"/>
      <c r="C92" s="73"/>
      <c r="D92" s="73"/>
      <c r="E92" s="73"/>
      <c r="F92" s="73"/>
      <c r="G92" s="92"/>
      <c r="K92" s="66"/>
    </row>
    <row r="93" spans="1:11" x14ac:dyDescent="0.25">
      <c r="A93" s="73"/>
      <c r="B93" s="73"/>
      <c r="C93" s="73"/>
      <c r="D93" s="73"/>
      <c r="E93" s="73"/>
      <c r="F93" s="73"/>
      <c r="G93" s="63"/>
      <c r="K93" s="66"/>
    </row>
    <row r="94" spans="1:11" x14ac:dyDescent="0.25">
      <c r="A94" s="73"/>
      <c r="B94" s="73"/>
      <c r="C94" s="73"/>
      <c r="D94" s="73"/>
      <c r="E94" s="73"/>
      <c r="F94" s="73"/>
      <c r="G94" s="63"/>
      <c r="K94" s="66"/>
    </row>
    <row r="95" spans="1:11" x14ac:dyDescent="0.25">
      <c r="A95" s="73"/>
      <c r="B95" s="73"/>
      <c r="C95" s="73"/>
      <c r="D95" s="73"/>
      <c r="E95" s="73"/>
      <c r="F95" s="73"/>
      <c r="G95" s="67"/>
      <c r="K95" s="66"/>
    </row>
    <row r="96" spans="1:11" x14ac:dyDescent="0.25">
      <c r="A96" s="73"/>
      <c r="B96" s="73"/>
      <c r="C96" s="73"/>
      <c r="D96" s="73"/>
      <c r="E96" s="73"/>
      <c r="F96" s="73"/>
      <c r="G96" s="67"/>
      <c r="K96" s="66"/>
    </row>
    <row r="97" spans="1:11" x14ac:dyDescent="0.25">
      <c r="A97" s="73"/>
      <c r="B97" s="73"/>
      <c r="C97" s="73"/>
      <c r="D97" s="73"/>
      <c r="E97" s="73"/>
      <c r="F97" s="73"/>
      <c r="G97" s="60"/>
      <c r="K97" s="66"/>
    </row>
    <row r="98" spans="1:11" x14ac:dyDescent="0.25">
      <c r="A98" s="73"/>
      <c r="B98" s="73"/>
      <c r="C98" s="73"/>
      <c r="D98" s="73"/>
      <c r="E98" s="73"/>
      <c r="F98" s="73"/>
      <c r="G98" s="60"/>
      <c r="K98" s="66"/>
    </row>
    <row r="99" spans="1:11" x14ac:dyDescent="0.25">
      <c r="A99" s="73"/>
      <c r="B99" s="73"/>
      <c r="C99" s="73"/>
      <c r="D99" s="73"/>
      <c r="E99" s="73"/>
      <c r="F99" s="73"/>
      <c r="G99" s="63"/>
    </row>
    <row r="100" spans="1:11" x14ac:dyDescent="0.25">
      <c r="A100" s="73"/>
      <c r="B100" s="73"/>
      <c r="C100" s="73"/>
      <c r="D100" s="73"/>
      <c r="E100" s="73"/>
      <c r="F100" s="73"/>
      <c r="G100" s="63"/>
      <c r="K100" s="66"/>
    </row>
    <row r="101" spans="1:11" x14ac:dyDescent="0.25">
      <c r="A101" s="73"/>
      <c r="B101" s="73"/>
      <c r="C101" s="73"/>
      <c r="D101" s="73"/>
      <c r="E101" s="73"/>
      <c r="F101" s="73"/>
      <c r="G101" s="63"/>
    </row>
    <row r="102" spans="1:11" x14ac:dyDescent="0.25">
      <c r="A102" s="73"/>
      <c r="B102" s="73"/>
      <c r="C102" s="73"/>
      <c r="D102" s="73"/>
      <c r="E102" s="73"/>
      <c r="F102" s="73"/>
      <c r="G102" s="63"/>
    </row>
    <row r="103" spans="1:11" x14ac:dyDescent="0.25">
      <c r="A103" s="73"/>
      <c r="B103" s="73"/>
      <c r="C103" s="73"/>
      <c r="D103" s="73"/>
      <c r="E103" s="73"/>
      <c r="F103" s="73"/>
      <c r="G103" s="63"/>
    </row>
    <row r="104" spans="1:11" x14ac:dyDescent="0.25">
      <c r="A104" s="73"/>
      <c r="B104" s="73"/>
      <c r="C104" s="73"/>
      <c r="D104" s="73"/>
      <c r="E104" s="73"/>
      <c r="F104" s="73"/>
      <c r="G104" s="63"/>
    </row>
    <row r="105" spans="1:11" x14ac:dyDescent="0.25">
      <c r="A105" s="91"/>
      <c r="B105" s="91"/>
      <c r="C105" s="73"/>
      <c r="D105" s="73"/>
      <c r="E105" s="73"/>
      <c r="F105" s="73"/>
      <c r="G105" s="92"/>
    </row>
    <row r="106" spans="1:11" x14ac:dyDescent="0.25">
      <c r="A106" s="73"/>
      <c r="B106" s="73"/>
      <c r="C106" s="73"/>
      <c r="D106" s="73"/>
      <c r="E106" s="73"/>
      <c r="F106" s="73"/>
      <c r="G106" s="63"/>
    </row>
    <row r="107" spans="1:11" x14ac:dyDescent="0.25">
      <c r="A107" s="91"/>
      <c r="B107" s="91"/>
      <c r="C107" s="73"/>
      <c r="D107" s="73"/>
      <c r="E107" s="73"/>
      <c r="F107" s="73"/>
      <c r="G107" s="63"/>
    </row>
    <row r="108" spans="1:11" x14ac:dyDescent="0.25">
      <c r="A108" s="73"/>
      <c r="B108" s="73"/>
      <c r="C108" s="73"/>
      <c r="D108" s="73"/>
      <c r="E108" s="73"/>
      <c r="F108" s="73"/>
      <c r="G108" s="63"/>
    </row>
    <row r="109" spans="1:11" x14ac:dyDescent="0.25">
      <c r="A109" s="91"/>
      <c r="B109" s="91"/>
      <c r="C109" s="73"/>
      <c r="D109" s="73"/>
      <c r="E109" s="73"/>
      <c r="F109" s="73"/>
      <c r="G109" s="90"/>
    </row>
    <row r="110" spans="1:11" x14ac:dyDescent="0.25">
      <c r="A110" s="73"/>
      <c r="B110" s="73"/>
      <c r="C110" s="73"/>
      <c r="D110" s="73"/>
      <c r="E110" s="73"/>
      <c r="F110" s="73"/>
      <c r="G110" s="63"/>
    </row>
    <row r="111" spans="1:11" x14ac:dyDescent="0.25">
      <c r="A111" s="73"/>
      <c r="B111" s="73"/>
      <c r="C111" s="73"/>
      <c r="D111" s="73"/>
      <c r="E111" s="73"/>
      <c r="F111" s="73"/>
      <c r="G111" s="63"/>
    </row>
    <row r="112" spans="1:11" x14ac:dyDescent="0.25">
      <c r="A112" s="73"/>
      <c r="B112" s="73"/>
      <c r="C112" s="73"/>
      <c r="D112" s="73"/>
      <c r="E112" s="73"/>
      <c r="F112" s="73"/>
      <c r="G112" s="63"/>
    </row>
    <row r="113" spans="1:7" x14ac:dyDescent="0.25">
      <c r="A113" s="73"/>
      <c r="B113" s="73"/>
      <c r="C113" s="73"/>
      <c r="D113" s="73"/>
      <c r="E113" s="73"/>
      <c r="F113" s="73"/>
      <c r="G113" s="63"/>
    </row>
    <row r="114" spans="1:7" x14ac:dyDescent="0.25">
      <c r="A114" s="73"/>
      <c r="B114" s="73"/>
      <c r="C114" s="73"/>
      <c r="D114" s="73"/>
      <c r="E114" s="73"/>
      <c r="F114" s="73"/>
      <c r="G114" s="63"/>
    </row>
    <row r="115" spans="1:7" x14ac:dyDescent="0.25">
      <c r="A115" s="73"/>
      <c r="B115" s="73"/>
      <c r="C115" s="73"/>
      <c r="D115" s="73"/>
      <c r="E115" s="73"/>
      <c r="F115" s="73"/>
      <c r="G115" s="63"/>
    </row>
    <row r="116" spans="1:7" x14ac:dyDescent="0.25">
      <c r="A116" s="73"/>
      <c r="B116" s="73"/>
      <c r="C116" s="73"/>
      <c r="D116" s="73"/>
      <c r="E116" s="73"/>
      <c r="F116" s="73"/>
      <c r="G116" s="63"/>
    </row>
    <row r="117" spans="1:7" x14ac:dyDescent="0.25">
      <c r="A117" s="73"/>
      <c r="B117" s="73"/>
      <c r="C117" s="73"/>
      <c r="D117" s="73"/>
      <c r="E117" s="73"/>
      <c r="F117" s="73"/>
      <c r="G117" s="63"/>
    </row>
    <row r="118" spans="1:7" x14ac:dyDescent="0.25">
      <c r="A118" s="73"/>
      <c r="B118" s="73"/>
      <c r="C118" s="73"/>
      <c r="D118" s="73"/>
      <c r="E118" s="73"/>
      <c r="F118" s="73"/>
      <c r="G118" s="63"/>
    </row>
    <row r="119" spans="1:7" x14ac:dyDescent="0.25">
      <c r="A119" s="73"/>
      <c r="B119" s="73"/>
      <c r="C119" s="73"/>
      <c r="D119" s="73"/>
      <c r="E119" s="73"/>
      <c r="F119" s="73"/>
      <c r="G119" s="63"/>
    </row>
    <row r="120" spans="1:7" x14ac:dyDescent="0.25">
      <c r="A120" s="73"/>
      <c r="B120" s="73"/>
      <c r="C120" s="73"/>
      <c r="D120" s="73"/>
      <c r="E120" s="73"/>
      <c r="F120" s="73"/>
      <c r="G120" s="63"/>
    </row>
    <row r="121" spans="1:7" x14ac:dyDescent="0.25">
      <c r="A121" s="73"/>
      <c r="B121" s="73"/>
      <c r="C121" s="73"/>
      <c r="D121" s="73"/>
      <c r="E121" s="73"/>
      <c r="F121" s="73"/>
      <c r="G121" s="63"/>
    </row>
    <row r="122" spans="1:7" x14ac:dyDescent="0.25">
      <c r="A122" s="73"/>
      <c r="B122" s="73"/>
      <c r="C122" s="73"/>
      <c r="D122" s="73"/>
      <c r="E122" s="73"/>
      <c r="F122" s="73"/>
      <c r="G122" s="63"/>
    </row>
    <row r="123" spans="1:7" x14ac:dyDescent="0.25">
      <c r="A123" s="73"/>
      <c r="B123" s="73"/>
      <c r="C123" s="73"/>
      <c r="D123" s="73"/>
      <c r="E123" s="73"/>
      <c r="F123" s="73"/>
      <c r="G123" s="63"/>
    </row>
    <row r="124" spans="1:7" x14ac:dyDescent="0.25">
      <c r="A124" s="73"/>
      <c r="B124" s="73"/>
      <c r="C124" s="73"/>
      <c r="D124" s="73"/>
      <c r="E124" s="73"/>
      <c r="F124" s="73"/>
      <c r="G124" s="63"/>
    </row>
    <row r="125" spans="1:7" x14ac:dyDescent="0.25">
      <c r="A125" s="73"/>
      <c r="B125" s="73"/>
      <c r="C125" s="73"/>
      <c r="D125" s="73"/>
      <c r="E125" s="73"/>
      <c r="F125" s="73"/>
      <c r="G125" s="63"/>
    </row>
    <row r="126" spans="1:7" x14ac:dyDescent="0.25">
      <c r="A126" s="73"/>
      <c r="B126" s="73"/>
      <c r="C126" s="73"/>
      <c r="D126" s="73"/>
      <c r="E126" s="73"/>
      <c r="F126" s="73"/>
      <c r="G126" s="63"/>
    </row>
    <row r="127" spans="1:7" x14ac:dyDescent="0.25">
      <c r="A127" s="73"/>
      <c r="B127" s="73"/>
      <c r="C127" s="73"/>
      <c r="D127" s="73"/>
      <c r="E127" s="73"/>
      <c r="F127" s="73"/>
      <c r="G127" s="63"/>
    </row>
    <row r="128" spans="1:7" x14ac:dyDescent="0.25">
      <c r="A128" s="73"/>
      <c r="B128" s="73"/>
      <c r="C128" s="73"/>
      <c r="D128" s="73"/>
      <c r="E128" s="73"/>
      <c r="F128" s="73"/>
      <c r="G128" s="63"/>
    </row>
    <row r="129" spans="1:7" x14ac:dyDescent="0.25">
      <c r="A129" s="73"/>
      <c r="B129" s="73"/>
      <c r="C129" s="73"/>
      <c r="D129" s="73"/>
      <c r="E129" s="73"/>
      <c r="F129" s="73"/>
      <c r="G129" s="63"/>
    </row>
    <row r="130" spans="1:7" x14ac:dyDescent="0.25">
      <c r="A130" s="73"/>
      <c r="B130" s="73"/>
      <c r="C130" s="73"/>
      <c r="D130" s="73"/>
      <c r="E130" s="73"/>
      <c r="F130" s="73"/>
      <c r="G130" s="63"/>
    </row>
    <row r="131" spans="1:7" x14ac:dyDescent="0.25">
      <c r="A131" s="73"/>
      <c r="B131" s="73"/>
      <c r="C131" s="73"/>
      <c r="D131" s="73"/>
      <c r="E131" s="73"/>
      <c r="F131" s="73"/>
      <c r="G131" s="63"/>
    </row>
    <row r="132" spans="1:7" x14ac:dyDescent="0.25">
      <c r="A132" s="73"/>
      <c r="B132" s="73"/>
      <c r="C132" s="73"/>
      <c r="D132" s="73"/>
      <c r="E132" s="73"/>
      <c r="F132" s="73"/>
      <c r="G132" s="63"/>
    </row>
    <row r="133" spans="1:7" x14ac:dyDescent="0.25">
      <c r="A133" s="73"/>
      <c r="B133" s="73"/>
      <c r="C133" s="73"/>
      <c r="D133" s="73"/>
      <c r="E133" s="73"/>
      <c r="F133" s="73"/>
      <c r="G133" s="63"/>
    </row>
    <row r="134" spans="1:7" x14ac:dyDescent="0.25">
      <c r="A134" s="73"/>
      <c r="B134" s="73"/>
      <c r="C134" s="73"/>
      <c r="D134" s="73"/>
      <c r="E134" s="73"/>
      <c r="F134" s="73"/>
      <c r="G134" s="63"/>
    </row>
    <row r="135" spans="1:7" x14ac:dyDescent="0.25">
      <c r="A135" s="73"/>
      <c r="B135" s="73"/>
      <c r="C135" s="73"/>
      <c r="D135" s="73"/>
      <c r="E135" s="73"/>
      <c r="F135" s="73"/>
      <c r="G135" s="63"/>
    </row>
    <row r="136" spans="1:7" x14ac:dyDescent="0.25">
      <c r="A136" s="73"/>
      <c r="B136" s="73"/>
      <c r="C136" s="73"/>
      <c r="D136" s="73"/>
      <c r="E136" s="73"/>
      <c r="F136" s="73"/>
      <c r="G136" s="63"/>
    </row>
    <row r="137" spans="1:7" x14ac:dyDescent="0.25">
      <c r="A137" s="73"/>
      <c r="B137" s="73"/>
      <c r="C137" s="73"/>
      <c r="D137" s="73"/>
      <c r="E137" s="73"/>
      <c r="F137" s="73"/>
      <c r="G137" s="63"/>
    </row>
    <row r="138" spans="1:7" x14ac:dyDescent="0.25">
      <c r="A138" s="73"/>
      <c r="B138" s="73"/>
      <c r="C138" s="73"/>
      <c r="D138" s="73"/>
      <c r="E138" s="73"/>
      <c r="F138" s="73"/>
      <c r="G138" s="63"/>
    </row>
    <row r="139" spans="1:7" x14ac:dyDescent="0.25">
      <c r="A139" s="73"/>
      <c r="B139" s="73"/>
      <c r="C139" s="73"/>
      <c r="D139" s="73"/>
      <c r="E139" s="73"/>
      <c r="F139" s="73"/>
      <c r="G139" s="63"/>
    </row>
    <row r="140" spans="1:7" x14ac:dyDescent="0.25">
      <c r="A140" s="73"/>
      <c r="B140" s="73"/>
      <c r="C140" s="73"/>
      <c r="D140" s="73"/>
      <c r="E140" s="73"/>
      <c r="F140" s="73"/>
      <c r="G140" s="63"/>
    </row>
    <row r="141" spans="1:7" x14ac:dyDescent="0.25">
      <c r="A141" s="73"/>
      <c r="B141" s="73"/>
      <c r="C141" s="73"/>
      <c r="D141" s="73"/>
      <c r="E141" s="73"/>
      <c r="F141" s="73"/>
      <c r="G141" s="63"/>
    </row>
    <row r="142" spans="1:7" x14ac:dyDescent="0.25">
      <c r="A142" s="73"/>
      <c r="B142" s="73"/>
      <c r="C142" s="73"/>
      <c r="D142" s="73"/>
      <c r="E142" s="73"/>
      <c r="F142" s="73"/>
      <c r="G142" s="63"/>
    </row>
    <row r="143" spans="1:7" x14ac:dyDescent="0.25">
      <c r="A143" s="73"/>
      <c r="B143" s="73"/>
      <c r="C143" s="73"/>
      <c r="D143" s="73"/>
      <c r="E143" s="73"/>
      <c r="F143" s="73"/>
      <c r="G143" s="63"/>
    </row>
    <row r="144" spans="1:7" x14ac:dyDescent="0.25">
      <c r="A144" s="73"/>
      <c r="B144" s="73"/>
      <c r="C144" s="73"/>
      <c r="D144" s="73"/>
      <c r="E144" s="73"/>
      <c r="F144" s="73"/>
      <c r="G144" s="63"/>
    </row>
    <row r="145" spans="1:7" x14ac:dyDescent="0.25">
      <c r="A145" s="73"/>
      <c r="B145" s="73"/>
      <c r="C145" s="73"/>
      <c r="D145" s="73"/>
      <c r="E145" s="73"/>
      <c r="F145" s="73"/>
      <c r="G145" s="63"/>
    </row>
    <row r="146" spans="1:7" x14ac:dyDescent="0.25">
      <c r="A146" s="73"/>
      <c r="B146" s="73"/>
      <c r="C146" s="73"/>
      <c r="D146" s="73"/>
      <c r="E146" s="73"/>
      <c r="F146" s="73"/>
      <c r="G146" s="63"/>
    </row>
    <row r="147" spans="1:7" x14ac:dyDescent="0.25">
      <c r="A147" s="73"/>
      <c r="B147" s="73"/>
      <c r="C147" s="73"/>
      <c r="D147" s="73"/>
      <c r="E147" s="73"/>
      <c r="F147" s="73"/>
      <c r="G147" s="63"/>
    </row>
    <row r="148" spans="1:7" x14ac:dyDescent="0.25">
      <c r="A148" s="73"/>
      <c r="B148" s="73"/>
      <c r="C148" s="73"/>
      <c r="D148" s="73"/>
      <c r="E148" s="73"/>
      <c r="F148" s="73"/>
      <c r="G148" s="63"/>
    </row>
    <row r="149" spans="1:7" x14ac:dyDescent="0.25">
      <c r="A149" s="73"/>
      <c r="B149" s="73"/>
      <c r="C149" s="73"/>
      <c r="D149" s="73"/>
      <c r="E149" s="73"/>
      <c r="F149" s="73"/>
      <c r="G149" s="63"/>
    </row>
    <row r="150" spans="1:7" x14ac:dyDescent="0.25">
      <c r="A150" s="73"/>
      <c r="B150" s="73"/>
      <c r="C150" s="73"/>
      <c r="D150" s="73"/>
      <c r="E150" s="73"/>
      <c r="F150" s="73"/>
      <c r="G150" s="63"/>
    </row>
    <row r="151" spans="1:7" x14ac:dyDescent="0.25">
      <c r="A151" s="73"/>
      <c r="B151" s="73"/>
      <c r="C151" s="73"/>
      <c r="D151" s="73"/>
      <c r="E151" s="73"/>
      <c r="F151" s="73"/>
      <c r="G151" s="63"/>
    </row>
    <row r="152" spans="1:7" x14ac:dyDescent="0.25">
      <c r="A152" s="73"/>
      <c r="B152" s="73"/>
      <c r="C152" s="73"/>
      <c r="D152" s="73"/>
      <c r="E152" s="73"/>
      <c r="F152" s="73"/>
      <c r="G152" s="63"/>
    </row>
    <row r="153" spans="1:7" x14ac:dyDescent="0.25">
      <c r="A153" s="73"/>
      <c r="B153" s="73"/>
      <c r="C153" s="73"/>
      <c r="D153" s="73"/>
      <c r="E153" s="73"/>
      <c r="F153" s="73"/>
      <c r="G153" s="63"/>
    </row>
    <row r="154" spans="1:7" x14ac:dyDescent="0.25">
      <c r="A154" s="73"/>
      <c r="B154" s="73"/>
      <c r="C154" s="73"/>
      <c r="D154" s="73"/>
      <c r="E154" s="73"/>
      <c r="F154" s="73"/>
      <c r="G154" s="63"/>
    </row>
    <row r="155" spans="1:7" x14ac:dyDescent="0.25">
      <c r="A155" s="73"/>
      <c r="B155" s="73"/>
      <c r="C155" s="73"/>
      <c r="D155" s="73"/>
      <c r="E155" s="73"/>
      <c r="F155" s="73"/>
      <c r="G155" s="63"/>
    </row>
    <row r="156" spans="1:7" x14ac:dyDescent="0.25">
      <c r="A156" s="73"/>
      <c r="B156" s="73"/>
      <c r="C156" s="73"/>
      <c r="D156" s="73"/>
      <c r="E156" s="73"/>
      <c r="F156" s="73"/>
      <c r="G156" s="63"/>
    </row>
    <row r="157" spans="1:7" x14ac:dyDescent="0.25">
      <c r="A157" s="73"/>
      <c r="B157" s="73"/>
      <c r="C157" s="73"/>
      <c r="D157" s="73"/>
      <c r="E157" s="73"/>
      <c r="F157" s="73"/>
      <c r="G157" s="63"/>
    </row>
    <row r="158" spans="1:7" x14ac:dyDescent="0.25">
      <c r="A158" s="73"/>
      <c r="B158" s="73"/>
      <c r="C158" s="73"/>
      <c r="D158" s="73"/>
      <c r="E158" s="73"/>
      <c r="F158" s="73"/>
      <c r="G158" s="63"/>
    </row>
    <row r="159" spans="1:7" x14ac:dyDescent="0.25">
      <c r="A159" s="73"/>
      <c r="B159" s="73"/>
      <c r="C159" s="73"/>
      <c r="D159" s="73"/>
      <c r="E159" s="73"/>
      <c r="F159" s="73"/>
      <c r="G159" s="63"/>
    </row>
    <row r="160" spans="1:7" x14ac:dyDescent="0.25">
      <c r="A160" s="73"/>
      <c r="B160" s="73"/>
      <c r="C160" s="73"/>
      <c r="D160" s="73"/>
      <c r="E160" s="73"/>
      <c r="F160" s="73"/>
      <c r="G160" s="63"/>
    </row>
    <row r="161" spans="1:7" x14ac:dyDescent="0.25">
      <c r="A161" s="73"/>
      <c r="B161" s="73"/>
      <c r="C161" s="73"/>
      <c r="D161" s="73"/>
      <c r="E161" s="73"/>
      <c r="F161" s="73"/>
      <c r="G161" s="63"/>
    </row>
    <row r="162" spans="1:7" x14ac:dyDescent="0.25">
      <c r="A162" s="73"/>
      <c r="B162" s="73"/>
      <c r="C162" s="73"/>
      <c r="D162" s="73"/>
      <c r="E162" s="73"/>
      <c r="F162" s="73"/>
      <c r="G162" s="63"/>
    </row>
    <row r="163" spans="1:7" x14ac:dyDescent="0.25">
      <c r="A163" s="73"/>
      <c r="B163" s="73"/>
      <c r="C163" s="73"/>
      <c r="D163" s="73"/>
      <c r="E163" s="73"/>
      <c r="F163" s="73"/>
      <c r="G163" s="63"/>
    </row>
    <row r="164" spans="1:7" x14ac:dyDescent="0.25">
      <c r="A164" s="73"/>
      <c r="B164" s="73"/>
      <c r="C164" s="73"/>
      <c r="D164" s="73"/>
      <c r="E164" s="73"/>
      <c r="F164" s="73"/>
      <c r="G164" s="63"/>
    </row>
    <row r="165" spans="1:7" x14ac:dyDescent="0.25">
      <c r="A165" s="73"/>
      <c r="B165" s="73"/>
      <c r="C165" s="73"/>
      <c r="D165" s="73"/>
      <c r="E165" s="73"/>
      <c r="F165" s="73"/>
      <c r="G165" s="63"/>
    </row>
    <row r="166" spans="1:7" x14ac:dyDescent="0.25">
      <c r="A166" s="73"/>
      <c r="B166" s="73"/>
      <c r="C166" s="73"/>
      <c r="D166" s="73"/>
      <c r="E166" s="73"/>
      <c r="F166" s="73"/>
      <c r="G166" s="63"/>
    </row>
    <row r="167" spans="1:7" x14ac:dyDescent="0.25">
      <c r="A167" s="73"/>
      <c r="B167" s="73"/>
      <c r="C167" s="73"/>
      <c r="D167" s="73"/>
      <c r="E167" s="73"/>
      <c r="F167" s="73"/>
      <c r="G167" s="63"/>
    </row>
    <row r="168" spans="1:7" x14ac:dyDescent="0.25">
      <c r="A168" s="73"/>
      <c r="B168" s="73"/>
      <c r="C168" s="73"/>
      <c r="D168" s="73"/>
      <c r="E168" s="73"/>
      <c r="F168" s="73"/>
      <c r="G168" s="63"/>
    </row>
    <row r="169" spans="1:7" x14ac:dyDescent="0.25">
      <c r="A169" s="73"/>
      <c r="B169" s="73"/>
      <c r="C169" s="73"/>
      <c r="D169" s="73"/>
      <c r="E169" s="73"/>
      <c r="F169" s="73"/>
      <c r="G169" s="63"/>
    </row>
    <row r="170" spans="1:7" x14ac:dyDescent="0.25">
      <c r="A170" s="73"/>
      <c r="B170" s="73"/>
      <c r="C170" s="73"/>
      <c r="D170" s="73"/>
      <c r="E170" s="73"/>
      <c r="F170" s="73"/>
      <c r="G170" s="63"/>
    </row>
    <row r="171" spans="1:7" x14ac:dyDescent="0.25">
      <c r="A171" s="73"/>
      <c r="B171" s="73"/>
      <c r="C171" s="73"/>
      <c r="D171" s="73"/>
      <c r="E171" s="73"/>
      <c r="F171" s="73"/>
      <c r="G171" s="63"/>
    </row>
    <row r="172" spans="1:7" x14ac:dyDescent="0.25">
      <c r="A172" s="73"/>
      <c r="B172" s="73"/>
      <c r="C172" s="73"/>
      <c r="D172" s="73"/>
      <c r="E172" s="73"/>
      <c r="F172" s="73"/>
      <c r="G172" s="63"/>
    </row>
    <row r="173" spans="1:7" x14ac:dyDescent="0.25">
      <c r="A173" s="73"/>
      <c r="B173" s="73"/>
      <c r="C173" s="73"/>
      <c r="D173" s="73"/>
      <c r="E173" s="73"/>
      <c r="F173" s="73"/>
      <c r="G173" s="63"/>
    </row>
    <row r="174" spans="1:7" x14ac:dyDescent="0.25">
      <c r="A174" s="73"/>
      <c r="B174" s="73"/>
      <c r="C174" s="73"/>
      <c r="D174" s="73"/>
      <c r="E174" s="73"/>
      <c r="F174" s="73"/>
      <c r="G174" s="63"/>
    </row>
    <row r="175" spans="1:7" x14ac:dyDescent="0.25">
      <c r="A175" s="73"/>
      <c r="B175" s="73"/>
      <c r="C175" s="73"/>
      <c r="D175" s="73"/>
      <c r="E175" s="73"/>
      <c r="F175" s="73"/>
      <c r="G175" s="63"/>
    </row>
    <row r="176" spans="1:7" x14ac:dyDescent="0.25">
      <c r="A176" s="73"/>
      <c r="B176" s="73"/>
      <c r="C176" s="73"/>
      <c r="D176" s="73"/>
      <c r="E176" s="73"/>
      <c r="F176" s="73"/>
      <c r="G176" s="63"/>
    </row>
    <row r="177" spans="1:7" x14ac:dyDescent="0.25">
      <c r="A177" s="73"/>
      <c r="B177" s="73"/>
      <c r="C177" s="73"/>
      <c r="D177" s="73"/>
      <c r="E177" s="73"/>
      <c r="F177" s="73"/>
      <c r="G177" s="63"/>
    </row>
    <row r="178" spans="1:7" x14ac:dyDescent="0.25">
      <c r="A178" s="73"/>
      <c r="B178" s="73"/>
      <c r="C178" s="73"/>
      <c r="D178" s="73"/>
      <c r="E178" s="73"/>
      <c r="F178" s="73"/>
      <c r="G178" s="63"/>
    </row>
    <row r="179" spans="1:7" x14ac:dyDescent="0.25">
      <c r="A179" s="73"/>
      <c r="B179" s="73"/>
      <c r="C179" s="73"/>
      <c r="D179" s="73"/>
      <c r="E179" s="73"/>
      <c r="F179" s="73"/>
      <c r="G179" s="63"/>
    </row>
    <row r="180" spans="1:7" x14ac:dyDescent="0.25">
      <c r="A180" s="73"/>
      <c r="B180" s="73"/>
      <c r="C180" s="73"/>
      <c r="D180" s="73"/>
      <c r="E180" s="73"/>
      <c r="F180" s="73"/>
      <c r="G180" s="63"/>
    </row>
    <row r="181" spans="1:7" x14ac:dyDescent="0.25">
      <c r="A181" s="73"/>
      <c r="B181" s="73"/>
      <c r="C181" s="73"/>
      <c r="D181" s="73"/>
      <c r="E181" s="73"/>
      <c r="F181" s="73"/>
      <c r="G181" s="63"/>
    </row>
    <row r="182" spans="1:7" x14ac:dyDescent="0.25">
      <c r="A182" s="73"/>
      <c r="B182" s="73"/>
      <c r="C182" s="73"/>
      <c r="D182" s="73"/>
      <c r="E182" s="73"/>
      <c r="F182" s="73"/>
      <c r="G182" s="63"/>
    </row>
    <row r="183" spans="1:7" x14ac:dyDescent="0.25">
      <c r="A183" s="73"/>
      <c r="B183" s="73"/>
      <c r="C183" s="73"/>
      <c r="D183" s="73"/>
      <c r="E183" s="73"/>
      <c r="F183" s="73"/>
      <c r="G183" s="63"/>
    </row>
    <row r="184" spans="1:7" x14ac:dyDescent="0.25">
      <c r="A184" s="73"/>
      <c r="B184" s="73"/>
      <c r="C184" s="73"/>
      <c r="D184" s="73"/>
      <c r="E184" s="73"/>
      <c r="F184" s="73"/>
      <c r="G184" s="63"/>
    </row>
    <row r="185" spans="1:7" x14ac:dyDescent="0.25">
      <c r="A185" s="73"/>
      <c r="B185" s="73"/>
      <c r="C185" s="73"/>
      <c r="D185" s="73"/>
      <c r="E185" s="73"/>
      <c r="F185" s="73"/>
      <c r="G185" s="63"/>
    </row>
    <row r="186" spans="1:7" x14ac:dyDescent="0.25">
      <c r="A186" s="73"/>
      <c r="B186" s="73"/>
      <c r="C186" s="73"/>
      <c r="D186" s="73"/>
      <c r="E186" s="73"/>
      <c r="F186" s="73"/>
      <c r="G186" s="63"/>
    </row>
    <row r="187" spans="1:7" x14ac:dyDescent="0.25">
      <c r="A187" s="73"/>
      <c r="B187" s="73"/>
      <c r="C187" s="73"/>
      <c r="D187" s="73"/>
      <c r="E187" s="73"/>
      <c r="F187" s="73"/>
      <c r="G187" s="63"/>
    </row>
    <row r="188" spans="1:7" x14ac:dyDescent="0.25">
      <c r="A188" s="73"/>
      <c r="B188" s="73"/>
      <c r="C188" s="73"/>
      <c r="D188" s="73"/>
      <c r="E188" s="73"/>
      <c r="F188" s="73"/>
      <c r="G188" s="63"/>
    </row>
    <row r="189" spans="1:7" x14ac:dyDescent="0.25">
      <c r="A189" s="73"/>
      <c r="B189" s="73"/>
      <c r="C189" s="73"/>
      <c r="D189" s="73"/>
      <c r="E189" s="73"/>
      <c r="F189" s="73"/>
      <c r="G189" s="63"/>
    </row>
    <row r="190" spans="1:7" x14ac:dyDescent="0.25">
      <c r="A190" s="73"/>
      <c r="B190" s="73"/>
      <c r="C190" s="73"/>
      <c r="D190" s="73"/>
      <c r="E190" s="73"/>
      <c r="F190" s="73"/>
      <c r="G190" s="63"/>
    </row>
    <row r="191" spans="1:7" x14ac:dyDescent="0.25">
      <c r="A191" s="73"/>
      <c r="B191" s="73"/>
      <c r="C191" s="73"/>
      <c r="D191" s="73"/>
      <c r="E191" s="73"/>
      <c r="F191" s="73"/>
      <c r="G191" s="63"/>
    </row>
    <row r="192" spans="1:7" x14ac:dyDescent="0.25">
      <c r="A192" s="73"/>
      <c r="B192" s="73"/>
      <c r="C192" s="73"/>
      <c r="D192" s="73"/>
      <c r="E192" s="73"/>
      <c r="F192" s="73"/>
      <c r="G192" s="63"/>
    </row>
    <row r="193" spans="1:7" x14ac:dyDescent="0.25">
      <c r="A193" s="73"/>
      <c r="B193" s="73"/>
      <c r="C193" s="73"/>
      <c r="D193" s="73"/>
      <c r="E193" s="73"/>
      <c r="F193" s="73"/>
      <c r="G193" s="63"/>
    </row>
    <row r="194" spans="1:7" x14ac:dyDescent="0.25">
      <c r="A194" s="73"/>
      <c r="B194" s="73"/>
      <c r="C194" s="73"/>
      <c r="D194" s="73"/>
      <c r="E194" s="73"/>
      <c r="F194" s="73"/>
      <c r="G194" s="63"/>
    </row>
    <row r="195" spans="1:7" x14ac:dyDescent="0.25">
      <c r="A195" s="73"/>
      <c r="B195" s="73"/>
      <c r="C195" s="73"/>
      <c r="D195" s="73"/>
      <c r="E195" s="73"/>
      <c r="F195" s="73"/>
      <c r="G195" s="63"/>
    </row>
    <row r="196" spans="1:7" x14ac:dyDescent="0.25">
      <c r="A196" s="73"/>
      <c r="B196" s="73"/>
      <c r="C196" s="73"/>
      <c r="D196" s="73"/>
      <c r="E196" s="73"/>
      <c r="F196" s="73"/>
      <c r="G196" s="63"/>
    </row>
    <row r="197" spans="1:7" x14ac:dyDescent="0.25">
      <c r="A197" s="73"/>
      <c r="B197" s="73"/>
      <c r="C197" s="73"/>
      <c r="D197" s="73"/>
      <c r="E197" s="73"/>
      <c r="F197" s="73"/>
      <c r="G197" s="63"/>
    </row>
    <row r="198" spans="1:7" x14ac:dyDescent="0.25">
      <c r="A198" s="73"/>
      <c r="B198" s="73"/>
      <c r="C198" s="73"/>
      <c r="D198" s="73"/>
      <c r="E198" s="73"/>
      <c r="F198" s="73"/>
      <c r="G198" s="63"/>
    </row>
    <row r="199" spans="1:7" x14ac:dyDescent="0.25">
      <c r="A199" s="73"/>
      <c r="B199" s="73"/>
      <c r="C199" s="73"/>
      <c r="D199" s="73"/>
      <c r="E199" s="73"/>
      <c r="F199" s="73"/>
      <c r="G199" s="63"/>
    </row>
    <row r="200" spans="1:7" x14ac:dyDescent="0.25">
      <c r="A200" s="73"/>
      <c r="B200" s="73"/>
      <c r="C200" s="73"/>
      <c r="D200" s="73"/>
      <c r="E200" s="73"/>
      <c r="F200" s="73"/>
      <c r="G200" s="63"/>
    </row>
    <row r="201" spans="1:7" x14ac:dyDescent="0.25">
      <c r="A201" s="73"/>
      <c r="B201" s="73"/>
      <c r="C201" s="73"/>
      <c r="D201" s="73"/>
      <c r="E201" s="73"/>
      <c r="F201" s="73"/>
      <c r="G201" s="63"/>
    </row>
    <row r="202" spans="1:7" x14ac:dyDescent="0.25">
      <c r="A202" s="73"/>
      <c r="B202" s="73"/>
      <c r="C202" s="73"/>
      <c r="D202" s="73"/>
      <c r="E202" s="73"/>
      <c r="F202" s="73"/>
      <c r="G202" s="63"/>
    </row>
    <row r="203" spans="1:7" x14ac:dyDescent="0.25">
      <c r="A203" s="73"/>
      <c r="B203" s="73"/>
      <c r="C203" s="73"/>
      <c r="D203" s="73"/>
      <c r="E203" s="73"/>
      <c r="F203" s="73"/>
      <c r="G203" s="63"/>
    </row>
    <row r="204" spans="1:7" x14ac:dyDescent="0.25">
      <c r="A204" s="73"/>
      <c r="B204" s="73"/>
      <c r="C204" s="73"/>
      <c r="D204" s="73"/>
      <c r="E204" s="73"/>
      <c r="F204" s="73"/>
      <c r="G204" s="63"/>
    </row>
    <row r="205" spans="1:7" x14ac:dyDescent="0.25">
      <c r="A205" s="73"/>
      <c r="B205" s="73"/>
      <c r="C205" s="73"/>
      <c r="D205" s="73"/>
      <c r="E205" s="73"/>
      <c r="F205" s="73"/>
      <c r="G205" s="63"/>
    </row>
    <row r="206" spans="1:7" x14ac:dyDescent="0.25">
      <c r="A206" s="73"/>
      <c r="B206" s="73"/>
      <c r="C206" s="73"/>
      <c r="D206" s="73"/>
      <c r="E206" s="73"/>
      <c r="F206" s="73"/>
      <c r="G206" s="63"/>
    </row>
    <row r="207" spans="1:7" x14ac:dyDescent="0.25">
      <c r="A207" s="73"/>
      <c r="B207" s="73"/>
      <c r="C207" s="73"/>
      <c r="D207" s="73"/>
      <c r="E207" s="73"/>
      <c r="F207" s="73"/>
      <c r="G207" s="63"/>
    </row>
    <row r="208" spans="1:7" x14ac:dyDescent="0.25">
      <c r="A208" s="73"/>
      <c r="B208" s="73"/>
      <c r="C208" s="73"/>
      <c r="D208" s="73"/>
      <c r="E208" s="73"/>
      <c r="F208" s="73"/>
      <c r="G208" s="63"/>
    </row>
    <row r="209" spans="1:7" x14ac:dyDescent="0.25">
      <c r="A209" s="73"/>
      <c r="B209" s="73"/>
      <c r="C209" s="73"/>
      <c r="D209" s="73"/>
      <c r="E209" s="73"/>
      <c r="F209" s="73"/>
      <c r="G209" s="63"/>
    </row>
    <row r="210" spans="1:7" x14ac:dyDescent="0.25">
      <c r="A210" s="73"/>
      <c r="B210" s="73"/>
      <c r="C210" s="73"/>
      <c r="D210" s="73"/>
      <c r="E210" s="73"/>
      <c r="F210" s="73"/>
      <c r="G210" s="63"/>
    </row>
    <row r="211" spans="1:7" x14ac:dyDescent="0.25">
      <c r="A211" s="73"/>
      <c r="B211" s="73"/>
      <c r="C211" s="73"/>
      <c r="D211" s="73"/>
      <c r="E211" s="73"/>
      <c r="F211" s="73"/>
      <c r="G211" s="63"/>
    </row>
    <row r="212" spans="1:7" x14ac:dyDescent="0.25">
      <c r="A212" s="73"/>
      <c r="B212" s="73"/>
      <c r="C212" s="73"/>
      <c r="D212" s="73"/>
      <c r="E212" s="73"/>
      <c r="F212" s="73"/>
      <c r="G212" s="63"/>
    </row>
    <row r="213" spans="1:7" x14ac:dyDescent="0.25">
      <c r="A213" s="73"/>
      <c r="B213" s="73"/>
      <c r="C213" s="73"/>
      <c r="D213" s="73"/>
      <c r="E213" s="73"/>
      <c r="F213" s="73"/>
      <c r="G213" s="63"/>
    </row>
    <row r="214" spans="1:7" x14ac:dyDescent="0.25">
      <c r="A214" s="73"/>
      <c r="B214" s="73"/>
      <c r="C214" s="73"/>
      <c r="D214" s="73"/>
      <c r="E214" s="73"/>
      <c r="F214" s="73"/>
      <c r="G214" s="63"/>
    </row>
    <row r="215" spans="1:7" x14ac:dyDescent="0.25">
      <c r="A215" s="73"/>
      <c r="B215" s="73"/>
      <c r="C215" s="73"/>
      <c r="D215" s="73"/>
      <c r="E215" s="73"/>
      <c r="F215" s="73"/>
      <c r="G215" s="63"/>
    </row>
    <row r="216" spans="1:7" x14ac:dyDescent="0.25">
      <c r="A216" s="73"/>
      <c r="B216" s="73"/>
      <c r="C216" s="73"/>
      <c r="D216" s="73"/>
      <c r="E216" s="73"/>
      <c r="F216" s="73"/>
      <c r="G216" s="63"/>
    </row>
    <row r="217" spans="1:7" x14ac:dyDescent="0.25">
      <c r="A217" s="73"/>
      <c r="B217" s="73"/>
      <c r="C217" s="73"/>
      <c r="D217" s="73"/>
      <c r="E217" s="73"/>
      <c r="F217" s="73"/>
      <c r="G217" s="63"/>
    </row>
    <row r="218" spans="1:7" x14ac:dyDescent="0.25">
      <c r="A218" s="73"/>
      <c r="B218" s="73"/>
      <c r="C218" s="73"/>
      <c r="D218" s="73"/>
      <c r="E218" s="73"/>
      <c r="F218" s="73"/>
      <c r="G218" s="63"/>
    </row>
    <row r="219" spans="1:7" x14ac:dyDescent="0.25">
      <c r="A219" s="73"/>
      <c r="B219" s="73"/>
      <c r="C219" s="73"/>
      <c r="D219" s="73"/>
      <c r="E219" s="73"/>
      <c r="F219" s="73"/>
      <c r="G219" s="63"/>
    </row>
    <row r="220" spans="1:7" x14ac:dyDescent="0.25">
      <c r="A220" s="73"/>
      <c r="B220" s="73"/>
      <c r="C220" s="73"/>
      <c r="D220" s="73"/>
      <c r="E220" s="73"/>
      <c r="F220" s="73"/>
      <c r="G220" s="63"/>
    </row>
    <row r="221" spans="1:7" x14ac:dyDescent="0.25">
      <c r="A221" s="73"/>
      <c r="B221" s="73"/>
      <c r="C221" s="73"/>
      <c r="D221" s="73"/>
      <c r="E221" s="73"/>
      <c r="F221" s="73"/>
      <c r="G221" s="63"/>
    </row>
    <row r="222" spans="1:7" x14ac:dyDescent="0.25">
      <c r="A222" s="73"/>
      <c r="B222" s="73"/>
      <c r="C222" s="73"/>
      <c r="D222" s="73"/>
      <c r="E222" s="73"/>
      <c r="F222" s="73"/>
      <c r="G222" s="63"/>
    </row>
    <row r="223" spans="1:7" x14ac:dyDescent="0.25">
      <c r="A223" s="73"/>
      <c r="B223" s="73"/>
      <c r="C223" s="73"/>
      <c r="D223" s="73"/>
      <c r="E223" s="73"/>
      <c r="F223" s="73"/>
      <c r="G223" s="63"/>
    </row>
    <row r="224" spans="1:7" x14ac:dyDescent="0.25">
      <c r="A224" s="73"/>
      <c r="B224" s="73"/>
      <c r="C224" s="73"/>
      <c r="D224" s="73"/>
      <c r="E224" s="73"/>
      <c r="F224" s="73"/>
      <c r="G224" s="63"/>
    </row>
    <row r="225" spans="1:7" x14ac:dyDescent="0.25">
      <c r="A225" s="73"/>
      <c r="B225" s="73"/>
      <c r="C225" s="73"/>
      <c r="D225" s="73"/>
      <c r="E225" s="73"/>
      <c r="F225" s="73"/>
      <c r="G225" s="63"/>
    </row>
    <row r="226" spans="1:7" x14ac:dyDescent="0.25">
      <c r="A226" s="73"/>
      <c r="B226" s="73"/>
      <c r="C226" s="73"/>
      <c r="D226" s="73"/>
      <c r="E226" s="73"/>
      <c r="F226" s="73"/>
      <c r="G226" s="63"/>
    </row>
    <row r="227" spans="1:7" x14ac:dyDescent="0.25">
      <c r="A227" s="73"/>
      <c r="B227" s="73"/>
      <c r="C227" s="73"/>
      <c r="D227" s="73"/>
      <c r="E227" s="73"/>
      <c r="F227" s="73"/>
      <c r="G227" s="63"/>
    </row>
    <row r="228" spans="1:7" x14ac:dyDescent="0.25">
      <c r="A228" s="73"/>
      <c r="B228" s="73"/>
      <c r="C228" s="73"/>
      <c r="D228" s="73"/>
      <c r="E228" s="73"/>
      <c r="F228" s="73"/>
      <c r="G228" s="63"/>
    </row>
    <row r="229" spans="1:7" x14ac:dyDescent="0.25">
      <c r="A229" s="73"/>
      <c r="B229" s="73"/>
      <c r="C229" s="73"/>
      <c r="D229" s="73"/>
      <c r="E229" s="73"/>
      <c r="F229" s="73"/>
      <c r="G229" s="63"/>
    </row>
    <row r="230" spans="1:7" x14ac:dyDescent="0.25">
      <c r="A230" s="73"/>
      <c r="B230" s="73"/>
      <c r="C230" s="73"/>
      <c r="D230" s="73"/>
      <c r="E230" s="73"/>
      <c r="F230" s="73"/>
      <c r="G230" s="63"/>
    </row>
    <row r="231" spans="1:7" x14ac:dyDescent="0.25">
      <c r="A231" s="73"/>
      <c r="B231" s="73"/>
      <c r="C231" s="73"/>
      <c r="D231" s="73"/>
      <c r="E231" s="73"/>
      <c r="F231" s="73"/>
      <c r="G231" s="63"/>
    </row>
    <row r="232" spans="1:7" x14ac:dyDescent="0.25">
      <c r="A232" s="73"/>
      <c r="B232" s="73"/>
      <c r="C232" s="73"/>
      <c r="D232" s="73"/>
      <c r="E232" s="73"/>
      <c r="F232" s="73"/>
      <c r="G232" s="63"/>
    </row>
    <row r="233" spans="1:7" x14ac:dyDescent="0.25">
      <c r="A233" s="73"/>
      <c r="B233" s="73"/>
      <c r="C233" s="73"/>
      <c r="D233" s="73"/>
      <c r="E233" s="73"/>
      <c r="F233" s="73"/>
      <c r="G233" s="63"/>
    </row>
    <row r="234" spans="1:7" x14ac:dyDescent="0.25">
      <c r="A234" s="73"/>
      <c r="B234" s="73"/>
      <c r="C234" s="73"/>
      <c r="D234" s="73"/>
      <c r="E234" s="73"/>
      <c r="F234" s="73"/>
      <c r="G234" s="63"/>
    </row>
    <row r="235" spans="1:7" x14ac:dyDescent="0.25">
      <c r="A235" s="73"/>
      <c r="B235" s="73"/>
      <c r="C235" s="73"/>
      <c r="D235" s="73"/>
      <c r="E235" s="73"/>
      <c r="F235" s="73"/>
      <c r="G235" s="63"/>
    </row>
    <row r="236" spans="1:7" x14ac:dyDescent="0.25">
      <c r="A236" s="73"/>
      <c r="B236" s="73"/>
      <c r="C236" s="73"/>
      <c r="D236" s="73"/>
      <c r="E236" s="73"/>
      <c r="F236" s="73"/>
      <c r="G236" s="63"/>
    </row>
    <row r="237" spans="1:7" x14ac:dyDescent="0.25">
      <c r="A237" s="73"/>
      <c r="B237" s="73"/>
      <c r="C237" s="73"/>
      <c r="D237" s="73"/>
      <c r="E237" s="73"/>
      <c r="F237" s="73"/>
      <c r="G237" s="63"/>
    </row>
    <row r="238" spans="1:7" x14ac:dyDescent="0.25">
      <c r="A238" s="73"/>
      <c r="B238" s="73"/>
      <c r="C238" s="73"/>
      <c r="D238" s="73"/>
      <c r="E238" s="73"/>
      <c r="F238" s="73"/>
      <c r="G238" s="63"/>
    </row>
    <row r="239" spans="1:7" x14ac:dyDescent="0.25">
      <c r="A239" s="73"/>
      <c r="B239" s="73"/>
      <c r="C239" s="73"/>
      <c r="D239" s="73"/>
      <c r="E239" s="73"/>
      <c r="F239" s="73"/>
      <c r="G239" s="63"/>
    </row>
    <row r="240" spans="1:7" x14ac:dyDescent="0.25">
      <c r="A240" s="73"/>
      <c r="B240" s="73"/>
      <c r="C240" s="73"/>
      <c r="D240" s="73"/>
      <c r="E240" s="73"/>
      <c r="F240" s="73"/>
      <c r="G240" s="63"/>
    </row>
    <row r="241" spans="1:7" x14ac:dyDescent="0.25">
      <c r="A241" s="73"/>
      <c r="B241" s="73"/>
      <c r="C241" s="73"/>
      <c r="D241" s="73"/>
      <c r="E241" s="73"/>
      <c r="F241" s="73"/>
      <c r="G241" s="63"/>
    </row>
    <row r="242" spans="1:7" x14ac:dyDescent="0.25">
      <c r="A242" s="73"/>
      <c r="B242" s="73"/>
      <c r="C242" s="73"/>
      <c r="D242" s="73"/>
      <c r="E242" s="73"/>
      <c r="F242" s="73"/>
      <c r="G242" s="63"/>
    </row>
    <row r="243" spans="1:7" x14ac:dyDescent="0.25">
      <c r="A243" s="73"/>
      <c r="B243" s="73"/>
      <c r="C243" s="73"/>
      <c r="D243" s="73"/>
      <c r="E243" s="73"/>
      <c r="F243" s="73"/>
      <c r="G243" s="63"/>
    </row>
    <row r="244" spans="1:7" x14ac:dyDescent="0.25">
      <c r="A244" s="73"/>
      <c r="B244" s="73"/>
      <c r="C244" s="73"/>
      <c r="D244" s="73"/>
      <c r="E244" s="73"/>
      <c r="F244" s="73"/>
      <c r="G244" s="63"/>
    </row>
    <row r="245" spans="1:7" x14ac:dyDescent="0.25">
      <c r="A245" s="73"/>
      <c r="B245" s="73"/>
      <c r="C245" s="73"/>
      <c r="D245" s="73"/>
      <c r="E245" s="73"/>
      <c r="F245" s="73"/>
      <c r="G245" s="63"/>
    </row>
    <row r="246" spans="1:7" x14ac:dyDescent="0.25">
      <c r="A246" s="73"/>
      <c r="B246" s="73"/>
      <c r="C246" s="73"/>
      <c r="D246" s="73"/>
      <c r="E246" s="73"/>
      <c r="F246" s="73"/>
      <c r="G246" s="63"/>
    </row>
    <row r="247" spans="1:7" x14ac:dyDescent="0.25">
      <c r="A247" s="73"/>
      <c r="B247" s="73"/>
      <c r="C247" s="73"/>
      <c r="D247" s="73"/>
      <c r="E247" s="73"/>
      <c r="F247" s="73"/>
      <c r="G247" s="63"/>
    </row>
    <row r="248" spans="1:7" x14ac:dyDescent="0.25">
      <c r="A248" s="73"/>
      <c r="B248" s="73"/>
      <c r="C248" s="73"/>
      <c r="D248" s="73"/>
      <c r="E248" s="73"/>
      <c r="F248" s="73"/>
      <c r="G248" s="63"/>
    </row>
    <row r="249" spans="1:7" x14ac:dyDescent="0.25">
      <c r="A249" s="73"/>
      <c r="B249" s="73"/>
      <c r="C249" s="73"/>
      <c r="D249" s="73"/>
      <c r="E249" s="73"/>
      <c r="F249" s="73"/>
      <c r="G249" s="63"/>
    </row>
    <row r="250" spans="1:7" x14ac:dyDescent="0.25">
      <c r="A250" s="73"/>
      <c r="B250" s="73"/>
      <c r="C250" s="73"/>
      <c r="D250" s="73"/>
      <c r="E250" s="73"/>
      <c r="F250" s="73"/>
      <c r="G250" s="63"/>
    </row>
    <row r="251" spans="1:7" x14ac:dyDescent="0.25">
      <c r="A251" s="73"/>
      <c r="B251" s="73"/>
      <c r="C251" s="73"/>
      <c r="D251" s="73"/>
      <c r="E251" s="73"/>
      <c r="F251" s="73"/>
      <c r="G251" s="63"/>
    </row>
    <row r="252" spans="1:7" x14ac:dyDescent="0.25">
      <c r="A252" s="73"/>
      <c r="B252" s="73"/>
      <c r="C252" s="73"/>
      <c r="D252" s="73"/>
      <c r="E252" s="73"/>
      <c r="F252" s="73"/>
      <c r="G252" s="63"/>
    </row>
    <row r="253" spans="1:7" x14ac:dyDescent="0.25">
      <c r="A253" s="73"/>
      <c r="B253" s="73"/>
      <c r="C253" s="73"/>
      <c r="D253" s="73"/>
      <c r="E253" s="73"/>
      <c r="F253" s="73"/>
      <c r="G253" s="63"/>
    </row>
    <row r="254" spans="1:7" x14ac:dyDescent="0.25">
      <c r="A254" s="73"/>
      <c r="B254" s="73"/>
      <c r="C254" s="73"/>
      <c r="D254" s="73"/>
      <c r="E254" s="73"/>
      <c r="F254" s="73"/>
      <c r="G254" s="63"/>
    </row>
    <row r="255" spans="1:7" x14ac:dyDescent="0.25">
      <c r="A255" s="73"/>
      <c r="B255" s="73"/>
      <c r="C255" s="73"/>
      <c r="D255" s="73"/>
      <c r="E255" s="73"/>
      <c r="F255" s="73"/>
      <c r="G255" s="63"/>
    </row>
    <row r="256" spans="1:7" x14ac:dyDescent="0.25">
      <c r="A256" s="73"/>
      <c r="B256" s="73"/>
      <c r="C256" s="73"/>
      <c r="D256" s="73"/>
      <c r="E256" s="73"/>
      <c r="F256" s="73"/>
      <c r="G256" s="63"/>
    </row>
    <row r="257" spans="1:7" x14ac:dyDescent="0.25">
      <c r="A257" s="73"/>
      <c r="B257" s="73"/>
      <c r="C257" s="73"/>
      <c r="D257" s="73"/>
      <c r="E257" s="73"/>
      <c r="F257" s="73"/>
      <c r="G257" s="63"/>
    </row>
    <row r="258" spans="1:7" x14ac:dyDescent="0.25">
      <c r="A258" s="73"/>
      <c r="B258" s="73"/>
      <c r="C258" s="73"/>
      <c r="D258" s="73"/>
      <c r="E258" s="73"/>
      <c r="F258" s="73"/>
      <c r="G258" s="63"/>
    </row>
    <row r="259" spans="1:7" x14ac:dyDescent="0.25">
      <c r="A259" s="73"/>
      <c r="B259" s="73"/>
      <c r="C259" s="73"/>
      <c r="D259" s="73"/>
      <c r="E259" s="73"/>
      <c r="F259" s="73"/>
      <c r="G259" s="63"/>
    </row>
    <row r="260" spans="1:7" x14ac:dyDescent="0.25">
      <c r="A260" s="73"/>
      <c r="B260" s="73"/>
      <c r="C260" s="73"/>
      <c r="D260" s="73"/>
      <c r="E260" s="73"/>
      <c r="F260" s="73"/>
      <c r="G260" s="63"/>
    </row>
    <row r="261" spans="1:7" x14ac:dyDescent="0.25">
      <c r="A261" s="73"/>
      <c r="B261" s="73"/>
      <c r="C261" s="73"/>
      <c r="D261" s="73"/>
      <c r="E261" s="73"/>
      <c r="F261" s="73"/>
      <c r="G261" s="63"/>
    </row>
    <row r="262" spans="1:7" x14ac:dyDescent="0.25">
      <c r="A262" s="73"/>
      <c r="B262" s="73"/>
      <c r="C262" s="73"/>
      <c r="D262" s="73"/>
      <c r="E262" s="73"/>
      <c r="F262" s="73"/>
      <c r="G262" s="63"/>
    </row>
    <row r="263" spans="1:7" x14ac:dyDescent="0.25">
      <c r="A263" s="73"/>
      <c r="B263" s="73"/>
      <c r="C263" s="73"/>
      <c r="D263" s="73"/>
      <c r="E263" s="73"/>
      <c r="F263" s="73"/>
      <c r="G263" s="63"/>
    </row>
    <row r="264" spans="1:7" x14ac:dyDescent="0.25">
      <c r="A264" s="73"/>
      <c r="B264" s="73"/>
      <c r="C264" s="73"/>
      <c r="D264" s="73"/>
      <c r="E264" s="73"/>
      <c r="F264" s="73"/>
      <c r="G264" s="63"/>
    </row>
    <row r="265" spans="1:7" x14ac:dyDescent="0.25">
      <c r="A265" s="73"/>
      <c r="B265" s="73"/>
      <c r="C265" s="73"/>
      <c r="D265" s="73"/>
      <c r="E265" s="73"/>
      <c r="F265" s="73"/>
      <c r="G265" s="63"/>
    </row>
    <row r="266" spans="1:7" x14ac:dyDescent="0.25">
      <c r="A266" s="73"/>
      <c r="B266" s="73"/>
      <c r="C266" s="73"/>
      <c r="D266" s="73"/>
      <c r="E266" s="73"/>
      <c r="F266" s="73"/>
      <c r="G266" s="63"/>
    </row>
    <row r="267" spans="1:7" x14ac:dyDescent="0.25">
      <c r="A267" s="73"/>
      <c r="B267" s="73"/>
      <c r="C267" s="73"/>
      <c r="D267" s="73"/>
      <c r="E267" s="73"/>
      <c r="F267" s="73"/>
      <c r="G267" s="63"/>
    </row>
    <row r="268" spans="1:7" x14ac:dyDescent="0.25">
      <c r="A268" s="73"/>
      <c r="B268" s="73"/>
      <c r="C268" s="73"/>
      <c r="D268" s="73"/>
      <c r="E268" s="73"/>
      <c r="F268" s="73"/>
      <c r="G268" s="63"/>
    </row>
    <row r="269" spans="1:7" x14ac:dyDescent="0.25">
      <c r="A269" s="73"/>
      <c r="B269" s="73"/>
      <c r="C269" s="73"/>
      <c r="D269" s="73"/>
      <c r="E269" s="73"/>
      <c r="F269" s="73"/>
      <c r="G269" s="63"/>
    </row>
    <row r="270" spans="1:7" x14ac:dyDescent="0.25">
      <c r="A270" s="73"/>
      <c r="B270" s="73"/>
      <c r="C270" s="73"/>
      <c r="D270" s="73"/>
      <c r="E270" s="73"/>
      <c r="F270" s="73"/>
      <c r="G270" s="63"/>
    </row>
    <row r="271" spans="1:7" x14ac:dyDescent="0.25">
      <c r="A271" s="73"/>
      <c r="B271" s="73"/>
      <c r="C271" s="73"/>
      <c r="D271" s="73"/>
      <c r="E271" s="73"/>
      <c r="F271" s="73"/>
      <c r="G271" s="63"/>
    </row>
    <row r="272" spans="1:7" x14ac:dyDescent="0.25">
      <c r="A272" s="73"/>
      <c r="B272" s="73"/>
      <c r="C272" s="73"/>
      <c r="D272" s="73"/>
      <c r="E272" s="73"/>
      <c r="F272" s="73"/>
      <c r="G272" s="63"/>
    </row>
    <row r="273" spans="1:7" x14ac:dyDescent="0.25">
      <c r="A273" s="73"/>
      <c r="B273" s="73"/>
      <c r="C273" s="73"/>
      <c r="D273" s="73"/>
      <c r="E273" s="73"/>
      <c r="F273" s="73"/>
      <c r="G273" s="63"/>
    </row>
    <row r="274" spans="1:7" x14ac:dyDescent="0.25">
      <c r="A274" s="73"/>
      <c r="B274" s="73"/>
      <c r="C274" s="73"/>
      <c r="D274" s="73"/>
      <c r="E274" s="73"/>
      <c r="F274" s="73"/>
      <c r="G274" s="63"/>
    </row>
    <row r="275" spans="1:7" x14ac:dyDescent="0.25">
      <c r="A275" s="73"/>
      <c r="B275" s="73"/>
      <c r="C275" s="73"/>
      <c r="D275" s="73"/>
      <c r="E275" s="73"/>
      <c r="F275" s="73"/>
      <c r="G275" s="63"/>
    </row>
    <row r="276" spans="1:7" x14ac:dyDescent="0.25">
      <c r="A276" s="73"/>
      <c r="B276" s="73"/>
      <c r="C276" s="73"/>
      <c r="D276" s="73"/>
      <c r="E276" s="73"/>
      <c r="F276" s="73"/>
      <c r="G276" s="63"/>
    </row>
    <row r="277" spans="1:7" x14ac:dyDescent="0.25">
      <c r="A277" s="73"/>
      <c r="B277" s="73"/>
      <c r="C277" s="73"/>
      <c r="D277" s="73"/>
      <c r="E277" s="73"/>
      <c r="F277" s="73"/>
      <c r="G277" s="63"/>
    </row>
    <row r="278" spans="1:7" x14ac:dyDescent="0.25">
      <c r="A278" s="73"/>
      <c r="B278" s="73"/>
      <c r="C278" s="73"/>
      <c r="D278" s="73"/>
      <c r="E278" s="73"/>
      <c r="F278" s="73"/>
      <c r="G278" s="63"/>
    </row>
    <row r="279" spans="1:7" x14ac:dyDescent="0.25">
      <c r="A279" s="73"/>
      <c r="B279" s="73"/>
      <c r="C279" s="73"/>
      <c r="D279" s="73"/>
      <c r="E279" s="73"/>
      <c r="F279" s="73"/>
      <c r="G279" s="63"/>
    </row>
    <row r="280" spans="1:7" x14ac:dyDescent="0.25">
      <c r="A280" s="73"/>
      <c r="B280" s="73"/>
      <c r="C280" s="73"/>
      <c r="D280" s="73"/>
      <c r="E280" s="73"/>
      <c r="F280" s="73"/>
      <c r="G280" s="63"/>
    </row>
    <row r="281" spans="1:7" x14ac:dyDescent="0.25">
      <c r="A281" s="73"/>
      <c r="B281" s="73"/>
      <c r="C281" s="73"/>
      <c r="D281" s="73"/>
      <c r="E281" s="73"/>
      <c r="F281" s="73"/>
      <c r="G281" s="63"/>
    </row>
    <row r="282" spans="1:7" x14ac:dyDescent="0.25">
      <c r="A282" s="73"/>
      <c r="B282" s="73"/>
      <c r="C282" s="73"/>
      <c r="D282" s="73"/>
      <c r="E282" s="73"/>
      <c r="F282" s="73"/>
      <c r="G282" s="63"/>
    </row>
    <row r="283" spans="1:7" x14ac:dyDescent="0.25">
      <c r="A283" s="73"/>
      <c r="B283" s="73"/>
      <c r="C283" s="73"/>
      <c r="D283" s="73"/>
      <c r="E283" s="73"/>
      <c r="F283" s="73"/>
      <c r="G283" s="63"/>
    </row>
    <row r="284" spans="1:7" x14ac:dyDescent="0.25">
      <c r="A284" s="73"/>
      <c r="B284" s="73"/>
      <c r="C284" s="73"/>
      <c r="D284" s="73"/>
      <c r="E284" s="73"/>
      <c r="F284" s="73"/>
      <c r="G284" s="63"/>
    </row>
    <row r="285" spans="1:7" x14ac:dyDescent="0.25">
      <c r="A285" s="73"/>
      <c r="B285" s="73"/>
      <c r="C285" s="73"/>
      <c r="D285" s="73"/>
      <c r="E285" s="73"/>
      <c r="F285" s="73"/>
      <c r="G285" s="63"/>
    </row>
    <row r="286" spans="1:7" x14ac:dyDescent="0.25">
      <c r="A286" s="73"/>
      <c r="B286" s="73"/>
      <c r="C286" s="73"/>
      <c r="D286" s="73"/>
      <c r="E286" s="73"/>
      <c r="F286" s="73"/>
      <c r="G286" s="63"/>
    </row>
    <row r="287" spans="1:7" x14ac:dyDescent="0.25">
      <c r="A287" s="73"/>
      <c r="B287" s="73"/>
      <c r="C287" s="73"/>
      <c r="D287" s="73"/>
      <c r="E287" s="73"/>
      <c r="F287" s="73"/>
      <c r="G287" s="63"/>
    </row>
    <row r="288" spans="1:7" x14ac:dyDescent="0.25">
      <c r="A288" s="73"/>
      <c r="B288" s="73"/>
      <c r="C288" s="73"/>
      <c r="D288" s="73"/>
      <c r="E288" s="73"/>
      <c r="F288" s="73"/>
      <c r="G288" s="63"/>
    </row>
    <row r="289" spans="1:7" x14ac:dyDescent="0.25">
      <c r="A289" s="73"/>
      <c r="B289" s="73"/>
      <c r="C289" s="73"/>
      <c r="D289" s="73"/>
      <c r="E289" s="73"/>
      <c r="F289" s="73"/>
      <c r="G289" s="63"/>
    </row>
    <row r="290" spans="1:7" x14ac:dyDescent="0.25">
      <c r="A290" s="73"/>
      <c r="B290" s="73"/>
      <c r="C290" s="73"/>
      <c r="D290" s="73"/>
      <c r="E290" s="73"/>
      <c r="F290" s="73"/>
      <c r="G290" s="63"/>
    </row>
    <row r="291" spans="1:7" x14ac:dyDescent="0.25">
      <c r="A291" s="73"/>
      <c r="B291" s="73"/>
      <c r="C291" s="73"/>
      <c r="D291" s="73"/>
      <c r="E291" s="73"/>
      <c r="F291" s="73"/>
      <c r="G291" s="63"/>
    </row>
    <row r="292" spans="1:7" x14ac:dyDescent="0.25">
      <c r="A292" s="73"/>
      <c r="B292" s="73"/>
      <c r="C292" s="73"/>
      <c r="D292" s="73"/>
      <c r="E292" s="73"/>
      <c r="F292" s="73"/>
      <c r="G292" s="63"/>
    </row>
    <row r="293" spans="1:7" x14ac:dyDescent="0.25">
      <c r="A293" s="73"/>
      <c r="B293" s="73"/>
      <c r="C293" s="73"/>
      <c r="D293" s="73"/>
      <c r="E293" s="73"/>
      <c r="F293" s="73"/>
      <c r="G293" s="63"/>
    </row>
    <row r="294" spans="1:7" x14ac:dyDescent="0.25">
      <c r="A294" s="73"/>
      <c r="B294" s="73"/>
      <c r="C294" s="73"/>
      <c r="D294" s="73"/>
      <c r="E294" s="73"/>
      <c r="F294" s="73"/>
      <c r="G294" s="63"/>
    </row>
    <row r="295" spans="1:7" x14ac:dyDescent="0.25">
      <c r="A295" s="73"/>
      <c r="B295" s="73"/>
      <c r="C295" s="73"/>
      <c r="D295" s="73"/>
      <c r="E295" s="73"/>
      <c r="F295" s="73"/>
      <c r="G295" s="63"/>
    </row>
    <row r="296" spans="1:7" x14ac:dyDescent="0.25">
      <c r="A296" s="73"/>
      <c r="B296" s="73"/>
      <c r="C296" s="73"/>
      <c r="D296" s="73"/>
      <c r="E296" s="73"/>
      <c r="F296" s="73"/>
      <c r="G296" s="63"/>
    </row>
    <row r="297" spans="1:7" x14ac:dyDescent="0.25">
      <c r="A297" s="73"/>
      <c r="B297" s="73"/>
      <c r="C297" s="73"/>
      <c r="D297" s="73"/>
      <c r="E297" s="73"/>
      <c r="F297" s="73"/>
      <c r="G297" s="63"/>
    </row>
    <row r="298" spans="1:7" x14ac:dyDescent="0.25">
      <c r="A298" s="73"/>
      <c r="B298" s="73"/>
      <c r="C298" s="73"/>
      <c r="D298" s="73"/>
      <c r="E298" s="73"/>
      <c r="F298" s="73"/>
      <c r="G298" s="63"/>
    </row>
    <row r="299" spans="1:7" x14ac:dyDescent="0.25">
      <c r="A299" s="73"/>
      <c r="B299" s="73"/>
      <c r="C299" s="73"/>
      <c r="D299" s="73"/>
      <c r="E299" s="73"/>
      <c r="F299" s="73"/>
      <c r="G299" s="63"/>
    </row>
    <row r="300" spans="1:7" x14ac:dyDescent="0.25">
      <c r="A300" s="73"/>
      <c r="B300" s="73"/>
      <c r="C300" s="73"/>
      <c r="D300" s="73"/>
      <c r="E300" s="73"/>
      <c r="F300" s="73"/>
      <c r="G300" s="63"/>
    </row>
    <row r="301" spans="1:7" x14ac:dyDescent="0.25">
      <c r="A301" s="73"/>
      <c r="B301" s="73"/>
      <c r="C301" s="73"/>
      <c r="D301" s="73"/>
      <c r="E301" s="73"/>
      <c r="F301" s="73"/>
      <c r="G301" s="63"/>
    </row>
    <row r="302" spans="1:7" x14ac:dyDescent="0.25">
      <c r="A302" s="73"/>
      <c r="B302" s="73"/>
      <c r="C302" s="73"/>
      <c r="D302" s="73"/>
      <c r="E302" s="73"/>
      <c r="F302" s="73"/>
      <c r="G302" s="63"/>
    </row>
    <row r="303" spans="1:7" x14ac:dyDescent="0.25">
      <c r="A303" s="73"/>
      <c r="B303" s="73"/>
      <c r="C303" s="73"/>
      <c r="D303" s="73"/>
      <c r="E303" s="73"/>
      <c r="F303" s="73"/>
      <c r="G303" s="63"/>
    </row>
    <row r="304" spans="1:7" x14ac:dyDescent="0.25">
      <c r="A304" s="73"/>
      <c r="B304" s="73"/>
      <c r="C304" s="73"/>
      <c r="D304" s="73"/>
      <c r="E304" s="73"/>
      <c r="F304" s="73"/>
      <c r="G304" s="63"/>
    </row>
    <row r="305" spans="1:7" x14ac:dyDescent="0.25">
      <c r="A305" s="73"/>
      <c r="B305" s="73"/>
      <c r="C305" s="73"/>
      <c r="D305" s="73"/>
      <c r="E305" s="73"/>
      <c r="F305" s="73"/>
      <c r="G305" s="63"/>
    </row>
    <row r="306" spans="1:7" x14ac:dyDescent="0.25">
      <c r="A306" s="73"/>
      <c r="B306" s="73"/>
      <c r="C306" s="73"/>
      <c r="D306" s="73"/>
      <c r="E306" s="73"/>
      <c r="F306" s="73"/>
      <c r="G306" s="63"/>
    </row>
    <row r="307" spans="1:7" x14ac:dyDescent="0.25">
      <c r="A307" s="73"/>
      <c r="B307" s="73"/>
      <c r="C307" s="73"/>
      <c r="D307" s="73"/>
      <c r="E307" s="73"/>
      <c r="F307" s="73"/>
      <c r="G307" s="63"/>
    </row>
    <row r="308" spans="1:7" x14ac:dyDescent="0.25">
      <c r="A308" s="73"/>
      <c r="B308" s="73"/>
      <c r="C308" s="73"/>
      <c r="D308" s="73"/>
      <c r="E308" s="73"/>
      <c r="F308" s="73"/>
      <c r="G308" s="63"/>
    </row>
    <row r="309" spans="1:7" x14ac:dyDescent="0.25">
      <c r="A309" s="73"/>
      <c r="B309" s="73"/>
      <c r="C309" s="73"/>
      <c r="D309" s="73"/>
      <c r="E309" s="73"/>
      <c r="F309" s="73"/>
      <c r="G309" s="63"/>
    </row>
    <row r="310" spans="1:7" x14ac:dyDescent="0.25">
      <c r="A310" s="73"/>
      <c r="B310" s="73"/>
      <c r="C310" s="73"/>
      <c r="D310" s="73"/>
      <c r="E310" s="73"/>
      <c r="F310" s="73"/>
      <c r="G310" s="63"/>
    </row>
    <row r="311" spans="1:7" x14ac:dyDescent="0.25">
      <c r="A311" s="73"/>
      <c r="B311" s="73"/>
      <c r="C311" s="73"/>
      <c r="D311" s="73"/>
      <c r="E311" s="73"/>
      <c r="F311" s="73"/>
      <c r="G311" s="63"/>
    </row>
    <row r="312" spans="1:7" x14ac:dyDescent="0.25">
      <c r="A312" s="73"/>
      <c r="B312" s="73"/>
      <c r="C312" s="73"/>
      <c r="D312" s="73"/>
      <c r="E312" s="73"/>
      <c r="F312" s="73"/>
      <c r="G312" s="63"/>
    </row>
    <row r="313" spans="1:7" x14ac:dyDescent="0.25">
      <c r="A313" s="73"/>
      <c r="B313" s="73"/>
      <c r="C313" s="73"/>
      <c r="D313" s="73"/>
      <c r="E313" s="73"/>
      <c r="F313" s="73"/>
      <c r="G313" s="63"/>
    </row>
    <row r="314" spans="1:7" x14ac:dyDescent="0.25">
      <c r="A314" s="73"/>
      <c r="B314" s="73"/>
      <c r="C314" s="73"/>
      <c r="D314" s="73"/>
      <c r="E314" s="73"/>
      <c r="F314" s="73"/>
      <c r="G314" s="63"/>
    </row>
    <row r="315" spans="1:7" x14ac:dyDescent="0.25">
      <c r="A315" s="73"/>
      <c r="B315" s="73"/>
      <c r="C315" s="73"/>
      <c r="D315" s="73"/>
      <c r="E315" s="73"/>
      <c r="F315" s="73"/>
      <c r="G315" s="63"/>
    </row>
    <row r="316" spans="1:7" x14ac:dyDescent="0.25">
      <c r="A316" s="73"/>
      <c r="B316" s="73"/>
      <c r="C316" s="73"/>
      <c r="D316" s="73"/>
      <c r="E316" s="73"/>
      <c r="F316" s="73"/>
      <c r="G316" s="63"/>
    </row>
    <row r="317" spans="1:7" x14ac:dyDescent="0.25">
      <c r="A317" s="73"/>
      <c r="B317" s="73"/>
      <c r="C317" s="73"/>
      <c r="D317" s="73"/>
      <c r="E317" s="73"/>
      <c r="F317" s="73"/>
      <c r="G317" s="63"/>
    </row>
    <row r="318" spans="1:7" x14ac:dyDescent="0.25">
      <c r="A318" s="73"/>
      <c r="B318" s="73"/>
      <c r="C318" s="73"/>
      <c r="D318" s="73"/>
      <c r="E318" s="73"/>
      <c r="F318" s="73"/>
      <c r="G318" s="63"/>
    </row>
    <row r="319" spans="1:7" x14ac:dyDescent="0.25">
      <c r="A319" s="73"/>
      <c r="B319" s="73"/>
      <c r="C319" s="73"/>
      <c r="D319" s="73"/>
      <c r="E319" s="73"/>
      <c r="F319" s="73"/>
      <c r="G319" s="63"/>
    </row>
    <row r="320" spans="1:7" x14ac:dyDescent="0.25">
      <c r="A320" s="73"/>
      <c r="B320" s="73"/>
      <c r="C320" s="73"/>
      <c r="D320" s="73"/>
      <c r="E320" s="73"/>
      <c r="F320" s="73"/>
      <c r="G320" s="63"/>
    </row>
    <row r="321" spans="1:7" x14ac:dyDescent="0.25">
      <c r="A321" s="73"/>
      <c r="B321" s="73"/>
      <c r="C321" s="73"/>
      <c r="D321" s="73"/>
      <c r="E321" s="73"/>
      <c r="F321" s="73"/>
      <c r="G321" s="63"/>
    </row>
    <row r="322" spans="1:7" x14ac:dyDescent="0.25">
      <c r="A322" s="73"/>
      <c r="B322" s="73"/>
      <c r="C322" s="73"/>
      <c r="D322" s="73"/>
      <c r="E322" s="73"/>
      <c r="F322" s="73"/>
      <c r="G322" s="63"/>
    </row>
    <row r="323" spans="1:7" x14ac:dyDescent="0.25">
      <c r="A323" s="73"/>
      <c r="B323" s="73"/>
      <c r="C323" s="73"/>
      <c r="D323" s="73"/>
      <c r="E323" s="73"/>
      <c r="F323" s="73"/>
      <c r="G323" s="63"/>
    </row>
    <row r="324" spans="1:7" x14ac:dyDescent="0.25">
      <c r="A324" s="73"/>
      <c r="B324" s="73"/>
      <c r="C324" s="73"/>
      <c r="D324" s="73"/>
      <c r="E324" s="73"/>
      <c r="F324" s="73"/>
      <c r="G324" s="63"/>
    </row>
    <row r="325" spans="1:7" x14ac:dyDescent="0.25">
      <c r="A325" s="73"/>
      <c r="B325" s="73"/>
      <c r="C325" s="73"/>
      <c r="D325" s="73"/>
      <c r="E325" s="73"/>
      <c r="F325" s="73"/>
      <c r="G325" s="63"/>
    </row>
    <row r="326" spans="1:7" x14ac:dyDescent="0.25">
      <c r="A326" s="73"/>
      <c r="B326" s="73"/>
      <c r="C326" s="73"/>
      <c r="D326" s="73"/>
      <c r="E326" s="73"/>
      <c r="F326" s="73"/>
      <c r="G326" s="63"/>
    </row>
    <row r="327" spans="1:7" x14ac:dyDescent="0.25">
      <c r="A327" s="73"/>
      <c r="B327" s="73"/>
      <c r="C327" s="73"/>
      <c r="D327" s="73"/>
      <c r="E327" s="73"/>
      <c r="F327" s="73"/>
      <c r="G327" s="63"/>
    </row>
    <row r="328" spans="1:7" x14ac:dyDescent="0.25">
      <c r="A328" s="73"/>
      <c r="B328" s="73"/>
      <c r="C328" s="73"/>
      <c r="D328" s="73"/>
      <c r="E328" s="73"/>
      <c r="F328" s="73"/>
      <c r="G328" s="63"/>
    </row>
    <row r="329" spans="1:7" x14ac:dyDescent="0.25">
      <c r="A329" s="73"/>
      <c r="B329" s="73"/>
      <c r="C329" s="73"/>
      <c r="D329" s="73"/>
      <c r="E329" s="73"/>
      <c r="F329" s="73"/>
      <c r="G329" s="63"/>
    </row>
    <row r="330" spans="1:7" x14ac:dyDescent="0.25">
      <c r="A330" s="73"/>
      <c r="B330" s="73"/>
      <c r="C330" s="73"/>
      <c r="D330" s="73"/>
      <c r="E330" s="73"/>
      <c r="F330" s="73"/>
      <c r="G330" s="63"/>
    </row>
    <row r="331" spans="1:7" x14ac:dyDescent="0.25">
      <c r="A331" s="73"/>
      <c r="B331" s="73"/>
      <c r="C331" s="73"/>
      <c r="D331" s="73"/>
      <c r="E331" s="73"/>
      <c r="F331" s="73"/>
      <c r="G331" s="63"/>
    </row>
    <row r="332" spans="1:7" x14ac:dyDescent="0.25">
      <c r="A332" s="73"/>
      <c r="B332" s="73"/>
      <c r="C332" s="73"/>
      <c r="D332" s="73"/>
      <c r="E332" s="73"/>
      <c r="F332" s="73"/>
      <c r="G332" s="63"/>
    </row>
    <row r="333" spans="1:7" x14ac:dyDescent="0.25">
      <c r="A333" s="73"/>
      <c r="B333" s="73"/>
      <c r="C333" s="73"/>
      <c r="D333" s="73"/>
      <c r="E333" s="73"/>
      <c r="F333" s="73"/>
      <c r="G333" s="63"/>
    </row>
    <row r="334" spans="1:7" x14ac:dyDescent="0.25">
      <c r="A334" s="73"/>
      <c r="B334" s="73"/>
      <c r="C334" s="73"/>
      <c r="D334" s="73"/>
      <c r="E334" s="73"/>
      <c r="F334" s="73"/>
      <c r="G334" s="63"/>
    </row>
    <row r="335" spans="1:7" x14ac:dyDescent="0.25">
      <c r="A335" s="73"/>
      <c r="B335" s="73"/>
      <c r="C335" s="73"/>
      <c r="D335" s="73"/>
      <c r="E335" s="73"/>
      <c r="F335" s="73"/>
      <c r="G335" s="63"/>
    </row>
    <row r="336" spans="1:7" x14ac:dyDescent="0.25">
      <c r="A336" s="73"/>
      <c r="B336" s="73"/>
      <c r="C336" s="73"/>
      <c r="D336" s="73"/>
      <c r="E336" s="73"/>
      <c r="F336" s="73"/>
      <c r="G336" s="63"/>
    </row>
    <row r="337" spans="1:7" x14ac:dyDescent="0.25">
      <c r="A337" s="73"/>
      <c r="B337" s="73"/>
      <c r="C337" s="73"/>
      <c r="D337" s="73"/>
      <c r="E337" s="73"/>
      <c r="F337" s="73"/>
      <c r="G337" s="63"/>
    </row>
    <row r="338" spans="1:7" x14ac:dyDescent="0.25">
      <c r="A338" s="73"/>
      <c r="B338" s="73"/>
      <c r="C338" s="73"/>
      <c r="D338" s="73"/>
      <c r="E338" s="73"/>
      <c r="F338" s="73"/>
      <c r="G338" s="63"/>
    </row>
    <row r="339" spans="1:7" x14ac:dyDescent="0.25">
      <c r="A339" s="73"/>
      <c r="B339" s="73"/>
      <c r="C339" s="73"/>
      <c r="D339" s="73"/>
      <c r="E339" s="73"/>
      <c r="F339" s="73"/>
      <c r="G339" s="63"/>
    </row>
    <row r="340" spans="1:7" x14ac:dyDescent="0.25">
      <c r="A340" s="73"/>
      <c r="B340" s="73"/>
      <c r="C340" s="73"/>
      <c r="D340" s="73"/>
      <c r="E340" s="73"/>
      <c r="F340" s="73"/>
      <c r="G340" s="63"/>
    </row>
    <row r="341" spans="1:7" x14ac:dyDescent="0.25">
      <c r="A341" s="73"/>
      <c r="B341" s="73"/>
      <c r="C341" s="73"/>
      <c r="D341" s="73"/>
      <c r="E341" s="73"/>
      <c r="F341" s="73"/>
      <c r="G341" s="63"/>
    </row>
    <row r="342" spans="1:7" x14ac:dyDescent="0.25">
      <c r="A342" s="73"/>
      <c r="B342" s="73"/>
      <c r="C342" s="73"/>
      <c r="D342" s="73"/>
      <c r="E342" s="73"/>
      <c r="F342" s="73"/>
      <c r="G342" s="63"/>
    </row>
    <row r="343" spans="1:7" x14ac:dyDescent="0.25">
      <c r="A343" s="73"/>
      <c r="B343" s="73"/>
      <c r="C343" s="73"/>
      <c r="D343" s="73"/>
      <c r="E343" s="73"/>
      <c r="F343" s="73"/>
      <c r="G343" s="63"/>
    </row>
    <row r="344" spans="1:7" x14ac:dyDescent="0.25">
      <c r="A344" s="73"/>
      <c r="B344" s="73"/>
      <c r="C344" s="73"/>
      <c r="D344" s="73"/>
      <c r="E344" s="73"/>
      <c r="F344" s="73"/>
      <c r="G344" s="63"/>
    </row>
    <row r="345" spans="1:7" x14ac:dyDescent="0.25">
      <c r="A345" s="73"/>
      <c r="B345" s="73"/>
      <c r="C345" s="73"/>
      <c r="D345" s="73"/>
      <c r="E345" s="73"/>
      <c r="F345" s="73"/>
      <c r="G345" s="63"/>
    </row>
    <row r="346" spans="1:7" x14ac:dyDescent="0.25">
      <c r="A346" s="73"/>
      <c r="B346" s="73"/>
      <c r="C346" s="73"/>
      <c r="D346" s="73"/>
      <c r="E346" s="73"/>
      <c r="F346" s="73"/>
      <c r="G346" s="63"/>
    </row>
    <row r="347" spans="1:7" x14ac:dyDescent="0.25">
      <c r="A347" s="73"/>
      <c r="B347" s="73"/>
      <c r="C347" s="73"/>
      <c r="D347" s="73"/>
      <c r="E347" s="73"/>
      <c r="F347" s="73"/>
      <c r="G347" s="63"/>
    </row>
    <row r="348" spans="1:7" x14ac:dyDescent="0.25">
      <c r="A348" s="73"/>
      <c r="B348" s="73"/>
      <c r="C348" s="73"/>
      <c r="D348" s="73"/>
      <c r="E348" s="73"/>
      <c r="F348" s="73"/>
      <c r="G348" s="63"/>
    </row>
    <row r="349" spans="1:7" x14ac:dyDescent="0.25">
      <c r="A349" s="73"/>
      <c r="B349" s="73"/>
      <c r="C349" s="73"/>
      <c r="D349" s="73"/>
      <c r="E349" s="73"/>
      <c r="F349" s="73"/>
      <c r="G349" s="63"/>
    </row>
    <row r="350" spans="1:7" x14ac:dyDescent="0.25">
      <c r="A350" s="73"/>
      <c r="B350" s="73"/>
      <c r="C350" s="73"/>
      <c r="D350" s="73"/>
      <c r="E350" s="73"/>
      <c r="F350" s="73"/>
      <c r="G350" s="63"/>
    </row>
    <row r="351" spans="1:7" x14ac:dyDescent="0.25">
      <c r="A351" s="73"/>
      <c r="B351" s="73"/>
      <c r="C351" s="73"/>
      <c r="D351" s="73"/>
      <c r="E351" s="73"/>
      <c r="F351" s="73"/>
      <c r="G351" s="63"/>
    </row>
    <row r="352" spans="1:7" x14ac:dyDescent="0.25">
      <c r="A352" s="73"/>
      <c r="B352" s="73"/>
      <c r="C352" s="73"/>
      <c r="D352" s="73"/>
      <c r="E352" s="73"/>
      <c r="F352" s="73"/>
      <c r="G352" s="63"/>
    </row>
    <row r="353" spans="1:7" x14ac:dyDescent="0.25">
      <c r="A353" s="73"/>
      <c r="B353" s="73"/>
      <c r="C353" s="73"/>
      <c r="D353" s="73"/>
      <c r="E353" s="73"/>
      <c r="F353" s="73"/>
      <c r="G353" s="63"/>
    </row>
    <row r="354" spans="1:7" x14ac:dyDescent="0.25">
      <c r="A354" s="73"/>
      <c r="B354" s="73"/>
      <c r="C354" s="73"/>
      <c r="D354" s="73"/>
      <c r="E354" s="73"/>
      <c r="F354" s="73"/>
      <c r="G354" s="63"/>
    </row>
    <row r="355" spans="1:7" x14ac:dyDescent="0.25">
      <c r="A355" s="73"/>
      <c r="B355" s="73"/>
      <c r="C355" s="73"/>
      <c r="D355" s="73"/>
      <c r="E355" s="73"/>
      <c r="F355" s="73"/>
      <c r="G355" s="63"/>
    </row>
    <row r="356" spans="1:7" x14ac:dyDescent="0.25">
      <c r="A356" s="73"/>
      <c r="B356" s="73"/>
      <c r="C356" s="73"/>
      <c r="D356" s="73"/>
      <c r="E356" s="73"/>
      <c r="F356" s="73"/>
      <c r="G356" s="63"/>
    </row>
    <row r="357" spans="1:7" x14ac:dyDescent="0.25">
      <c r="A357" s="73"/>
      <c r="B357" s="73"/>
      <c r="C357" s="73"/>
      <c r="D357" s="73"/>
      <c r="E357" s="73"/>
      <c r="F357" s="73"/>
      <c r="G357" s="63"/>
    </row>
    <row r="358" spans="1:7" x14ac:dyDescent="0.25">
      <c r="A358" s="73"/>
      <c r="B358" s="73"/>
      <c r="C358" s="73"/>
      <c r="D358" s="73"/>
      <c r="E358" s="73"/>
      <c r="F358" s="73"/>
      <c r="G358" s="63"/>
    </row>
    <row r="359" spans="1:7" x14ac:dyDescent="0.25">
      <c r="A359" s="73"/>
      <c r="B359" s="73"/>
      <c r="C359" s="73"/>
      <c r="D359" s="73"/>
      <c r="E359" s="73"/>
      <c r="F359" s="73"/>
      <c r="G359" s="63"/>
    </row>
    <row r="360" spans="1:7" x14ac:dyDescent="0.25">
      <c r="A360" s="73"/>
      <c r="B360" s="73"/>
      <c r="C360" s="73"/>
      <c r="D360" s="73"/>
      <c r="E360" s="73"/>
      <c r="F360" s="73"/>
      <c r="G360" s="63"/>
    </row>
    <row r="361" spans="1:7" x14ac:dyDescent="0.25">
      <c r="A361" s="73"/>
      <c r="B361" s="73"/>
      <c r="C361" s="73"/>
      <c r="D361" s="73"/>
      <c r="E361" s="73"/>
      <c r="F361" s="73"/>
      <c r="G361" s="63"/>
    </row>
    <row r="362" spans="1:7" x14ac:dyDescent="0.25">
      <c r="A362" s="73"/>
      <c r="B362" s="73"/>
      <c r="C362" s="73"/>
      <c r="D362" s="73"/>
      <c r="E362" s="73"/>
      <c r="F362" s="73"/>
      <c r="G362" s="63"/>
    </row>
    <row r="363" spans="1:7" x14ac:dyDescent="0.25">
      <c r="A363" s="73"/>
      <c r="B363" s="73"/>
      <c r="C363" s="73"/>
      <c r="D363" s="73"/>
      <c r="E363" s="73"/>
      <c r="F363" s="73"/>
      <c r="G363" s="63"/>
    </row>
    <row r="364" spans="1:7" x14ac:dyDescent="0.25">
      <c r="A364" s="73"/>
      <c r="B364" s="73"/>
      <c r="C364" s="73"/>
      <c r="D364" s="73"/>
      <c r="E364" s="73"/>
      <c r="F364" s="73"/>
      <c r="G364" s="63"/>
    </row>
    <row r="365" spans="1:7" x14ac:dyDescent="0.25">
      <c r="A365" s="73"/>
      <c r="B365" s="73"/>
      <c r="C365" s="73"/>
      <c r="D365" s="73"/>
      <c r="E365" s="73"/>
      <c r="F365" s="73"/>
      <c r="G365" s="63"/>
    </row>
    <row r="366" spans="1:7" x14ac:dyDescent="0.25">
      <c r="A366" s="73"/>
      <c r="B366" s="73"/>
      <c r="C366" s="73"/>
      <c r="D366" s="73"/>
      <c r="E366" s="73"/>
      <c r="F366" s="73"/>
      <c r="G366" s="63"/>
    </row>
    <row r="367" spans="1:7" x14ac:dyDescent="0.25">
      <c r="A367" s="73"/>
      <c r="B367" s="73"/>
      <c r="C367" s="73"/>
      <c r="D367" s="73"/>
      <c r="E367" s="73"/>
      <c r="F367" s="73"/>
      <c r="G367" s="63"/>
    </row>
    <row r="368" spans="1:7" x14ac:dyDescent="0.25">
      <c r="A368" s="73"/>
      <c r="B368" s="73"/>
      <c r="C368" s="73"/>
      <c r="D368" s="73"/>
      <c r="E368" s="73"/>
      <c r="F368" s="73"/>
      <c r="G368" s="63"/>
    </row>
    <row r="369" spans="1:7" x14ac:dyDescent="0.25">
      <c r="A369" s="73"/>
      <c r="B369" s="73"/>
      <c r="C369" s="73"/>
      <c r="D369" s="73"/>
      <c r="E369" s="73"/>
      <c r="F369" s="73"/>
      <c r="G369" s="63"/>
    </row>
  </sheetData>
  <mergeCells count="4">
    <mergeCell ref="A2:H2"/>
    <mergeCell ref="A3:H3"/>
    <mergeCell ref="A4:H4"/>
    <mergeCell ref="A5:H5"/>
  </mergeCells>
  <phoneticPr fontId="0" type="noConversion"/>
  <printOptions horizontalCentered="1"/>
  <pageMargins left="0.25" right="0.25" top="0.28000000000000003" bottom="0.23" header="0" footer="0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P&amp;L</vt:lpstr>
      <vt:lpstr>P&amp;L Crib</vt:lpstr>
      <vt:lpstr>BS</vt:lpstr>
      <vt:lpstr>BS Crib</vt:lpstr>
      <vt:lpstr>CF</vt:lpstr>
      <vt:lpstr>'BS Crib'!Print_Area</vt:lpstr>
      <vt:lpstr>'P&amp;L'!Print_Area</vt:lpstr>
      <vt:lpstr>'P&amp;L Crib'!Print_Area</vt:lpstr>
      <vt:lpstr>'BS Crib'!Print_Titles</vt:lpstr>
      <vt:lpstr>'P&amp;L Crib'!Print_Titles</vt:lpstr>
    </vt:vector>
  </TitlesOfParts>
  <Company>Level 3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lynch</dc:creator>
  <cp:lastModifiedBy>Aniket Gupta</cp:lastModifiedBy>
  <cp:lastPrinted>2003-07-24T03:33:16Z</cp:lastPrinted>
  <dcterms:created xsi:type="dcterms:W3CDTF">2003-07-18T17:43:53Z</dcterms:created>
  <dcterms:modified xsi:type="dcterms:W3CDTF">2024-02-03T22:14:54Z</dcterms:modified>
</cp:coreProperties>
</file>