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0FAD3858-C66B-471B-87D1-68BDF9A35AAD}" xr6:coauthVersionLast="47" xr6:coauthVersionMax="47" xr10:uidLastSave="{00000000-0000-0000-0000-000000000000}"/>
  <bookViews>
    <workbookView xWindow="3348" yWindow="3348" windowWidth="17280" windowHeight="8880"/>
  </bookViews>
  <sheets>
    <sheet name="Data Entry Sheet" sheetId="1" r:id="rId1"/>
    <sheet name="Note 1 Automation" sheetId="2" r:id="rId2"/>
    <sheet name="BM Spreadsheet per Court Order" sheetId="3" r:id="rId3"/>
  </sheets>
  <externalReferences>
    <externalReference r:id="rId4"/>
  </externalReferences>
  <definedNames>
    <definedName name="_xlnm.Print_Area" localSheetId="0">'Data Entry Sheet'!$B$2:$I$41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C11" i="3"/>
  <c r="D11" i="3"/>
  <c r="H11" i="3" s="1"/>
  <c r="I11" i="3" s="1"/>
  <c r="J11" i="3" s="1"/>
  <c r="N11" i="3" s="1"/>
  <c r="R11" i="3" s="1"/>
  <c r="E11" i="3"/>
  <c r="F11" i="3"/>
  <c r="G11" i="3"/>
  <c r="K11" i="3" s="1"/>
  <c r="M11" i="3" s="1"/>
  <c r="L11" i="3"/>
  <c r="G24" i="3"/>
  <c r="Q24" i="3"/>
  <c r="H24" i="3"/>
  <c r="I24" i="3"/>
  <c r="J24" i="3" s="1"/>
  <c r="N24" i="3" s="1"/>
  <c r="R24" i="3" s="1"/>
  <c r="S24" i="3" s="1"/>
  <c r="T24" i="3" s="1"/>
  <c r="U24" i="3" s="1"/>
  <c r="K24" i="3"/>
  <c r="M24" i="3"/>
  <c r="O24" i="3"/>
  <c r="P24" i="3"/>
  <c r="G23" i="3"/>
  <c r="K23" i="3" s="1"/>
  <c r="M23" i="3" s="1"/>
  <c r="H23" i="3"/>
  <c r="O23" i="3"/>
  <c r="P23" i="3" s="1"/>
  <c r="G22" i="3"/>
  <c r="Q22" i="3"/>
  <c r="H22" i="3"/>
  <c r="I22" i="3" s="1"/>
  <c r="J22" i="3" s="1"/>
  <c r="N22" i="3" s="1"/>
  <c r="R22" i="3" s="1"/>
  <c r="K22" i="3"/>
  <c r="M22" i="3" s="1"/>
  <c r="O22" i="3"/>
  <c r="P22" i="3"/>
  <c r="G21" i="3"/>
  <c r="Q21" i="3"/>
  <c r="H21" i="3"/>
  <c r="I21" i="3"/>
  <c r="J21" i="3"/>
  <c r="K21" i="3"/>
  <c r="M21" i="3" s="1"/>
  <c r="O21" i="3"/>
  <c r="P21" i="3"/>
  <c r="G20" i="3"/>
  <c r="Q20" i="3"/>
  <c r="H20" i="3"/>
  <c r="I20" i="3"/>
  <c r="J20" i="3" s="1"/>
  <c r="N20" i="3" s="1"/>
  <c r="R20" i="3" s="1"/>
  <c r="S20" i="3" s="1"/>
  <c r="T20" i="3" s="1"/>
  <c r="U20" i="3" s="1"/>
  <c r="K20" i="3"/>
  <c r="M20" i="3"/>
  <c r="O20" i="3"/>
  <c r="P20" i="3"/>
  <c r="G19" i="3"/>
  <c r="K19" i="3" s="1"/>
  <c r="M19" i="3" s="1"/>
  <c r="H19" i="3"/>
  <c r="O19" i="3"/>
  <c r="P19" i="3" s="1"/>
  <c r="G18" i="3"/>
  <c r="Q18" i="3"/>
  <c r="H18" i="3"/>
  <c r="I18" i="3" s="1"/>
  <c r="J18" i="3" s="1"/>
  <c r="N18" i="3" s="1"/>
  <c r="R18" i="3" s="1"/>
  <c r="K18" i="3"/>
  <c r="M18" i="3" s="1"/>
  <c r="O18" i="3"/>
  <c r="P18" i="3"/>
  <c r="G17" i="3"/>
  <c r="Q17" i="3"/>
  <c r="H17" i="3"/>
  <c r="I17" i="3"/>
  <c r="J17" i="3"/>
  <c r="N17" i="3" s="1"/>
  <c r="R17" i="3" s="1"/>
  <c r="S17" i="3" s="1"/>
  <c r="T17" i="3" s="1"/>
  <c r="U17" i="3" s="1"/>
  <c r="K17" i="3"/>
  <c r="M17" i="3" s="1"/>
  <c r="O17" i="3"/>
  <c r="P17" i="3"/>
  <c r="G16" i="3"/>
  <c r="Q16" i="3"/>
  <c r="H16" i="3"/>
  <c r="I16" i="3"/>
  <c r="J16" i="3" s="1"/>
  <c r="N16" i="3" s="1"/>
  <c r="R16" i="3" s="1"/>
  <c r="S16" i="3" s="1"/>
  <c r="T16" i="3" s="1"/>
  <c r="U16" i="3" s="1"/>
  <c r="K16" i="3"/>
  <c r="M16" i="3"/>
  <c r="O16" i="3"/>
  <c r="P16" i="3"/>
  <c r="G15" i="3"/>
  <c r="Q15" i="3" s="1"/>
  <c r="H15" i="3"/>
  <c r="O15" i="3"/>
  <c r="P15" i="3" s="1"/>
  <c r="G14" i="3"/>
  <c r="Q14" i="3"/>
  <c r="H14" i="3"/>
  <c r="I14" i="3" s="1"/>
  <c r="J14" i="3" s="1"/>
  <c r="K14" i="3"/>
  <c r="M14" i="3" s="1"/>
  <c r="O14" i="3"/>
  <c r="P14" i="3"/>
  <c r="G13" i="3"/>
  <c r="Q13" i="3"/>
  <c r="H13" i="3"/>
  <c r="I13" i="3"/>
  <c r="J13" i="3"/>
  <c r="N13" i="3" s="1"/>
  <c r="R13" i="3" s="1"/>
  <c r="S13" i="3" s="1"/>
  <c r="T13" i="3" s="1"/>
  <c r="U13" i="3" s="1"/>
  <c r="K13" i="3"/>
  <c r="M13" i="3" s="1"/>
  <c r="O13" i="3"/>
  <c r="P13" i="3"/>
  <c r="G12" i="3"/>
  <c r="Q12" i="3"/>
  <c r="H12" i="3"/>
  <c r="I12" i="3"/>
  <c r="J12" i="3" s="1"/>
  <c r="N12" i="3" s="1"/>
  <c r="R12" i="3" s="1"/>
  <c r="S12" i="3" s="1"/>
  <c r="T12" i="3" s="1"/>
  <c r="U12" i="3" s="1"/>
  <c r="K12" i="3"/>
  <c r="M12" i="3"/>
  <c r="O12" i="3"/>
  <c r="P12" i="3"/>
  <c r="Q11" i="3"/>
  <c r="O11" i="3"/>
  <c r="P11" i="3"/>
  <c r="F10" i="1"/>
  <c r="N14" i="3" l="1"/>
  <c r="R14" i="3" s="1"/>
  <c r="N21" i="3"/>
  <c r="R21" i="3" s="1"/>
  <c r="S21" i="3" s="1"/>
  <c r="T21" i="3" s="1"/>
  <c r="U21" i="3" s="1"/>
  <c r="S22" i="3"/>
  <c r="T22" i="3" s="1"/>
  <c r="U22" i="3" s="1"/>
  <c r="S11" i="3"/>
  <c r="T11" i="3" s="1"/>
  <c r="U11" i="3" s="1"/>
  <c r="G32" i="1" s="1"/>
  <c r="G36" i="1" s="1"/>
  <c r="S14" i="3"/>
  <c r="T14" i="3" s="1"/>
  <c r="U14" i="3" s="1"/>
  <c r="S18" i="3"/>
  <c r="T18" i="3" s="1"/>
  <c r="U18" i="3" s="1"/>
  <c r="I15" i="3"/>
  <c r="J15" i="3" s="1"/>
  <c r="N15" i="3" s="1"/>
  <c r="R15" i="3" s="1"/>
  <c r="S15" i="3" s="1"/>
  <c r="T15" i="3" s="1"/>
  <c r="U15" i="3" s="1"/>
  <c r="I23" i="3"/>
  <c r="J23" i="3" s="1"/>
  <c r="N23" i="3" s="1"/>
  <c r="R23" i="3" s="1"/>
  <c r="K15" i="3"/>
  <c r="M15" i="3" s="1"/>
  <c r="I19" i="3"/>
  <c r="J19" i="3" s="1"/>
  <c r="N19" i="3" s="1"/>
  <c r="R19" i="3" s="1"/>
  <c r="Q19" i="3"/>
  <c r="Q23" i="3"/>
  <c r="S23" i="3" s="1"/>
  <c r="T23" i="3" s="1"/>
  <c r="U23" i="3" s="1"/>
  <c r="S19" i="3" l="1"/>
  <c r="T19" i="3" s="1"/>
  <c r="U19" i="3" s="1"/>
</calcChain>
</file>

<file path=xl/sharedStrings.xml><?xml version="1.0" encoding="utf-8"?>
<sst xmlns="http://schemas.openxmlformats.org/spreadsheetml/2006/main" count="138" uniqueCount="138">
  <si>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</si>
  <si>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</si>
  <si>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</si>
  <si>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</si>
  <si>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</si>
  <si>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</si>
  <si>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</si>
  <si>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</si>
  <si>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</si>
  <si>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</si>
  <si>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J1</t>
  </si>
  <si>
    <t>K</t>
  </si>
  <si>
    <t>K1</t>
  </si>
  <si>
    <t>L</t>
  </si>
  <si>
    <t>M</t>
  </si>
  <si>
    <t>N</t>
  </si>
  <si>
    <t>O</t>
  </si>
  <si>
    <t>P</t>
  </si>
  <si>
    <t>Q</t>
  </si>
  <si>
    <t>R</t>
  </si>
  <si>
    <t>S</t>
  </si>
  <si>
    <t>Maximum Theoretical IDC Dilution Caused by Other Fed Funds in IDC Base</t>
  </si>
  <si>
    <t>Other Fed Agencies IDC Amount under OMB A-87</t>
  </si>
  <si>
    <t>Actual IDC Collections from Other Fed Agencies which Must be Credited to Prevent Double Recovery</t>
  </si>
  <si>
    <t>Actual Other Fed Agencies IDC Shortfall</t>
  </si>
  <si>
    <t>Actual IDC Dilution Caused by Other Fed Funds in IDC Base</t>
  </si>
  <si>
    <t>Benchmarking Ratio BIA Funds in IDC Base/Total of Federal Funds in IDC Base</t>
  </si>
  <si>
    <t>BIA IDC Amount under OMB A-87 before Ramah/Bench-
marking Adjustment</t>
  </si>
  <si>
    <t>Benchmarking Adjustment: Net Additional BIA IDC Required to Offset Rate Dilution Caused by Other Fed Agencies in Base</t>
  </si>
  <si>
    <t>B/(C+D+E+F)</t>
  </si>
  <si>
    <t>B/(C+D+F)</t>
  </si>
  <si>
    <t>H-G</t>
  </si>
  <si>
    <t>I*C</t>
  </si>
  <si>
    <t>E*G</t>
  </si>
  <si>
    <r>
      <t>Actual Recoveries</t>
    </r>
    <r>
      <rPr>
        <b/>
        <sz val="10"/>
        <rFont val="Arial"/>
        <family val="2"/>
      </rPr>
      <t xml:space="preserve">
Examples Hypothetical</t>
    </r>
  </si>
  <si>
    <t>J1-K</t>
  </si>
  <si>
    <t>K1;J IF K1&gt;J</t>
  </si>
  <si>
    <t>See Note 1
C/(C+E+F)</t>
  </si>
  <si>
    <t>**See Note 1 **</t>
  </si>
  <si>
    <t>G*C</t>
  </si>
  <si>
    <t>L*N</t>
  </si>
  <si>
    <t>O+P</t>
  </si>
  <si>
    <t>(Q/O)*G</t>
  </si>
  <si>
    <t>R-G</t>
  </si>
  <si>
    <t>Your Info</t>
  </si>
  <si>
    <t>Example1</t>
  </si>
  <si>
    <t>Example2</t>
  </si>
  <si>
    <t>Example3</t>
  </si>
  <si>
    <t>Example4</t>
  </si>
  <si>
    <t>Example5</t>
  </si>
  <si>
    <t>Example6</t>
  </si>
  <si>
    <t>Example7</t>
  </si>
  <si>
    <t>Example8</t>
  </si>
  <si>
    <t>Example9</t>
  </si>
  <si>
    <t>Example10</t>
  </si>
  <si>
    <t>Example11</t>
  </si>
  <si>
    <t>Example12</t>
  </si>
  <si>
    <t>Example13</t>
  </si>
  <si>
    <t>Note 1:</t>
  </si>
  <si>
    <t>Benchmarking percentage calculation (Column M):</t>
  </si>
  <si>
    <t>If M=0 then N=0%</t>
  </si>
  <si>
    <r>
      <t>If 1&lt;M</t>
    </r>
    <r>
      <rPr>
        <sz val="10"/>
        <rFont val="Symbol"/>
        <family val="1"/>
        <charset val="2"/>
      </rPr>
      <t>&lt;=</t>
    </r>
    <r>
      <rPr>
        <sz val="10"/>
        <rFont val="Arial"/>
      </rPr>
      <t>5 then N=5%</t>
    </r>
  </si>
  <si>
    <t>If 50&lt;M&lt;=55 then N=55%</t>
  </si>
  <si>
    <t>If 5&lt;M&lt;=10 then N=10%</t>
  </si>
  <si>
    <t>If 55&lt;M&lt;=60 then N=60%</t>
  </si>
  <si>
    <t>If 10&lt;M&lt;=15 then N=15%</t>
  </si>
  <si>
    <t>If 60&lt;M&lt;=65 then N=65%</t>
  </si>
  <si>
    <t>If 15&lt;M&lt;=20 then N=20%</t>
  </si>
  <si>
    <t>If 65&lt;M&lt;=70 then N=70%</t>
  </si>
  <si>
    <t>If 20&lt;M&lt;=25 then N=25%</t>
  </si>
  <si>
    <t>If 70&lt;M&lt;=75 then N=75%</t>
  </si>
  <si>
    <t xml:space="preserve"> 1:</t>
  </si>
  <si>
    <t>If 25&lt;M&lt;=30 then N=30%</t>
  </si>
  <si>
    <t>If 75&lt;M&lt;=80 then N=80%</t>
  </si>
  <si>
    <t>If 30&lt;M&lt;=35 then N=35%</t>
  </si>
  <si>
    <t>If 80&lt;M&lt;=85 then N=85%</t>
  </si>
  <si>
    <t>If 35&lt;M&lt;=40 then N=40%</t>
  </si>
  <si>
    <t>If 85&lt;M&lt;=90 then N=90%</t>
  </si>
  <si>
    <t>If 40&lt;M&lt;=45 then N=45%</t>
  </si>
  <si>
    <t>If 90&lt;M&lt;=95 then N=95%</t>
  </si>
  <si>
    <t>If 45&lt;M&lt;=50 then N=50%</t>
  </si>
  <si>
    <t>If 95&lt;M&lt;=100 then N=100%</t>
  </si>
  <si>
    <t>Benchmarking for BIA Public Law 93-638 Programs</t>
  </si>
  <si>
    <t>Organization:</t>
  </si>
  <si>
    <t>Date:</t>
  </si>
  <si>
    <t xml:space="preserve">Finalizing Year: </t>
  </si>
  <si>
    <r>
      <t>Enter information as appropriate. 
Complete yellow cells and enter data into cells with "</t>
    </r>
    <r>
      <rPr>
        <sz val="10"/>
        <color indexed="12"/>
        <rFont val="Arial"/>
        <family val="2"/>
      </rPr>
      <t>blue O's</t>
    </r>
    <r>
      <rPr>
        <sz val="10"/>
        <color indexed="10"/>
        <rFont val="Arial"/>
        <family val="2"/>
      </rPr>
      <t>" 
   in order to calculate correct rates.
Enter a zero if not applicable.</t>
    </r>
  </si>
  <si>
    <t>Actual IDC collections from other federal agencies, which 
  must be credited to prevent double recovery</t>
  </si>
  <si>
    <t>Results of Court-Ordered Benchmarking Spreadsheet:</t>
  </si>
  <si>
    <t>Data Entered into Court Ordered Benchmarking Spreadsheet:</t>
  </si>
  <si>
    <t>Accepted IDC Rate Under Benchmarking for BIA Programs</t>
  </si>
  <si>
    <t>Net increase in BIA IDC rate under benchmarking</t>
  </si>
  <si>
    <t>Actual IDC Pool Reconcilable to Audited Financial Statements</t>
  </si>
  <si>
    <t>Actual BIA IDC Base Reconcilable to Audited Financial Statements</t>
  </si>
  <si>
    <t>Actual Non-Fed Funds in IDC Base (Tribal, State, Private) Reconcilable to Audited Financial Statements</t>
  </si>
  <si>
    <t>Actual IHS Funds in IDC Base Reconcilable to Audited Financial Statements</t>
  </si>
  <si>
    <t>Difference Between H and G Rates</t>
  </si>
  <si>
    <t xml:space="preserve">Adjusted IDC Rate Reflecting Excl. of other Fed Funds from IDC Base per 10th Circuit's Ruling; Pure Ramah Adjusted Rate </t>
  </si>
  <si>
    <t>Benchmarking Percentage Adjustment of Column J to Reflect Degree of Inelasticity Attributable to Operation of BIA Programs and to Avoid Violation of Sec 113, P.L. 106-113</t>
  </si>
  <si>
    <t>Another Step in the Calculation Producing the Column S Benchmarking Adjustment</t>
  </si>
  <si>
    <t>Another Step in the Calculation Producing the Column S Benchmarking Adjustment (See Note 3)</t>
  </si>
  <si>
    <t xml:space="preserve">Note 2: </t>
  </si>
  <si>
    <t>For provisional final rate contractors,</t>
  </si>
  <si>
    <t xml:space="preserve">Column G shows the final standard </t>
  </si>
  <si>
    <t>indirect cost rate before addition of the</t>
  </si>
  <si>
    <t xml:space="preserve">Column S.  For contractors using fixed </t>
  </si>
  <si>
    <t>with carry-forward rates, Column G</t>
  </si>
  <si>
    <t>shows a recalculated rate used to</t>
  </si>
  <si>
    <t>compute the Column S benchmarking</t>
  </si>
  <si>
    <t>adjustment.</t>
  </si>
  <si>
    <t>Note 3:</t>
  </si>
  <si>
    <t>Column R shows the benchmarked final rate</t>
  </si>
  <si>
    <t xml:space="preserve">for provisional/final contractors obtained by </t>
  </si>
  <si>
    <t>adding the Column S percentage to the</t>
  </si>
  <si>
    <t>Column G percentage.  Column R is a step in</t>
  </si>
  <si>
    <t>the calculation producing the Column S</t>
  </si>
  <si>
    <t>benchmarking adjustment to be used for</t>
  </si>
  <si>
    <t>forward rates.</t>
  </si>
  <si>
    <t xml:space="preserve">contractors which have fixed with carry- </t>
  </si>
  <si>
    <t>Note 4:</t>
  </si>
  <si>
    <t>The benchmarked percentage increase to be added</t>
  </si>
  <si>
    <t xml:space="preserve">to the standard IDC rate to be used for BIA </t>
  </si>
  <si>
    <t>programs (1) for contractors using fixed with carry-</t>
  </si>
  <si>
    <t>forward rates per Paragraph 6 of the Third Stipulated</t>
  </si>
  <si>
    <t>Order; and (2) for contractors using provisional/final</t>
  </si>
  <si>
    <t>rates per Peragraph 2 of the Second Stipulated</t>
  </si>
  <si>
    <t>Order (August 5, 2002).</t>
  </si>
  <si>
    <t>Actual BIA IDC base reconcilable to audited Financial Statements</t>
  </si>
  <si>
    <t>(Based on Equitable Relief Orders from the United States District Court of New Mexico,      filed June 1, 2001, August 5, 2002, and June 11, 2003)</t>
  </si>
  <si>
    <t>Actual other federal funds in IDC base (excludes BIA and IHS) 
  reconcilable to audited Financial Statements</t>
  </si>
  <si>
    <t>Actual IHS funds in IDC base reconcilable to audited Financial
  Statements</t>
  </si>
  <si>
    <t>Actual indirect cost (IDC) pool reconcilable to audited Financial 
  Statements</t>
  </si>
  <si>
    <t>Actual Other Fed Funds in IDC Base (Excludes BIA and IHS) Reconcilable to Audited Financial Statements</t>
  </si>
  <si>
    <t>IDC Rate Per OMB Circular A-87 Using Expenditures Reconcilable to Audited Financial Data (See Note 2)</t>
  </si>
  <si>
    <t>Net Increase in BIA IDC Rate Under Benchmarking (See Note 4)</t>
  </si>
  <si>
    <t xml:space="preserve">benchmarking adjustment shown in   </t>
  </si>
  <si>
    <t>Actual non-federal funds in IDC base (tribal, state, private)
  reconcilable to audited Financial Statements</t>
  </si>
  <si>
    <t xml:space="preserve">Accepted  Standard IDC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</si>
</sst>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%"/>
    <numFmt numFmtId="165" formatCode="mmmm\ d\,\ yyyy"/>
    <numFmt numFmtId="166" formatCode="&quot;$&quot;#,##0"/>
  </numFmts>
  <fonts count="2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12"/>
      <color indexed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3" fontId="0" fillId="0" borderId="0"/>
    <xf numFmtId="9" fontId="1" fillId="0" borderId="0" applyFont="0" applyFill="0" applyBorder="0" applyAlignment="0" applyProtection="0"/>
  </cellStyleXfs>
  <cellXfs count="102">
    <xf numFmtId="3" fontId="0" fillId="0" borderId="0" xfId="0"/>
    <xf numFmtId="3" fontId="2" fillId="0" borderId="0" xfId="0" applyFont="1" applyAlignment="1">
      <alignment horizontal="center"/>
    </xf>
    <xf numFmtId="3" fontId="0" fillId="0" borderId="0" xfId="0" applyAlignment="1">
      <alignment horizontal="center" vertical="center" wrapText="1"/>
    </xf>
    <xf numFmtId="3" fontId="3" fillId="0" borderId="0" xfId="0" applyFont="1"/>
    <xf numFmtId="3" fontId="3" fillId="0" borderId="0" xfId="0" applyFont="1" applyAlignment="1">
      <alignment horizontal="center" vertical="center" wrapText="1"/>
    </xf>
    <xf numFmtId="3" fontId="4" fillId="0" borderId="0" xfId="0" applyFont="1" applyAlignment="1">
      <alignment wrapText="1"/>
    </xf>
    <xf numFmtId="3" fontId="5" fillId="0" borderId="0" xfId="0" applyFont="1"/>
    <xf numFmtId="3" fontId="5" fillId="2" borderId="0" xfId="0" applyNumberFormat="1" applyFont="1" applyFill="1"/>
    <xf numFmtId="10" fontId="5" fillId="0" borderId="0" xfId="1" applyNumberFormat="1" applyFont="1"/>
    <xf numFmtId="164" fontId="5" fillId="0" borderId="0" xfId="0" applyNumberFormat="1" applyFont="1"/>
    <xf numFmtId="3" fontId="5" fillId="0" borderId="0" xfId="0" applyNumberFormat="1" applyFont="1"/>
    <xf numFmtId="9" fontId="5" fillId="0" borderId="0" xfId="1" applyFont="1"/>
    <xf numFmtId="4" fontId="5" fillId="0" borderId="0" xfId="0" applyNumberFormat="1" applyFont="1"/>
    <xf numFmtId="10" fontId="5" fillId="3" borderId="0" xfId="0" applyNumberFormat="1" applyFont="1" applyFill="1"/>
    <xf numFmtId="3" fontId="0" fillId="2" borderId="0" xfId="0" applyNumberFormat="1" applyFill="1"/>
    <xf numFmtId="10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9" fontId="0" fillId="0" borderId="0" xfId="1" applyFont="1"/>
    <xf numFmtId="4" fontId="0" fillId="0" borderId="0" xfId="0" applyNumberFormat="1"/>
    <xf numFmtId="10" fontId="0" fillId="3" borderId="0" xfId="0" applyNumberFormat="1" applyFill="1"/>
    <xf numFmtId="10" fontId="0" fillId="0" borderId="0" xfId="0" applyNumberFormat="1"/>
    <xf numFmtId="3" fontId="7" fillId="0" borderId="0" xfId="0" applyFont="1"/>
    <xf numFmtId="3" fontId="0" fillId="0" borderId="1" xfId="0" applyBorder="1"/>
    <xf numFmtId="3" fontId="0" fillId="0" borderId="2" xfId="0" applyBorder="1"/>
    <xf numFmtId="3" fontId="0" fillId="0" borderId="3" xfId="0" applyBorder="1"/>
    <xf numFmtId="3" fontId="0" fillId="0" borderId="4" xfId="0" applyBorder="1"/>
    <xf numFmtId="3" fontId="0" fillId="0" borderId="5" xfId="0" applyBorder="1"/>
    <xf numFmtId="3" fontId="0" fillId="0" borderId="6" xfId="0" applyBorder="1"/>
    <xf numFmtId="3" fontId="0" fillId="0" borderId="7" xfId="0" applyBorder="1"/>
    <xf numFmtId="3" fontId="0" fillId="0" borderId="8" xfId="0" applyBorder="1" applyAlignment="1"/>
    <xf numFmtId="3" fontId="0" fillId="0" borderId="9" xfId="0" applyBorder="1"/>
    <xf numFmtId="3" fontId="0" fillId="0" borderId="10" xfId="0" applyBorder="1" applyAlignment="1"/>
    <xf numFmtId="3" fontId="0" fillId="0" borderId="0" xfId="0" applyBorder="1"/>
    <xf numFmtId="3" fontId="8" fillId="0" borderId="0" xfId="0" applyFont="1" applyBorder="1"/>
    <xf numFmtId="3" fontId="0" fillId="0" borderId="10" xfId="0" applyBorder="1"/>
    <xf numFmtId="3" fontId="0" fillId="0" borderId="8" xfId="0" applyBorder="1"/>
    <xf numFmtId="3" fontId="10" fillId="0" borderId="4" xfId="0" applyFont="1" applyBorder="1"/>
    <xf numFmtId="3" fontId="10" fillId="0" borderId="9" xfId="0" applyFont="1" applyBorder="1"/>
    <xf numFmtId="3" fontId="2" fillId="0" borderId="0" xfId="0" applyFont="1" applyBorder="1"/>
    <xf numFmtId="3" fontId="12" fillId="0" borderId="10" xfId="0" applyFont="1" applyFill="1" applyBorder="1" applyAlignment="1" applyProtection="1">
      <alignment wrapText="1"/>
      <protection locked="0"/>
    </xf>
    <xf numFmtId="3" fontId="10" fillId="0" borderId="8" xfId="0" applyFont="1" applyBorder="1"/>
    <xf numFmtId="3" fontId="10" fillId="0" borderId="0" xfId="0" applyFont="1" applyBorder="1"/>
    <xf numFmtId="3" fontId="10" fillId="0" borderId="10" xfId="0" applyFont="1" applyFill="1" applyBorder="1"/>
    <xf numFmtId="3" fontId="2" fillId="0" borderId="8" xfId="0" applyFont="1" applyBorder="1"/>
    <xf numFmtId="165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/>
    <xf numFmtId="3" fontId="13" fillId="0" borderId="10" xfId="0" applyFont="1" applyFill="1" applyBorder="1" applyAlignment="1">
      <alignment wrapText="1"/>
    </xf>
    <xf numFmtId="3" fontId="0" fillId="0" borderId="10" xfId="0" applyFill="1" applyBorder="1"/>
    <xf numFmtId="3" fontId="14" fillId="0" borderId="0" xfId="0" applyFont="1" applyBorder="1"/>
    <xf numFmtId="166" fontId="9" fillId="0" borderId="10" xfId="0" applyNumberFormat="1" applyFont="1" applyFill="1" applyBorder="1" applyProtection="1">
      <protection locked="0"/>
    </xf>
    <xf numFmtId="3" fontId="9" fillId="0" borderId="10" xfId="0" applyNumberFormat="1" applyFont="1" applyFill="1" applyBorder="1" applyProtection="1">
      <protection locked="0"/>
    </xf>
    <xf numFmtId="3" fontId="9" fillId="0" borderId="10" xfId="0" applyNumberFormat="1" applyFont="1" applyFill="1" applyBorder="1"/>
    <xf numFmtId="10" fontId="14" fillId="0" borderId="10" xfId="0" applyNumberFormat="1" applyFont="1" applyFill="1" applyBorder="1" applyProtection="1">
      <protection hidden="1"/>
    </xf>
    <xf numFmtId="3" fontId="0" fillId="0" borderId="11" xfId="0" applyBorder="1"/>
    <xf numFmtId="3" fontId="0" fillId="0" borderId="12" xfId="0" applyBorder="1"/>
    <xf numFmtId="3" fontId="9" fillId="0" borderId="12" xfId="0" applyFont="1" applyBorder="1" applyAlignment="1">
      <alignment wrapText="1"/>
    </xf>
    <xf numFmtId="10" fontId="14" fillId="0" borderId="13" xfId="0" applyNumberFormat="1" applyFont="1" applyFill="1" applyBorder="1" applyProtection="1">
      <protection hidden="1"/>
    </xf>
    <xf numFmtId="3" fontId="0" fillId="0" borderId="14" xfId="0" applyBorder="1"/>
    <xf numFmtId="3" fontId="0" fillId="0" borderId="15" xfId="0" applyBorder="1"/>
    <xf numFmtId="3" fontId="0" fillId="0" borderId="16" xfId="0" applyBorder="1"/>
    <xf numFmtId="3" fontId="10" fillId="0" borderId="0" xfId="0" applyFont="1"/>
    <xf numFmtId="3" fontId="5" fillId="2" borderId="0" xfId="0" quotePrefix="1" applyNumberFormat="1" applyFont="1" applyFill="1"/>
    <xf numFmtId="0" fontId="0" fillId="0" borderId="0" xfId="0" applyNumberFormat="1"/>
    <xf numFmtId="3" fontId="16" fillId="0" borderId="0" xfId="0" applyFont="1"/>
    <xf numFmtId="3" fontId="16" fillId="0" borderId="0" xfId="0" applyFont="1" applyBorder="1" applyAlignment="1">
      <alignment wrapText="1"/>
    </xf>
    <xf numFmtId="3" fontId="16" fillId="0" borderId="0" xfId="0" applyFont="1" applyBorder="1" applyAlignment="1"/>
    <xf numFmtId="3" fontId="16" fillId="0" borderId="0" xfId="0" applyFont="1" applyBorder="1"/>
    <xf numFmtId="3" fontId="16" fillId="0" borderId="0" xfId="0" applyFont="1" applyBorder="1" applyAlignment="1">
      <alignment horizontal="right"/>
    </xf>
    <xf numFmtId="3" fontId="16" fillId="0" borderId="0" xfId="0" applyFont="1" applyBorder="1" applyAlignment="1">
      <alignment vertical="center" wrapText="1"/>
    </xf>
    <xf numFmtId="166" fontId="17" fillId="0" borderId="0" xfId="0" applyNumberFormat="1" applyFont="1"/>
    <xf numFmtId="3" fontId="17" fillId="0" borderId="0" xfId="0" applyFont="1"/>
    <xf numFmtId="1" fontId="0" fillId="4" borderId="0" xfId="0" applyNumberFormat="1" applyFill="1" applyBorder="1" applyAlignment="1" applyProtection="1">
      <alignment horizontal="right"/>
      <protection locked="0"/>
    </xf>
    <xf numFmtId="3" fontId="16" fillId="0" borderId="0" xfId="0" applyFont="1" applyAlignment="1"/>
    <xf numFmtId="3" fontId="18" fillId="0" borderId="0" xfId="0" applyFont="1" applyBorder="1"/>
    <xf numFmtId="3" fontId="18" fillId="0" borderId="0" xfId="0" applyFont="1" applyBorder="1" applyAlignment="1"/>
    <xf numFmtId="0" fontId="3" fillId="2" borderId="0" xfId="0" applyNumberFormat="1" applyFont="1" applyFill="1" applyBorder="1" applyAlignment="1" applyProtection="1">
      <alignment horizontal="center"/>
      <protection locked="0"/>
    </xf>
    <xf numFmtId="10" fontId="16" fillId="0" borderId="0" xfId="0" applyNumberFormat="1" applyFont="1" applyBorder="1" applyAlignment="1">
      <alignment horizontal="right"/>
    </xf>
    <xf numFmtId="10" fontId="18" fillId="0" borderId="17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3" fontId="18" fillId="0" borderId="0" xfId="0" applyFont="1" applyBorder="1" applyAlignment="1">
      <alignment wrapText="1"/>
    </xf>
    <xf numFmtId="3" fontId="19" fillId="0" borderId="0" xfId="0" applyFont="1" applyAlignment="1">
      <alignment wrapText="1"/>
    </xf>
    <xf numFmtId="10" fontId="18" fillId="0" borderId="0" xfId="0" applyNumberFormat="1" applyFont="1" applyBorder="1" applyAlignment="1">
      <alignment horizontal="right"/>
    </xf>
    <xf numFmtId="3" fontId="20" fillId="0" borderId="0" xfId="0" applyFont="1"/>
    <xf numFmtId="3" fontId="0" fillId="0" borderId="0" xfId="0" applyAlignment="1">
      <alignment horizontal="right"/>
    </xf>
    <xf numFmtId="10" fontId="5" fillId="0" borderId="0" xfId="0" applyNumberFormat="1" applyFont="1" applyFill="1"/>
    <xf numFmtId="10" fontId="0" fillId="0" borderId="0" xfId="0" applyNumberFormat="1" applyFill="1"/>
    <xf numFmtId="3" fontId="16" fillId="0" borderId="0" xfId="0" applyFont="1" applyBorder="1" applyAlignment="1">
      <alignment wrapText="1"/>
    </xf>
    <xf numFmtId="3" fontId="16" fillId="0" borderId="0" xfId="0" applyFont="1" applyBorder="1" applyAlignment="1"/>
    <xf numFmtId="3" fontId="16" fillId="0" borderId="0" xfId="0" applyFont="1" applyBorder="1" applyAlignment="1">
      <alignment vertical="center" wrapText="1"/>
    </xf>
    <xf numFmtId="3" fontId="18" fillId="0" borderId="0" xfId="0" applyFont="1" applyBorder="1" applyAlignment="1">
      <alignment wrapText="1"/>
    </xf>
    <xf numFmtId="3" fontId="19" fillId="0" borderId="0" xfId="0" applyFont="1" applyAlignment="1">
      <alignment wrapText="1"/>
    </xf>
    <xf numFmtId="3" fontId="18" fillId="0" borderId="0" xfId="0" applyFont="1" applyBorder="1" applyAlignment="1">
      <alignment horizontal="left" wrapText="1"/>
    </xf>
    <xf numFmtId="3" fontId="19" fillId="0" borderId="0" xfId="0" applyFont="1" applyAlignment="1"/>
    <xf numFmtId="3" fontId="5" fillId="0" borderId="0" xfId="0" applyFont="1" applyBorder="1" applyAlignment="1">
      <alignment wrapText="1"/>
    </xf>
    <xf numFmtId="3" fontId="8" fillId="0" borderId="0" xfId="0" applyFont="1" applyBorder="1" applyAlignment="1">
      <alignment horizontal="center"/>
    </xf>
    <xf numFmtId="3" fontId="0" fillId="0" borderId="0" xfId="0" applyBorder="1" applyAlignment="1"/>
    <xf numFmtId="3" fontId="11" fillId="2" borderId="0" xfId="0" applyFont="1" applyFill="1" applyBorder="1" applyAlignment="1" applyProtection="1">
      <alignment wrapText="1"/>
      <protection locked="0"/>
    </xf>
    <xf numFmtId="3" fontId="12" fillId="2" borderId="0" xfId="0" applyFont="1" applyFill="1" applyBorder="1" applyAlignment="1" applyProtection="1">
      <alignment wrapText="1"/>
      <protection locked="0"/>
    </xf>
    <xf numFmtId="3" fontId="9" fillId="0" borderId="0" xfId="0" applyFont="1" applyBorder="1" applyAlignment="1">
      <alignment horizontal="center" wrapText="1"/>
    </xf>
    <xf numFmtId="3" fontId="9" fillId="0" borderId="0" xfId="0" applyFont="1" applyAlignment="1">
      <alignment horizontal="center" wrapText="1"/>
    </xf>
    <xf numFmtId="3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REXTDOC\@REFER\Spreadsheets\RamahBenchmar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Entry Sheet"/>
      <sheetName val="Note 1 Automation"/>
      <sheetName val="BM Spreadsheet per Court Order"/>
    </sheetNames>
    <sheetDataSet>
      <sheetData sheetId="0"/>
      <sheetData sheetId="1">
        <row r="1">
          <cell r="A1">
            <v>0</v>
          </cell>
          <cell r="B1">
            <v>0</v>
          </cell>
        </row>
        <row r="2">
          <cell r="A2">
            <v>0.01</v>
          </cell>
          <cell r="B2">
            <v>0.05</v>
          </cell>
        </row>
        <row r="3">
          <cell r="A3">
            <v>5.0999999999999997E-2</v>
          </cell>
          <cell r="B3">
            <v>0.1</v>
          </cell>
        </row>
        <row r="4">
          <cell r="A4">
            <v>0.10100000000000001</v>
          </cell>
          <cell r="B4">
            <v>0.15</v>
          </cell>
        </row>
        <row r="5">
          <cell r="A5">
            <v>0.151</v>
          </cell>
          <cell r="B5">
            <v>0.2</v>
          </cell>
        </row>
        <row r="6">
          <cell r="A6">
            <v>0.20100000000000001</v>
          </cell>
          <cell r="B6">
            <v>0.25</v>
          </cell>
        </row>
        <row r="7">
          <cell r="A7">
            <v>0.251</v>
          </cell>
          <cell r="B7">
            <v>0.3</v>
          </cell>
        </row>
        <row r="8">
          <cell r="A8">
            <v>0.30099999999999999</v>
          </cell>
          <cell r="B8">
            <v>0.35</v>
          </cell>
        </row>
        <row r="9">
          <cell r="A9">
            <v>0.35099999999999998</v>
          </cell>
          <cell r="B9">
            <v>0.4</v>
          </cell>
        </row>
        <row r="10">
          <cell r="A10">
            <v>0.40100000000000002</v>
          </cell>
          <cell r="B10">
            <v>0.45</v>
          </cell>
        </row>
        <row r="11">
          <cell r="A11">
            <v>0.45100000000000001</v>
          </cell>
          <cell r="B11">
            <v>0.5</v>
          </cell>
        </row>
        <row r="12">
          <cell r="A12">
            <v>0.501</v>
          </cell>
          <cell r="B12">
            <v>0.55000000000000004</v>
          </cell>
        </row>
        <row r="13">
          <cell r="A13">
            <v>0.55100000000000005</v>
          </cell>
          <cell r="B13">
            <v>0.6</v>
          </cell>
        </row>
        <row r="14">
          <cell r="A14">
            <v>0.60099999999999998</v>
          </cell>
          <cell r="B14">
            <v>0.65</v>
          </cell>
        </row>
        <row r="15">
          <cell r="A15">
            <v>0.65100000000000002</v>
          </cell>
          <cell r="B15">
            <v>0.7</v>
          </cell>
        </row>
        <row r="16">
          <cell r="A16">
            <v>0.70099999999999996</v>
          </cell>
          <cell r="B16">
            <v>0.75</v>
          </cell>
        </row>
        <row r="17">
          <cell r="A17">
            <v>0.751</v>
          </cell>
          <cell r="B17">
            <v>0.8</v>
          </cell>
        </row>
        <row r="18">
          <cell r="A18">
            <v>0.80100000000000005</v>
          </cell>
          <cell r="B18">
            <v>0.85</v>
          </cell>
        </row>
        <row r="19">
          <cell r="A19">
            <v>0.85099999999999998</v>
          </cell>
          <cell r="B19">
            <v>0.9</v>
          </cell>
        </row>
        <row r="20">
          <cell r="A20">
            <v>0.90100000000000002</v>
          </cell>
          <cell r="B20">
            <v>0.95</v>
          </cell>
        </row>
        <row r="21">
          <cell r="A21">
            <v>0.95099999999999996</v>
          </cell>
          <cell r="B21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workbookViewId="0">
      <selection activeCell="G18" sqref="G18"/>
    </sheetView>
  </sheetViews>
  <sheetFormatPr defaultRowHeight="13.2" x14ac:dyDescent="0.25"/>
  <cols>
    <col min="2" max="2" width="3.33203125" customWidth="1"/>
    <col min="3" max="4" width="3.5546875" customWidth="1"/>
    <col min="5" max="5" width="16.33203125" customWidth="1"/>
    <col min="6" max="6" width="50.33203125" customWidth="1"/>
    <col min="7" max="7" width="15.44140625" customWidth="1"/>
    <col min="8" max="8" width="3.5546875" customWidth="1"/>
    <col min="9" max="9" width="3.33203125" customWidth="1"/>
    <col min="10" max="10" width="12.5546875" customWidth="1"/>
  </cols>
  <sheetData>
    <row r="1" spans="1:9" ht="13.8" thickBot="1" x14ac:dyDescent="0.3"/>
    <row r="2" spans="1:9" ht="14.4" thickTop="1" thickBot="1" x14ac:dyDescent="0.3">
      <c r="B2" s="23"/>
      <c r="C2" s="24"/>
      <c r="D2" s="24"/>
      <c r="E2" s="24"/>
      <c r="F2" s="24"/>
      <c r="G2" s="24"/>
      <c r="H2" s="24"/>
      <c r="I2" s="25"/>
    </row>
    <row r="3" spans="1:9" x14ac:dyDescent="0.25">
      <c r="B3" s="26"/>
      <c r="C3" s="27"/>
      <c r="D3" s="28"/>
      <c r="E3" s="28"/>
      <c r="F3" s="28"/>
      <c r="G3" s="28"/>
      <c r="H3" s="29"/>
      <c r="I3" s="30"/>
    </row>
    <row r="4" spans="1:9" ht="17.399999999999999" x14ac:dyDescent="0.3">
      <c r="B4" s="26"/>
      <c r="C4" s="31"/>
      <c r="D4" s="33"/>
      <c r="E4" s="95" t="s">
        <v>82</v>
      </c>
      <c r="F4" s="96"/>
      <c r="G4" s="96"/>
      <c r="H4" s="32"/>
      <c r="I4" s="30"/>
    </row>
    <row r="5" spans="1:9" x14ac:dyDescent="0.25">
      <c r="B5" s="26"/>
      <c r="C5" s="31"/>
      <c r="D5" s="33"/>
      <c r="E5" s="99" t="s">
        <v>128</v>
      </c>
      <c r="F5" s="100"/>
      <c r="G5" s="100"/>
      <c r="H5" s="32"/>
      <c r="I5" s="30"/>
    </row>
    <row r="6" spans="1:9" x14ac:dyDescent="0.25">
      <c r="B6" s="26"/>
      <c r="C6" s="31"/>
      <c r="D6" s="33"/>
      <c r="E6" s="101"/>
      <c r="F6" s="101"/>
      <c r="G6" s="101"/>
      <c r="H6" s="32"/>
      <c r="I6" s="30"/>
    </row>
    <row r="7" spans="1:9" ht="17.399999999999999" x14ac:dyDescent="0.3">
      <c r="B7" s="26"/>
      <c r="C7" s="31"/>
      <c r="D7" s="33"/>
      <c r="E7" s="33"/>
      <c r="F7" s="34"/>
      <c r="G7" s="33"/>
      <c r="H7" s="35"/>
      <c r="I7" s="36"/>
    </row>
    <row r="8" spans="1:9" ht="15.6" x14ac:dyDescent="0.3">
      <c r="A8" s="61"/>
      <c r="B8" s="37"/>
      <c r="C8" s="38"/>
      <c r="D8" s="42"/>
      <c r="E8" s="39" t="s">
        <v>83</v>
      </c>
      <c r="F8" s="97"/>
      <c r="G8" s="98"/>
      <c r="H8" s="40"/>
      <c r="I8" s="41"/>
    </row>
    <row r="9" spans="1:9" ht="15.6" x14ac:dyDescent="0.3">
      <c r="A9" s="61"/>
      <c r="B9" s="37"/>
      <c r="C9" s="38"/>
      <c r="D9" s="42"/>
      <c r="E9" s="39"/>
      <c r="F9" s="42"/>
      <c r="G9" s="42"/>
      <c r="H9" s="43"/>
      <c r="I9" s="44"/>
    </row>
    <row r="10" spans="1:9" ht="15.6" x14ac:dyDescent="0.3">
      <c r="A10" s="61"/>
      <c r="B10" s="37"/>
      <c r="C10" s="38"/>
      <c r="D10" s="42"/>
      <c r="E10" s="39" t="s">
        <v>84</v>
      </c>
      <c r="F10" s="45">
        <f ca="1">NOW()</f>
        <v>45325.593729513887</v>
      </c>
      <c r="G10" s="42"/>
      <c r="H10" s="43"/>
      <c r="I10" s="41"/>
    </row>
    <row r="11" spans="1:9" ht="15.6" x14ac:dyDescent="0.3">
      <c r="A11" s="61"/>
      <c r="B11" s="37"/>
      <c r="C11" s="38"/>
      <c r="D11" s="42"/>
      <c r="E11" s="39"/>
      <c r="F11" s="46"/>
      <c r="G11" s="42"/>
      <c r="H11" s="43"/>
      <c r="I11" s="41"/>
    </row>
    <row r="12" spans="1:9" ht="57" customHeight="1" x14ac:dyDescent="0.25">
      <c r="B12" s="26"/>
      <c r="C12" s="31"/>
      <c r="D12" s="33"/>
      <c r="E12" s="94" t="s">
        <v>86</v>
      </c>
      <c r="F12" s="94"/>
      <c r="G12" s="94"/>
      <c r="H12" s="47"/>
      <c r="I12" s="36"/>
    </row>
    <row r="13" spans="1:9" ht="15.6" x14ac:dyDescent="0.3">
      <c r="B13" s="26"/>
      <c r="C13" s="31"/>
      <c r="D13" s="33"/>
      <c r="E13" s="39"/>
      <c r="F13" s="33"/>
      <c r="G13" s="33"/>
      <c r="H13" s="48"/>
      <c r="I13" s="36"/>
    </row>
    <row r="14" spans="1:9" ht="13.8" x14ac:dyDescent="0.25">
      <c r="B14" s="26"/>
      <c r="C14" s="31"/>
      <c r="D14" s="33"/>
      <c r="E14" s="49" t="s">
        <v>85</v>
      </c>
      <c r="F14" s="76"/>
      <c r="G14" s="33"/>
      <c r="H14" s="48"/>
      <c r="I14" s="36"/>
    </row>
    <row r="15" spans="1:9" ht="13.8" x14ac:dyDescent="0.25">
      <c r="B15" s="26"/>
      <c r="C15" s="31"/>
      <c r="D15" s="33"/>
      <c r="E15" s="49"/>
      <c r="F15" s="72"/>
      <c r="G15" s="33"/>
      <c r="H15" s="48"/>
      <c r="I15" s="36"/>
    </row>
    <row r="16" spans="1:9" ht="15.6" x14ac:dyDescent="0.3">
      <c r="B16" s="26"/>
      <c r="C16" s="31"/>
      <c r="D16" s="74" t="s">
        <v>89</v>
      </c>
      <c r="E16" s="49"/>
      <c r="F16" s="72"/>
      <c r="G16" s="33"/>
      <c r="H16" s="48"/>
      <c r="I16" s="36"/>
    </row>
    <row r="17" spans="2:10" x14ac:dyDescent="0.25">
      <c r="B17" s="26"/>
      <c r="C17" s="31"/>
      <c r="D17" s="33"/>
      <c r="E17" s="33"/>
      <c r="F17" s="33"/>
      <c r="H17" s="48"/>
      <c r="I17" s="36"/>
    </row>
    <row r="18" spans="2:10" ht="28.95" customHeight="1" x14ac:dyDescent="0.3">
      <c r="B18" s="26"/>
      <c r="C18" s="31"/>
      <c r="D18" s="33"/>
      <c r="E18" s="87" t="s">
        <v>131</v>
      </c>
      <c r="F18" s="88"/>
      <c r="G18" s="70">
        <v>0</v>
      </c>
      <c r="H18" s="50"/>
      <c r="I18" s="36"/>
    </row>
    <row r="19" spans="2:10" ht="15.6" x14ac:dyDescent="0.3">
      <c r="B19" s="26"/>
      <c r="C19" s="31"/>
      <c r="D19" s="33"/>
      <c r="E19" s="67"/>
      <c r="F19" s="65"/>
      <c r="G19" s="71"/>
      <c r="H19" s="51"/>
      <c r="I19" s="36"/>
    </row>
    <row r="20" spans="2:10" ht="14.4" customHeight="1" x14ac:dyDescent="0.3">
      <c r="B20" s="26"/>
      <c r="C20" s="31"/>
      <c r="D20" s="33"/>
      <c r="E20" s="87" t="s">
        <v>127</v>
      </c>
      <c r="F20" s="88"/>
      <c r="G20" s="71">
        <v>0</v>
      </c>
      <c r="H20" s="51"/>
      <c r="I20" s="36"/>
      <c r="J20" s="83"/>
    </row>
    <row r="21" spans="2:10" ht="15.6" x14ac:dyDescent="0.3">
      <c r="B21" s="26"/>
      <c r="C21" s="31"/>
      <c r="D21" s="33"/>
      <c r="E21" s="67"/>
      <c r="F21" s="65"/>
      <c r="G21" s="71"/>
      <c r="H21" s="51"/>
      <c r="I21" s="36"/>
      <c r="J21" s="83"/>
    </row>
    <row r="22" spans="2:10" ht="28.95" customHeight="1" x14ac:dyDescent="0.3">
      <c r="B22" s="26"/>
      <c r="C22" s="31"/>
      <c r="D22" s="33"/>
      <c r="E22" s="89" t="s">
        <v>136</v>
      </c>
      <c r="F22" s="88"/>
      <c r="G22" s="71">
        <v>0</v>
      </c>
      <c r="H22" s="51"/>
      <c r="I22" s="36"/>
      <c r="J22" s="83"/>
    </row>
    <row r="23" spans="2:10" ht="15.6" x14ac:dyDescent="0.3">
      <c r="B23" s="26"/>
      <c r="C23" s="31"/>
      <c r="D23" s="33"/>
      <c r="E23" s="67"/>
      <c r="F23" s="65"/>
      <c r="G23" s="71"/>
      <c r="H23" s="51"/>
      <c r="I23" s="36"/>
      <c r="J23" s="83"/>
    </row>
    <row r="24" spans="2:10" ht="34.5" customHeight="1" x14ac:dyDescent="0.3">
      <c r="B24" s="26"/>
      <c r="C24" s="31"/>
      <c r="D24" s="33"/>
      <c r="E24" s="89" t="s">
        <v>129</v>
      </c>
      <c r="F24" s="88"/>
      <c r="G24" s="71">
        <v>0</v>
      </c>
      <c r="H24" s="51"/>
      <c r="I24" s="36"/>
      <c r="J24" s="83"/>
    </row>
    <row r="25" spans="2:10" ht="15.6" x14ac:dyDescent="0.3">
      <c r="B25" s="26"/>
      <c r="C25" s="31"/>
      <c r="D25" s="33"/>
      <c r="E25" s="67"/>
      <c r="F25" s="65"/>
      <c r="G25" s="71"/>
      <c r="H25" s="51"/>
      <c r="I25" s="36"/>
      <c r="J25" s="83"/>
    </row>
    <row r="26" spans="2:10" ht="32.25" customHeight="1" x14ac:dyDescent="0.3">
      <c r="B26" s="26"/>
      <c r="C26" s="31"/>
      <c r="D26" s="33"/>
      <c r="E26" s="87" t="s">
        <v>130</v>
      </c>
      <c r="F26" s="88"/>
      <c r="G26" s="71">
        <v>0</v>
      </c>
      <c r="H26" s="51"/>
      <c r="I26" s="36"/>
      <c r="J26" s="83"/>
    </row>
    <row r="27" spans="2:10" ht="15.6" x14ac:dyDescent="0.3">
      <c r="B27" s="26"/>
      <c r="C27" s="31"/>
      <c r="D27" s="33"/>
      <c r="E27" s="67"/>
      <c r="F27" s="65"/>
      <c r="G27" s="71"/>
      <c r="H27" s="51"/>
      <c r="I27" s="36"/>
    </row>
    <row r="28" spans="2:10" ht="31.2" customHeight="1" x14ac:dyDescent="0.3">
      <c r="B28" s="26"/>
      <c r="C28" s="31"/>
      <c r="D28" s="33"/>
      <c r="E28" s="89" t="s">
        <v>87</v>
      </c>
      <c r="F28" s="88"/>
      <c r="G28" s="71">
        <v>0</v>
      </c>
      <c r="H28" s="51"/>
      <c r="I28" s="36"/>
    </row>
    <row r="29" spans="2:10" ht="15" customHeight="1" x14ac:dyDescent="0.3">
      <c r="B29" s="26"/>
      <c r="C29" s="31"/>
      <c r="D29" s="33"/>
      <c r="E29" s="69"/>
      <c r="F29" s="66"/>
      <c r="G29" s="71"/>
      <c r="H29" s="51"/>
      <c r="I29" s="36"/>
    </row>
    <row r="30" spans="2:10" ht="16.95" customHeight="1" x14ac:dyDescent="0.3">
      <c r="B30" s="26"/>
      <c r="C30" s="31"/>
      <c r="D30" s="75" t="s">
        <v>88</v>
      </c>
      <c r="E30" s="73"/>
      <c r="F30" s="73"/>
      <c r="G30" s="68"/>
      <c r="H30" s="51"/>
      <c r="I30" s="36"/>
    </row>
    <row r="31" spans="2:10" ht="15.6" x14ac:dyDescent="0.3">
      <c r="B31" s="26"/>
      <c r="C31" s="31"/>
      <c r="D31" s="33"/>
      <c r="E31" s="67"/>
      <c r="F31" s="65"/>
      <c r="G31" s="64"/>
      <c r="H31" s="52"/>
      <c r="I31" s="36"/>
    </row>
    <row r="32" spans="2:10" ht="16.2" customHeight="1" x14ac:dyDescent="0.3">
      <c r="B32" s="26"/>
      <c r="C32" s="31"/>
      <c r="D32" s="33"/>
      <c r="E32" s="87" t="s">
        <v>91</v>
      </c>
      <c r="F32" s="88"/>
      <c r="G32" s="77" t="e">
        <f>'BM Spreadsheet per Court Order'!U11</f>
        <v>#DIV/0!</v>
      </c>
      <c r="H32" s="53"/>
      <c r="I32" s="36"/>
    </row>
    <row r="33" spans="2:9" ht="16.2" customHeight="1" x14ac:dyDescent="0.3">
      <c r="B33" s="26"/>
      <c r="C33" s="31"/>
      <c r="D33" s="33"/>
      <c r="E33" s="65"/>
      <c r="F33" s="66"/>
      <c r="G33" s="77"/>
      <c r="H33" s="53"/>
      <c r="I33" s="36"/>
    </row>
    <row r="34" spans="2:9" ht="16.2" customHeight="1" x14ac:dyDescent="0.3">
      <c r="B34" s="26"/>
      <c r="C34" s="31"/>
      <c r="D34" s="92" t="s">
        <v>137</v>
      </c>
      <c r="E34" s="93"/>
      <c r="F34" s="93"/>
      <c r="G34" s="79">
        <v>0</v>
      </c>
      <c r="H34" s="53"/>
      <c r="I34" s="36"/>
    </row>
    <row r="35" spans="2:9" ht="16.2" customHeight="1" x14ac:dyDescent="0.3">
      <c r="B35" s="26"/>
      <c r="C35" s="31"/>
      <c r="D35" s="33"/>
      <c r="E35" s="65"/>
      <c r="F35" s="66"/>
      <c r="G35" s="77"/>
      <c r="H35" s="53"/>
      <c r="I35" s="36"/>
    </row>
    <row r="36" spans="2:9" ht="16.2" customHeight="1" thickBot="1" x14ac:dyDescent="0.35">
      <c r="B36" s="26"/>
      <c r="C36" s="31"/>
      <c r="D36" s="90" t="s">
        <v>90</v>
      </c>
      <c r="E36" s="91"/>
      <c r="F36" s="91"/>
      <c r="G36" s="78" t="e">
        <f>G32+G34</f>
        <v>#DIV/0!</v>
      </c>
      <c r="H36" s="53"/>
      <c r="I36" s="36"/>
    </row>
    <row r="37" spans="2:9" ht="16.2" customHeight="1" thickTop="1" x14ac:dyDescent="0.3">
      <c r="B37" s="26"/>
      <c r="C37" s="31"/>
      <c r="D37" s="80"/>
      <c r="E37" s="81"/>
      <c r="F37" s="81"/>
      <c r="G37" s="82"/>
      <c r="H37" s="53"/>
      <c r="I37" s="36"/>
    </row>
    <row r="38" spans="2:9" ht="14.4" thickBot="1" x14ac:dyDescent="0.3">
      <c r="B38" s="26"/>
      <c r="C38" s="54"/>
      <c r="D38" s="55"/>
      <c r="E38" s="55"/>
      <c r="F38" s="56"/>
      <c r="G38" s="56"/>
      <c r="H38" s="57"/>
      <c r="I38" s="36"/>
    </row>
    <row r="39" spans="2:9" ht="13.8" thickBot="1" x14ac:dyDescent="0.3">
      <c r="B39" s="58"/>
      <c r="C39" s="59"/>
      <c r="D39" s="59"/>
      <c r="E39" s="59"/>
      <c r="F39" s="59"/>
      <c r="G39" s="59"/>
      <c r="H39" s="59"/>
      <c r="I39" s="60"/>
    </row>
    <row r="40" spans="2:9" ht="13.8" thickTop="1" x14ac:dyDescent="0.25">
      <c r="B40" s="24"/>
      <c r="C40" s="24"/>
      <c r="D40" s="24"/>
      <c r="E40" s="24"/>
      <c r="F40" s="24"/>
      <c r="G40" s="24"/>
      <c r="H40" s="24"/>
      <c r="I40" s="24"/>
    </row>
  </sheetData>
  <mergeCells count="13">
    <mergeCell ref="E4:G4"/>
    <mergeCell ref="F8:G8"/>
    <mergeCell ref="E5:G6"/>
    <mergeCell ref="E18:F18"/>
    <mergeCell ref="E20:F20"/>
    <mergeCell ref="E22:F22"/>
    <mergeCell ref="E26:F26"/>
    <mergeCell ref="E28:F28"/>
    <mergeCell ref="E32:F32"/>
    <mergeCell ref="D36:F36"/>
    <mergeCell ref="D34:F34"/>
    <mergeCell ref="E12:G12"/>
    <mergeCell ref="E24:F24"/>
  </mergeCells>
  <phoneticPr fontId="0" type="noConversion"/>
  <pageMargins left="0.5" right="0.22" top="1" bottom="0.25" header="0.5" footer="0.5"/>
  <pageSetup scale="9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10" sqref="G10"/>
    </sheetView>
  </sheetViews>
  <sheetFormatPr defaultRowHeight="13.2" x14ac:dyDescent="0.25"/>
  <sheetData>
    <row r="1" spans="1:2" x14ac:dyDescent="0.25">
      <c r="A1">
        <v>0</v>
      </c>
      <c r="B1" s="63">
        <v>0</v>
      </c>
    </row>
    <row r="2" spans="1:2" x14ac:dyDescent="0.25">
      <c r="A2" s="63">
        <v>0.01</v>
      </c>
      <c r="B2" s="63">
        <v>0.05</v>
      </c>
    </row>
    <row r="3" spans="1:2" x14ac:dyDescent="0.25">
      <c r="A3" s="63">
        <v>5.0999999999999997E-2</v>
      </c>
      <c r="B3" s="63">
        <v>0.1</v>
      </c>
    </row>
    <row r="4" spans="1:2" x14ac:dyDescent="0.25">
      <c r="A4" s="63">
        <v>0.10100000000000001</v>
      </c>
      <c r="B4" s="63">
        <v>0.15</v>
      </c>
    </row>
    <row r="5" spans="1:2" x14ac:dyDescent="0.25">
      <c r="A5" s="63">
        <v>0.151</v>
      </c>
      <c r="B5" s="63">
        <v>0.2</v>
      </c>
    </row>
    <row r="6" spans="1:2" x14ac:dyDescent="0.25">
      <c r="A6" s="63">
        <v>0.20100000000000001</v>
      </c>
      <c r="B6" s="63">
        <v>0.25</v>
      </c>
    </row>
    <row r="7" spans="1:2" x14ac:dyDescent="0.25">
      <c r="A7" s="63">
        <v>0.251</v>
      </c>
      <c r="B7" s="63">
        <v>0.3</v>
      </c>
    </row>
    <row r="8" spans="1:2" x14ac:dyDescent="0.25">
      <c r="A8" s="63">
        <v>0.30099999999999999</v>
      </c>
      <c r="B8" s="63">
        <v>0.35</v>
      </c>
    </row>
    <row r="9" spans="1:2" x14ac:dyDescent="0.25">
      <c r="A9" s="63">
        <v>0.35099999999999998</v>
      </c>
      <c r="B9" s="63">
        <v>0.4</v>
      </c>
    </row>
    <row r="10" spans="1:2" x14ac:dyDescent="0.25">
      <c r="A10" s="63">
        <v>0.40100000000000002</v>
      </c>
      <c r="B10" s="63">
        <v>0.45</v>
      </c>
    </row>
    <row r="11" spans="1:2" x14ac:dyDescent="0.25">
      <c r="A11" s="63">
        <v>0.45100000000000001</v>
      </c>
      <c r="B11" s="63">
        <v>0.5</v>
      </c>
    </row>
    <row r="12" spans="1:2" x14ac:dyDescent="0.25">
      <c r="A12" s="63">
        <v>0.501</v>
      </c>
      <c r="B12" s="63">
        <v>0.55000000000000004</v>
      </c>
    </row>
    <row r="13" spans="1:2" x14ac:dyDescent="0.25">
      <c r="A13" s="63">
        <v>0.55100000000000005</v>
      </c>
      <c r="B13" s="63">
        <v>0.6</v>
      </c>
    </row>
    <row r="14" spans="1:2" x14ac:dyDescent="0.25">
      <c r="A14" s="63">
        <v>0.60099999999999998</v>
      </c>
      <c r="B14" s="63">
        <v>0.65</v>
      </c>
    </row>
    <row r="15" spans="1:2" x14ac:dyDescent="0.25">
      <c r="A15" s="63">
        <v>0.65100000000000002</v>
      </c>
      <c r="B15" s="63">
        <v>0.7</v>
      </c>
    </row>
    <row r="16" spans="1:2" x14ac:dyDescent="0.25">
      <c r="A16" s="63">
        <v>0.70099999999999996</v>
      </c>
      <c r="B16" s="63">
        <v>0.75</v>
      </c>
    </row>
    <row r="17" spans="1:2" x14ac:dyDescent="0.25">
      <c r="A17" s="63">
        <v>0.751</v>
      </c>
      <c r="B17" s="63">
        <v>0.8</v>
      </c>
    </row>
    <row r="18" spans="1:2" x14ac:dyDescent="0.25">
      <c r="A18" s="63">
        <v>0.80100000000000005</v>
      </c>
      <c r="B18" s="63">
        <v>0.85</v>
      </c>
    </row>
    <row r="19" spans="1:2" x14ac:dyDescent="0.25">
      <c r="A19" s="63">
        <v>0.85099999999999998</v>
      </c>
      <c r="B19" s="63">
        <v>0.9</v>
      </c>
    </row>
    <row r="20" spans="1:2" x14ac:dyDescent="0.25">
      <c r="A20" s="63">
        <v>0.90100000000000002</v>
      </c>
      <c r="B20" s="63">
        <v>0.95</v>
      </c>
    </row>
    <row r="21" spans="1:2" x14ac:dyDescent="0.25">
      <c r="A21" s="63">
        <v>0.95099999999999996</v>
      </c>
      <c r="B21" s="63">
        <v>1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U40"/>
  <sheetViews>
    <sheetView workbookViewId="0">
      <selection activeCell="B11" sqref="B11"/>
    </sheetView>
  </sheetViews>
  <sheetFormatPr defaultRowHeight="13.2" x14ac:dyDescent="0.25"/>
  <cols>
    <col min="2" max="3" width="12" customWidth="1"/>
    <col min="4" max="4" width="12.6640625" customWidth="1"/>
    <col min="5" max="5" width="12.88671875" customWidth="1"/>
    <col min="6" max="6" width="11.6640625" customWidth="1"/>
    <col min="7" max="7" width="12.44140625" customWidth="1"/>
    <col min="8" max="8" width="12.33203125" customWidth="1"/>
    <col min="9" max="9" width="11.88671875" customWidth="1"/>
    <col min="10" max="10" width="11.33203125" customWidth="1"/>
    <col min="11" max="11" width="10.6640625" customWidth="1"/>
    <col min="12" max="12" width="13.6640625" customWidth="1"/>
    <col min="14" max="14" width="14.33203125" customWidth="1"/>
    <col min="15" max="15" width="13.6640625" customWidth="1"/>
    <col min="16" max="16" width="12.5546875" customWidth="1"/>
    <col min="17" max="18" width="12.88671875" customWidth="1"/>
    <col min="19" max="19" width="12.6640625" customWidth="1"/>
    <col min="20" max="20" width="12.5546875" customWidth="1"/>
    <col min="21" max="21" width="12.88671875" customWidth="1"/>
  </cols>
  <sheetData>
    <row r="5" spans="1:21" ht="15.6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</row>
    <row r="7" spans="1:21" ht="177" customHeight="1" x14ac:dyDescent="0.25">
      <c r="B7" s="2" t="s">
        <v>92</v>
      </c>
      <c r="C7" s="2" t="s">
        <v>93</v>
      </c>
      <c r="D7" s="2" t="s">
        <v>94</v>
      </c>
      <c r="E7" s="2" t="s">
        <v>132</v>
      </c>
      <c r="F7" s="2" t="s">
        <v>95</v>
      </c>
      <c r="G7" s="2" t="s">
        <v>133</v>
      </c>
      <c r="H7" s="2" t="s">
        <v>97</v>
      </c>
      <c r="I7" s="2" t="s">
        <v>96</v>
      </c>
      <c r="J7" s="2" t="s">
        <v>21</v>
      </c>
      <c r="K7" s="2" t="s">
        <v>22</v>
      </c>
      <c r="L7" s="2" t="s">
        <v>23</v>
      </c>
      <c r="M7" s="2" t="s">
        <v>24</v>
      </c>
      <c r="N7" s="2" t="s">
        <v>25</v>
      </c>
      <c r="O7" s="2" t="s">
        <v>26</v>
      </c>
      <c r="P7" s="2" t="s">
        <v>98</v>
      </c>
      <c r="Q7" s="2" t="s">
        <v>27</v>
      </c>
      <c r="R7" s="2" t="s">
        <v>28</v>
      </c>
      <c r="S7" s="2" t="s">
        <v>99</v>
      </c>
      <c r="T7" s="2" t="s">
        <v>100</v>
      </c>
      <c r="U7" s="2" t="s">
        <v>134</v>
      </c>
    </row>
    <row r="8" spans="1:21" ht="60" customHeight="1" x14ac:dyDescent="0.25">
      <c r="A8" s="3"/>
      <c r="B8" s="4"/>
      <c r="C8" s="4"/>
      <c r="D8" s="4"/>
      <c r="E8" s="4"/>
      <c r="F8" s="4"/>
      <c r="G8" s="4" t="s">
        <v>29</v>
      </c>
      <c r="H8" s="4" t="s">
        <v>30</v>
      </c>
      <c r="I8" s="4" t="s">
        <v>31</v>
      </c>
      <c r="J8" s="4" t="s">
        <v>32</v>
      </c>
      <c r="K8" s="4" t="s">
        <v>33</v>
      </c>
      <c r="L8" s="5" t="s">
        <v>34</v>
      </c>
      <c r="M8" s="4" t="s">
        <v>35</v>
      </c>
      <c r="N8" s="4" t="s">
        <v>36</v>
      </c>
      <c r="O8" s="4" t="s">
        <v>37</v>
      </c>
      <c r="P8" s="4" t="s">
        <v>38</v>
      </c>
      <c r="Q8" s="4" t="s">
        <v>39</v>
      </c>
      <c r="R8" s="4" t="s">
        <v>40</v>
      </c>
      <c r="S8" s="4" t="s">
        <v>41</v>
      </c>
      <c r="T8" s="4" t="s">
        <v>42</v>
      </c>
      <c r="U8" s="4" t="s">
        <v>43</v>
      </c>
    </row>
    <row r="11" spans="1:21" x14ac:dyDescent="0.25">
      <c r="A11" s="6" t="s">
        <v>44</v>
      </c>
      <c r="B11" s="62">
        <f>'Data Entry Sheet'!G18</f>
        <v>0</v>
      </c>
      <c r="C11" s="7">
        <f>'Data Entry Sheet'!G20</f>
        <v>0</v>
      </c>
      <c r="D11" s="7">
        <f>'Data Entry Sheet'!G22</f>
        <v>0</v>
      </c>
      <c r="E11" s="7">
        <f>'Data Entry Sheet'!G24</f>
        <v>0</v>
      </c>
      <c r="F11" s="7">
        <f>'Data Entry Sheet'!G26</f>
        <v>0</v>
      </c>
      <c r="G11" s="8" t="e">
        <f>ROUND(B11/(C11+D11+E11+F11),4)</f>
        <v>#DIV/0!</v>
      </c>
      <c r="H11" s="9" t="e">
        <f>B11/(C11+D11+F11)</f>
        <v>#DIV/0!</v>
      </c>
      <c r="I11" s="9" t="e">
        <f>H11-G11</f>
        <v>#DIV/0!</v>
      </c>
      <c r="J11" s="10" t="e">
        <f>I11*C11</f>
        <v>#DIV/0!</v>
      </c>
      <c r="K11" s="10" t="e">
        <f>E11*G11</f>
        <v>#DIV/0!</v>
      </c>
      <c r="L11" s="7">
        <f>'Data Entry Sheet'!G28</f>
        <v>0</v>
      </c>
      <c r="M11" s="10" t="e">
        <f>K11-L11</f>
        <v>#DIV/0!</v>
      </c>
      <c r="N11" s="10" t="e">
        <f>IF(MIN(J11,M11)&lt;0,0,MIN(J11,M11))</f>
        <v>#DIV/0!</v>
      </c>
      <c r="O11" s="11" t="e">
        <f>C11/(C11+E11+F11)</f>
        <v>#DIV/0!</v>
      </c>
      <c r="P11" s="11" t="e">
        <f>VLOOKUP(O11,'[1]Note 1 Automation'!$A$1:$B$21,2)</f>
        <v>#DIV/0!</v>
      </c>
      <c r="Q11" s="12" t="e">
        <f>G11*C11</f>
        <v>#DIV/0!</v>
      </c>
      <c r="R11" s="12" t="e">
        <f>N11*P11</f>
        <v>#DIV/0!</v>
      </c>
      <c r="S11" s="12" t="e">
        <f>Q11+R11</f>
        <v>#DIV/0!</v>
      </c>
      <c r="T11" s="85" t="e">
        <f>(S11/Q11)*G11</f>
        <v>#DIV/0!</v>
      </c>
      <c r="U11" s="13" t="e">
        <f>T11-G11</f>
        <v>#DIV/0!</v>
      </c>
    </row>
    <row r="12" spans="1:21" x14ac:dyDescent="0.25">
      <c r="A12" t="s">
        <v>45</v>
      </c>
      <c r="B12" s="14">
        <v>400000</v>
      </c>
      <c r="C12" s="14">
        <v>1300000</v>
      </c>
      <c r="D12" s="14">
        <v>0</v>
      </c>
      <c r="E12" s="14">
        <v>400000</v>
      </c>
      <c r="F12" s="14">
        <v>0</v>
      </c>
      <c r="G12" s="15">
        <f>B12/(C12+D12+E12+F12)</f>
        <v>0.23529411764705882</v>
      </c>
      <c r="H12" s="16">
        <f>B12/(C12+D12+F12)</f>
        <v>0.30769230769230771</v>
      </c>
      <c r="I12" s="16">
        <f>H12-G12</f>
        <v>7.2398190045248889E-2</v>
      </c>
      <c r="J12" s="17">
        <f>I12*C12</f>
        <v>94117.647058823553</v>
      </c>
      <c r="K12" s="17">
        <f>E12*G12</f>
        <v>94117.647058823524</v>
      </c>
      <c r="L12" s="14">
        <v>60000</v>
      </c>
      <c r="M12" s="17">
        <f>K12-L12</f>
        <v>34117.647058823524</v>
      </c>
      <c r="N12" s="17">
        <f>IF(MIN(J12,M12)&lt;0,0,MIN(J12,M12))</f>
        <v>34117.647058823524</v>
      </c>
      <c r="O12" s="18">
        <f>C12/(C12+E12+F12)</f>
        <v>0.76470588235294112</v>
      </c>
      <c r="P12" s="18">
        <f>VLOOKUP(O12,'[1]Note 1 Automation'!$A$1:$B$21,2)</f>
        <v>0.8</v>
      </c>
      <c r="Q12" s="19">
        <f>G12*C12</f>
        <v>305882.35294117645</v>
      </c>
      <c r="R12" s="19">
        <f>N12*P12</f>
        <v>27294.117647058822</v>
      </c>
      <c r="S12" s="19">
        <f>Q12+R12</f>
        <v>333176.47058823524</v>
      </c>
      <c r="T12" s="86">
        <f>(S12/Q12)*G12</f>
        <v>0.25628959276018098</v>
      </c>
      <c r="U12" s="20">
        <f>T12-G12</f>
        <v>2.0995475113122164E-2</v>
      </c>
    </row>
    <row r="13" spans="1:21" x14ac:dyDescent="0.25">
      <c r="A13" t="s">
        <v>46</v>
      </c>
      <c r="B13" s="14">
        <v>2000000</v>
      </c>
      <c r="C13" s="14">
        <v>2800000</v>
      </c>
      <c r="D13" s="14">
        <v>6000000</v>
      </c>
      <c r="E13" s="14">
        <v>2300000</v>
      </c>
      <c r="F13" s="14">
        <v>500000</v>
      </c>
      <c r="G13" s="15">
        <f t="shared" ref="G13:G24" si="0">B13/(C13+D13+E13+F13)</f>
        <v>0.17241379310344829</v>
      </c>
      <c r="H13" s="16">
        <f t="shared" ref="H13:H24" si="1">B13/(C13+D13+F13)</f>
        <v>0.21505376344086022</v>
      </c>
      <c r="I13" s="16">
        <f t="shared" ref="I13:I24" si="2">H13-G13</f>
        <v>4.2639970337411931E-2</v>
      </c>
      <c r="J13" s="17">
        <f t="shared" ref="J13:J24" si="3">I13*C13</f>
        <v>119391.91694475341</v>
      </c>
      <c r="K13" s="17">
        <f t="shared" ref="K13:K24" si="4">E13*G13</f>
        <v>396551.72413793107</v>
      </c>
      <c r="L13" s="14">
        <v>0</v>
      </c>
      <c r="M13" s="17">
        <f t="shared" ref="M13:M24" si="5">K13-L13</f>
        <v>396551.72413793107</v>
      </c>
      <c r="N13" s="17">
        <f t="shared" ref="N13:N24" si="6">IF(MIN(J13,M13)&lt;0,0,MIN(J13,M13))</f>
        <v>119391.91694475341</v>
      </c>
      <c r="O13" s="18">
        <f t="shared" ref="O13:O24" si="7">C13/(C13+E13+F13)</f>
        <v>0.5</v>
      </c>
      <c r="P13" s="18">
        <f>VLOOKUP(O13,'[1]Note 1 Automation'!$A$1:$B$21,2)</f>
        <v>0.5</v>
      </c>
      <c r="Q13" s="19">
        <f t="shared" ref="Q13:Q24" si="8">G13*C13</f>
        <v>482758.62068965519</v>
      </c>
      <c r="R13" s="19">
        <f t="shared" ref="R13:R24" si="9">N13*P13</f>
        <v>59695.958472376704</v>
      </c>
      <c r="S13" s="19">
        <f t="shared" ref="S13:S24" si="10">Q13+R13</f>
        <v>542454.57916203188</v>
      </c>
      <c r="T13" s="86">
        <f t="shared" ref="T13:T24" si="11">(S13/Q13)*G13</f>
        <v>0.19373377827215424</v>
      </c>
      <c r="U13" s="20">
        <f t="shared" ref="U13:U24" si="12">T13-G13</f>
        <v>2.1319985168705952E-2</v>
      </c>
    </row>
    <row r="14" spans="1:21" x14ac:dyDescent="0.25">
      <c r="A14" t="s">
        <v>47</v>
      </c>
      <c r="B14" s="14">
        <v>700000</v>
      </c>
      <c r="C14" s="14">
        <v>900000</v>
      </c>
      <c r="D14" s="14">
        <v>720000</v>
      </c>
      <c r="E14" s="14">
        <v>1200000</v>
      </c>
      <c r="F14" s="14">
        <v>750000</v>
      </c>
      <c r="G14" s="15">
        <f t="shared" si="0"/>
        <v>0.19607843137254902</v>
      </c>
      <c r="H14" s="16">
        <f t="shared" si="1"/>
        <v>0.29535864978902954</v>
      </c>
      <c r="I14" s="16">
        <f t="shared" si="2"/>
        <v>9.928021841648052E-2</v>
      </c>
      <c r="J14" s="17">
        <f t="shared" si="3"/>
        <v>89352.196574832473</v>
      </c>
      <c r="K14" s="17">
        <f t="shared" si="4"/>
        <v>235294.11764705883</v>
      </c>
      <c r="L14" s="14">
        <v>20000</v>
      </c>
      <c r="M14" s="17">
        <f t="shared" si="5"/>
        <v>215294.11764705883</v>
      </c>
      <c r="N14" s="17">
        <f t="shared" si="6"/>
        <v>89352.196574832473</v>
      </c>
      <c r="O14" s="18">
        <f t="shared" si="7"/>
        <v>0.31578947368421051</v>
      </c>
      <c r="P14" s="18">
        <f>VLOOKUP(O14,'[1]Note 1 Automation'!$A$1:$B$21,2)</f>
        <v>0.35</v>
      </c>
      <c r="Q14" s="19">
        <f t="shared" si="8"/>
        <v>176470.58823529413</v>
      </c>
      <c r="R14" s="19">
        <f t="shared" si="9"/>
        <v>31273.268801191363</v>
      </c>
      <c r="S14" s="19">
        <f t="shared" si="10"/>
        <v>207743.85703648548</v>
      </c>
      <c r="T14" s="86">
        <f t="shared" si="11"/>
        <v>0.23082650781831721</v>
      </c>
      <c r="U14" s="20">
        <f t="shared" si="12"/>
        <v>3.4748076445768189E-2</v>
      </c>
    </row>
    <row r="15" spans="1:21" x14ac:dyDescent="0.25">
      <c r="A15" t="s">
        <v>48</v>
      </c>
      <c r="B15" s="14">
        <v>210000</v>
      </c>
      <c r="C15" s="14">
        <v>730000</v>
      </c>
      <c r="D15" s="14">
        <v>35000</v>
      </c>
      <c r="E15" s="14">
        <v>193000</v>
      </c>
      <c r="F15" s="14">
        <v>210000</v>
      </c>
      <c r="G15" s="15">
        <f t="shared" si="0"/>
        <v>0.1797945205479452</v>
      </c>
      <c r="H15" s="16">
        <f t="shared" si="1"/>
        <v>0.2153846153846154</v>
      </c>
      <c r="I15" s="16">
        <f t="shared" si="2"/>
        <v>3.5590094836670194E-2</v>
      </c>
      <c r="J15" s="17">
        <f t="shared" si="3"/>
        <v>25980.769230769241</v>
      </c>
      <c r="K15" s="17">
        <f t="shared" si="4"/>
        <v>34700.342465753427</v>
      </c>
      <c r="L15" s="14">
        <v>25000</v>
      </c>
      <c r="M15" s="17">
        <f t="shared" si="5"/>
        <v>9700.3424657534269</v>
      </c>
      <c r="N15" s="17">
        <f t="shared" si="6"/>
        <v>9700.3424657534269</v>
      </c>
      <c r="O15" s="18">
        <f t="shared" si="7"/>
        <v>0.6443071491615181</v>
      </c>
      <c r="P15" s="18">
        <f>VLOOKUP(O15,'[1]Note 1 Automation'!$A$1:$B$21,2)</f>
        <v>0.65</v>
      </c>
      <c r="Q15" s="19">
        <f t="shared" si="8"/>
        <v>131250</v>
      </c>
      <c r="R15" s="19">
        <f t="shared" si="9"/>
        <v>6305.2226027397273</v>
      </c>
      <c r="S15" s="19">
        <f t="shared" si="10"/>
        <v>137555.22260273973</v>
      </c>
      <c r="T15" s="86">
        <f t="shared" si="11"/>
        <v>0.18843181178457497</v>
      </c>
      <c r="U15" s="20">
        <f t="shared" si="12"/>
        <v>8.6372912366297627E-3</v>
      </c>
    </row>
    <row r="16" spans="1:21" x14ac:dyDescent="0.25">
      <c r="A16" t="s">
        <v>49</v>
      </c>
      <c r="B16" s="14">
        <v>300000</v>
      </c>
      <c r="C16" s="14">
        <v>500000</v>
      </c>
      <c r="D16" s="14">
        <v>30000</v>
      </c>
      <c r="E16" s="14">
        <v>50000</v>
      </c>
      <c r="F16" s="14">
        <v>200000</v>
      </c>
      <c r="G16" s="15">
        <f t="shared" si="0"/>
        <v>0.38461538461538464</v>
      </c>
      <c r="H16" s="16">
        <f t="shared" si="1"/>
        <v>0.41095890410958902</v>
      </c>
      <c r="I16" s="16">
        <f t="shared" si="2"/>
        <v>2.6343519494204382E-2</v>
      </c>
      <c r="J16" s="17">
        <f t="shared" si="3"/>
        <v>13171.759747102191</v>
      </c>
      <c r="K16" s="17">
        <f t="shared" si="4"/>
        <v>19230.76923076923</v>
      </c>
      <c r="L16" s="14">
        <v>4000</v>
      </c>
      <c r="M16" s="17">
        <f t="shared" si="5"/>
        <v>15230.76923076923</v>
      </c>
      <c r="N16" s="17">
        <f t="shared" si="6"/>
        <v>13171.759747102191</v>
      </c>
      <c r="O16" s="18">
        <f t="shared" si="7"/>
        <v>0.66666666666666663</v>
      </c>
      <c r="P16" s="18">
        <f>VLOOKUP(O16,'[1]Note 1 Automation'!$A$1:$B$21,2)</f>
        <v>0.7</v>
      </c>
      <c r="Q16" s="19">
        <f t="shared" si="8"/>
        <v>192307.69230769231</v>
      </c>
      <c r="R16" s="19">
        <f t="shared" si="9"/>
        <v>9220.2318229715329</v>
      </c>
      <c r="S16" s="19">
        <f t="shared" si="10"/>
        <v>201527.92413066386</v>
      </c>
      <c r="T16" s="86">
        <f t="shared" si="11"/>
        <v>0.40305584826132773</v>
      </c>
      <c r="U16" s="20">
        <f t="shared" si="12"/>
        <v>1.8440463645943095E-2</v>
      </c>
    </row>
    <row r="17" spans="1:21" x14ac:dyDescent="0.25">
      <c r="A17" t="s">
        <v>50</v>
      </c>
      <c r="B17" s="14">
        <v>1700000</v>
      </c>
      <c r="C17" s="14">
        <v>3100000</v>
      </c>
      <c r="D17" s="14">
        <v>700000</v>
      </c>
      <c r="E17" s="14">
        <v>1700000</v>
      </c>
      <c r="F17" s="14">
        <v>1800000</v>
      </c>
      <c r="G17" s="15">
        <f t="shared" si="0"/>
        <v>0.23287671232876711</v>
      </c>
      <c r="H17" s="16">
        <f t="shared" si="1"/>
        <v>0.30357142857142855</v>
      </c>
      <c r="I17" s="16">
        <f t="shared" si="2"/>
        <v>7.0694716242661437E-2</v>
      </c>
      <c r="J17" s="17">
        <f t="shared" si="3"/>
        <v>219153.62035225047</v>
      </c>
      <c r="K17" s="17">
        <f t="shared" si="4"/>
        <v>395890.41095890407</v>
      </c>
      <c r="L17" s="14">
        <v>200000</v>
      </c>
      <c r="M17" s="17">
        <f t="shared" si="5"/>
        <v>195890.41095890407</v>
      </c>
      <c r="N17" s="17">
        <f t="shared" si="6"/>
        <v>195890.41095890407</v>
      </c>
      <c r="O17" s="18">
        <f t="shared" si="7"/>
        <v>0.46969696969696972</v>
      </c>
      <c r="P17" s="18">
        <f>VLOOKUP(O17,'[1]Note 1 Automation'!$A$1:$B$21,2)</f>
        <v>0.5</v>
      </c>
      <c r="Q17" s="19">
        <f t="shared" si="8"/>
        <v>721917.808219178</v>
      </c>
      <c r="R17" s="19">
        <f t="shared" si="9"/>
        <v>97945.205479452037</v>
      </c>
      <c r="S17" s="19">
        <f t="shared" si="10"/>
        <v>819863.01369863003</v>
      </c>
      <c r="T17" s="86">
        <f t="shared" si="11"/>
        <v>0.26447193990278389</v>
      </c>
      <c r="U17" s="20">
        <f t="shared" si="12"/>
        <v>3.1595227574016782E-2</v>
      </c>
    </row>
    <row r="18" spans="1:21" x14ac:dyDescent="0.25">
      <c r="A18" t="s">
        <v>51</v>
      </c>
      <c r="B18" s="14">
        <v>1400000</v>
      </c>
      <c r="C18" s="14">
        <v>2500000</v>
      </c>
      <c r="D18" s="14">
        <v>850000</v>
      </c>
      <c r="E18" s="14">
        <v>1300000</v>
      </c>
      <c r="F18" s="14">
        <v>150000</v>
      </c>
      <c r="G18" s="15">
        <f t="shared" si="0"/>
        <v>0.29166666666666669</v>
      </c>
      <c r="H18" s="16">
        <f t="shared" si="1"/>
        <v>0.4</v>
      </c>
      <c r="I18" s="16">
        <f t="shared" si="2"/>
        <v>0.10833333333333334</v>
      </c>
      <c r="J18" s="17">
        <f t="shared" si="3"/>
        <v>270833.33333333331</v>
      </c>
      <c r="K18" s="17">
        <f t="shared" si="4"/>
        <v>379166.66666666669</v>
      </c>
      <c r="L18" s="14">
        <v>70000</v>
      </c>
      <c r="M18" s="17">
        <f t="shared" si="5"/>
        <v>309166.66666666669</v>
      </c>
      <c r="N18" s="17">
        <f t="shared" si="6"/>
        <v>270833.33333333331</v>
      </c>
      <c r="O18" s="18">
        <f t="shared" si="7"/>
        <v>0.63291139240506333</v>
      </c>
      <c r="P18" s="18">
        <f>VLOOKUP(O18,'[1]Note 1 Automation'!$A$1:$B$21,2)</f>
        <v>0.65</v>
      </c>
      <c r="Q18" s="19">
        <f t="shared" si="8"/>
        <v>729166.66666666674</v>
      </c>
      <c r="R18" s="19">
        <f t="shared" si="9"/>
        <v>176041.66666666666</v>
      </c>
      <c r="S18" s="19">
        <f t="shared" si="10"/>
        <v>905208.33333333337</v>
      </c>
      <c r="T18" s="86">
        <f t="shared" si="11"/>
        <v>0.36208333333333331</v>
      </c>
      <c r="U18" s="20">
        <f t="shared" si="12"/>
        <v>7.0416666666666627E-2</v>
      </c>
    </row>
    <row r="19" spans="1:21" x14ac:dyDescent="0.25">
      <c r="A19" t="s">
        <v>52</v>
      </c>
      <c r="B19" s="14">
        <v>4200000</v>
      </c>
      <c r="C19" s="14">
        <v>6000000</v>
      </c>
      <c r="D19" s="14">
        <v>600000</v>
      </c>
      <c r="E19" s="14">
        <v>6000000</v>
      </c>
      <c r="F19" s="14">
        <v>2100000</v>
      </c>
      <c r="G19" s="15">
        <f t="shared" si="0"/>
        <v>0.2857142857142857</v>
      </c>
      <c r="H19" s="16">
        <f t="shared" si="1"/>
        <v>0.48275862068965519</v>
      </c>
      <c r="I19" s="16">
        <f t="shared" si="2"/>
        <v>0.1970443349753695</v>
      </c>
      <c r="J19" s="17">
        <f t="shared" si="3"/>
        <v>1182266.009852217</v>
      </c>
      <c r="K19" s="17">
        <f t="shared" si="4"/>
        <v>1714285.7142857141</v>
      </c>
      <c r="L19" s="14">
        <v>1100000</v>
      </c>
      <c r="M19" s="17">
        <f t="shared" si="5"/>
        <v>614285.71428571409</v>
      </c>
      <c r="N19" s="17">
        <f t="shared" si="6"/>
        <v>614285.71428571409</v>
      </c>
      <c r="O19" s="18">
        <f t="shared" si="7"/>
        <v>0.42553191489361702</v>
      </c>
      <c r="P19" s="18">
        <f>VLOOKUP(O19,'[1]Note 1 Automation'!$A$1:$B$21,2)</f>
        <v>0.45</v>
      </c>
      <c r="Q19" s="19">
        <f t="shared" si="8"/>
        <v>1714285.7142857141</v>
      </c>
      <c r="R19" s="19">
        <f t="shared" si="9"/>
        <v>276428.57142857136</v>
      </c>
      <c r="S19" s="19">
        <f t="shared" si="10"/>
        <v>1990714.2857142854</v>
      </c>
      <c r="T19" s="86">
        <f t="shared" si="11"/>
        <v>0.33178571428571424</v>
      </c>
      <c r="U19" s="20">
        <f t="shared" si="12"/>
        <v>4.6071428571428541E-2</v>
      </c>
    </row>
    <row r="20" spans="1:21" x14ac:dyDescent="0.25">
      <c r="A20" t="s">
        <v>53</v>
      </c>
      <c r="B20" s="14">
        <v>850000</v>
      </c>
      <c r="C20" s="14">
        <v>2000000</v>
      </c>
      <c r="D20" s="14">
        <v>700000</v>
      </c>
      <c r="E20" s="14">
        <v>300000</v>
      </c>
      <c r="F20" s="14">
        <v>300000</v>
      </c>
      <c r="G20" s="15">
        <f t="shared" si="0"/>
        <v>0.25757575757575757</v>
      </c>
      <c r="H20" s="16">
        <f t="shared" si="1"/>
        <v>0.28333333333333333</v>
      </c>
      <c r="I20" s="16">
        <f t="shared" si="2"/>
        <v>2.5757575757575757E-2</v>
      </c>
      <c r="J20" s="17">
        <f t="shared" si="3"/>
        <v>51515.151515151512</v>
      </c>
      <c r="K20" s="17">
        <f t="shared" si="4"/>
        <v>77272.727272727265</v>
      </c>
      <c r="L20" s="14">
        <v>20000</v>
      </c>
      <c r="M20" s="17">
        <f t="shared" si="5"/>
        <v>57272.727272727265</v>
      </c>
      <c r="N20" s="17">
        <f t="shared" si="6"/>
        <v>51515.151515151512</v>
      </c>
      <c r="O20" s="18">
        <f t="shared" si="7"/>
        <v>0.76923076923076927</v>
      </c>
      <c r="P20" s="18">
        <f>VLOOKUP(O20,'[1]Note 1 Automation'!$A$1:$B$21,2)</f>
        <v>0.8</v>
      </c>
      <c r="Q20" s="19">
        <f t="shared" si="8"/>
        <v>515151.51515151514</v>
      </c>
      <c r="R20" s="19">
        <f t="shared" si="9"/>
        <v>41212.121212121216</v>
      </c>
      <c r="S20" s="19">
        <f t="shared" si="10"/>
        <v>556363.63636363635</v>
      </c>
      <c r="T20" s="86">
        <f t="shared" si="11"/>
        <v>0.2781818181818182</v>
      </c>
      <c r="U20" s="20">
        <f t="shared" si="12"/>
        <v>2.0606060606060628E-2</v>
      </c>
    </row>
    <row r="21" spans="1:21" x14ac:dyDescent="0.25">
      <c r="A21" t="s">
        <v>54</v>
      </c>
      <c r="B21" s="14">
        <v>500000</v>
      </c>
      <c r="C21" s="14">
        <v>1500000</v>
      </c>
      <c r="D21" s="14">
        <v>200000</v>
      </c>
      <c r="E21" s="14">
        <v>500000</v>
      </c>
      <c r="F21" s="14">
        <v>250000</v>
      </c>
      <c r="G21" s="15">
        <f t="shared" si="0"/>
        <v>0.20408163265306123</v>
      </c>
      <c r="H21" s="16">
        <f t="shared" si="1"/>
        <v>0.25641025641025639</v>
      </c>
      <c r="I21" s="16">
        <f t="shared" si="2"/>
        <v>5.2328623757195158E-2</v>
      </c>
      <c r="J21" s="17">
        <f t="shared" si="3"/>
        <v>78492.935635792732</v>
      </c>
      <c r="K21" s="17">
        <f t="shared" si="4"/>
        <v>102040.81632653062</v>
      </c>
      <c r="L21" s="14">
        <v>70000</v>
      </c>
      <c r="M21" s="17">
        <f t="shared" si="5"/>
        <v>32040.816326530621</v>
      </c>
      <c r="N21" s="17">
        <f t="shared" si="6"/>
        <v>32040.816326530621</v>
      </c>
      <c r="O21" s="18">
        <f t="shared" si="7"/>
        <v>0.66666666666666663</v>
      </c>
      <c r="P21" s="18">
        <f>VLOOKUP(O21,'[1]Note 1 Automation'!$A$1:$B$21,2)</f>
        <v>0.7</v>
      </c>
      <c r="Q21" s="19">
        <f t="shared" si="8"/>
        <v>306122.44897959183</v>
      </c>
      <c r="R21" s="19">
        <f t="shared" si="9"/>
        <v>22428.571428571435</v>
      </c>
      <c r="S21" s="19">
        <f t="shared" si="10"/>
        <v>328551.02040816325</v>
      </c>
      <c r="T21" s="86">
        <f t="shared" si="11"/>
        <v>0.21903401360544217</v>
      </c>
      <c r="U21" s="20">
        <f t="shared" si="12"/>
        <v>1.4952380952380939E-2</v>
      </c>
    </row>
    <row r="22" spans="1:21" x14ac:dyDescent="0.25">
      <c r="A22" t="s">
        <v>55</v>
      </c>
      <c r="B22" s="14">
        <v>1250000</v>
      </c>
      <c r="C22" s="14">
        <v>4200000</v>
      </c>
      <c r="D22" s="14">
        <v>1020000</v>
      </c>
      <c r="E22" s="14">
        <v>250000</v>
      </c>
      <c r="F22" s="14">
        <v>645000</v>
      </c>
      <c r="G22" s="15">
        <f t="shared" si="0"/>
        <v>0.20441537203597709</v>
      </c>
      <c r="H22" s="16">
        <f t="shared" si="1"/>
        <v>0.21312872975277067</v>
      </c>
      <c r="I22" s="16">
        <f t="shared" si="2"/>
        <v>8.7133577167935738E-3</v>
      </c>
      <c r="J22" s="17">
        <f t="shared" si="3"/>
        <v>36596.102410533007</v>
      </c>
      <c r="K22" s="17">
        <f t="shared" si="4"/>
        <v>51103.84300899427</v>
      </c>
      <c r="L22" s="14">
        <v>300000</v>
      </c>
      <c r="M22" s="17">
        <f t="shared" si="5"/>
        <v>-248896.15699100573</v>
      </c>
      <c r="N22" s="17">
        <f t="shared" si="6"/>
        <v>0</v>
      </c>
      <c r="O22" s="18">
        <f t="shared" si="7"/>
        <v>0.82433758586849848</v>
      </c>
      <c r="P22" s="18">
        <f>VLOOKUP(O22,'[1]Note 1 Automation'!$A$1:$B$21,2)</f>
        <v>0.85</v>
      </c>
      <c r="Q22" s="19">
        <f t="shared" si="8"/>
        <v>858544.56255110377</v>
      </c>
      <c r="R22" s="19">
        <f t="shared" si="9"/>
        <v>0</v>
      </c>
      <c r="S22" s="19">
        <f t="shared" si="10"/>
        <v>858544.56255110377</v>
      </c>
      <c r="T22" s="86">
        <f t="shared" si="11"/>
        <v>0.20441537203597709</v>
      </c>
      <c r="U22" s="20">
        <f t="shared" si="12"/>
        <v>0</v>
      </c>
    </row>
    <row r="23" spans="1:21" x14ac:dyDescent="0.25">
      <c r="A23" t="s">
        <v>56</v>
      </c>
      <c r="B23" s="14">
        <v>300000</v>
      </c>
      <c r="C23" s="14">
        <v>600000</v>
      </c>
      <c r="D23" s="14">
        <v>400000</v>
      </c>
      <c r="E23" s="14">
        <v>350000</v>
      </c>
      <c r="F23" s="14">
        <v>70000</v>
      </c>
      <c r="G23" s="15">
        <f t="shared" si="0"/>
        <v>0.21126760563380281</v>
      </c>
      <c r="H23" s="16">
        <f t="shared" si="1"/>
        <v>0.28037383177570091</v>
      </c>
      <c r="I23" s="16">
        <f t="shared" si="2"/>
        <v>6.9106226141898097E-2</v>
      </c>
      <c r="J23" s="17">
        <f t="shared" si="3"/>
        <v>41463.735685138861</v>
      </c>
      <c r="K23" s="17">
        <f t="shared" si="4"/>
        <v>73943.661971830981</v>
      </c>
      <c r="L23" s="14">
        <v>16987</v>
      </c>
      <c r="M23" s="17">
        <f t="shared" si="5"/>
        <v>56956.661971830981</v>
      </c>
      <c r="N23" s="17">
        <f t="shared" si="6"/>
        <v>41463.735685138861</v>
      </c>
      <c r="O23" s="18">
        <f t="shared" si="7"/>
        <v>0.58823529411764708</v>
      </c>
      <c r="P23" s="18">
        <f>VLOOKUP(O23,'[1]Note 1 Automation'!$A$1:$B$21,2)</f>
        <v>0.6</v>
      </c>
      <c r="Q23" s="19">
        <f t="shared" si="8"/>
        <v>126760.56338028169</v>
      </c>
      <c r="R23" s="19">
        <f t="shared" si="9"/>
        <v>24878.241411083316</v>
      </c>
      <c r="S23" s="19">
        <f t="shared" si="10"/>
        <v>151638.80479136499</v>
      </c>
      <c r="T23" s="86">
        <f t="shared" si="11"/>
        <v>0.25273134131894165</v>
      </c>
      <c r="U23" s="20">
        <f t="shared" si="12"/>
        <v>4.1463735685138836E-2</v>
      </c>
    </row>
    <row r="24" spans="1:21" x14ac:dyDescent="0.25">
      <c r="A24" t="s">
        <v>57</v>
      </c>
      <c r="B24" s="14">
        <v>2300000</v>
      </c>
      <c r="C24" s="14">
        <v>1500000</v>
      </c>
      <c r="D24" s="14">
        <v>0</v>
      </c>
      <c r="E24" s="14">
        <v>1100000</v>
      </c>
      <c r="F24" s="14">
        <v>2500000</v>
      </c>
      <c r="G24" s="15">
        <f t="shared" si="0"/>
        <v>0.45098039215686275</v>
      </c>
      <c r="H24" s="16">
        <f t="shared" si="1"/>
        <v>0.57499999999999996</v>
      </c>
      <c r="I24" s="16">
        <f t="shared" si="2"/>
        <v>0.1240196078431372</v>
      </c>
      <c r="J24" s="17">
        <f t="shared" si="3"/>
        <v>186029.41176470582</v>
      </c>
      <c r="K24" s="17">
        <f t="shared" si="4"/>
        <v>496078.43137254904</v>
      </c>
      <c r="L24" s="14">
        <v>180000</v>
      </c>
      <c r="M24" s="17">
        <f t="shared" si="5"/>
        <v>316078.43137254904</v>
      </c>
      <c r="N24" s="17">
        <f t="shared" si="6"/>
        <v>186029.41176470582</v>
      </c>
      <c r="O24" s="18">
        <f t="shared" si="7"/>
        <v>0.29411764705882354</v>
      </c>
      <c r="P24" s="18">
        <f>VLOOKUP(O24,'[1]Note 1 Automation'!$A$1:$B$21,2)</f>
        <v>0.3</v>
      </c>
      <c r="Q24" s="19">
        <f t="shared" si="8"/>
        <v>676470.5882352941</v>
      </c>
      <c r="R24" s="19">
        <f t="shared" si="9"/>
        <v>55808.82352941174</v>
      </c>
      <c r="S24" s="19">
        <f t="shared" si="10"/>
        <v>732279.41176470579</v>
      </c>
      <c r="T24" s="86">
        <f t="shared" si="11"/>
        <v>0.48818627450980384</v>
      </c>
      <c r="U24" s="20">
        <f t="shared" si="12"/>
        <v>3.7205882352941089E-2</v>
      </c>
    </row>
    <row r="25" spans="1:21" x14ac:dyDescent="0.25">
      <c r="G25" s="15"/>
      <c r="H25" s="16"/>
      <c r="I25" s="16"/>
      <c r="J25" s="17"/>
      <c r="K25" s="17"/>
      <c r="L25" s="17"/>
      <c r="M25" s="17"/>
      <c r="N25" s="17"/>
      <c r="O25" s="18"/>
      <c r="P25" s="18"/>
      <c r="Q25" s="19"/>
      <c r="R25" s="19"/>
      <c r="S25" s="19"/>
      <c r="T25" s="21"/>
      <c r="U25" s="21"/>
    </row>
    <row r="26" spans="1:21" x14ac:dyDescent="0.25">
      <c r="L26" s="17"/>
    </row>
    <row r="27" spans="1:21" x14ac:dyDescent="0.25">
      <c r="D27" s="18"/>
      <c r="L27" s="17"/>
    </row>
    <row r="28" spans="1:21" x14ac:dyDescent="0.25">
      <c r="L28" s="17"/>
    </row>
    <row r="29" spans="1:21" x14ac:dyDescent="0.25">
      <c r="A29" t="s">
        <v>58</v>
      </c>
      <c r="B29" t="s">
        <v>59</v>
      </c>
      <c r="G29" s="84" t="s">
        <v>101</v>
      </c>
      <c r="H29" t="s">
        <v>102</v>
      </c>
      <c r="K29" s="84" t="s">
        <v>110</v>
      </c>
      <c r="L29" s="17" t="s">
        <v>111</v>
      </c>
      <c r="P29" s="84" t="s">
        <v>119</v>
      </c>
      <c r="Q29" t="s">
        <v>120</v>
      </c>
    </row>
    <row r="30" spans="1:21" x14ac:dyDescent="0.25">
      <c r="B30" t="s">
        <v>60</v>
      </c>
      <c r="H30" t="s">
        <v>103</v>
      </c>
      <c r="L30" t="s">
        <v>112</v>
      </c>
      <c r="Q30" t="s">
        <v>121</v>
      </c>
    </row>
    <row r="31" spans="1:21" x14ac:dyDescent="0.25">
      <c r="B31" t="s">
        <v>61</v>
      </c>
      <c r="E31" t="s">
        <v>62</v>
      </c>
      <c r="H31" t="s">
        <v>104</v>
      </c>
      <c r="L31" t="s">
        <v>113</v>
      </c>
      <c r="Q31" t="s">
        <v>122</v>
      </c>
    </row>
    <row r="32" spans="1:21" x14ac:dyDescent="0.25">
      <c r="B32" t="s">
        <v>63</v>
      </c>
      <c r="E32" t="s">
        <v>64</v>
      </c>
      <c r="H32" t="s">
        <v>135</v>
      </c>
      <c r="L32" t="s">
        <v>114</v>
      </c>
      <c r="Q32" t="s">
        <v>123</v>
      </c>
    </row>
    <row r="33" spans="1:17" x14ac:dyDescent="0.25">
      <c r="B33" s="22" t="s">
        <v>65</v>
      </c>
      <c r="E33" t="s">
        <v>66</v>
      </c>
      <c r="H33" t="s">
        <v>105</v>
      </c>
      <c r="L33" t="s">
        <v>115</v>
      </c>
      <c r="Q33" t="s">
        <v>124</v>
      </c>
    </row>
    <row r="34" spans="1:17" x14ac:dyDescent="0.25">
      <c r="B34" s="22" t="s">
        <v>67</v>
      </c>
      <c r="E34" t="s">
        <v>68</v>
      </c>
      <c r="H34" t="s">
        <v>106</v>
      </c>
      <c r="L34" t="s">
        <v>116</v>
      </c>
      <c r="Q34" t="s">
        <v>125</v>
      </c>
    </row>
    <row r="35" spans="1:17" x14ac:dyDescent="0.25">
      <c r="B35" s="22" t="s">
        <v>69</v>
      </c>
      <c r="E35" t="s">
        <v>70</v>
      </c>
      <c r="H35" t="s">
        <v>107</v>
      </c>
      <c r="L35" t="s">
        <v>118</v>
      </c>
      <c r="Q35" t="s">
        <v>126</v>
      </c>
    </row>
    <row r="36" spans="1:17" x14ac:dyDescent="0.25">
      <c r="A36" t="s">
        <v>71</v>
      </c>
      <c r="B36" s="22" t="s">
        <v>72</v>
      </c>
      <c r="E36" t="s">
        <v>73</v>
      </c>
      <c r="H36" t="s">
        <v>108</v>
      </c>
      <c r="L36" t="s">
        <v>117</v>
      </c>
    </row>
    <row r="37" spans="1:17" x14ac:dyDescent="0.25">
      <c r="B37" s="22" t="s">
        <v>74</v>
      </c>
      <c r="E37" t="s">
        <v>75</v>
      </c>
      <c r="H37" t="s">
        <v>109</v>
      </c>
    </row>
    <row r="38" spans="1:17" x14ac:dyDescent="0.25">
      <c r="B38" s="22" t="s">
        <v>76</v>
      </c>
      <c r="E38" t="s">
        <v>77</v>
      </c>
    </row>
    <row r="39" spans="1:17" x14ac:dyDescent="0.25">
      <c r="B39" s="22" t="s">
        <v>78</v>
      </c>
      <c r="E39" t="s">
        <v>79</v>
      </c>
    </row>
    <row r="40" spans="1:17" x14ac:dyDescent="0.25">
      <c r="B40" s="22" t="s">
        <v>80</v>
      </c>
      <c r="E40" t="s">
        <v>81</v>
      </c>
    </row>
  </sheetData>
  <sheetProtection password="87A5" sheet="1" objects="1" scenarios="1"/>
  <phoneticPr fontId="0" type="noConversion"/>
  <pageMargins left="0.75" right="0.75" top="1" bottom="1" header="0.5" footer="0.5"/>
  <pageSetup scale="48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Entry Sheet</vt:lpstr>
      <vt:lpstr>Note 1 Automation</vt:lpstr>
      <vt:lpstr>BM Spreadsheet per Court Order</vt:lpstr>
      <vt:lpstr>'Data Entry Sheet'!Print_Area</vt:lpstr>
    </vt:vector>
  </TitlesOfParts>
  <Company>Office of Inspector General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the Interior</dc:creator>
  <cp:lastModifiedBy>Aniket Gupta</cp:lastModifiedBy>
  <cp:lastPrinted>2003-06-24T16:43:48Z</cp:lastPrinted>
  <dcterms:created xsi:type="dcterms:W3CDTF">2001-04-12T23:16:59Z</dcterms:created>
  <dcterms:modified xsi:type="dcterms:W3CDTF">2024-02-03T22:14:58Z</dcterms:modified>
</cp:coreProperties>
</file>