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BC3874D-EF3E-45D5-9818-A4F3CC5A1487}" xr6:coauthVersionLast="47" xr6:coauthVersionMax="47" xr10:uidLastSave="{00000000-0000-0000-0000-000000000000}"/>
  <bookViews>
    <workbookView xWindow="3348" yWindow="3348" windowWidth="17280" windowHeight="8880"/>
  </bookViews>
  <sheets>
    <sheet name="Entry" sheetId="1" r:id="rId1"/>
    <sheet name="Production" sheetId="4" r:id="rId2"/>
    <sheet name="Financial" sheetId="2" r:id="rId3"/>
    <sheet name="Statistical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1" i="1" s="1"/>
  <c r="B16" i="2"/>
  <c r="B5" i="2" s="1"/>
  <c r="B6" i="2"/>
  <c r="B7" i="2"/>
  <c r="P7" i="2" s="1"/>
  <c r="B8" i="2"/>
  <c r="B14" i="2"/>
  <c r="B15" i="2"/>
  <c r="P15" i="2" s="1"/>
  <c r="V7" i="2"/>
  <c r="V8" i="2"/>
  <c r="L16" i="2"/>
  <c r="L13" i="2" s="1"/>
  <c r="L14" i="2"/>
  <c r="L12" i="2"/>
  <c r="L10" i="2"/>
  <c r="L8" i="2"/>
  <c r="L6" i="2"/>
  <c r="L4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A15" i="2"/>
  <c r="A32" i="2" s="1"/>
  <c r="I32" i="2"/>
  <c r="A14" i="2"/>
  <c r="D31" i="2" s="1"/>
  <c r="I31" i="2"/>
  <c r="A13" i="2"/>
  <c r="I30" i="2" s="1"/>
  <c r="A12" i="2"/>
  <c r="J10" i="4" s="1"/>
  <c r="A11" i="2"/>
  <c r="N28" i="2" s="1"/>
  <c r="A10" i="2"/>
  <c r="A27" i="2" s="1"/>
  <c r="I27" i="2"/>
  <c r="A9" i="2"/>
  <c r="I26" i="2" s="1"/>
  <c r="A8" i="2"/>
  <c r="A6" i="4" s="1"/>
  <c r="A7" i="2"/>
  <c r="I24" i="2" s="1"/>
  <c r="A6" i="2"/>
  <c r="D23" i="2" s="1"/>
  <c r="A5" i="2"/>
  <c r="I22" i="2" s="1"/>
  <c r="A4" i="2"/>
  <c r="J2" i="4" s="1"/>
  <c r="A31" i="2"/>
  <c r="A30" i="2"/>
  <c r="A29" i="2"/>
  <c r="A28" i="2"/>
  <c r="A24" i="2"/>
  <c r="A23" i="2"/>
  <c r="D30" i="2"/>
  <c r="D28" i="2"/>
  <c r="D26" i="2"/>
  <c r="D25" i="2"/>
  <c r="D24" i="2"/>
  <c r="D22" i="2"/>
  <c r="F31" i="2"/>
  <c r="F30" i="2"/>
  <c r="F29" i="2"/>
  <c r="F28" i="2"/>
  <c r="F26" i="2"/>
  <c r="F24" i="2"/>
  <c r="F23" i="2"/>
  <c r="K30" i="2"/>
  <c r="K28" i="2"/>
  <c r="K27" i="2"/>
  <c r="K26" i="2"/>
  <c r="K25" i="2"/>
  <c r="K24" i="2"/>
  <c r="N31" i="2"/>
  <c r="N30" i="2"/>
  <c r="N29" i="2"/>
  <c r="N26" i="2"/>
  <c r="N24" i="2"/>
  <c r="N15" i="2"/>
  <c r="N13" i="2"/>
  <c r="N10" i="2"/>
  <c r="N7" i="2"/>
  <c r="K15" i="2"/>
  <c r="K14" i="2"/>
  <c r="K13" i="2"/>
  <c r="K12" i="2"/>
  <c r="K7" i="2"/>
  <c r="K5" i="2"/>
  <c r="I13" i="2"/>
  <c r="I9" i="2"/>
  <c r="I7" i="2"/>
  <c r="I5" i="2"/>
  <c r="F14" i="2"/>
  <c r="F13" i="2"/>
  <c r="F12" i="2"/>
  <c r="F11" i="2"/>
  <c r="F9" i="2"/>
  <c r="F7" i="2"/>
  <c r="F6" i="2"/>
  <c r="F4" i="2"/>
  <c r="D13" i="2"/>
  <c r="D11" i="2"/>
  <c r="D9" i="2"/>
  <c r="D8" i="2"/>
  <c r="D7" i="2"/>
  <c r="D6" i="2"/>
  <c r="J12" i="4"/>
  <c r="J11" i="4"/>
  <c r="J8" i="4"/>
  <c r="J7" i="4"/>
  <c r="J5" i="4"/>
  <c r="J4" i="4"/>
  <c r="A12" i="4"/>
  <c r="A11" i="4"/>
  <c r="A9" i="4"/>
  <c r="A8" i="4"/>
  <c r="A7" i="4"/>
  <c r="A5" i="4"/>
  <c r="F12" i="3"/>
  <c r="F11" i="3"/>
  <c r="F9" i="3"/>
  <c r="F7" i="3"/>
  <c r="F5" i="3"/>
  <c r="A12" i="3"/>
  <c r="A11" i="3"/>
  <c r="A9" i="3"/>
  <c r="A8" i="3"/>
  <c r="A7" i="3"/>
  <c r="A5" i="3"/>
  <c r="A4" i="3"/>
  <c r="D3" i="3"/>
  <c r="D4" i="3"/>
  <c r="D5" i="3"/>
  <c r="D6" i="3"/>
  <c r="D7" i="3"/>
  <c r="D8" i="3"/>
  <c r="D9" i="3"/>
  <c r="D10" i="3"/>
  <c r="D11" i="3"/>
  <c r="D12" i="3"/>
  <c r="D13" i="3"/>
  <c r="D2" i="3"/>
  <c r="A3" i="3" l="1"/>
  <c r="A13" i="3"/>
  <c r="J9" i="4"/>
  <c r="D10" i="2"/>
  <c r="I8" i="2"/>
  <c r="K6" i="2"/>
  <c r="N5" i="2"/>
  <c r="N21" i="2"/>
  <c r="D27" i="2"/>
  <c r="A26" i="2"/>
  <c r="I23" i="2"/>
  <c r="I28" i="2"/>
  <c r="F3" i="3"/>
  <c r="F4" i="3"/>
  <c r="A3" i="4"/>
  <c r="A13" i="4"/>
  <c r="I10" i="2"/>
  <c r="K9" i="2"/>
  <c r="N8" i="2"/>
  <c r="N23" i="2"/>
  <c r="K22" i="2"/>
  <c r="F21" i="2"/>
  <c r="K4" i="2"/>
  <c r="F13" i="3"/>
  <c r="N22" i="2"/>
  <c r="N32" i="2"/>
  <c r="K32" i="2"/>
  <c r="A4" i="4"/>
  <c r="J3" i="4"/>
  <c r="J13" i="4"/>
  <c r="D15" i="2"/>
  <c r="I11" i="2"/>
  <c r="K11" i="2"/>
  <c r="N9" i="2"/>
  <c r="F22" i="2"/>
  <c r="F32" i="2"/>
  <c r="D32" i="2"/>
  <c r="A21" i="2"/>
  <c r="F8" i="3"/>
  <c r="F5" i="2"/>
  <c r="F15" i="2"/>
  <c r="I15" i="2"/>
  <c r="N11" i="2"/>
  <c r="A22" i="2"/>
  <c r="P5" i="2"/>
  <c r="V5" i="2"/>
  <c r="B25" i="1"/>
  <c r="C25" i="1" s="1"/>
  <c r="C21" i="1"/>
  <c r="B24" i="1"/>
  <c r="B23" i="1"/>
  <c r="B26" i="1"/>
  <c r="C26" i="1" s="1"/>
  <c r="H14" i="4"/>
  <c r="P8" i="2"/>
  <c r="P14" i="2"/>
  <c r="B11" i="2"/>
  <c r="P6" i="2"/>
  <c r="A2" i="3"/>
  <c r="A10" i="3"/>
  <c r="F6" i="3"/>
  <c r="A2" i="4"/>
  <c r="A10" i="4"/>
  <c r="J6" i="4"/>
  <c r="L7" i="2"/>
  <c r="L11" i="2"/>
  <c r="L15" i="2"/>
  <c r="V15" i="2"/>
  <c r="B9" i="2"/>
  <c r="D4" i="2"/>
  <c r="D12" i="2"/>
  <c r="F8" i="2"/>
  <c r="I4" i="2"/>
  <c r="I12" i="2"/>
  <c r="K8" i="2"/>
  <c r="N4" i="2"/>
  <c r="N12" i="2"/>
  <c r="N25" i="2"/>
  <c r="K21" i="2"/>
  <c r="K29" i="2"/>
  <c r="F25" i="2"/>
  <c r="D21" i="2"/>
  <c r="D29" i="2"/>
  <c r="A25" i="2"/>
  <c r="I21" i="2"/>
  <c r="I25" i="2"/>
  <c r="I29" i="2"/>
  <c r="V6" i="2"/>
  <c r="B12" i="2"/>
  <c r="B4" i="2"/>
  <c r="V14" i="2"/>
  <c r="D5" i="2"/>
  <c r="D14" i="2"/>
  <c r="F10" i="2"/>
  <c r="I6" i="2"/>
  <c r="I14" i="2"/>
  <c r="K10" i="2"/>
  <c r="N6" i="2"/>
  <c r="N14" i="2"/>
  <c r="N27" i="2"/>
  <c r="K23" i="2"/>
  <c r="K31" i="2"/>
  <c r="F27" i="2"/>
  <c r="B10" i="2"/>
  <c r="A6" i="3"/>
  <c r="F2" i="3"/>
  <c r="F10" i="3"/>
  <c r="L5" i="2"/>
  <c r="L9" i="2"/>
  <c r="B13" i="2"/>
  <c r="P4" i="2" l="1"/>
  <c r="Q4" i="2" s="1"/>
  <c r="V4" i="2"/>
  <c r="W4" i="2" s="1"/>
  <c r="P12" i="2"/>
  <c r="V12" i="2"/>
  <c r="P10" i="2"/>
  <c r="V10" i="2"/>
  <c r="V11" i="2"/>
  <c r="P11" i="2"/>
  <c r="H8" i="4"/>
  <c r="H10" i="4"/>
  <c r="H9" i="4"/>
  <c r="H2" i="4"/>
  <c r="H13" i="4"/>
  <c r="H3" i="4"/>
  <c r="H11" i="4"/>
  <c r="H4" i="4"/>
  <c r="H12" i="4"/>
  <c r="I14" i="4"/>
  <c r="H5" i="4"/>
  <c r="H6" i="4"/>
  <c r="H7" i="4"/>
  <c r="V13" i="2"/>
  <c r="P13" i="2"/>
  <c r="V9" i="2"/>
  <c r="P9" i="2"/>
  <c r="C23" i="1"/>
  <c r="B14" i="4"/>
  <c r="B22" i="1"/>
  <c r="B27" i="1"/>
  <c r="C27" i="1" s="1"/>
  <c r="D14" i="4"/>
  <c r="B28" i="1"/>
  <c r="C28" i="1" s="1"/>
  <c r="C24" i="1"/>
  <c r="I9" i="4" l="1"/>
  <c r="C9" i="3" s="1"/>
  <c r="E9" i="3" s="1"/>
  <c r="I3" i="4"/>
  <c r="C3" i="3" s="1"/>
  <c r="E3" i="3" s="1"/>
  <c r="I11" i="4"/>
  <c r="C11" i="3" s="1"/>
  <c r="E11" i="3" s="1"/>
  <c r="I10" i="4"/>
  <c r="C10" i="3" s="1"/>
  <c r="E10" i="3" s="1"/>
  <c r="I2" i="4"/>
  <c r="C2" i="3" s="1"/>
  <c r="E2" i="3" s="1"/>
  <c r="I12" i="4"/>
  <c r="C12" i="3" s="1"/>
  <c r="E12" i="3" s="1"/>
  <c r="I6" i="4"/>
  <c r="C6" i="3" s="1"/>
  <c r="E6" i="3" s="1"/>
  <c r="I13" i="4"/>
  <c r="C13" i="3" s="1"/>
  <c r="E13" i="3" s="1"/>
  <c r="I4" i="4"/>
  <c r="C4" i="3" s="1"/>
  <c r="E4" i="3" s="1"/>
  <c r="I7" i="4"/>
  <c r="C7" i="3" s="1"/>
  <c r="E7" i="3" s="1"/>
  <c r="I8" i="4"/>
  <c r="C8" i="3" s="1"/>
  <c r="E8" i="3" s="1"/>
  <c r="I5" i="4"/>
  <c r="C5" i="3" s="1"/>
  <c r="E5" i="3" s="1"/>
  <c r="W5" i="2"/>
  <c r="X4" i="2"/>
  <c r="C22" i="1"/>
  <c r="F14" i="4"/>
  <c r="Q5" i="2"/>
  <c r="R4" i="2"/>
  <c r="B7" i="4"/>
  <c r="B13" i="4"/>
  <c r="C14" i="4"/>
  <c r="B2" i="4"/>
  <c r="B6" i="4"/>
  <c r="B5" i="4"/>
  <c r="B12" i="4"/>
  <c r="B4" i="4"/>
  <c r="B11" i="4"/>
  <c r="B3" i="4"/>
  <c r="B10" i="4"/>
  <c r="B9" i="4"/>
  <c r="B8" i="4"/>
  <c r="D6" i="4"/>
  <c r="D12" i="4"/>
  <c r="D13" i="4"/>
  <c r="D5" i="4"/>
  <c r="D4" i="4"/>
  <c r="E14" i="4"/>
  <c r="D11" i="4"/>
  <c r="D3" i="4"/>
  <c r="D9" i="4"/>
  <c r="D10" i="4"/>
  <c r="D2" i="4"/>
  <c r="D7" i="4"/>
  <c r="D8" i="4"/>
  <c r="F6" i="4" l="1"/>
  <c r="F4" i="4"/>
  <c r="F13" i="4"/>
  <c r="F5" i="4"/>
  <c r="F12" i="4"/>
  <c r="F11" i="4"/>
  <c r="F3" i="4"/>
  <c r="F9" i="4"/>
  <c r="F10" i="4"/>
  <c r="F2" i="4"/>
  <c r="F7" i="4"/>
  <c r="F8" i="4"/>
  <c r="G14" i="4"/>
  <c r="M21" i="2"/>
  <c r="H21" i="2"/>
  <c r="M4" i="2"/>
  <c r="E10" i="4"/>
  <c r="E2" i="4"/>
  <c r="E9" i="4"/>
  <c r="E8" i="4"/>
  <c r="E7" i="4"/>
  <c r="E6" i="4"/>
  <c r="E13" i="4"/>
  <c r="E5" i="4"/>
  <c r="E4" i="4"/>
  <c r="E12" i="4"/>
  <c r="E11" i="4"/>
  <c r="E3" i="4"/>
  <c r="C11" i="4"/>
  <c r="B11" i="3" s="1"/>
  <c r="C2" i="4"/>
  <c r="B2" i="3" s="1"/>
  <c r="C9" i="4"/>
  <c r="B9" i="3" s="1"/>
  <c r="C10" i="4"/>
  <c r="B10" i="3" s="1"/>
  <c r="C6" i="4"/>
  <c r="B6" i="3" s="1"/>
  <c r="C8" i="4"/>
  <c r="B8" i="3" s="1"/>
  <c r="C7" i="4"/>
  <c r="B7" i="3" s="1"/>
  <c r="C5" i="4"/>
  <c r="B5" i="3" s="1"/>
  <c r="C12" i="4"/>
  <c r="B12" i="3" s="1"/>
  <c r="C3" i="4"/>
  <c r="B3" i="3" s="1"/>
  <c r="C4" i="4"/>
  <c r="B4" i="3" s="1"/>
  <c r="C13" i="4"/>
  <c r="B13" i="3" s="1"/>
  <c r="W6" i="2"/>
  <c r="X5" i="2"/>
  <c r="L21" i="2"/>
  <c r="G21" i="2"/>
  <c r="B21" i="2"/>
  <c r="H4" i="2"/>
  <c r="S4" i="2"/>
  <c r="T4" i="2" s="1"/>
  <c r="R5" i="2"/>
  <c r="Q6" i="2"/>
  <c r="G11" i="4" l="1"/>
  <c r="G3" i="4"/>
  <c r="G9" i="4"/>
  <c r="G10" i="4"/>
  <c r="G8" i="4"/>
  <c r="G7" i="4"/>
  <c r="G6" i="4"/>
  <c r="G4" i="4"/>
  <c r="G13" i="4"/>
  <c r="G5" i="4"/>
  <c r="G2" i="4"/>
  <c r="G12" i="4"/>
  <c r="R6" i="2"/>
  <c r="Q7" i="2"/>
  <c r="G22" i="2"/>
  <c r="H5" i="2"/>
  <c r="L22" i="2"/>
  <c r="B22" i="2"/>
  <c r="S5" i="2"/>
  <c r="W7" i="2"/>
  <c r="X6" i="2"/>
  <c r="H22" i="2"/>
  <c r="M5" i="2"/>
  <c r="U4" i="2"/>
  <c r="T5" i="2"/>
  <c r="M22" i="2" l="1"/>
  <c r="C21" i="2"/>
  <c r="C4" i="2"/>
  <c r="H23" i="2"/>
  <c r="M6" i="2"/>
  <c r="W8" i="2"/>
  <c r="X7" i="2"/>
  <c r="Q8" i="2"/>
  <c r="R7" i="2"/>
  <c r="B23" i="2"/>
  <c r="L23" i="2"/>
  <c r="M23" i="2" s="1"/>
  <c r="G23" i="2"/>
  <c r="H6" i="2"/>
  <c r="S6" i="2"/>
  <c r="T6" i="2" s="1"/>
  <c r="U5" i="2"/>
  <c r="U6" i="2" l="1"/>
  <c r="M24" i="2"/>
  <c r="H24" i="2"/>
  <c r="M7" i="2"/>
  <c r="L24" i="2"/>
  <c r="B24" i="2"/>
  <c r="G24" i="2"/>
  <c r="H7" i="2"/>
  <c r="S7" i="2"/>
  <c r="T7" i="2" s="1"/>
  <c r="W9" i="2"/>
  <c r="X8" i="2"/>
  <c r="C22" i="2"/>
  <c r="C5" i="2"/>
  <c r="R8" i="2"/>
  <c r="Q9" i="2"/>
  <c r="U7" i="2" l="1"/>
  <c r="Q10" i="2"/>
  <c r="R9" i="2"/>
  <c r="B25" i="2"/>
  <c r="G25" i="2"/>
  <c r="L25" i="2"/>
  <c r="S8" i="2"/>
  <c r="T8" i="2" s="1"/>
  <c r="H8" i="2"/>
  <c r="M25" i="2"/>
  <c r="H25" i="2"/>
  <c r="M8" i="2"/>
  <c r="C23" i="2"/>
  <c r="C6" i="2"/>
  <c r="X9" i="2"/>
  <c r="W10" i="2"/>
  <c r="U8" i="2" l="1"/>
  <c r="X10" i="2"/>
  <c r="W11" i="2"/>
  <c r="H26" i="2"/>
  <c r="M9" i="2"/>
  <c r="H9" i="2"/>
  <c r="B26" i="2"/>
  <c r="L26" i="2"/>
  <c r="M26" i="2" s="1"/>
  <c r="G26" i="2"/>
  <c r="S9" i="2"/>
  <c r="T9" i="2" s="1"/>
  <c r="Q11" i="2"/>
  <c r="R10" i="2"/>
  <c r="C24" i="2"/>
  <c r="C7" i="2"/>
  <c r="U9" i="2" l="1"/>
  <c r="X11" i="2"/>
  <c r="W12" i="2"/>
  <c r="H27" i="2"/>
  <c r="M10" i="2"/>
  <c r="L27" i="2"/>
  <c r="M27" i="2" s="1"/>
  <c r="G27" i="2"/>
  <c r="B27" i="2"/>
  <c r="H10" i="2"/>
  <c r="S10" i="2"/>
  <c r="T10" i="2" s="1"/>
  <c r="R11" i="2"/>
  <c r="Q12" i="2"/>
  <c r="C25" i="2"/>
  <c r="C8" i="2"/>
  <c r="U10" i="2" l="1"/>
  <c r="L28" i="2"/>
  <c r="G28" i="2"/>
  <c r="B28" i="2"/>
  <c r="H11" i="2"/>
  <c r="S11" i="2"/>
  <c r="T11" i="2" s="1"/>
  <c r="W13" i="2"/>
  <c r="X12" i="2"/>
  <c r="Q13" i="2"/>
  <c r="R12" i="2"/>
  <c r="M28" i="2"/>
  <c r="H28" i="2"/>
  <c r="M11" i="2"/>
  <c r="C26" i="2"/>
  <c r="C9" i="2"/>
  <c r="U11" i="2" l="1"/>
  <c r="G29" i="2"/>
  <c r="B29" i="2"/>
  <c r="L29" i="2"/>
  <c r="M29" i="2" s="1"/>
  <c r="H12" i="2"/>
  <c r="S12" i="2"/>
  <c r="T12" i="2" s="1"/>
  <c r="R13" i="2"/>
  <c r="Q14" i="2"/>
  <c r="H29" i="2"/>
  <c r="M12" i="2"/>
  <c r="C27" i="2"/>
  <c r="C10" i="2"/>
  <c r="X13" i="2"/>
  <c r="W14" i="2"/>
  <c r="U12" i="2" l="1"/>
  <c r="T13" i="2"/>
  <c r="W15" i="2"/>
  <c r="X15" i="2" s="1"/>
  <c r="X14" i="2"/>
  <c r="R14" i="2"/>
  <c r="Q15" i="2"/>
  <c r="R15" i="2" s="1"/>
  <c r="C28" i="2"/>
  <c r="C11" i="2"/>
  <c r="H30" i="2"/>
  <c r="M13" i="2"/>
  <c r="G30" i="2"/>
  <c r="H13" i="2"/>
  <c r="L30" i="2"/>
  <c r="M30" i="2" s="1"/>
  <c r="B30" i="2"/>
  <c r="S13" i="2"/>
  <c r="L32" i="2" l="1"/>
  <c r="B32" i="2"/>
  <c r="G32" i="2"/>
  <c r="G33" i="2" s="1"/>
  <c r="H15" i="2"/>
  <c r="H16" i="2" s="1"/>
  <c r="S15" i="2"/>
  <c r="R16" i="2"/>
  <c r="B31" i="2"/>
  <c r="L31" i="2"/>
  <c r="G31" i="2"/>
  <c r="H14" i="2"/>
  <c r="S14" i="2"/>
  <c r="H31" i="2"/>
  <c r="M31" i="2"/>
  <c r="M14" i="2"/>
  <c r="M32" i="2"/>
  <c r="H32" i="2"/>
  <c r="M15" i="2"/>
  <c r="X16" i="2"/>
  <c r="T14" i="2"/>
  <c r="U13" i="2"/>
  <c r="C29" i="2"/>
  <c r="C12" i="2"/>
  <c r="C30" i="2" l="1"/>
  <c r="C13" i="2"/>
  <c r="T15" i="2"/>
  <c r="U15" i="2" s="1"/>
  <c r="U14" i="2"/>
  <c r="B33" i="2"/>
  <c r="M16" i="2"/>
  <c r="H33" i="2"/>
  <c r="M33" i="2"/>
  <c r="L33" i="2"/>
  <c r="C31" i="2" l="1"/>
  <c r="C14" i="2"/>
  <c r="C32" i="2"/>
  <c r="C33" i="2" s="1"/>
  <c r="U16" i="2"/>
  <c r="C15" i="2"/>
  <c r="C16" i="2" s="1"/>
</calcChain>
</file>

<file path=xl/sharedStrings.xml><?xml version="1.0" encoding="utf-8"?>
<sst xmlns="http://schemas.openxmlformats.org/spreadsheetml/2006/main" count="116" uniqueCount="80">
  <si>
    <t>Average commission per side</t>
  </si>
  <si>
    <t>Per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</si>
  <si>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</si>
  <si>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</si>
  <si>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</si>
  <si>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</si>
  <si>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</si>
  <si>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</si>
  <si>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</si>
  <si>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</si>
  <si>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</si>
  <si>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</si>
  <si>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</si>
  <si>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</si>
  <si>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</si>
  <si>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Listings Taken</t>
  </si>
  <si>
    <t>Listings Taken Volume</t>
  </si>
  <si>
    <t>Listings Sold</t>
  </si>
  <si>
    <t>Listings Sold Volume</t>
  </si>
  <si>
    <t>Contracts Written</t>
  </si>
  <si>
    <t>Contracts Written Volume</t>
  </si>
  <si>
    <t>Contracts Closed</t>
  </si>
  <si>
    <t>Contracts Closed Volume</t>
  </si>
  <si>
    <t># Contracts Closed</t>
  </si>
  <si>
    <t># Contracts Written</t>
  </si>
  <si>
    <t>Average sales price</t>
  </si>
  <si>
    <t>GCI</t>
  </si>
  <si>
    <t>Agent 1099/ T4 Income</t>
  </si>
  <si>
    <t>Avg. Listings Taken Price</t>
  </si>
  <si>
    <t>Avg. Sales Closed Price</t>
  </si>
  <si>
    <t>Avg. Closed Commission</t>
  </si>
  <si>
    <t>Commission as % of Sales Price</t>
  </si>
  <si>
    <t>THESE ARE YOUR GOALS:</t>
  </si>
  <si>
    <t>2002 GCI Goal</t>
  </si>
  <si>
    <t>KW Anniversary month (01-12)</t>
  </si>
  <si>
    <t>Average % commission per side</t>
  </si>
  <si>
    <t>Commission Split to Agent</t>
  </si>
  <si>
    <t>Commission Split to Company</t>
  </si>
  <si>
    <t>Company Dollar Cap</t>
  </si>
  <si>
    <t>Royalty Cap (if separate from Co. $ Cap)</t>
  </si>
  <si>
    <t>Royalty Percentage</t>
  </si>
  <si>
    <t>2002 Net Income Goal</t>
  </si>
  <si>
    <t>Royaly Paid</t>
  </si>
  <si>
    <t>Formula 1: If royalty is paid BEFORE the commission split, use this scenario to enter your Financial Goals on WebMORE:</t>
  </si>
  <si>
    <t>Fomula 2: If you, as an agent, pay all royalty, use this scenario to enter your Financial Goals on WebMORE:</t>
  </si>
  <si>
    <t>Fomula 3: If your Market Center pays all royalty, use this scenario to enter your Financial Goals on WebMORE:</t>
  </si>
  <si>
    <t>Formula 1 : Capping Information</t>
  </si>
  <si>
    <t>Formula 2 : Capping Information</t>
  </si>
  <si>
    <t>Formula 3 : Capping Information</t>
  </si>
  <si>
    <t>Net Company Dollar Paid</t>
  </si>
  <si>
    <t>Formula 1</t>
  </si>
  <si>
    <t>Formula 2</t>
  </si>
  <si>
    <t>Royalty *</t>
  </si>
  <si>
    <t>Cumulative Royalty *</t>
  </si>
  <si>
    <t>* before cap adjustment</t>
  </si>
  <si>
    <t>Cumulative Company Dollar *</t>
  </si>
  <si>
    <t>Net Company Dollar *</t>
  </si>
  <si>
    <t>Royalty Paid</t>
  </si>
  <si>
    <t>Amount</t>
  </si>
  <si>
    <t>1) Enter all fields in black on this page to generate your annual goals</t>
  </si>
  <si>
    <t>ENTER THE INFORMATION IN BLACK BELOW:</t>
  </si>
  <si>
    <t xml:space="preserve">3) View your Production, Financial and Statistical Goals by clicking </t>
  </si>
  <si>
    <t xml:space="preserve">   on the tabs at the bottom of the page.</t>
  </si>
  <si>
    <t xml:space="preserve">   side, sales price, % closing rates etc. in your area.</t>
  </si>
  <si>
    <t>4) Print your goals and then enter them into WebMORE at your</t>
  </si>
  <si>
    <t xml:space="preserve">   earliest convenience. </t>
  </si>
  <si>
    <t>Instructions:</t>
  </si>
  <si>
    <t>Listings I Must Close</t>
  </si>
  <si>
    <t>Listings I Must Take</t>
  </si>
  <si>
    <t>Buyer Contracts I Must Write</t>
  </si>
  <si>
    <t>Buyers Sides I Must Close</t>
  </si>
  <si>
    <t>2) Consult with your Team Leader to find out average commission per</t>
  </si>
  <si>
    <t>Your % of closings from listings in 2002</t>
  </si>
  <si>
    <t>Your % of closings from buyers in 2002</t>
  </si>
  <si>
    <t>Your % closing rate on listings</t>
  </si>
  <si>
    <t>Your % closing rate on buyer contracts</t>
  </si>
  <si>
    <t>% of listing appointments that will generate listings</t>
  </si>
  <si>
    <t>% of new buyer appointments who go to contract</t>
  </si>
  <si>
    <t>Listing Appointments</t>
  </si>
  <si>
    <t>New Buyer Appointments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</si>
</sst>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m"/>
  </numFmts>
  <fonts count="5" x14ac:knownFonts="1">
    <font>
      <sz val="10"/>
      <name val="Arial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/>
    <xf numFmtId="164" fontId="0" fillId="0" borderId="1" xfId="0" applyNumberFormat="1" applyBorder="1"/>
    <xf numFmtId="164" fontId="1" fillId="0" borderId="1" xfId="0" applyNumberFormat="1" applyFont="1" applyBorder="1"/>
    <xf numFmtId="0" fontId="0" fillId="2" borderId="1" xfId="0" applyFill="1" applyBorder="1"/>
    <xf numFmtId="0" fontId="2" fillId="2" borderId="1" xfId="0" applyFont="1" applyFill="1" applyBorder="1"/>
    <xf numFmtId="164" fontId="2" fillId="0" borderId="1" xfId="0" applyNumberFormat="1" applyFont="1" applyBorder="1"/>
    <xf numFmtId="0" fontId="3" fillId="2" borderId="1" xfId="0" applyFont="1" applyFill="1" applyBorder="1"/>
    <xf numFmtId="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2" fillId="0" borderId="1" xfId="0" applyNumberFormat="1" applyFont="1" applyBorder="1"/>
    <xf numFmtId="9" fontId="1" fillId="0" borderId="1" xfId="0" applyNumberFormat="1" applyFont="1" applyBorder="1"/>
    <xf numFmtId="9" fontId="2" fillId="0" borderId="1" xfId="0" applyNumberFormat="1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1" fontId="2" fillId="0" borderId="1" xfId="0" applyNumberFormat="1" applyFont="1" applyBorder="1"/>
    <xf numFmtId="4" fontId="2" fillId="0" borderId="1" xfId="0" applyNumberFormat="1" applyFont="1" applyBorder="1"/>
    <xf numFmtId="2" fontId="1" fillId="0" borderId="1" xfId="0" applyNumberFormat="1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2" borderId="2" xfId="0" applyFont="1" applyFill="1" applyBorder="1" applyAlignment="1">
      <alignment horizontal="center"/>
    </xf>
    <xf numFmtId="0" fontId="4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3" borderId="5" xfId="0" applyFill="1" applyBorder="1" applyAlignment="1" applyProtection="1">
      <alignment horizontal="center" wrapText="1"/>
      <protection hidden="1"/>
    </xf>
    <xf numFmtId="0" fontId="0" fillId="3" borderId="6" xfId="0" applyFill="1" applyBorder="1" applyAlignment="1" applyProtection="1">
      <alignment horizontal="center" wrapText="1"/>
      <protection hidden="1"/>
    </xf>
    <xf numFmtId="0" fontId="0" fillId="3" borderId="7" xfId="0" applyFill="1" applyBorder="1" applyAlignment="1" applyProtection="1">
      <alignment horizontal="center" wrapText="1"/>
      <protection hidden="1"/>
    </xf>
    <xf numFmtId="0" fontId="4" fillId="3" borderId="5" xfId="0" applyFont="1" applyFill="1" applyBorder="1" applyAlignment="1" applyProtection="1">
      <alignment horizontal="center" wrapText="1"/>
      <protection hidden="1"/>
    </xf>
    <xf numFmtId="0" fontId="0" fillId="3" borderId="8" xfId="0" applyFill="1" applyBorder="1" applyAlignment="1" applyProtection="1">
      <alignment horizontal="center" wrapText="1"/>
      <protection hidden="1"/>
    </xf>
    <xf numFmtId="0" fontId="0" fillId="4" borderId="5" xfId="0" applyFill="1" applyBorder="1" applyAlignment="1" applyProtection="1">
      <alignment horizontal="center" wrapText="1"/>
      <protection hidden="1"/>
    </xf>
    <xf numFmtId="0" fontId="0" fillId="4" borderId="6" xfId="0" applyFill="1" applyBorder="1" applyAlignment="1" applyProtection="1">
      <alignment horizontal="center" wrapText="1"/>
      <protection hidden="1"/>
    </xf>
    <xf numFmtId="0" fontId="0" fillId="4" borderId="8" xfId="0" applyFill="1" applyBorder="1" applyAlignment="1" applyProtection="1">
      <alignment horizontal="center" wrapText="1"/>
      <protection hidden="1"/>
    </xf>
    <xf numFmtId="164" fontId="4" fillId="3" borderId="9" xfId="0" applyNumberFormat="1" applyFont="1" applyFill="1" applyBorder="1" applyAlignment="1" applyProtection="1">
      <alignment horizontal="center"/>
      <protection hidden="1"/>
    </xf>
    <xf numFmtId="164" fontId="4" fillId="3" borderId="1" xfId="0" applyNumberFormat="1" applyFont="1" applyFill="1" applyBorder="1" applyAlignment="1" applyProtection="1">
      <alignment horizontal="center"/>
      <protection hidden="1"/>
    </xf>
    <xf numFmtId="164" fontId="4" fillId="3" borderId="10" xfId="0" applyNumberFormat="1" applyFont="1" applyFill="1" applyBorder="1" applyAlignment="1" applyProtection="1">
      <alignment horizontal="center"/>
      <protection hidden="1"/>
    </xf>
    <xf numFmtId="164" fontId="0" fillId="3" borderId="9" xfId="0" applyNumberFormat="1" applyFill="1" applyBorder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3" borderId="11" xfId="0" applyNumberFormat="1" applyFill="1" applyBorder="1" applyAlignment="1" applyProtection="1">
      <alignment horizontal="center"/>
      <protection hidden="1"/>
    </xf>
    <xf numFmtId="164" fontId="0" fillId="4" borderId="9" xfId="0" applyNumberFormat="1" applyFill="1" applyBorder="1" applyAlignment="1" applyProtection="1">
      <alignment horizontal="center"/>
      <protection hidden="1"/>
    </xf>
    <xf numFmtId="164" fontId="0" fillId="4" borderId="1" xfId="0" applyNumberFormat="1" applyFill="1" applyBorder="1" applyAlignment="1" applyProtection="1">
      <alignment horizontal="center"/>
      <protection hidden="1"/>
    </xf>
    <xf numFmtId="164" fontId="0" fillId="4" borderId="11" xfId="0" applyNumberFormat="1" applyFill="1" applyBorder="1" applyAlignment="1" applyProtection="1">
      <alignment horizontal="center"/>
      <protection hidden="1"/>
    </xf>
    <xf numFmtId="0" fontId="4" fillId="3" borderId="12" xfId="0" applyFont="1" applyFill="1" applyBorder="1" applyAlignment="1" applyProtection="1">
      <alignment horizontal="center"/>
      <protection hidden="1"/>
    </xf>
    <xf numFmtId="0" fontId="4" fillId="3" borderId="13" xfId="0" applyFont="1" applyFill="1" applyBorder="1" applyAlignment="1" applyProtection="1">
      <alignment horizontal="center"/>
      <protection hidden="1"/>
    </xf>
    <xf numFmtId="164" fontId="4" fillId="3" borderId="14" xfId="0" applyNumberFormat="1" applyFont="1" applyFill="1" applyBorder="1" applyAlignment="1" applyProtection="1">
      <alignment horizontal="center"/>
      <protection hidden="1"/>
    </xf>
    <xf numFmtId="0" fontId="0" fillId="3" borderId="12" xfId="0" applyFill="1" applyBorder="1" applyAlignment="1" applyProtection="1">
      <alignment horizontal="center"/>
      <protection hidden="1"/>
    </xf>
    <xf numFmtId="0" fontId="0" fillId="3" borderId="13" xfId="0" applyFill="1" applyBorder="1" applyAlignment="1" applyProtection="1">
      <alignment horizontal="center"/>
      <protection hidden="1"/>
    </xf>
    <xf numFmtId="164" fontId="0" fillId="3" borderId="15" xfId="0" applyNumberFormat="1" applyFill="1" applyBorder="1" applyAlignment="1" applyProtection="1">
      <alignment horizontal="center"/>
      <protection hidden="1"/>
    </xf>
    <xf numFmtId="0" fontId="0" fillId="4" borderId="12" xfId="0" applyFill="1" applyBorder="1" applyAlignment="1" applyProtection="1">
      <alignment horizontal="center"/>
      <protection hidden="1"/>
    </xf>
    <xf numFmtId="0" fontId="0" fillId="4" borderId="13" xfId="0" applyFill="1" applyBorder="1" applyAlignment="1" applyProtection="1">
      <alignment horizontal="center"/>
      <protection hidden="1"/>
    </xf>
    <xf numFmtId="164" fontId="0" fillId="4" borderId="15" xfId="0" applyNumberFormat="1" applyFill="1" applyBorder="1" applyAlignment="1" applyProtection="1">
      <alignment horizontal="center"/>
      <protection hidden="1"/>
    </xf>
    <xf numFmtId="0" fontId="4" fillId="0" borderId="0" xfId="0" applyFont="1" applyAlignment="1" applyProtection="1">
      <protection hidden="1"/>
    </xf>
    <xf numFmtId="0" fontId="1" fillId="2" borderId="3" xfId="0" applyFont="1" applyFill="1" applyBorder="1" applyAlignment="1">
      <alignment horizontal="left"/>
    </xf>
    <xf numFmtId="0" fontId="1" fillId="0" borderId="1" xfId="0" applyFont="1" applyBorder="1"/>
    <xf numFmtId="0" fontId="3" fillId="2" borderId="1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B21" sqref="B21"/>
    </sheetView>
  </sheetViews>
  <sheetFormatPr defaultRowHeight="13.2" x14ac:dyDescent="0.25"/>
  <cols>
    <col min="1" max="1" width="43.44140625" customWidth="1"/>
    <col min="2" max="2" width="14.33203125" customWidth="1"/>
    <col min="3" max="3" width="12" bestFit="1" customWidth="1"/>
    <col min="4" max="5" width="57.33203125" customWidth="1"/>
  </cols>
  <sheetData>
    <row r="1" spans="1:4" x14ac:dyDescent="0.25">
      <c r="A1" s="16" t="s">
        <v>60</v>
      </c>
      <c r="B1" s="16" t="s">
        <v>58</v>
      </c>
      <c r="D1" s="35" t="s">
        <v>66</v>
      </c>
    </row>
    <row r="2" spans="1:4" x14ac:dyDescent="0.25">
      <c r="A2" s="12" t="s">
        <v>41</v>
      </c>
      <c r="B2" s="13">
        <v>81000</v>
      </c>
      <c r="D2" s="32" t="s">
        <v>59</v>
      </c>
    </row>
    <row r="3" spans="1:4" x14ac:dyDescent="0.25">
      <c r="A3" s="2" t="s">
        <v>33</v>
      </c>
      <c r="B3" s="10">
        <f>B2*2</f>
        <v>162000</v>
      </c>
      <c r="D3" s="33" t="s">
        <v>71</v>
      </c>
    </row>
    <row r="4" spans="1:4" x14ac:dyDescent="0.25">
      <c r="A4" s="2" t="s">
        <v>0</v>
      </c>
      <c r="B4" s="10">
        <f>(SUM(B6*B5))</f>
        <v>4500</v>
      </c>
      <c r="D4" s="33" t="s">
        <v>63</v>
      </c>
    </row>
    <row r="5" spans="1:4" x14ac:dyDescent="0.25">
      <c r="A5" s="12" t="s">
        <v>35</v>
      </c>
      <c r="B5" s="17">
        <v>0.03</v>
      </c>
      <c r="D5" s="33" t="s">
        <v>61</v>
      </c>
    </row>
    <row r="6" spans="1:4" x14ac:dyDescent="0.25">
      <c r="A6" s="12" t="s">
        <v>25</v>
      </c>
      <c r="B6" s="13">
        <v>150000</v>
      </c>
      <c r="D6" s="33" t="s">
        <v>62</v>
      </c>
    </row>
    <row r="7" spans="1:4" x14ac:dyDescent="0.25">
      <c r="A7" s="12" t="s">
        <v>72</v>
      </c>
      <c r="B7" s="17">
        <v>0.5</v>
      </c>
      <c r="D7" s="33" t="s">
        <v>64</v>
      </c>
    </row>
    <row r="8" spans="1:4" x14ac:dyDescent="0.25">
      <c r="A8" s="12" t="s">
        <v>73</v>
      </c>
      <c r="B8" s="17">
        <v>0.5</v>
      </c>
      <c r="D8" s="33" t="s">
        <v>65</v>
      </c>
    </row>
    <row r="9" spans="1:4" x14ac:dyDescent="0.25">
      <c r="A9" s="12" t="s">
        <v>74</v>
      </c>
      <c r="B9" s="17">
        <v>0.75</v>
      </c>
      <c r="D9" s="33"/>
    </row>
    <row r="10" spans="1:4" x14ac:dyDescent="0.25">
      <c r="A10" s="12" t="s">
        <v>75</v>
      </c>
      <c r="B10" s="17">
        <v>0.5</v>
      </c>
      <c r="D10" s="67"/>
    </row>
    <row r="11" spans="1:4" x14ac:dyDescent="0.25">
      <c r="A11" s="12" t="s">
        <v>76</v>
      </c>
      <c r="B11" s="17">
        <v>0.5</v>
      </c>
      <c r="D11" s="67"/>
    </row>
    <row r="12" spans="1:4" x14ac:dyDescent="0.25">
      <c r="A12" s="12" t="s">
        <v>77</v>
      </c>
      <c r="B12" s="17">
        <v>0.5</v>
      </c>
      <c r="D12" s="67"/>
    </row>
    <row r="13" spans="1:4" x14ac:dyDescent="0.25">
      <c r="A13" s="12" t="s">
        <v>34</v>
      </c>
      <c r="B13" s="29">
        <v>1</v>
      </c>
      <c r="D13" s="67"/>
    </row>
    <row r="14" spans="1:4" x14ac:dyDescent="0.25">
      <c r="A14" s="12" t="s">
        <v>36</v>
      </c>
      <c r="B14" s="19">
        <v>0.7</v>
      </c>
      <c r="D14" s="33"/>
    </row>
    <row r="15" spans="1:4" x14ac:dyDescent="0.25">
      <c r="A15" s="12" t="s">
        <v>37</v>
      </c>
      <c r="B15" s="19">
        <v>0.3</v>
      </c>
      <c r="D15" s="33"/>
    </row>
    <row r="16" spans="1:4" x14ac:dyDescent="0.25">
      <c r="A16" s="12" t="s">
        <v>38</v>
      </c>
      <c r="B16" s="30">
        <v>18000</v>
      </c>
      <c r="D16" s="33"/>
    </row>
    <row r="17" spans="1:4" x14ac:dyDescent="0.25">
      <c r="A17" s="12" t="s">
        <v>39</v>
      </c>
      <c r="B17" s="30">
        <v>3000</v>
      </c>
      <c r="D17" s="33"/>
    </row>
    <row r="18" spans="1:4" x14ac:dyDescent="0.25">
      <c r="A18" s="2" t="s">
        <v>40</v>
      </c>
      <c r="B18" s="18">
        <v>0.06</v>
      </c>
      <c r="D18" s="34"/>
    </row>
    <row r="20" spans="1:4" x14ac:dyDescent="0.25">
      <c r="A20" s="14" t="s">
        <v>32</v>
      </c>
      <c r="B20" s="15">
        <v>2002</v>
      </c>
      <c r="C20" s="16" t="s">
        <v>1</v>
      </c>
    </row>
    <row r="21" spans="1:4" x14ac:dyDescent="0.25">
      <c r="A21" s="2" t="s">
        <v>23</v>
      </c>
      <c r="B21" s="31">
        <f>B3/B4</f>
        <v>36</v>
      </c>
      <c r="C21" s="31">
        <f t="shared" ref="C21:C28" si="0">B21/12</f>
        <v>3</v>
      </c>
    </row>
    <row r="22" spans="1:4" x14ac:dyDescent="0.25">
      <c r="A22" s="2" t="s">
        <v>24</v>
      </c>
      <c r="B22" s="31">
        <f>SUM(B23,B25)</f>
        <v>60</v>
      </c>
      <c r="C22" s="31">
        <f t="shared" si="0"/>
        <v>5</v>
      </c>
    </row>
    <row r="23" spans="1:4" x14ac:dyDescent="0.25">
      <c r="A23" s="2" t="s">
        <v>68</v>
      </c>
      <c r="B23" s="31">
        <f>(B21*B7)/B9</f>
        <v>24</v>
      </c>
      <c r="C23" s="31">
        <f t="shared" si="0"/>
        <v>2</v>
      </c>
    </row>
    <row r="24" spans="1:4" x14ac:dyDescent="0.25">
      <c r="A24" s="2" t="s">
        <v>67</v>
      </c>
      <c r="B24" s="31">
        <f>B21*B7</f>
        <v>18</v>
      </c>
      <c r="C24" s="31">
        <f t="shared" si="0"/>
        <v>1.5</v>
      </c>
    </row>
    <row r="25" spans="1:4" x14ac:dyDescent="0.25">
      <c r="A25" s="2" t="s">
        <v>69</v>
      </c>
      <c r="B25" s="31">
        <f>(B21*B8)/B10</f>
        <v>36</v>
      </c>
      <c r="C25" s="31">
        <f t="shared" si="0"/>
        <v>3</v>
      </c>
    </row>
    <row r="26" spans="1:4" x14ac:dyDescent="0.25">
      <c r="A26" s="2" t="s">
        <v>70</v>
      </c>
      <c r="B26" s="31">
        <f>B21*B8</f>
        <v>18</v>
      </c>
      <c r="C26" s="31">
        <f t="shared" si="0"/>
        <v>1.5</v>
      </c>
    </row>
    <row r="27" spans="1:4" x14ac:dyDescent="0.25">
      <c r="A27" s="2" t="s">
        <v>78</v>
      </c>
      <c r="B27" s="31">
        <f xml:space="preserve"> B23/B11</f>
        <v>48</v>
      </c>
      <c r="C27" s="31">
        <f t="shared" si="0"/>
        <v>4</v>
      </c>
    </row>
    <row r="28" spans="1:4" x14ac:dyDescent="0.25">
      <c r="A28" s="2" t="s">
        <v>79</v>
      </c>
      <c r="B28" s="68">
        <f>B24/B12</f>
        <v>36</v>
      </c>
      <c r="C28" s="31">
        <f t="shared" si="0"/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0" sqref="J10"/>
    </sheetView>
  </sheetViews>
  <sheetFormatPr defaultRowHeight="13.2" x14ac:dyDescent="0.25"/>
  <cols>
    <col min="2" max="2" width="11.5546875" style="1" bestFit="1" customWidth="1"/>
    <col min="3" max="3" width="12.6640625" style="1" bestFit="1" customWidth="1"/>
    <col min="4" max="4" width="9.109375" style="1" customWidth="1"/>
    <col min="5" max="5" width="12.6640625" style="1" bestFit="1" customWidth="1"/>
    <col min="6" max="6" width="11.5546875" style="1" bestFit="1" customWidth="1"/>
    <col min="7" max="7" width="13.88671875" style="1" bestFit="1" customWidth="1"/>
    <col min="8" max="8" width="11.5546875" style="1" bestFit="1" customWidth="1"/>
    <col min="9" max="9" width="12.6640625" style="1" bestFit="1" customWidth="1"/>
    <col min="10" max="10" width="9.109375" style="1" customWidth="1"/>
  </cols>
  <sheetData>
    <row r="1" spans="1:10" ht="39.6" x14ac:dyDescent="0.25">
      <c r="A1" s="2"/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/>
    </row>
    <row r="2" spans="1:10" x14ac:dyDescent="0.25">
      <c r="A2" s="2" t="str">
        <f ca="1">Financial!$A4</f>
        <v>Jan</v>
      </c>
      <c r="B2" s="4">
        <f t="shared" ref="B2:I2" si="0">B14/12</f>
        <v>2</v>
      </c>
      <c r="C2" s="5">
        <f t="shared" si="0"/>
        <v>300000</v>
      </c>
      <c r="D2" s="4">
        <f t="shared" si="0"/>
        <v>1.5</v>
      </c>
      <c r="E2" s="5">
        <f t="shared" si="0"/>
        <v>225000</v>
      </c>
      <c r="F2" s="4">
        <f t="shared" si="0"/>
        <v>5</v>
      </c>
      <c r="G2" s="5">
        <f>G14/12</f>
        <v>750000</v>
      </c>
      <c r="H2" s="4">
        <f t="shared" si="0"/>
        <v>3</v>
      </c>
      <c r="I2" s="5">
        <f t="shared" si="0"/>
        <v>450000</v>
      </c>
      <c r="J2" s="6" t="str">
        <f ca="1">Financial!$A4</f>
        <v>Jan</v>
      </c>
    </row>
    <row r="3" spans="1:10" x14ac:dyDescent="0.25">
      <c r="A3" s="2" t="str">
        <f ca="1">Financial!$A5</f>
        <v>Feb</v>
      </c>
      <c r="B3" s="4">
        <f t="shared" ref="B3:I3" si="1">B14/12</f>
        <v>2</v>
      </c>
      <c r="C3" s="5">
        <f t="shared" si="1"/>
        <v>300000</v>
      </c>
      <c r="D3" s="4">
        <f t="shared" si="1"/>
        <v>1.5</v>
      </c>
      <c r="E3" s="5">
        <f t="shared" si="1"/>
        <v>225000</v>
      </c>
      <c r="F3" s="4">
        <f t="shared" si="1"/>
        <v>5</v>
      </c>
      <c r="G3" s="5">
        <f t="shared" si="1"/>
        <v>750000</v>
      </c>
      <c r="H3" s="4">
        <f t="shared" si="1"/>
        <v>3</v>
      </c>
      <c r="I3" s="5">
        <f t="shared" si="1"/>
        <v>450000</v>
      </c>
      <c r="J3" s="6" t="str">
        <f ca="1">Financial!$A5</f>
        <v>Feb</v>
      </c>
    </row>
    <row r="4" spans="1:10" x14ac:dyDescent="0.25">
      <c r="A4" s="2" t="str">
        <f ca="1">Financial!$A6</f>
        <v>Mar</v>
      </c>
      <c r="B4" s="4">
        <f t="shared" ref="B4:I4" si="2">B14/12</f>
        <v>2</v>
      </c>
      <c r="C4" s="5">
        <f t="shared" si="2"/>
        <v>300000</v>
      </c>
      <c r="D4" s="4">
        <f t="shared" si="2"/>
        <v>1.5</v>
      </c>
      <c r="E4" s="5">
        <f t="shared" si="2"/>
        <v>225000</v>
      </c>
      <c r="F4" s="4">
        <f t="shared" si="2"/>
        <v>5</v>
      </c>
      <c r="G4" s="5">
        <f t="shared" si="2"/>
        <v>750000</v>
      </c>
      <c r="H4" s="4">
        <f t="shared" si="2"/>
        <v>3</v>
      </c>
      <c r="I4" s="5">
        <f t="shared" si="2"/>
        <v>450000</v>
      </c>
      <c r="J4" s="6" t="str">
        <f ca="1">Financial!$A6</f>
        <v>Mar</v>
      </c>
    </row>
    <row r="5" spans="1:10" x14ac:dyDescent="0.25">
      <c r="A5" s="2" t="str">
        <f ca="1">Financial!$A7</f>
        <v>Apr</v>
      </c>
      <c r="B5" s="4">
        <f t="shared" ref="B5:I5" si="3">B14/12</f>
        <v>2</v>
      </c>
      <c r="C5" s="5">
        <f t="shared" si="3"/>
        <v>300000</v>
      </c>
      <c r="D5" s="4">
        <f t="shared" si="3"/>
        <v>1.5</v>
      </c>
      <c r="E5" s="5">
        <f t="shared" si="3"/>
        <v>225000</v>
      </c>
      <c r="F5" s="4">
        <f t="shared" si="3"/>
        <v>5</v>
      </c>
      <c r="G5" s="5">
        <f t="shared" si="3"/>
        <v>750000</v>
      </c>
      <c r="H5" s="4">
        <f t="shared" si="3"/>
        <v>3</v>
      </c>
      <c r="I5" s="5">
        <f t="shared" si="3"/>
        <v>450000</v>
      </c>
      <c r="J5" s="6" t="str">
        <f ca="1">Financial!$A7</f>
        <v>Apr</v>
      </c>
    </row>
    <row r="6" spans="1:10" x14ac:dyDescent="0.25">
      <c r="A6" s="2" t="str">
        <f ca="1">Financial!$A8</f>
        <v>May</v>
      </c>
      <c r="B6" s="4">
        <f t="shared" ref="B6:I6" si="4">B14/12</f>
        <v>2</v>
      </c>
      <c r="C6" s="5">
        <f t="shared" si="4"/>
        <v>300000</v>
      </c>
      <c r="D6" s="4">
        <f t="shared" si="4"/>
        <v>1.5</v>
      </c>
      <c r="E6" s="5">
        <f t="shared" si="4"/>
        <v>225000</v>
      </c>
      <c r="F6" s="4">
        <f t="shared" si="4"/>
        <v>5</v>
      </c>
      <c r="G6" s="5">
        <f t="shared" si="4"/>
        <v>750000</v>
      </c>
      <c r="H6" s="4">
        <f t="shared" si="4"/>
        <v>3</v>
      </c>
      <c r="I6" s="5">
        <f t="shared" si="4"/>
        <v>450000</v>
      </c>
      <c r="J6" s="6" t="str">
        <f ca="1">Financial!$A8</f>
        <v>May</v>
      </c>
    </row>
    <row r="7" spans="1:10" x14ac:dyDescent="0.25">
      <c r="A7" s="2" t="str">
        <f ca="1">Financial!$A9</f>
        <v>Jun</v>
      </c>
      <c r="B7" s="4">
        <f t="shared" ref="B7:I7" si="5">B14/12</f>
        <v>2</v>
      </c>
      <c r="C7" s="5">
        <f t="shared" si="5"/>
        <v>300000</v>
      </c>
      <c r="D7" s="4">
        <f t="shared" si="5"/>
        <v>1.5</v>
      </c>
      <c r="E7" s="5">
        <f t="shared" si="5"/>
        <v>225000</v>
      </c>
      <c r="F7" s="4">
        <f t="shared" si="5"/>
        <v>5</v>
      </c>
      <c r="G7" s="5">
        <f t="shared" si="5"/>
        <v>750000</v>
      </c>
      <c r="H7" s="4">
        <f t="shared" si="5"/>
        <v>3</v>
      </c>
      <c r="I7" s="5">
        <f t="shared" si="5"/>
        <v>450000</v>
      </c>
      <c r="J7" s="6" t="str">
        <f ca="1">Financial!$A9</f>
        <v>Jun</v>
      </c>
    </row>
    <row r="8" spans="1:10" x14ac:dyDescent="0.25">
      <c r="A8" s="2" t="str">
        <f ca="1">Financial!$A10</f>
        <v>Jul</v>
      </c>
      <c r="B8" s="4">
        <f t="shared" ref="B8:I8" si="6">B14/12</f>
        <v>2</v>
      </c>
      <c r="C8" s="5">
        <f t="shared" si="6"/>
        <v>300000</v>
      </c>
      <c r="D8" s="4">
        <f t="shared" si="6"/>
        <v>1.5</v>
      </c>
      <c r="E8" s="5">
        <f t="shared" si="6"/>
        <v>225000</v>
      </c>
      <c r="F8" s="4">
        <f t="shared" si="6"/>
        <v>5</v>
      </c>
      <c r="G8" s="5">
        <f t="shared" si="6"/>
        <v>750000</v>
      </c>
      <c r="H8" s="4">
        <f t="shared" si="6"/>
        <v>3</v>
      </c>
      <c r="I8" s="5">
        <f t="shared" si="6"/>
        <v>450000</v>
      </c>
      <c r="J8" s="6" t="str">
        <f ca="1">Financial!$A10</f>
        <v>Jul</v>
      </c>
    </row>
    <row r="9" spans="1:10" x14ac:dyDescent="0.25">
      <c r="A9" s="2" t="str">
        <f ca="1">Financial!$A11</f>
        <v>Aug</v>
      </c>
      <c r="B9" s="4">
        <f t="shared" ref="B9:I9" si="7">B14/12</f>
        <v>2</v>
      </c>
      <c r="C9" s="5">
        <f t="shared" si="7"/>
        <v>300000</v>
      </c>
      <c r="D9" s="4">
        <f t="shared" si="7"/>
        <v>1.5</v>
      </c>
      <c r="E9" s="5">
        <f t="shared" si="7"/>
        <v>225000</v>
      </c>
      <c r="F9" s="4">
        <f t="shared" si="7"/>
        <v>5</v>
      </c>
      <c r="G9" s="5">
        <f t="shared" si="7"/>
        <v>750000</v>
      </c>
      <c r="H9" s="4">
        <f t="shared" si="7"/>
        <v>3</v>
      </c>
      <c r="I9" s="5">
        <f t="shared" si="7"/>
        <v>450000</v>
      </c>
      <c r="J9" s="6" t="str">
        <f ca="1">Financial!$A11</f>
        <v>Aug</v>
      </c>
    </row>
    <row r="10" spans="1:10" x14ac:dyDescent="0.25">
      <c r="A10" s="2" t="str">
        <f ca="1">Financial!$A12</f>
        <v>Sep</v>
      </c>
      <c r="B10" s="4">
        <f t="shared" ref="B10:I10" si="8">B14/12</f>
        <v>2</v>
      </c>
      <c r="C10" s="5">
        <f t="shared" si="8"/>
        <v>300000</v>
      </c>
      <c r="D10" s="4">
        <f t="shared" si="8"/>
        <v>1.5</v>
      </c>
      <c r="E10" s="5">
        <f t="shared" si="8"/>
        <v>225000</v>
      </c>
      <c r="F10" s="4">
        <f t="shared" si="8"/>
        <v>5</v>
      </c>
      <c r="G10" s="5">
        <f t="shared" si="8"/>
        <v>750000</v>
      </c>
      <c r="H10" s="4">
        <f t="shared" si="8"/>
        <v>3</v>
      </c>
      <c r="I10" s="5">
        <f t="shared" si="8"/>
        <v>450000</v>
      </c>
      <c r="J10" s="6" t="str">
        <f ca="1">Financial!$A12</f>
        <v>Sep</v>
      </c>
    </row>
    <row r="11" spans="1:10" x14ac:dyDescent="0.25">
      <c r="A11" s="2" t="str">
        <f ca="1">Financial!$A13</f>
        <v>Oct</v>
      </c>
      <c r="B11" s="4">
        <f t="shared" ref="B11:I11" si="9">B14/12</f>
        <v>2</v>
      </c>
      <c r="C11" s="5">
        <f t="shared" si="9"/>
        <v>300000</v>
      </c>
      <c r="D11" s="4">
        <f t="shared" si="9"/>
        <v>1.5</v>
      </c>
      <c r="E11" s="5">
        <f t="shared" si="9"/>
        <v>225000</v>
      </c>
      <c r="F11" s="4">
        <f t="shared" si="9"/>
        <v>5</v>
      </c>
      <c r="G11" s="5">
        <f t="shared" si="9"/>
        <v>750000</v>
      </c>
      <c r="H11" s="4">
        <f t="shared" si="9"/>
        <v>3</v>
      </c>
      <c r="I11" s="5">
        <f t="shared" si="9"/>
        <v>450000</v>
      </c>
      <c r="J11" s="6" t="str">
        <f ca="1">Financial!$A13</f>
        <v>Oct</v>
      </c>
    </row>
    <row r="12" spans="1:10" x14ac:dyDescent="0.25">
      <c r="A12" s="2" t="str">
        <f ca="1">Financial!$A14</f>
        <v>Nov</v>
      </c>
      <c r="B12" s="4">
        <f t="shared" ref="B12:I12" si="10">B14/12</f>
        <v>2</v>
      </c>
      <c r="C12" s="5">
        <f t="shared" si="10"/>
        <v>300000</v>
      </c>
      <c r="D12" s="4">
        <f t="shared" si="10"/>
        <v>1.5</v>
      </c>
      <c r="E12" s="5">
        <f t="shared" si="10"/>
        <v>225000</v>
      </c>
      <c r="F12" s="4">
        <f t="shared" si="10"/>
        <v>5</v>
      </c>
      <c r="G12" s="5">
        <f t="shared" si="10"/>
        <v>750000</v>
      </c>
      <c r="H12" s="4">
        <f t="shared" si="10"/>
        <v>3</v>
      </c>
      <c r="I12" s="5">
        <f t="shared" si="10"/>
        <v>450000</v>
      </c>
      <c r="J12" s="6" t="str">
        <f ca="1">Financial!$A14</f>
        <v>Nov</v>
      </c>
    </row>
    <row r="13" spans="1:10" x14ac:dyDescent="0.25">
      <c r="A13" s="2" t="str">
        <f ca="1">Financial!$A15</f>
        <v>Dec</v>
      </c>
      <c r="B13" s="4">
        <f t="shared" ref="B13:I13" si="11">B14/12</f>
        <v>2</v>
      </c>
      <c r="C13" s="5">
        <f t="shared" si="11"/>
        <v>300000</v>
      </c>
      <c r="D13" s="4">
        <f t="shared" si="11"/>
        <v>1.5</v>
      </c>
      <c r="E13" s="5">
        <f t="shared" si="11"/>
        <v>225000</v>
      </c>
      <c r="F13" s="4">
        <f t="shared" si="11"/>
        <v>5</v>
      </c>
      <c r="G13" s="5">
        <f t="shared" si="11"/>
        <v>750000</v>
      </c>
      <c r="H13" s="4">
        <f t="shared" si="11"/>
        <v>3</v>
      </c>
      <c r="I13" s="5">
        <f t="shared" si="11"/>
        <v>450000</v>
      </c>
      <c r="J13" s="6" t="str">
        <f ca="1">Financial!$A15</f>
        <v>Dec</v>
      </c>
    </row>
    <row r="14" spans="1:10" x14ac:dyDescent="0.25">
      <c r="A14" s="2" t="s">
        <v>14</v>
      </c>
      <c r="B14" s="3">
        <f>Entry!$B$23</f>
        <v>24</v>
      </c>
      <c r="C14" s="7">
        <f>B14*Entry!$B$6</f>
        <v>3600000</v>
      </c>
      <c r="D14" s="3">
        <f>Entry!$B$24</f>
        <v>18</v>
      </c>
      <c r="E14" s="8">
        <f>D14*Entry!$B$6</f>
        <v>2700000</v>
      </c>
      <c r="F14" s="3">
        <f>Entry!$B$22</f>
        <v>60</v>
      </c>
      <c r="G14" s="7">
        <f>F14*Entry!$B$6</f>
        <v>9000000</v>
      </c>
      <c r="H14" s="3">
        <f>Entry!$B$21</f>
        <v>36</v>
      </c>
      <c r="I14" s="7">
        <f>H14*Entry!$B$6</f>
        <v>5400000</v>
      </c>
      <c r="J14" s="6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3"/>
  <sheetViews>
    <sheetView workbookViewId="0">
      <selection activeCell="G16" sqref="G16"/>
    </sheetView>
  </sheetViews>
  <sheetFormatPr defaultRowHeight="13.2" x14ac:dyDescent="0.25"/>
  <cols>
    <col min="1" max="1" width="9" customWidth="1"/>
    <col min="2" max="2" width="11.109375" bestFit="1" customWidth="1"/>
    <col min="3" max="3" width="12.44140625" customWidth="1"/>
    <col min="5" max="5" width="5.109375" customWidth="1"/>
    <col min="7" max="7" width="11.109375" customWidth="1"/>
    <col min="8" max="8" width="12.6640625" customWidth="1"/>
    <col min="10" max="10" width="4.33203125" customWidth="1"/>
    <col min="12" max="12" width="11.109375" customWidth="1"/>
    <col min="13" max="13" width="12.5546875" customWidth="1"/>
    <col min="16" max="16" width="11.88671875" style="28" customWidth="1"/>
    <col min="17" max="17" width="10.44140625" style="28" customWidth="1"/>
    <col min="18" max="18" width="9.5546875" style="28" customWidth="1"/>
    <col min="19" max="19" width="13.44140625" style="20" customWidth="1"/>
    <col min="20" max="20" width="15.5546875" style="20" bestFit="1" customWidth="1"/>
    <col min="21" max="21" width="15.33203125" style="20" customWidth="1"/>
    <col min="22" max="22" width="13" style="20" customWidth="1"/>
    <col min="23" max="23" width="15.5546875" style="20" bestFit="1" customWidth="1"/>
    <col min="24" max="24" width="13.33203125" style="20" customWidth="1"/>
    <col min="26" max="26" width="9.109375" style="27" customWidth="1"/>
  </cols>
  <sheetData>
    <row r="2" spans="1:26" ht="39" customHeight="1" thickBot="1" x14ac:dyDescent="0.3">
      <c r="A2" s="69" t="s">
        <v>43</v>
      </c>
      <c r="B2" s="69"/>
      <c r="C2" s="69"/>
      <c r="D2" s="69"/>
      <c r="F2" s="69" t="s">
        <v>44</v>
      </c>
      <c r="G2" s="69"/>
      <c r="H2" s="69"/>
      <c r="I2" s="69"/>
      <c r="K2" s="69" t="s">
        <v>45</v>
      </c>
      <c r="L2" s="69"/>
      <c r="M2" s="69"/>
      <c r="N2" s="69"/>
      <c r="P2" s="36" t="s">
        <v>50</v>
      </c>
      <c r="Q2" s="36"/>
      <c r="R2" s="36"/>
      <c r="S2" s="37"/>
      <c r="T2" s="37"/>
      <c r="U2" s="37"/>
      <c r="V2" s="37" t="s">
        <v>51</v>
      </c>
      <c r="W2" s="37"/>
      <c r="X2" s="37"/>
      <c r="Y2" s="38"/>
      <c r="Z2" s="39" t="s">
        <v>2</v>
      </c>
    </row>
    <row r="3" spans="1:26" ht="26.4" x14ac:dyDescent="0.25">
      <c r="A3" s="2"/>
      <c r="B3" s="8" t="s">
        <v>26</v>
      </c>
      <c r="C3" s="3" t="s">
        <v>27</v>
      </c>
      <c r="D3" s="2"/>
      <c r="F3" s="2"/>
      <c r="G3" s="8" t="s">
        <v>26</v>
      </c>
      <c r="H3" s="3" t="s">
        <v>27</v>
      </c>
      <c r="I3" s="2"/>
      <c r="K3" s="2"/>
      <c r="L3" s="8" t="s">
        <v>26</v>
      </c>
      <c r="M3" s="3" t="s">
        <v>27</v>
      </c>
      <c r="N3" s="2"/>
      <c r="P3" s="40" t="s">
        <v>52</v>
      </c>
      <c r="Q3" s="41" t="s">
        <v>53</v>
      </c>
      <c r="R3" s="42" t="s">
        <v>57</v>
      </c>
      <c r="S3" s="43" t="s">
        <v>56</v>
      </c>
      <c r="T3" s="41" t="s">
        <v>55</v>
      </c>
      <c r="U3" s="44" t="s">
        <v>49</v>
      </c>
      <c r="V3" s="45" t="s">
        <v>56</v>
      </c>
      <c r="W3" s="46" t="s">
        <v>55</v>
      </c>
      <c r="X3" s="47" t="s">
        <v>49</v>
      </c>
      <c r="Y3" s="38"/>
      <c r="Z3" s="39" t="s">
        <v>3</v>
      </c>
    </row>
    <row r="4" spans="1:26" x14ac:dyDescent="0.25">
      <c r="A4" s="26" t="str">
        <f ca="1">OFFSET(Z$1,Entry!$B$13,0,1,1)</f>
        <v>Jan</v>
      </c>
      <c r="B4" s="9">
        <f>B16/12</f>
        <v>13500</v>
      </c>
      <c r="C4" s="9">
        <f t="shared" ref="C4:C15" si="0">B4-R4-U4</f>
        <v>8883</v>
      </c>
      <c r="D4" s="26" t="str">
        <f ca="1">$A$4</f>
        <v>Jan</v>
      </c>
      <c r="F4" s="26" t="str">
        <f ca="1">$A$4</f>
        <v>Jan</v>
      </c>
      <c r="G4" s="9">
        <f>G16/12</f>
        <v>13500</v>
      </c>
      <c r="H4" s="9">
        <f t="shared" ref="H4:H15" si="1">G4-R4-X4</f>
        <v>8640</v>
      </c>
      <c r="I4" s="26" t="str">
        <f ca="1">$A$4</f>
        <v>Jan</v>
      </c>
      <c r="K4" s="26" t="str">
        <f ca="1">$A$4</f>
        <v>Jan</v>
      </c>
      <c r="L4" s="9">
        <f>L16/12</f>
        <v>13500</v>
      </c>
      <c r="M4" s="9">
        <f t="shared" ref="M4:M15" si="2">L4-X4</f>
        <v>9450</v>
      </c>
      <c r="N4" s="26" t="str">
        <f ca="1">$A$4</f>
        <v>Jan</v>
      </c>
      <c r="P4" s="48">
        <f>B4*Entry!$B$18</f>
        <v>810</v>
      </c>
      <c r="Q4" s="49">
        <f>P4</f>
        <v>810</v>
      </c>
      <c r="R4" s="50">
        <f>IF(Q4&gt;=Entry!$B$17,Entry!$B$17,P4)</f>
        <v>810</v>
      </c>
      <c r="S4" s="51">
        <f>(B4-R4)*Entry!$B$15</f>
        <v>3807</v>
      </c>
      <c r="T4" s="52">
        <f>S4</f>
        <v>3807</v>
      </c>
      <c r="U4" s="53">
        <f>IF(T4&gt;=Entry!$B$16,Entry!$B$16,T4)</f>
        <v>3807</v>
      </c>
      <c r="V4" s="54">
        <f>(B4)*Entry!$B$15</f>
        <v>4050</v>
      </c>
      <c r="W4" s="55">
        <f>V4</f>
        <v>4050</v>
      </c>
      <c r="X4" s="56">
        <f>IF(W4&gt;=Entry!$B$16,Entry!$B$16,W4)</f>
        <v>4050</v>
      </c>
      <c r="Y4" s="38"/>
      <c r="Z4" s="39" t="s">
        <v>4</v>
      </c>
    </row>
    <row r="5" spans="1:26" x14ac:dyDescent="0.25">
      <c r="A5" s="26" t="str">
        <f ca="1">OFFSET(Z$1,Entry!$B$13+1,0,1,1)</f>
        <v>Feb</v>
      </c>
      <c r="B5" s="9">
        <f>B16/12</f>
        <v>13500</v>
      </c>
      <c r="C5" s="9">
        <f t="shared" si="0"/>
        <v>8883</v>
      </c>
      <c r="D5" s="26" t="str">
        <f ca="1">$A$5</f>
        <v>Feb</v>
      </c>
      <c r="F5" s="26" t="str">
        <f ca="1">$A$5</f>
        <v>Feb</v>
      </c>
      <c r="G5" s="9">
        <f>G16/12</f>
        <v>13500</v>
      </c>
      <c r="H5" s="9">
        <f t="shared" si="1"/>
        <v>8640</v>
      </c>
      <c r="I5" s="26" t="str">
        <f ca="1">$A$5</f>
        <v>Feb</v>
      </c>
      <c r="K5" s="26" t="str">
        <f ca="1">$A$5</f>
        <v>Feb</v>
      </c>
      <c r="L5" s="9">
        <f>L16/12</f>
        <v>13500</v>
      </c>
      <c r="M5" s="9">
        <f t="shared" si="2"/>
        <v>9450</v>
      </c>
      <c r="N5" s="26" t="str">
        <f ca="1">$A$5</f>
        <v>Feb</v>
      </c>
      <c r="P5" s="48">
        <f>B5*Entry!$B$18</f>
        <v>810</v>
      </c>
      <c r="Q5" s="49">
        <f>Q4+P5</f>
        <v>1620</v>
      </c>
      <c r="R5" s="50">
        <f>IF(Q5&lt;=Entry!$B$17,P5,IF(Q4&lt;Entry!$B$17,Entry!$B$17-Q4,0))</f>
        <v>810</v>
      </c>
      <c r="S5" s="51">
        <f>(B5-R5)*Entry!$B$15</f>
        <v>3807</v>
      </c>
      <c r="T5" s="52">
        <f t="shared" ref="T5:T15" si="3">T4+S5</f>
        <v>7614</v>
      </c>
      <c r="U5" s="53">
        <f>IF(T5&lt;=Entry!$B$16,S5,IF(T4&lt;Entry!$B$16,Entry!$B$16-T4,0))</f>
        <v>3807</v>
      </c>
      <c r="V5" s="54">
        <f>(B5)*Entry!$B$15</f>
        <v>4050</v>
      </c>
      <c r="W5" s="55">
        <f>W4+V5</f>
        <v>8100</v>
      </c>
      <c r="X5" s="56">
        <f>IF(W5&lt;=Entry!$B$16,V5,IF(W4&lt;Entry!$B$16,Entry!$B$16-W4,0))</f>
        <v>4050</v>
      </c>
      <c r="Y5" s="38"/>
      <c r="Z5" s="39" t="s">
        <v>5</v>
      </c>
    </row>
    <row r="6" spans="1:26" x14ac:dyDescent="0.25">
      <c r="A6" s="26" t="str">
        <f ca="1">OFFSET(Z$1,Entry!$B$13+2,0,1,1)</f>
        <v>Mar</v>
      </c>
      <c r="B6" s="9">
        <f>B16/12</f>
        <v>13500</v>
      </c>
      <c r="C6" s="9">
        <f t="shared" si="0"/>
        <v>8883</v>
      </c>
      <c r="D6" s="26" t="str">
        <f ca="1">$A$6</f>
        <v>Mar</v>
      </c>
      <c r="F6" s="26" t="str">
        <f ca="1">$A$6</f>
        <v>Mar</v>
      </c>
      <c r="G6" s="9">
        <f>G16/12</f>
        <v>13500</v>
      </c>
      <c r="H6" s="9">
        <f t="shared" si="1"/>
        <v>8640</v>
      </c>
      <c r="I6" s="26" t="str">
        <f ca="1">$A$6</f>
        <v>Mar</v>
      </c>
      <c r="K6" s="26" t="str">
        <f ca="1">$A$6</f>
        <v>Mar</v>
      </c>
      <c r="L6" s="9">
        <f>L16/12</f>
        <v>13500</v>
      </c>
      <c r="M6" s="9">
        <f t="shared" si="2"/>
        <v>9450</v>
      </c>
      <c r="N6" s="26" t="str">
        <f ca="1">$A$6</f>
        <v>Mar</v>
      </c>
      <c r="P6" s="48">
        <f>B6*Entry!$B$18</f>
        <v>810</v>
      </c>
      <c r="Q6" s="49">
        <f t="shared" ref="Q6:Q15" si="4">Q5+P6</f>
        <v>2430</v>
      </c>
      <c r="R6" s="50">
        <f>IF(Q6&lt;=Entry!$B$17,P6,IF(Q5&lt;Entry!$B$17,Entry!$B$17-Q5,0))</f>
        <v>810</v>
      </c>
      <c r="S6" s="51">
        <f>(B6-R6)*Entry!$B$15</f>
        <v>3807</v>
      </c>
      <c r="T6" s="52">
        <f t="shared" si="3"/>
        <v>11421</v>
      </c>
      <c r="U6" s="53">
        <f>IF(T6&lt;=Entry!$B$16,S6,IF(T5&lt;Entry!$B$16,Entry!$B$16-T5,0))</f>
        <v>3807</v>
      </c>
      <c r="V6" s="54">
        <f>(B6)*Entry!$B$15</f>
        <v>4050</v>
      </c>
      <c r="W6" s="55">
        <f t="shared" ref="W6:W15" si="5">W5+V6</f>
        <v>12150</v>
      </c>
      <c r="X6" s="56">
        <f>IF(W6&lt;=Entry!$B$16,V6,IF(W5&lt;Entry!$B$16,Entry!$B$16-W5,0))</f>
        <v>4050</v>
      </c>
      <c r="Y6" s="38"/>
      <c r="Z6" s="39" t="s">
        <v>6</v>
      </c>
    </row>
    <row r="7" spans="1:26" x14ac:dyDescent="0.25">
      <c r="A7" s="26" t="str">
        <f ca="1">OFFSET(Z$1,Entry!$B$13+3,0,1,1)</f>
        <v>Apr</v>
      </c>
      <c r="B7" s="9">
        <f>B16/12</f>
        <v>13500</v>
      </c>
      <c r="C7" s="9">
        <f t="shared" si="0"/>
        <v>9051</v>
      </c>
      <c r="D7" s="26" t="str">
        <f ca="1">$A$7</f>
        <v>Apr</v>
      </c>
      <c r="F7" s="26" t="str">
        <f ca="1">$A$7</f>
        <v>Apr</v>
      </c>
      <c r="G7" s="9">
        <f>G16/12</f>
        <v>13500</v>
      </c>
      <c r="H7" s="9">
        <f t="shared" si="1"/>
        <v>8880</v>
      </c>
      <c r="I7" s="26" t="str">
        <f ca="1">$A$7</f>
        <v>Apr</v>
      </c>
      <c r="K7" s="26" t="str">
        <f ca="1">$A$7</f>
        <v>Apr</v>
      </c>
      <c r="L7" s="9">
        <f>L16/12</f>
        <v>13500</v>
      </c>
      <c r="M7" s="9">
        <f t="shared" si="2"/>
        <v>9450</v>
      </c>
      <c r="N7" s="26" t="str">
        <f ca="1">$A$7</f>
        <v>Apr</v>
      </c>
      <c r="P7" s="48">
        <f>B7*Entry!$B$18</f>
        <v>810</v>
      </c>
      <c r="Q7" s="49">
        <f t="shared" si="4"/>
        <v>3240</v>
      </c>
      <c r="R7" s="50">
        <f>IF(Q7&lt;=Entry!$B$17,P7,IF(Q6&lt;Entry!$B$17,Entry!$B$17-Q6,0))</f>
        <v>570</v>
      </c>
      <c r="S7" s="51">
        <f>(B7-R7)*Entry!$B$15</f>
        <v>3879</v>
      </c>
      <c r="T7" s="52">
        <f t="shared" si="3"/>
        <v>15300</v>
      </c>
      <c r="U7" s="53">
        <f>IF(T7&lt;=Entry!$B$16,S7,IF(T6&lt;Entry!$B$16,Entry!$B$16-T6,0))</f>
        <v>3879</v>
      </c>
      <c r="V7" s="54">
        <f>(B7)*Entry!$B$15</f>
        <v>4050</v>
      </c>
      <c r="W7" s="55">
        <f t="shared" si="5"/>
        <v>16200</v>
      </c>
      <c r="X7" s="56">
        <f>IF(W7&lt;=Entry!$B$16,V7,IF(W6&lt;Entry!$B$16,Entry!$B$16-W6,0))</f>
        <v>4050</v>
      </c>
      <c r="Y7" s="38"/>
      <c r="Z7" s="39" t="s">
        <v>7</v>
      </c>
    </row>
    <row r="8" spans="1:26" x14ac:dyDescent="0.25">
      <c r="A8" s="26" t="str">
        <f ca="1">OFFSET(Z$1,Entry!$B$13+4,0,1,1)</f>
        <v>May</v>
      </c>
      <c r="B8" s="9">
        <f>B16/12</f>
        <v>13500</v>
      </c>
      <c r="C8" s="9">
        <f t="shared" si="0"/>
        <v>10800</v>
      </c>
      <c r="D8" s="26" t="str">
        <f ca="1">$A$8</f>
        <v>May</v>
      </c>
      <c r="F8" s="26" t="str">
        <f ca="1">$A$8</f>
        <v>May</v>
      </c>
      <c r="G8" s="9">
        <f>G16/12</f>
        <v>13500</v>
      </c>
      <c r="H8" s="9">
        <f t="shared" si="1"/>
        <v>11700</v>
      </c>
      <c r="I8" s="26" t="str">
        <f ca="1">$A$8</f>
        <v>May</v>
      </c>
      <c r="K8" s="26" t="str">
        <f ca="1">$A$8</f>
        <v>May</v>
      </c>
      <c r="L8" s="9">
        <f>L16/12</f>
        <v>13500</v>
      </c>
      <c r="M8" s="9">
        <f t="shared" si="2"/>
        <v>11700</v>
      </c>
      <c r="N8" s="26" t="str">
        <f ca="1">$A$8</f>
        <v>May</v>
      </c>
      <c r="P8" s="48">
        <f>B8*Entry!$B$18</f>
        <v>810</v>
      </c>
      <c r="Q8" s="49">
        <f t="shared" si="4"/>
        <v>4050</v>
      </c>
      <c r="R8" s="50">
        <f>IF(Q8&lt;=Entry!$B$17,P8,IF(Q7&lt;Entry!$B$17,Entry!$B$17-Q7,0))</f>
        <v>0</v>
      </c>
      <c r="S8" s="51">
        <f>(B8-R8)*Entry!$B$15</f>
        <v>4050</v>
      </c>
      <c r="T8" s="52">
        <f t="shared" si="3"/>
        <v>19350</v>
      </c>
      <c r="U8" s="53">
        <f>IF(T8&lt;=Entry!$B$16,S8,IF(T7&lt;Entry!$B$16,Entry!$B$16-T7,0))</f>
        <v>2700</v>
      </c>
      <c r="V8" s="54">
        <f>(B8)*Entry!$B$15</f>
        <v>4050</v>
      </c>
      <c r="W8" s="55">
        <f t="shared" si="5"/>
        <v>20250</v>
      </c>
      <c r="X8" s="56">
        <f>IF(W8&lt;=Entry!$B$16,V8,IF(W7&lt;Entry!$B$16,Entry!$B$16-W7,0))</f>
        <v>1800</v>
      </c>
      <c r="Y8" s="38"/>
      <c r="Z8" s="39" t="s">
        <v>8</v>
      </c>
    </row>
    <row r="9" spans="1:26" x14ac:dyDescent="0.25">
      <c r="A9" s="26" t="str">
        <f ca="1">OFFSET(Z$1,Entry!$B$13+5,0,1,1)</f>
        <v>Jun</v>
      </c>
      <c r="B9" s="9">
        <f>B16/12</f>
        <v>13500</v>
      </c>
      <c r="C9" s="9">
        <f t="shared" si="0"/>
        <v>13500</v>
      </c>
      <c r="D9" s="26" t="str">
        <f ca="1">$A$9</f>
        <v>Jun</v>
      </c>
      <c r="F9" s="26" t="str">
        <f ca="1">$A$9</f>
        <v>Jun</v>
      </c>
      <c r="G9" s="9">
        <f>G16/12</f>
        <v>13500</v>
      </c>
      <c r="H9" s="9">
        <f t="shared" si="1"/>
        <v>13500</v>
      </c>
      <c r="I9" s="26" t="str">
        <f ca="1">$A$9</f>
        <v>Jun</v>
      </c>
      <c r="K9" s="26" t="str">
        <f ca="1">$A$9</f>
        <v>Jun</v>
      </c>
      <c r="L9" s="9">
        <f>L16/12</f>
        <v>13500</v>
      </c>
      <c r="M9" s="9">
        <f t="shared" si="2"/>
        <v>13500</v>
      </c>
      <c r="N9" s="26" t="str">
        <f ca="1">$A$9</f>
        <v>Jun</v>
      </c>
      <c r="P9" s="48">
        <f>B9*Entry!$B$18</f>
        <v>810</v>
      </c>
      <c r="Q9" s="49">
        <f t="shared" si="4"/>
        <v>4860</v>
      </c>
      <c r="R9" s="50">
        <f>IF(Q9&lt;=Entry!$B$17,P9,IF(Q8&lt;Entry!$B$17,Entry!$B$17-Q8,0))</f>
        <v>0</v>
      </c>
      <c r="S9" s="51">
        <f>(B9-R9)*Entry!$B$15</f>
        <v>4050</v>
      </c>
      <c r="T9" s="52">
        <f t="shared" si="3"/>
        <v>23400</v>
      </c>
      <c r="U9" s="53">
        <f>IF(T9&lt;=Entry!$B$16,S9,IF(T8&lt;Entry!$B$16,Entry!$B$16-T8,0))</f>
        <v>0</v>
      </c>
      <c r="V9" s="54">
        <f>(B9)*Entry!$B$15</f>
        <v>4050</v>
      </c>
      <c r="W9" s="55">
        <f t="shared" si="5"/>
        <v>24300</v>
      </c>
      <c r="X9" s="56">
        <f>IF(W9&lt;=Entry!$B$16,V9,IF(W8&lt;Entry!$B$16,Entry!$B$16-W8,0))</f>
        <v>0</v>
      </c>
      <c r="Y9" s="38"/>
      <c r="Z9" s="39" t="s">
        <v>9</v>
      </c>
    </row>
    <row r="10" spans="1:26" x14ac:dyDescent="0.25">
      <c r="A10" s="26" t="str">
        <f ca="1">OFFSET(Z$1,Entry!$B$13+6,0,1,1)</f>
        <v>Jul</v>
      </c>
      <c r="B10" s="9">
        <f>B16/12</f>
        <v>13500</v>
      </c>
      <c r="C10" s="9">
        <f t="shared" si="0"/>
        <v>13500</v>
      </c>
      <c r="D10" s="26" t="str">
        <f ca="1">$A$10</f>
        <v>Jul</v>
      </c>
      <c r="F10" s="26" t="str">
        <f ca="1">$A$10</f>
        <v>Jul</v>
      </c>
      <c r="G10" s="9">
        <f>G16/12</f>
        <v>13500</v>
      </c>
      <c r="H10" s="9">
        <f t="shared" si="1"/>
        <v>13500</v>
      </c>
      <c r="I10" s="26" t="str">
        <f ca="1">$A$10</f>
        <v>Jul</v>
      </c>
      <c r="K10" s="26" t="str">
        <f ca="1">$A$10</f>
        <v>Jul</v>
      </c>
      <c r="L10" s="9">
        <f>L16/12</f>
        <v>13500</v>
      </c>
      <c r="M10" s="9">
        <f t="shared" si="2"/>
        <v>13500</v>
      </c>
      <c r="N10" s="26" t="str">
        <f ca="1">$A$10</f>
        <v>Jul</v>
      </c>
      <c r="P10" s="48">
        <f>B10*Entry!$B$18</f>
        <v>810</v>
      </c>
      <c r="Q10" s="49">
        <f t="shared" si="4"/>
        <v>5670</v>
      </c>
      <c r="R10" s="50">
        <f>IF(Q10&lt;=Entry!$B$17,P10,IF(Q9&lt;Entry!$B$17,Entry!$B$17-Q9,0))</f>
        <v>0</v>
      </c>
      <c r="S10" s="51">
        <f>(B10-R10)*Entry!$B$15</f>
        <v>4050</v>
      </c>
      <c r="T10" s="52">
        <f t="shared" si="3"/>
        <v>27450</v>
      </c>
      <c r="U10" s="53">
        <f>IF(T10&lt;=Entry!$B$16,S10,IF(T9&lt;Entry!$B$16,Entry!$B$16-T9,0))</f>
        <v>0</v>
      </c>
      <c r="V10" s="54">
        <f>(B10)*Entry!$B$15</f>
        <v>4050</v>
      </c>
      <c r="W10" s="55">
        <f t="shared" si="5"/>
        <v>28350</v>
      </c>
      <c r="X10" s="56">
        <f>IF(W10&lt;=Entry!$B$16,V10,IF(W9&lt;Entry!$B$16,Entry!$B$16-W9,0))</f>
        <v>0</v>
      </c>
      <c r="Y10" s="38"/>
      <c r="Z10" s="39" t="s">
        <v>10</v>
      </c>
    </row>
    <row r="11" spans="1:26" x14ac:dyDescent="0.25">
      <c r="A11" s="26" t="str">
        <f ca="1">OFFSET(Z$1,Entry!$B$13+7,0,1,1)</f>
        <v>Aug</v>
      </c>
      <c r="B11" s="9">
        <f>B16/12</f>
        <v>13500</v>
      </c>
      <c r="C11" s="9">
        <f t="shared" si="0"/>
        <v>13500</v>
      </c>
      <c r="D11" s="26" t="str">
        <f ca="1">$A$11</f>
        <v>Aug</v>
      </c>
      <c r="F11" s="26" t="str">
        <f ca="1">$A$11</f>
        <v>Aug</v>
      </c>
      <c r="G11" s="9">
        <f>G16/12</f>
        <v>13500</v>
      </c>
      <c r="H11" s="9">
        <f t="shared" si="1"/>
        <v>13500</v>
      </c>
      <c r="I11" s="26" t="str">
        <f ca="1">$A$11</f>
        <v>Aug</v>
      </c>
      <c r="K11" s="26" t="str">
        <f ca="1">$A$11</f>
        <v>Aug</v>
      </c>
      <c r="L11" s="9">
        <f>L16/12</f>
        <v>13500</v>
      </c>
      <c r="M11" s="9">
        <f t="shared" si="2"/>
        <v>13500</v>
      </c>
      <c r="N11" s="26" t="str">
        <f ca="1">$A$11</f>
        <v>Aug</v>
      </c>
      <c r="P11" s="48">
        <f>B11*Entry!$B$18</f>
        <v>810</v>
      </c>
      <c r="Q11" s="49">
        <f t="shared" si="4"/>
        <v>6480</v>
      </c>
      <c r="R11" s="50">
        <f>IF(Q11&lt;=Entry!$B$17,P11,IF(Q10&lt;Entry!$B$17,Entry!$B$17-Q10,0))</f>
        <v>0</v>
      </c>
      <c r="S11" s="51">
        <f>(B11-R11)*Entry!$B$15</f>
        <v>4050</v>
      </c>
      <c r="T11" s="52">
        <f t="shared" si="3"/>
        <v>31500</v>
      </c>
      <c r="U11" s="53">
        <f>IF(T11&lt;=Entry!$B$16,S11,IF(T10&lt;Entry!$B$16,Entry!$B$16-T10,0))</f>
        <v>0</v>
      </c>
      <c r="V11" s="54">
        <f>(B11)*Entry!$B$15</f>
        <v>4050</v>
      </c>
      <c r="W11" s="55">
        <f t="shared" si="5"/>
        <v>32400</v>
      </c>
      <c r="X11" s="56">
        <f>IF(W11&lt;=Entry!$B$16,V11,IF(W10&lt;Entry!$B$16,Entry!$B$16-W10,0))</f>
        <v>0</v>
      </c>
      <c r="Y11" s="38"/>
      <c r="Z11" s="39" t="s">
        <v>11</v>
      </c>
    </row>
    <row r="12" spans="1:26" x14ac:dyDescent="0.25">
      <c r="A12" s="26" t="str">
        <f ca="1">OFFSET(Z$1,Entry!$B$13+8,0,1,1)</f>
        <v>Sep</v>
      </c>
      <c r="B12" s="9">
        <f>B16/12</f>
        <v>13500</v>
      </c>
      <c r="C12" s="9">
        <f t="shared" si="0"/>
        <v>13500</v>
      </c>
      <c r="D12" s="26" t="str">
        <f ca="1">$A$12</f>
        <v>Sep</v>
      </c>
      <c r="F12" s="26" t="str">
        <f ca="1">$A$12</f>
        <v>Sep</v>
      </c>
      <c r="G12" s="9">
        <f>G16/12</f>
        <v>13500</v>
      </c>
      <c r="H12" s="9">
        <f t="shared" si="1"/>
        <v>13500</v>
      </c>
      <c r="I12" s="26" t="str">
        <f ca="1">$A$12</f>
        <v>Sep</v>
      </c>
      <c r="K12" s="26" t="str">
        <f ca="1">$A$12</f>
        <v>Sep</v>
      </c>
      <c r="L12" s="9">
        <f>L16/12</f>
        <v>13500</v>
      </c>
      <c r="M12" s="9">
        <f t="shared" si="2"/>
        <v>13500</v>
      </c>
      <c r="N12" s="26" t="str">
        <f ca="1">$A$12</f>
        <v>Sep</v>
      </c>
      <c r="P12" s="48">
        <f>B12*Entry!$B$18</f>
        <v>810</v>
      </c>
      <c r="Q12" s="49">
        <f t="shared" si="4"/>
        <v>7290</v>
      </c>
      <c r="R12" s="50">
        <f>IF(Q12&lt;=Entry!$B$17,P12,IF(Q11&lt;Entry!$B$17,Entry!$B$17-Q11,0))</f>
        <v>0</v>
      </c>
      <c r="S12" s="51">
        <f>(B12-R12)*Entry!$B$15</f>
        <v>4050</v>
      </c>
      <c r="T12" s="52">
        <f t="shared" si="3"/>
        <v>35550</v>
      </c>
      <c r="U12" s="53">
        <f>IF(T12&lt;=Entry!$B$16,S12,IF(T11&lt;Entry!$B$16,Entry!$B$16-T11,0))</f>
        <v>0</v>
      </c>
      <c r="V12" s="54">
        <f>(B12)*Entry!$B$15</f>
        <v>4050</v>
      </c>
      <c r="W12" s="55">
        <f t="shared" si="5"/>
        <v>36450</v>
      </c>
      <c r="X12" s="56">
        <f>IF(W12&lt;=Entry!$B$16,V12,IF(W11&lt;Entry!$B$16,Entry!$B$16-W11,0))</f>
        <v>0</v>
      </c>
      <c r="Y12" s="38"/>
      <c r="Z12" s="39" t="s">
        <v>12</v>
      </c>
    </row>
    <row r="13" spans="1:26" x14ac:dyDescent="0.25">
      <c r="A13" s="26" t="str">
        <f ca="1">OFFSET(Z$1,Entry!$B$13+9,0,1,1)</f>
        <v>Oct</v>
      </c>
      <c r="B13" s="9">
        <f>B16/12</f>
        <v>13500</v>
      </c>
      <c r="C13" s="9">
        <f t="shared" si="0"/>
        <v>13500</v>
      </c>
      <c r="D13" s="26" t="str">
        <f ca="1">$A$13</f>
        <v>Oct</v>
      </c>
      <c r="F13" s="26" t="str">
        <f ca="1">$A$13</f>
        <v>Oct</v>
      </c>
      <c r="G13" s="9">
        <f>G16/12</f>
        <v>13500</v>
      </c>
      <c r="H13" s="9">
        <f t="shared" si="1"/>
        <v>13500</v>
      </c>
      <c r="I13" s="26" t="str">
        <f ca="1">$A$13</f>
        <v>Oct</v>
      </c>
      <c r="K13" s="26" t="str">
        <f ca="1">$A$13</f>
        <v>Oct</v>
      </c>
      <c r="L13" s="9">
        <f>L16/12</f>
        <v>13500</v>
      </c>
      <c r="M13" s="9">
        <f t="shared" si="2"/>
        <v>13500</v>
      </c>
      <c r="N13" s="26" t="str">
        <f ca="1">$A$13</f>
        <v>Oct</v>
      </c>
      <c r="P13" s="48">
        <f>B13*Entry!$B$18</f>
        <v>810</v>
      </c>
      <c r="Q13" s="49">
        <f t="shared" si="4"/>
        <v>8100</v>
      </c>
      <c r="R13" s="50">
        <f>IF(Q13&lt;=Entry!$B$17,P13,IF(Q12&lt;Entry!$B$17,Entry!$B$17-Q12,0))</f>
        <v>0</v>
      </c>
      <c r="S13" s="51">
        <f>(B13-R13)*Entry!$B$15</f>
        <v>4050</v>
      </c>
      <c r="T13" s="52">
        <f t="shared" si="3"/>
        <v>39600</v>
      </c>
      <c r="U13" s="53">
        <f>IF(T13&lt;=Entry!$B$16,S13,IF(T12&lt;Entry!$B$16,Entry!$B$16-T12,0))</f>
        <v>0</v>
      </c>
      <c r="V13" s="54">
        <f>(B13)*Entry!$B$15</f>
        <v>4050</v>
      </c>
      <c r="W13" s="55">
        <f t="shared" si="5"/>
        <v>40500</v>
      </c>
      <c r="X13" s="56">
        <f>IF(W13&lt;=Entry!$B$16,V13,IF(W12&lt;Entry!$B$16,Entry!$B$16-W12,0))</f>
        <v>0</v>
      </c>
      <c r="Y13" s="38"/>
      <c r="Z13" s="39" t="s">
        <v>13</v>
      </c>
    </row>
    <row r="14" spans="1:26" x14ac:dyDescent="0.25">
      <c r="A14" s="26" t="str">
        <f ca="1">OFFSET(Z$1,Entry!$B$13+10,0,1,1)</f>
        <v>Nov</v>
      </c>
      <c r="B14" s="9">
        <f>B16/12</f>
        <v>13500</v>
      </c>
      <c r="C14" s="9">
        <f t="shared" si="0"/>
        <v>13500</v>
      </c>
      <c r="D14" s="26" t="str">
        <f ca="1">$A$14</f>
        <v>Nov</v>
      </c>
      <c r="F14" s="26" t="str">
        <f ca="1">$A$14</f>
        <v>Nov</v>
      </c>
      <c r="G14" s="9">
        <f>G16/12</f>
        <v>13500</v>
      </c>
      <c r="H14" s="9">
        <f t="shared" si="1"/>
        <v>13500</v>
      </c>
      <c r="I14" s="26" t="str">
        <f ca="1">$A$14</f>
        <v>Nov</v>
      </c>
      <c r="K14" s="26" t="str">
        <f ca="1">$A$14</f>
        <v>Nov</v>
      </c>
      <c r="L14" s="9">
        <f>L16/12</f>
        <v>13500</v>
      </c>
      <c r="M14" s="9">
        <f t="shared" si="2"/>
        <v>13500</v>
      </c>
      <c r="N14" s="26" t="str">
        <f ca="1">$A$14</f>
        <v>Nov</v>
      </c>
      <c r="P14" s="48">
        <f>B14*Entry!$B$18</f>
        <v>810</v>
      </c>
      <c r="Q14" s="49">
        <f t="shared" si="4"/>
        <v>8910</v>
      </c>
      <c r="R14" s="50">
        <f>IF(Q14&lt;=Entry!$B$17,P14,IF(Q13&lt;Entry!$B$17,Entry!$B$17-Q13,0))</f>
        <v>0</v>
      </c>
      <c r="S14" s="51">
        <f>(B14-R14)*Entry!$B$15</f>
        <v>4050</v>
      </c>
      <c r="T14" s="52">
        <f t="shared" si="3"/>
        <v>43650</v>
      </c>
      <c r="U14" s="53">
        <f>IF(T14&lt;=Entry!$B$16,S14,IF(T13&lt;Entry!$B$16,Entry!$B$16-T13,0))</f>
        <v>0</v>
      </c>
      <c r="V14" s="54">
        <f>(B14)*Entry!$B$15</f>
        <v>4050</v>
      </c>
      <c r="W14" s="55">
        <f t="shared" si="5"/>
        <v>44550</v>
      </c>
      <c r="X14" s="56">
        <f>IF(W14&lt;=Entry!$B$16,V14,IF(W13&lt;Entry!$B$16,Entry!$B$16-W13,0))</f>
        <v>0</v>
      </c>
      <c r="Y14" s="38"/>
      <c r="Z14" s="39" t="s">
        <v>2</v>
      </c>
    </row>
    <row r="15" spans="1:26" x14ac:dyDescent="0.25">
      <c r="A15" s="26" t="str">
        <f ca="1">OFFSET(Z$1,Entry!$B$13+11,0,1,1)</f>
        <v>Dec</v>
      </c>
      <c r="B15" s="9">
        <f>B16/12</f>
        <v>13500</v>
      </c>
      <c r="C15" s="9">
        <f t="shared" si="0"/>
        <v>13500</v>
      </c>
      <c r="D15" s="26" t="str">
        <f ca="1">$A$15</f>
        <v>Dec</v>
      </c>
      <c r="F15" s="26" t="str">
        <f ca="1">$A$15</f>
        <v>Dec</v>
      </c>
      <c r="G15" s="9">
        <f>G16/12</f>
        <v>13500</v>
      </c>
      <c r="H15" s="9">
        <f t="shared" si="1"/>
        <v>13500</v>
      </c>
      <c r="I15" s="26" t="str">
        <f ca="1">$A$15</f>
        <v>Dec</v>
      </c>
      <c r="K15" s="26" t="str">
        <f ca="1">$A$15</f>
        <v>Dec</v>
      </c>
      <c r="L15" s="9">
        <f>L16/12</f>
        <v>13500</v>
      </c>
      <c r="M15" s="9">
        <f t="shared" si="2"/>
        <v>13500</v>
      </c>
      <c r="N15" s="26" t="str">
        <f ca="1">$A$15</f>
        <v>Dec</v>
      </c>
      <c r="P15" s="48">
        <f>B15*Entry!$B$18</f>
        <v>810</v>
      </c>
      <c r="Q15" s="49">
        <f t="shared" si="4"/>
        <v>9720</v>
      </c>
      <c r="R15" s="50">
        <f>IF(Q15&lt;=Entry!$B$17,P15,IF(Q14&lt;Entry!$B$17,Entry!$B$17-Q14,0))</f>
        <v>0</v>
      </c>
      <c r="S15" s="51">
        <f>(B15-R15)*Entry!$B$15</f>
        <v>4050</v>
      </c>
      <c r="T15" s="52">
        <f t="shared" si="3"/>
        <v>47700</v>
      </c>
      <c r="U15" s="53">
        <f>IF(T15&lt;=Entry!$B$16,S15,IF(T14&lt;Entry!$B$16,Entry!$B$16-T14,0))</f>
        <v>0</v>
      </c>
      <c r="V15" s="54">
        <f>(B15)*Entry!$B$15</f>
        <v>4050</v>
      </c>
      <c r="W15" s="55">
        <f t="shared" si="5"/>
        <v>48600</v>
      </c>
      <c r="X15" s="56">
        <f>IF(W15&lt;=Entry!$B$16,V15,IF(W14&lt;Entry!$B$16,Entry!$B$16-W14,0))</f>
        <v>0</v>
      </c>
      <c r="Y15" s="38"/>
      <c r="Z15" s="39" t="s">
        <v>3</v>
      </c>
    </row>
    <row r="16" spans="1:26" ht="13.8" thickBot="1" x14ac:dyDescent="0.3">
      <c r="A16" s="2" t="s">
        <v>14</v>
      </c>
      <c r="B16" s="8">
        <f>Entry!$B$3</f>
        <v>162000</v>
      </c>
      <c r="C16" s="8">
        <f>SUM(C4:C15)</f>
        <v>141000</v>
      </c>
      <c r="D16" s="2" t="s">
        <v>14</v>
      </c>
      <c r="F16" s="2" t="s">
        <v>14</v>
      </c>
      <c r="G16" s="8">
        <f>Entry!$B$3</f>
        <v>162000</v>
      </c>
      <c r="H16" s="8">
        <f>SUM(H4:H15)</f>
        <v>141000</v>
      </c>
      <c r="I16" s="2" t="s">
        <v>14</v>
      </c>
      <c r="K16" s="2" t="s">
        <v>14</v>
      </c>
      <c r="L16" s="8">
        <f>Entry!$B$3</f>
        <v>162000</v>
      </c>
      <c r="M16" s="8">
        <f>SUM(M4:M15)</f>
        <v>144000</v>
      </c>
      <c r="N16" s="2" t="s">
        <v>14</v>
      </c>
      <c r="P16" s="57"/>
      <c r="Q16" s="58"/>
      <c r="R16" s="59">
        <f>SUM(R4:R15)</f>
        <v>3000</v>
      </c>
      <c r="S16" s="60"/>
      <c r="T16" s="61"/>
      <c r="U16" s="62">
        <f>SUM(U4:U15)</f>
        <v>18000</v>
      </c>
      <c r="V16" s="63"/>
      <c r="W16" s="64"/>
      <c r="X16" s="65">
        <f>SUM(X4:X15)</f>
        <v>18000</v>
      </c>
      <c r="Y16" s="38"/>
      <c r="Z16" s="39" t="s">
        <v>4</v>
      </c>
    </row>
    <row r="17" spans="1:26" x14ac:dyDescent="0.25">
      <c r="P17" s="66" t="s">
        <v>54</v>
      </c>
      <c r="Q17" s="36"/>
      <c r="R17" s="36"/>
      <c r="S17" s="37"/>
      <c r="T17" s="37"/>
      <c r="U17" s="37"/>
      <c r="V17" s="37"/>
      <c r="W17" s="37"/>
      <c r="X17" s="37"/>
      <c r="Y17" s="38"/>
      <c r="Z17" s="39" t="s">
        <v>5</v>
      </c>
    </row>
    <row r="18" spans="1:26" x14ac:dyDescent="0.25">
      <c r="P18" s="36"/>
      <c r="Q18" s="36"/>
      <c r="R18" s="36"/>
      <c r="S18" s="37"/>
      <c r="T18" s="37"/>
      <c r="U18" s="37"/>
      <c r="V18" s="37"/>
      <c r="W18" s="37"/>
      <c r="X18" s="37"/>
      <c r="Y18" s="38"/>
      <c r="Z18" s="39" t="s">
        <v>6</v>
      </c>
    </row>
    <row r="19" spans="1:26" x14ac:dyDescent="0.25">
      <c r="A19" s="70" t="s">
        <v>46</v>
      </c>
      <c r="B19" s="71"/>
      <c r="C19" s="71"/>
      <c r="D19" s="72"/>
      <c r="F19" s="70" t="s">
        <v>47</v>
      </c>
      <c r="G19" s="71"/>
      <c r="H19" s="71"/>
      <c r="I19" s="72"/>
      <c r="K19" s="70" t="s">
        <v>48</v>
      </c>
      <c r="L19" s="71"/>
      <c r="M19" s="71"/>
      <c r="N19" s="72"/>
      <c r="P19" s="36"/>
      <c r="Q19" s="36"/>
      <c r="R19" s="36"/>
      <c r="S19" s="37"/>
      <c r="T19" s="37"/>
      <c r="U19" s="37"/>
      <c r="V19" s="37"/>
      <c r="W19" s="37"/>
      <c r="X19" s="37"/>
      <c r="Y19" s="38"/>
      <c r="Z19" s="39" t="s">
        <v>7</v>
      </c>
    </row>
    <row r="20" spans="1:26" ht="39.6" x14ac:dyDescent="0.25">
      <c r="A20" s="2"/>
      <c r="B20" s="23" t="s">
        <v>42</v>
      </c>
      <c r="C20" s="24" t="s">
        <v>49</v>
      </c>
      <c r="D20" s="25"/>
      <c r="E20" s="20"/>
      <c r="F20" s="25"/>
      <c r="G20" s="23" t="s">
        <v>42</v>
      </c>
      <c r="H20" s="24" t="s">
        <v>49</v>
      </c>
      <c r="I20" s="25"/>
      <c r="J20" s="20"/>
      <c r="K20" s="25"/>
      <c r="L20" s="23" t="s">
        <v>42</v>
      </c>
      <c r="M20" s="24" t="s">
        <v>49</v>
      </c>
      <c r="N20" s="2"/>
      <c r="P20" s="36"/>
      <c r="Q20" s="36"/>
      <c r="R20" s="36"/>
      <c r="S20" s="37"/>
      <c r="T20" s="37"/>
      <c r="U20" s="37"/>
      <c r="V20" s="37"/>
      <c r="W20" s="37"/>
      <c r="X20" s="37"/>
      <c r="Y20" s="38"/>
      <c r="Z20" s="39" t="s">
        <v>8</v>
      </c>
    </row>
    <row r="21" spans="1:26" x14ac:dyDescent="0.25">
      <c r="A21" s="26" t="str">
        <f ca="1">$A$4</f>
        <v>Jan</v>
      </c>
      <c r="B21" s="9">
        <f>R4</f>
        <v>810</v>
      </c>
      <c r="C21" s="9">
        <f>U4</f>
        <v>3807</v>
      </c>
      <c r="D21" s="26" t="str">
        <f ca="1">$A$4</f>
        <v>Jan</v>
      </c>
      <c r="F21" s="26" t="str">
        <f ca="1">$A$4</f>
        <v>Jan</v>
      </c>
      <c r="G21" s="9">
        <f>R4</f>
        <v>810</v>
      </c>
      <c r="H21" s="9">
        <f>X4</f>
        <v>4050</v>
      </c>
      <c r="I21" s="26" t="str">
        <f ca="1">$A$4</f>
        <v>Jan</v>
      </c>
      <c r="K21" s="26" t="str">
        <f ca="1">$A$4</f>
        <v>Jan</v>
      </c>
      <c r="L21" s="9">
        <f>R4</f>
        <v>810</v>
      </c>
      <c r="M21" s="9">
        <f t="shared" ref="M21:M32" si="6">X4-L21</f>
        <v>3240</v>
      </c>
      <c r="N21" s="26" t="str">
        <f ca="1">$A$4</f>
        <v>Jan</v>
      </c>
      <c r="P21" s="36"/>
      <c r="Q21" s="36"/>
      <c r="R21" s="36"/>
      <c r="S21" s="37"/>
      <c r="T21" s="37"/>
      <c r="U21" s="37"/>
      <c r="V21" s="37"/>
      <c r="W21" s="37"/>
      <c r="X21" s="37"/>
      <c r="Y21" s="38"/>
      <c r="Z21" s="39" t="s">
        <v>9</v>
      </c>
    </row>
    <row r="22" spans="1:26" x14ac:dyDescent="0.25">
      <c r="A22" s="26" t="str">
        <f ca="1">$A$5</f>
        <v>Feb</v>
      </c>
      <c r="B22" s="9">
        <f t="shared" ref="B22:B32" si="7">R5</f>
        <v>810</v>
      </c>
      <c r="C22" s="9">
        <f t="shared" ref="C22:C32" si="8">U5</f>
        <v>3807</v>
      </c>
      <c r="D22" s="26" t="str">
        <f ca="1">$A$5</f>
        <v>Feb</v>
      </c>
      <c r="F22" s="26" t="str">
        <f ca="1">$A$5</f>
        <v>Feb</v>
      </c>
      <c r="G22" s="9">
        <f t="shared" ref="G22:G32" si="9">R5</f>
        <v>810</v>
      </c>
      <c r="H22" s="9">
        <f t="shared" ref="H22:H32" si="10">X5</f>
        <v>4050</v>
      </c>
      <c r="I22" s="26" t="str">
        <f ca="1">$A$5</f>
        <v>Feb</v>
      </c>
      <c r="K22" s="26" t="str">
        <f ca="1">$A$5</f>
        <v>Feb</v>
      </c>
      <c r="L22" s="9">
        <f t="shared" ref="L22:L32" si="11">R5</f>
        <v>810</v>
      </c>
      <c r="M22" s="9">
        <f t="shared" si="6"/>
        <v>3240</v>
      </c>
      <c r="N22" s="26" t="str">
        <f ca="1">$A$5</f>
        <v>Feb</v>
      </c>
      <c r="P22" s="36"/>
      <c r="Q22" s="36"/>
      <c r="R22" s="36"/>
      <c r="S22" s="37"/>
      <c r="T22" s="37"/>
      <c r="U22" s="37"/>
      <c r="V22" s="37"/>
      <c r="W22" s="37"/>
      <c r="X22" s="37"/>
      <c r="Y22" s="38"/>
      <c r="Z22" s="39" t="s">
        <v>10</v>
      </c>
    </row>
    <row r="23" spans="1:26" x14ac:dyDescent="0.25">
      <c r="A23" s="26" t="str">
        <f ca="1">$A$6</f>
        <v>Mar</v>
      </c>
      <c r="B23" s="9">
        <f t="shared" si="7"/>
        <v>810</v>
      </c>
      <c r="C23" s="9">
        <f t="shared" si="8"/>
        <v>3807</v>
      </c>
      <c r="D23" s="26" t="str">
        <f ca="1">$A$6</f>
        <v>Mar</v>
      </c>
      <c r="F23" s="26" t="str">
        <f ca="1">$A$6</f>
        <v>Mar</v>
      </c>
      <c r="G23" s="9">
        <f t="shared" si="9"/>
        <v>810</v>
      </c>
      <c r="H23" s="9">
        <f t="shared" si="10"/>
        <v>4050</v>
      </c>
      <c r="I23" s="26" t="str">
        <f ca="1">$A$6</f>
        <v>Mar</v>
      </c>
      <c r="K23" s="26" t="str">
        <f ca="1">$A$6</f>
        <v>Mar</v>
      </c>
      <c r="L23" s="9">
        <f t="shared" si="11"/>
        <v>810</v>
      </c>
      <c r="M23" s="9">
        <f t="shared" si="6"/>
        <v>3240</v>
      </c>
      <c r="N23" s="26" t="str">
        <f ca="1">$A$6</f>
        <v>Mar</v>
      </c>
      <c r="P23" s="36"/>
      <c r="Q23" s="36"/>
      <c r="R23" s="36"/>
      <c r="S23" s="37"/>
      <c r="T23" s="37"/>
      <c r="U23" s="37"/>
      <c r="V23" s="37"/>
      <c r="W23" s="37"/>
      <c r="X23" s="37"/>
      <c r="Y23" s="38"/>
      <c r="Z23" s="39" t="s">
        <v>11</v>
      </c>
    </row>
    <row r="24" spans="1:26" x14ac:dyDescent="0.25">
      <c r="A24" s="26" t="str">
        <f ca="1">$A$7</f>
        <v>Apr</v>
      </c>
      <c r="B24" s="9">
        <f t="shared" si="7"/>
        <v>570</v>
      </c>
      <c r="C24" s="9">
        <f t="shared" si="8"/>
        <v>3879</v>
      </c>
      <c r="D24" s="26" t="str">
        <f ca="1">$A$7</f>
        <v>Apr</v>
      </c>
      <c r="F24" s="26" t="str">
        <f ca="1">$A$7</f>
        <v>Apr</v>
      </c>
      <c r="G24" s="9">
        <f t="shared" si="9"/>
        <v>570</v>
      </c>
      <c r="H24" s="9">
        <f t="shared" si="10"/>
        <v>4050</v>
      </c>
      <c r="I24" s="26" t="str">
        <f ca="1">$A$7</f>
        <v>Apr</v>
      </c>
      <c r="K24" s="26" t="str">
        <f ca="1">$A$7</f>
        <v>Apr</v>
      </c>
      <c r="L24" s="9">
        <f t="shared" si="11"/>
        <v>570</v>
      </c>
      <c r="M24" s="9">
        <f t="shared" si="6"/>
        <v>3480</v>
      </c>
      <c r="N24" s="26" t="str">
        <f ca="1">$A$7</f>
        <v>Apr</v>
      </c>
      <c r="P24" s="36"/>
      <c r="Q24" s="36"/>
      <c r="R24" s="36"/>
      <c r="S24" s="37"/>
      <c r="T24" s="37"/>
      <c r="U24" s="37"/>
      <c r="V24" s="37"/>
      <c r="W24" s="37"/>
      <c r="X24" s="37"/>
      <c r="Y24" s="38"/>
      <c r="Z24" s="39" t="s">
        <v>12</v>
      </c>
    </row>
    <row r="25" spans="1:26" x14ac:dyDescent="0.25">
      <c r="A25" s="26" t="str">
        <f ca="1">$A$8</f>
        <v>May</v>
      </c>
      <c r="B25" s="9">
        <f t="shared" si="7"/>
        <v>0</v>
      </c>
      <c r="C25" s="9">
        <f t="shared" si="8"/>
        <v>2700</v>
      </c>
      <c r="D25" s="26" t="str">
        <f ca="1">$A$8</f>
        <v>May</v>
      </c>
      <c r="F25" s="26" t="str">
        <f ca="1">$A$8</f>
        <v>May</v>
      </c>
      <c r="G25" s="9">
        <f t="shared" si="9"/>
        <v>0</v>
      </c>
      <c r="H25" s="9">
        <f t="shared" si="10"/>
        <v>1800</v>
      </c>
      <c r="I25" s="26" t="str">
        <f ca="1">$A$8</f>
        <v>May</v>
      </c>
      <c r="K25" s="26" t="str">
        <f ca="1">$A$8</f>
        <v>May</v>
      </c>
      <c r="L25" s="9">
        <f t="shared" si="11"/>
        <v>0</v>
      </c>
      <c r="M25" s="9">
        <f t="shared" si="6"/>
        <v>1800</v>
      </c>
      <c r="N25" s="26" t="str">
        <f ca="1">$A$8</f>
        <v>May</v>
      </c>
    </row>
    <row r="26" spans="1:26" x14ac:dyDescent="0.25">
      <c r="A26" s="26" t="str">
        <f ca="1">$A$9</f>
        <v>Jun</v>
      </c>
      <c r="B26" s="9">
        <f t="shared" si="7"/>
        <v>0</v>
      </c>
      <c r="C26" s="9">
        <f t="shared" si="8"/>
        <v>0</v>
      </c>
      <c r="D26" s="26" t="str">
        <f ca="1">$A$9</f>
        <v>Jun</v>
      </c>
      <c r="F26" s="26" t="str">
        <f ca="1">$A$9</f>
        <v>Jun</v>
      </c>
      <c r="G26" s="9">
        <f t="shared" si="9"/>
        <v>0</v>
      </c>
      <c r="H26" s="9">
        <f t="shared" si="10"/>
        <v>0</v>
      </c>
      <c r="I26" s="26" t="str">
        <f ca="1">$A$9</f>
        <v>Jun</v>
      </c>
      <c r="K26" s="26" t="str">
        <f ca="1">$A$9</f>
        <v>Jun</v>
      </c>
      <c r="L26" s="9">
        <f t="shared" si="11"/>
        <v>0</v>
      </c>
      <c r="M26" s="9">
        <f t="shared" si="6"/>
        <v>0</v>
      </c>
      <c r="N26" s="26" t="str">
        <f ca="1">$A$9</f>
        <v>Jun</v>
      </c>
    </row>
    <row r="27" spans="1:26" x14ac:dyDescent="0.25">
      <c r="A27" s="26" t="str">
        <f ca="1">$A$10</f>
        <v>Jul</v>
      </c>
      <c r="B27" s="9">
        <f t="shared" si="7"/>
        <v>0</v>
      </c>
      <c r="C27" s="9">
        <f t="shared" si="8"/>
        <v>0</v>
      </c>
      <c r="D27" s="26" t="str">
        <f ca="1">$A$10</f>
        <v>Jul</v>
      </c>
      <c r="F27" s="26" t="str">
        <f ca="1">$A$10</f>
        <v>Jul</v>
      </c>
      <c r="G27" s="9">
        <f t="shared" si="9"/>
        <v>0</v>
      </c>
      <c r="H27" s="9">
        <f t="shared" si="10"/>
        <v>0</v>
      </c>
      <c r="I27" s="26" t="str">
        <f ca="1">$A$10</f>
        <v>Jul</v>
      </c>
      <c r="K27" s="26" t="str">
        <f ca="1">$A$10</f>
        <v>Jul</v>
      </c>
      <c r="L27" s="9">
        <f t="shared" si="11"/>
        <v>0</v>
      </c>
      <c r="M27" s="9">
        <f t="shared" si="6"/>
        <v>0</v>
      </c>
      <c r="N27" s="26" t="str">
        <f ca="1">$A$10</f>
        <v>Jul</v>
      </c>
    </row>
    <row r="28" spans="1:26" x14ac:dyDescent="0.25">
      <c r="A28" s="26" t="str">
        <f ca="1">$A$11</f>
        <v>Aug</v>
      </c>
      <c r="B28" s="9">
        <f t="shared" si="7"/>
        <v>0</v>
      </c>
      <c r="C28" s="9">
        <f t="shared" si="8"/>
        <v>0</v>
      </c>
      <c r="D28" s="26" t="str">
        <f ca="1">$A$11</f>
        <v>Aug</v>
      </c>
      <c r="F28" s="26" t="str">
        <f ca="1">$A$11</f>
        <v>Aug</v>
      </c>
      <c r="G28" s="9">
        <f t="shared" si="9"/>
        <v>0</v>
      </c>
      <c r="H28" s="9">
        <f t="shared" si="10"/>
        <v>0</v>
      </c>
      <c r="I28" s="26" t="str">
        <f ca="1">$A$11</f>
        <v>Aug</v>
      </c>
      <c r="K28" s="26" t="str">
        <f ca="1">$A$11</f>
        <v>Aug</v>
      </c>
      <c r="L28" s="9">
        <f t="shared" si="11"/>
        <v>0</v>
      </c>
      <c r="M28" s="9">
        <f t="shared" si="6"/>
        <v>0</v>
      </c>
      <c r="N28" s="26" t="str">
        <f ca="1">$A$11</f>
        <v>Aug</v>
      </c>
    </row>
    <row r="29" spans="1:26" x14ac:dyDescent="0.25">
      <c r="A29" s="26" t="str">
        <f ca="1">$A$12</f>
        <v>Sep</v>
      </c>
      <c r="B29" s="9">
        <f t="shared" si="7"/>
        <v>0</v>
      </c>
      <c r="C29" s="9">
        <f t="shared" si="8"/>
        <v>0</v>
      </c>
      <c r="D29" s="26" t="str">
        <f ca="1">$A$12</f>
        <v>Sep</v>
      </c>
      <c r="F29" s="26" t="str">
        <f ca="1">$A$12</f>
        <v>Sep</v>
      </c>
      <c r="G29" s="9">
        <f t="shared" si="9"/>
        <v>0</v>
      </c>
      <c r="H29" s="9">
        <f t="shared" si="10"/>
        <v>0</v>
      </c>
      <c r="I29" s="26" t="str">
        <f ca="1">$A$12</f>
        <v>Sep</v>
      </c>
      <c r="K29" s="26" t="str">
        <f ca="1">$A$12</f>
        <v>Sep</v>
      </c>
      <c r="L29" s="9">
        <f t="shared" si="11"/>
        <v>0</v>
      </c>
      <c r="M29" s="9">
        <f t="shared" si="6"/>
        <v>0</v>
      </c>
      <c r="N29" s="26" t="str">
        <f ca="1">$A$12</f>
        <v>Sep</v>
      </c>
    </row>
    <row r="30" spans="1:26" x14ac:dyDescent="0.25">
      <c r="A30" s="26" t="str">
        <f ca="1">$A$13</f>
        <v>Oct</v>
      </c>
      <c r="B30" s="9">
        <f t="shared" si="7"/>
        <v>0</v>
      </c>
      <c r="C30" s="9">
        <f t="shared" si="8"/>
        <v>0</v>
      </c>
      <c r="D30" s="26" t="str">
        <f ca="1">$A$13</f>
        <v>Oct</v>
      </c>
      <c r="F30" s="26" t="str">
        <f ca="1">$A$13</f>
        <v>Oct</v>
      </c>
      <c r="G30" s="9">
        <f t="shared" si="9"/>
        <v>0</v>
      </c>
      <c r="H30" s="9">
        <f t="shared" si="10"/>
        <v>0</v>
      </c>
      <c r="I30" s="26" t="str">
        <f ca="1">$A$13</f>
        <v>Oct</v>
      </c>
      <c r="K30" s="26" t="str">
        <f ca="1">$A$13</f>
        <v>Oct</v>
      </c>
      <c r="L30" s="9">
        <f t="shared" si="11"/>
        <v>0</v>
      </c>
      <c r="M30" s="9">
        <f t="shared" si="6"/>
        <v>0</v>
      </c>
      <c r="N30" s="26" t="str">
        <f ca="1">$A$13</f>
        <v>Oct</v>
      </c>
    </row>
    <row r="31" spans="1:26" x14ac:dyDescent="0.25">
      <c r="A31" s="26" t="str">
        <f ca="1">$A$14</f>
        <v>Nov</v>
      </c>
      <c r="B31" s="9">
        <f t="shared" si="7"/>
        <v>0</v>
      </c>
      <c r="C31" s="9">
        <f t="shared" si="8"/>
        <v>0</v>
      </c>
      <c r="D31" s="26" t="str">
        <f ca="1">$A$14</f>
        <v>Nov</v>
      </c>
      <c r="F31" s="26" t="str">
        <f ca="1">$A$14</f>
        <v>Nov</v>
      </c>
      <c r="G31" s="9">
        <f t="shared" si="9"/>
        <v>0</v>
      </c>
      <c r="H31" s="9">
        <f t="shared" si="10"/>
        <v>0</v>
      </c>
      <c r="I31" s="26" t="str">
        <f ca="1">$A$14</f>
        <v>Nov</v>
      </c>
      <c r="K31" s="26" t="str">
        <f ca="1">$A$14</f>
        <v>Nov</v>
      </c>
      <c r="L31" s="9">
        <f t="shared" si="11"/>
        <v>0</v>
      </c>
      <c r="M31" s="9">
        <f t="shared" si="6"/>
        <v>0</v>
      </c>
      <c r="N31" s="26" t="str">
        <f ca="1">$A$14</f>
        <v>Nov</v>
      </c>
    </row>
    <row r="32" spans="1:26" x14ac:dyDescent="0.25">
      <c r="A32" s="26" t="str">
        <f ca="1">$A$15</f>
        <v>Dec</v>
      </c>
      <c r="B32" s="9">
        <f t="shared" si="7"/>
        <v>0</v>
      </c>
      <c r="C32" s="9">
        <f t="shared" si="8"/>
        <v>0</v>
      </c>
      <c r="D32" s="26" t="str">
        <f ca="1">$A$15</f>
        <v>Dec</v>
      </c>
      <c r="F32" s="26" t="str">
        <f ca="1">$A$15</f>
        <v>Dec</v>
      </c>
      <c r="G32" s="9">
        <f t="shared" si="9"/>
        <v>0</v>
      </c>
      <c r="H32" s="9">
        <f t="shared" si="10"/>
        <v>0</v>
      </c>
      <c r="I32" s="26" t="str">
        <f ca="1">$A$15</f>
        <v>Dec</v>
      </c>
      <c r="K32" s="26" t="str">
        <f ca="1">$A$15</f>
        <v>Dec</v>
      </c>
      <c r="L32" s="9">
        <f t="shared" si="11"/>
        <v>0</v>
      </c>
      <c r="M32" s="9">
        <f t="shared" si="6"/>
        <v>0</v>
      </c>
      <c r="N32" s="26" t="str">
        <f ca="1">$A$15</f>
        <v>Dec</v>
      </c>
    </row>
    <row r="33" spans="1:14" x14ac:dyDescent="0.25">
      <c r="A33" s="2" t="s">
        <v>14</v>
      </c>
      <c r="B33" s="8">
        <f>SUM(B21:B32)</f>
        <v>3000</v>
      </c>
      <c r="C33" s="8">
        <f>SUM(C21:C32)</f>
        <v>18000</v>
      </c>
      <c r="D33" s="2" t="s">
        <v>14</v>
      </c>
      <c r="F33" s="2" t="s">
        <v>14</v>
      </c>
      <c r="G33" s="8">
        <f>SUM(G21:G32)</f>
        <v>3000</v>
      </c>
      <c r="H33" s="8">
        <f>SUM(H21:H32)</f>
        <v>18000</v>
      </c>
      <c r="I33" s="2" t="s">
        <v>14</v>
      </c>
      <c r="K33" s="2" t="s">
        <v>14</v>
      </c>
      <c r="L33" s="8">
        <f>SUM(L21:L32)</f>
        <v>3000</v>
      </c>
      <c r="M33" s="8">
        <f>SUM(M21:M32)</f>
        <v>15000</v>
      </c>
      <c r="N33" s="2" t="s">
        <v>14</v>
      </c>
    </row>
  </sheetData>
  <mergeCells count="6">
    <mergeCell ref="A2:D2"/>
    <mergeCell ref="F2:I2"/>
    <mergeCell ref="K2:N2"/>
    <mergeCell ref="A19:D19"/>
    <mergeCell ref="F19:I19"/>
    <mergeCell ref="K19:N1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8" sqref="E8"/>
    </sheetView>
  </sheetViews>
  <sheetFormatPr defaultRowHeight="13.2" x14ac:dyDescent="0.25"/>
  <cols>
    <col min="2" max="2" width="13.44140625" style="1" customWidth="1"/>
    <col min="3" max="3" width="12.6640625" style="1" customWidth="1"/>
    <col min="4" max="4" width="13.109375" style="1" customWidth="1"/>
    <col min="5" max="5" width="15" style="1" bestFit="1" customWidth="1"/>
  </cols>
  <sheetData>
    <row r="1" spans="1:6" ht="26.4" x14ac:dyDescent="0.25">
      <c r="A1" s="2"/>
      <c r="B1" s="3" t="s">
        <v>28</v>
      </c>
      <c r="C1" s="3" t="s">
        <v>29</v>
      </c>
      <c r="D1" s="3" t="s">
        <v>30</v>
      </c>
      <c r="E1" s="3" t="s">
        <v>31</v>
      </c>
      <c r="F1" s="2"/>
    </row>
    <row r="2" spans="1:6" x14ac:dyDescent="0.25">
      <c r="A2" s="2" t="str">
        <f ca="1">Financial!$A4</f>
        <v>Jan</v>
      </c>
      <c r="B2" s="5">
        <f>Production!$C$2/Production!$B$2</f>
        <v>150000</v>
      </c>
      <c r="C2" s="5">
        <f>Production!$I$2/Production!$H$2</f>
        <v>150000</v>
      </c>
      <c r="D2" s="5">
        <f>Entry!$B$4</f>
        <v>4500</v>
      </c>
      <c r="E2" s="22">
        <f>D2/C2</f>
        <v>0.03</v>
      </c>
      <c r="F2" s="2" t="str">
        <f ca="1">Financial!$A4</f>
        <v>Jan</v>
      </c>
    </row>
    <row r="3" spans="1:6" x14ac:dyDescent="0.25">
      <c r="A3" s="2" t="str">
        <f ca="1">Financial!$A5</f>
        <v>Feb</v>
      </c>
      <c r="B3" s="5">
        <f>Production!$C$3/Production!$B$3</f>
        <v>150000</v>
      </c>
      <c r="C3" s="5">
        <f>Production!$I$3/Production!$H$3</f>
        <v>150000</v>
      </c>
      <c r="D3" s="5">
        <f>Entry!$B$4</f>
        <v>4500</v>
      </c>
      <c r="E3" s="22">
        <f>D3/C3</f>
        <v>0.03</v>
      </c>
      <c r="F3" s="2" t="str">
        <f ca="1">Financial!$A5</f>
        <v>Feb</v>
      </c>
    </row>
    <row r="4" spans="1:6" x14ac:dyDescent="0.25">
      <c r="A4" s="2" t="str">
        <f ca="1">Financial!$A6</f>
        <v>Mar</v>
      </c>
      <c r="B4" s="5">
        <f>Production!$C$4/Production!$B$4</f>
        <v>150000</v>
      </c>
      <c r="C4" s="5">
        <f>Production!$I$4/Production!$H$4</f>
        <v>150000</v>
      </c>
      <c r="D4" s="5">
        <f>Entry!$B$4</f>
        <v>4500</v>
      </c>
      <c r="E4" s="22">
        <f>D4/C4</f>
        <v>0.03</v>
      </c>
      <c r="F4" s="2" t="str">
        <f ca="1">Financial!$A6</f>
        <v>Mar</v>
      </c>
    </row>
    <row r="5" spans="1:6" x14ac:dyDescent="0.25">
      <c r="A5" s="2" t="str">
        <f ca="1">Financial!$A7</f>
        <v>Apr</v>
      </c>
      <c r="B5" s="5">
        <f>Production!$C$5/Production!$B$5</f>
        <v>150000</v>
      </c>
      <c r="C5" s="5">
        <f>Production!$I$5/Production!$H$5</f>
        <v>150000</v>
      </c>
      <c r="D5" s="5">
        <f>Entry!$B$4</f>
        <v>4500</v>
      </c>
      <c r="E5" s="22">
        <f t="shared" ref="E5:E13" si="0">D5/C5</f>
        <v>0.03</v>
      </c>
      <c r="F5" s="2" t="str">
        <f ca="1">Financial!$A7</f>
        <v>Apr</v>
      </c>
    </row>
    <row r="6" spans="1:6" x14ac:dyDescent="0.25">
      <c r="A6" s="2" t="str">
        <f ca="1">Financial!$A8</f>
        <v>May</v>
      </c>
      <c r="B6" s="5">
        <f>Production!$C$6/Production!$B$6</f>
        <v>150000</v>
      </c>
      <c r="C6" s="5">
        <f>Production!$I$6/Production!$H$6</f>
        <v>150000</v>
      </c>
      <c r="D6" s="5">
        <f>Entry!$B$4</f>
        <v>4500</v>
      </c>
      <c r="E6" s="22">
        <f t="shared" si="0"/>
        <v>0.03</v>
      </c>
      <c r="F6" s="2" t="str">
        <f ca="1">Financial!$A8</f>
        <v>May</v>
      </c>
    </row>
    <row r="7" spans="1:6" x14ac:dyDescent="0.25">
      <c r="A7" s="2" t="str">
        <f ca="1">Financial!$A9</f>
        <v>Jun</v>
      </c>
      <c r="B7" s="5">
        <f>Production!$C$7/Production!$B$7</f>
        <v>150000</v>
      </c>
      <c r="C7" s="5">
        <f>Production!$I$7/Production!$H$7</f>
        <v>150000</v>
      </c>
      <c r="D7" s="5">
        <f>Entry!$B$4</f>
        <v>4500</v>
      </c>
      <c r="E7" s="22">
        <f t="shared" si="0"/>
        <v>0.03</v>
      </c>
      <c r="F7" s="2" t="str">
        <f ca="1">Financial!$A9</f>
        <v>Jun</v>
      </c>
    </row>
    <row r="8" spans="1:6" x14ac:dyDescent="0.25">
      <c r="A8" s="2" t="str">
        <f ca="1">Financial!$A10</f>
        <v>Jul</v>
      </c>
      <c r="B8" s="5">
        <f>Production!$C$8/Production!$B$8</f>
        <v>150000</v>
      </c>
      <c r="C8" s="5">
        <f>Production!$I$8/Production!$H$8</f>
        <v>150000</v>
      </c>
      <c r="D8" s="5">
        <f>Entry!$B$4</f>
        <v>4500</v>
      </c>
      <c r="E8" s="22">
        <f t="shared" si="0"/>
        <v>0.03</v>
      </c>
      <c r="F8" s="2" t="str">
        <f ca="1">Financial!$A10</f>
        <v>Jul</v>
      </c>
    </row>
    <row r="9" spans="1:6" x14ac:dyDescent="0.25">
      <c r="A9" s="2" t="str">
        <f ca="1">Financial!$A11</f>
        <v>Aug</v>
      </c>
      <c r="B9" s="5">
        <f>Production!$C$9/Production!$B$9</f>
        <v>150000</v>
      </c>
      <c r="C9" s="5">
        <f>Production!$I$9/Production!$H$9</f>
        <v>150000</v>
      </c>
      <c r="D9" s="5">
        <f>Entry!$B$4</f>
        <v>4500</v>
      </c>
      <c r="E9" s="22">
        <f t="shared" si="0"/>
        <v>0.03</v>
      </c>
      <c r="F9" s="2" t="str">
        <f ca="1">Financial!$A11</f>
        <v>Aug</v>
      </c>
    </row>
    <row r="10" spans="1:6" x14ac:dyDescent="0.25">
      <c r="A10" s="2" t="str">
        <f ca="1">Financial!$A12</f>
        <v>Sep</v>
      </c>
      <c r="B10" s="5">
        <f>Production!$C$10/Production!$B$10</f>
        <v>150000</v>
      </c>
      <c r="C10" s="5">
        <f>Production!$I$10/Production!$H$10</f>
        <v>150000</v>
      </c>
      <c r="D10" s="5">
        <f>Entry!$B$4</f>
        <v>4500</v>
      </c>
      <c r="E10" s="22">
        <f t="shared" si="0"/>
        <v>0.03</v>
      </c>
      <c r="F10" s="2" t="str">
        <f ca="1">Financial!$A12</f>
        <v>Sep</v>
      </c>
    </row>
    <row r="11" spans="1:6" x14ac:dyDescent="0.25">
      <c r="A11" s="2" t="str">
        <f ca="1">Financial!$A13</f>
        <v>Oct</v>
      </c>
      <c r="B11" s="5">
        <f>Production!$C$11/Production!$B$11</f>
        <v>150000</v>
      </c>
      <c r="C11" s="5">
        <f>Production!$I$11/Production!$H$11</f>
        <v>150000</v>
      </c>
      <c r="D11" s="5">
        <f>Entry!$B$4</f>
        <v>4500</v>
      </c>
      <c r="E11" s="22">
        <f t="shared" si="0"/>
        <v>0.03</v>
      </c>
      <c r="F11" s="2" t="str">
        <f ca="1">Financial!$A13</f>
        <v>Oct</v>
      </c>
    </row>
    <row r="12" spans="1:6" x14ac:dyDescent="0.25">
      <c r="A12" s="2" t="str">
        <f ca="1">Financial!$A14</f>
        <v>Nov</v>
      </c>
      <c r="B12" s="5">
        <f>Production!$C$12/Production!$B$12</f>
        <v>150000</v>
      </c>
      <c r="C12" s="5">
        <f>Production!$I$12/Production!$H$12</f>
        <v>150000</v>
      </c>
      <c r="D12" s="5">
        <f>Entry!$B$4</f>
        <v>4500</v>
      </c>
      <c r="E12" s="22">
        <f t="shared" si="0"/>
        <v>0.03</v>
      </c>
      <c r="F12" s="2" t="str">
        <f ca="1">Financial!$A14</f>
        <v>Nov</v>
      </c>
    </row>
    <row r="13" spans="1:6" x14ac:dyDescent="0.25">
      <c r="A13" s="2" t="str">
        <f ca="1">Financial!$A15</f>
        <v>Dec</v>
      </c>
      <c r="B13" s="5">
        <f>Production!$C$13/Production!$B$13</f>
        <v>150000</v>
      </c>
      <c r="C13" s="5">
        <f>Production!$I$13/Production!$H$13</f>
        <v>150000</v>
      </c>
      <c r="D13" s="5">
        <f>Entry!$B$4</f>
        <v>4500</v>
      </c>
      <c r="E13" s="22">
        <f t="shared" si="0"/>
        <v>0.03</v>
      </c>
      <c r="F13" s="2" t="str">
        <f ca="1">Financial!$A15</f>
        <v>Dec</v>
      </c>
    </row>
    <row r="14" spans="1:6" x14ac:dyDescent="0.25">
      <c r="A14" s="11"/>
      <c r="B14" s="21"/>
      <c r="C14" s="21"/>
      <c r="D14" s="21"/>
      <c r="E14" s="21"/>
      <c r="F14" s="1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Entry</vt:lpstr>
      <vt:lpstr>Production</vt:lpstr>
      <vt:lpstr>Financial</vt:lpstr>
      <vt:lpstr>Statistical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Antoinette Perez</dc:creator>
  <cp:lastModifiedBy>Aniket Gupta</cp:lastModifiedBy>
  <cp:lastPrinted>2002-01-24T16:23:56Z</cp:lastPrinted>
  <dcterms:created xsi:type="dcterms:W3CDTF">2002-01-18T14:40:53Z</dcterms:created>
  <dcterms:modified xsi:type="dcterms:W3CDTF">2024-02-03T22:12:30Z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516333257</vt:i4>
  </property>
  <property fmtid="{D5CDD505-2E9C-101B-9397-08002B2CF9AE}" pid="3" name="_EmailSubject">
    <vt:lpwstr>file 4 u</vt:lpwstr>
  </property>
  <property fmtid="{D5CDD505-2E9C-101B-9397-08002B2CF9AE}" pid="4" name="_AuthorEmail">
    <vt:lpwstr>penley@kw.com</vt:lpwstr>
  </property>
  <property fmtid="{D5CDD505-2E9C-101B-9397-08002B2CF9AE}" pid="5" name="_AuthorEmailDisplayName">
    <vt:lpwstr>Penley McQueen</vt:lpwstr>
  </property>
  <property fmtid="{D5CDD505-2E9C-101B-9397-08002B2CF9AE}" pid="6" name="_ReviewingToolsShownOnce">
    <vt:lpwstr/>
  </property>
</Properties>
</file>