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A6AF11C0-D414-48CB-B2F7-8C0B63351A15}" xr6:coauthVersionLast="47" xr6:coauthVersionMax="47" xr10:uidLastSave="{00000000-0000-0000-0000-000000000000}"/>
  <bookViews>
    <workbookView xWindow="3348" yWindow="3348" windowWidth="17280" windowHeight="8880" tabRatio="588"/>
  </bookViews>
  <sheets>
    <sheet name="FOL Financial History" sheetId="2" r:id="rId1"/>
    <sheet name="2004-expend-sum" sheetId="1" r:id="rId2"/>
  </sheets>
  <definedNames>
    <definedName name="_xlnm.Print_Area" localSheetId="0">'FOL Financial History'!$D$11:$AH$76</definedName>
    <definedName name="Print_Area_MI">'FOL Financial History'!$C$10:$AE$66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C4" i="1"/>
  <c r="I4" i="1"/>
  <c r="K4" i="1"/>
  <c r="AA34" i="2" s="1"/>
  <c r="C20" i="1"/>
  <c r="I20" i="1"/>
  <c r="C38" i="1"/>
  <c r="E38" i="1"/>
  <c r="AA43" i="2" s="1"/>
  <c r="A2" i="2"/>
  <c r="AB11" i="2"/>
  <c r="W17" i="2"/>
  <c r="X17" i="2"/>
  <c r="Y17" i="2"/>
  <c r="AB17" i="2"/>
  <c r="AC17" i="2"/>
  <c r="M18" i="2"/>
  <c r="W18" i="2" s="1"/>
  <c r="X18" i="2" s="1"/>
  <c r="Y18" i="2"/>
  <c r="AB18" i="2"/>
  <c r="AC18" i="2"/>
  <c r="M19" i="2"/>
  <c r="W19" i="2"/>
  <c r="X19" i="2"/>
  <c r="Y19" i="2"/>
  <c r="AB19" i="2"/>
  <c r="AC19" i="2"/>
  <c r="G20" i="2"/>
  <c r="G26" i="2" s="1"/>
  <c r="G63" i="2" s="1"/>
  <c r="H20" i="2"/>
  <c r="I20" i="2"/>
  <c r="J20" i="2"/>
  <c r="K20" i="2"/>
  <c r="K26" i="2" s="1"/>
  <c r="K63" i="2" s="1"/>
  <c r="L20" i="2"/>
  <c r="N20" i="2"/>
  <c r="N26" i="2" s="1"/>
  <c r="N63" i="2" s="1"/>
  <c r="V20" i="2"/>
  <c r="Y20" i="2" s="1"/>
  <c r="AA20" i="2"/>
  <c r="AB20" i="2"/>
  <c r="AC20" i="2"/>
  <c r="N21" i="2"/>
  <c r="W21" i="2" s="1"/>
  <c r="X21" i="2" s="1"/>
  <c r="Y21" i="2"/>
  <c r="AB21" i="2"/>
  <c r="AC21" i="2"/>
  <c r="W22" i="2"/>
  <c r="X22" i="2" s="1"/>
  <c r="Y22" i="2"/>
  <c r="AB22" i="2"/>
  <c r="W23" i="2"/>
  <c r="X23" i="2" s="1"/>
  <c r="Y23" i="2"/>
  <c r="AB23" i="2"/>
  <c r="W24" i="2"/>
  <c r="X24" i="2" s="1"/>
  <c r="Y24" i="2"/>
  <c r="AB24" i="2"/>
  <c r="F26" i="2"/>
  <c r="H26" i="2"/>
  <c r="I26" i="2"/>
  <c r="J26" i="2"/>
  <c r="J63" i="2" s="1"/>
  <c r="L26" i="2"/>
  <c r="L63" i="2" s="1"/>
  <c r="O26" i="2"/>
  <c r="P26" i="2"/>
  <c r="Q26" i="2"/>
  <c r="R26" i="2"/>
  <c r="R63" i="2" s="1"/>
  <c r="S26" i="2"/>
  <c r="T26" i="2"/>
  <c r="T63" i="2" s="1"/>
  <c r="U26" i="2"/>
  <c r="U63" i="2" s="1"/>
  <c r="V26" i="2"/>
  <c r="V63" i="2" s="1"/>
  <c r="Z26" i="2"/>
  <c r="Z63" i="2" s="1"/>
  <c r="AA26" i="2"/>
  <c r="AC26" i="2" s="1"/>
  <c r="AB26" i="2"/>
  <c r="H29" i="2"/>
  <c r="H46" i="2" s="1"/>
  <c r="Y29" i="2"/>
  <c r="AA29" i="2"/>
  <c r="AB29" i="2" s="1"/>
  <c r="AC29" i="2"/>
  <c r="W30" i="2"/>
  <c r="X30" i="2"/>
  <c r="Y30" i="2"/>
  <c r="AA30" i="2"/>
  <c r="AB30" i="2"/>
  <c r="W31" i="2"/>
  <c r="X31" i="2" s="1"/>
  <c r="Y31" i="2"/>
  <c r="AA31" i="2"/>
  <c r="AB31" i="2"/>
  <c r="M32" i="2"/>
  <c r="W32" i="2"/>
  <c r="X32" i="2"/>
  <c r="Y32" i="2"/>
  <c r="AA32" i="2"/>
  <c r="AC32" i="2" s="1"/>
  <c r="AB32" i="2"/>
  <c r="F33" i="2"/>
  <c r="F46" i="2" s="1"/>
  <c r="G33" i="2"/>
  <c r="K33" i="2"/>
  <c r="N33" i="2"/>
  <c r="W33" i="2"/>
  <c r="X33" i="2" s="1"/>
  <c r="Y33" i="2"/>
  <c r="AA33" i="2"/>
  <c r="AC33" i="2" s="1"/>
  <c r="AB33" i="2"/>
  <c r="W34" i="2"/>
  <c r="X34" i="2"/>
  <c r="Y34" i="2"/>
  <c r="M35" i="2"/>
  <c r="W35" i="2" s="1"/>
  <c r="X35" i="2" s="1"/>
  <c r="Y35" i="2"/>
  <c r="AA35" i="2"/>
  <c r="AB35" i="2" s="1"/>
  <c r="AC35" i="2"/>
  <c r="W36" i="2"/>
  <c r="X36" i="2"/>
  <c r="Y36" i="2"/>
  <c r="AA36" i="2"/>
  <c r="AB36" i="2"/>
  <c r="AC36" i="2"/>
  <c r="W37" i="2"/>
  <c r="X37" i="2"/>
  <c r="Y37" i="2"/>
  <c r="AA37" i="2"/>
  <c r="AB37" i="2" s="1"/>
  <c r="H38" i="2"/>
  <c r="W38" i="2"/>
  <c r="X38" i="2"/>
  <c r="Y38" i="2"/>
  <c r="AA38" i="2"/>
  <c r="AB38" i="2" s="1"/>
  <c r="F39" i="2"/>
  <c r="W39" i="2" s="1"/>
  <c r="X39" i="2" s="1"/>
  <c r="H39" i="2"/>
  <c r="Y39" i="2"/>
  <c r="AA39" i="2"/>
  <c r="AC39" i="2" s="1"/>
  <c r="AB39" i="2"/>
  <c r="W40" i="2"/>
  <c r="X40" i="2" s="1"/>
  <c r="Y40" i="2"/>
  <c r="AA40" i="2"/>
  <c r="AB40" i="2"/>
  <c r="W41" i="2"/>
  <c r="X41" i="2"/>
  <c r="Y41" i="2"/>
  <c r="AA41" i="2"/>
  <c r="AB41" i="2" s="1"/>
  <c r="W42" i="2"/>
  <c r="X42" i="2"/>
  <c r="Y42" i="2"/>
  <c r="AA42" i="2"/>
  <c r="AC42" i="2" s="1"/>
  <c r="AB42" i="2"/>
  <c r="W43" i="2"/>
  <c r="X43" i="2" s="1"/>
  <c r="Y43" i="2"/>
  <c r="W44" i="2"/>
  <c r="X44" i="2" s="1"/>
  <c r="Y44" i="2"/>
  <c r="AB44" i="2"/>
  <c r="AC44" i="2"/>
  <c r="G46" i="2"/>
  <c r="I46" i="2"/>
  <c r="J46" i="2"/>
  <c r="K46" i="2"/>
  <c r="L46" i="2"/>
  <c r="N46" i="2"/>
  <c r="O46" i="2"/>
  <c r="P46" i="2"/>
  <c r="Q46" i="2"/>
  <c r="R46" i="2"/>
  <c r="S46" i="2"/>
  <c r="T46" i="2"/>
  <c r="U46" i="2"/>
  <c r="V46" i="2"/>
  <c r="Y46" i="2"/>
  <c r="Z46" i="2"/>
  <c r="Z47" i="2"/>
  <c r="W50" i="2"/>
  <c r="X50" i="2"/>
  <c r="Y50" i="2"/>
  <c r="AB50" i="2"/>
  <c r="W51" i="2"/>
  <c r="X51" i="2"/>
  <c r="Y51" i="2"/>
  <c r="AB51" i="2"/>
  <c r="AB61" i="2" s="1"/>
  <c r="K52" i="2"/>
  <c r="W52" i="2"/>
  <c r="X52" i="2" s="1"/>
  <c r="Y52" i="2"/>
  <c r="AB52" i="2"/>
  <c r="H53" i="2"/>
  <c r="W53" i="2" s="1"/>
  <c r="X53" i="2" s="1"/>
  <c r="Y53" i="2"/>
  <c r="AB53" i="2"/>
  <c r="W54" i="2"/>
  <c r="X54" i="2"/>
  <c r="Y54" i="2"/>
  <c r="AB54" i="2"/>
  <c r="W55" i="2"/>
  <c r="X55" i="2"/>
  <c r="Y55" i="2"/>
  <c r="AB55" i="2"/>
  <c r="W56" i="2"/>
  <c r="X56" i="2"/>
  <c r="Y56" i="2"/>
  <c r="AB56" i="2"/>
  <c r="AC56" i="2"/>
  <c r="W57" i="2"/>
  <c r="X57" i="2" s="1"/>
  <c r="Y57" i="2"/>
  <c r="AB57" i="2"/>
  <c r="W58" i="2"/>
  <c r="X58" i="2"/>
  <c r="Y58" i="2"/>
  <c r="AB58" i="2"/>
  <c r="AC58" i="2"/>
  <c r="W59" i="2"/>
  <c r="X59" i="2"/>
  <c r="Y59" i="2"/>
  <c r="AB59" i="2"/>
  <c r="F61" i="2"/>
  <c r="G61" i="2"/>
  <c r="I61" i="2"/>
  <c r="I63" i="2" s="1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Y61" i="2"/>
  <c r="Z61" i="2"/>
  <c r="AA61" i="2"/>
  <c r="AC61" i="2" s="1"/>
  <c r="O63" i="2"/>
  <c r="P63" i="2"/>
  <c r="Q63" i="2"/>
  <c r="S63" i="2"/>
  <c r="AB68" i="2"/>
  <c r="AC68" i="2"/>
  <c r="AC69" i="2"/>
  <c r="Z72" i="2"/>
  <c r="AB72" i="2"/>
  <c r="AC72" i="2"/>
  <c r="Z75" i="2"/>
  <c r="AB75" i="2"/>
  <c r="AC75" i="2" s="1"/>
  <c r="AC43" i="2" l="1"/>
  <c r="AB43" i="2"/>
  <c r="AC34" i="2"/>
  <c r="AB34" i="2"/>
  <c r="AB47" i="2" s="1"/>
  <c r="AA47" i="2"/>
  <c r="AC47" i="2" s="1"/>
  <c r="Y63" i="2"/>
  <c r="W46" i="2"/>
  <c r="X46" i="2" s="1"/>
  <c r="Y26" i="2"/>
  <c r="M46" i="2"/>
  <c r="F63" i="2"/>
  <c r="F64" i="2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W29" i="2"/>
  <c r="X29" i="2" s="1"/>
  <c r="AA46" i="2"/>
  <c r="W20" i="2"/>
  <c r="X20" i="2" s="1"/>
  <c r="M26" i="2"/>
  <c r="H61" i="2"/>
  <c r="W61" i="2" s="1"/>
  <c r="X61" i="2" s="1"/>
  <c r="Y64" i="2" l="1"/>
  <c r="S64" i="2"/>
  <c r="T64" i="2" s="1"/>
  <c r="U64" i="2" s="1"/>
  <c r="V64" i="2" s="1"/>
  <c r="AA63" i="2"/>
  <c r="AC46" i="2"/>
  <c r="AB46" i="2"/>
  <c r="M63" i="2"/>
  <c r="W26" i="2"/>
  <c r="H63" i="2"/>
  <c r="W63" i="2" l="1"/>
  <c r="X63" i="2" s="1"/>
  <c r="X26" i="2"/>
  <c r="W64" i="2"/>
  <c r="X64" i="2" s="1"/>
  <c r="Z64" i="2"/>
  <c r="AA64" i="2"/>
</calcChain>
</file>

<file path=xl/sharedStrings.xml><?xml version="1.0" encoding="utf-8"?>
<sst xmlns="http://schemas.openxmlformats.org/spreadsheetml/2006/main" count="161" uniqueCount="123">
  <si>
    <t>HOME/FOLBUDG</t>
  </si>
  <si>
    <t>|</t>
  </si>
  <si>
    <t>This will contain the FOL budget information.</t>
  </si>
  <si>
    <t>-</t>
  </si>
  <si>
    <t xml:space="preserve">FRIENDS OF LESOTHO FINANCIAL HISTORY AND BUDGET </t>
  </si>
  <si>
    <t>ACTUAL YEAR END TOTALS</t>
  </si>
  <si>
    <t>Cummulative</t>
  </si>
  <si>
    <t>VARIANCE</t>
  </si>
  <si>
    <t>PERCENT</t>
  </si>
  <si>
    <t>ITEM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</si>
  <si>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</si>
  <si>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</si>
  <si>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</si>
  <si>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</si>
  <si>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</si>
  <si>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</si>
  <si>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</si>
  <si>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</si>
  <si>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</si>
  <si>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</si>
  <si>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BUDGET</t>
  </si>
  <si>
    <t>ACTUAL YTD</t>
  </si>
  <si>
    <t>RECEIPTS</t>
  </si>
  <si>
    <t xml:space="preserve">  Interest</t>
  </si>
  <si>
    <t xml:space="preserve">  NPCA Dues</t>
  </si>
  <si>
    <t xml:space="preserve">  Other</t>
  </si>
  <si>
    <t xml:space="preserve">  Mokete Registration</t>
  </si>
  <si>
    <t xml:space="preserve">  Sasakawa funds</t>
  </si>
  <si>
    <t>TOTAL RECEIPTS</t>
  </si>
  <si>
    <t>OPERATING EXPENSES</t>
  </si>
  <si>
    <t xml:space="preserve">  Duplicating</t>
  </si>
  <si>
    <t xml:space="preserve">  Envelopes</t>
  </si>
  <si>
    <t xml:space="preserve">  Mokete Expenses</t>
  </si>
  <si>
    <t xml:space="preserve">  Newsletter</t>
  </si>
  <si>
    <t xml:space="preserve">  Organization Costs</t>
  </si>
  <si>
    <t xml:space="preserve">  NPCA Dues Rebates</t>
  </si>
  <si>
    <t xml:space="preserve">  NPCA Affiliation Dues</t>
  </si>
  <si>
    <t xml:space="preserve">  Parking</t>
  </si>
  <si>
    <t xml:space="preserve">  Photos/Videos</t>
  </si>
  <si>
    <t xml:space="preserve">  Postage</t>
  </si>
  <si>
    <t xml:space="preserve">  Rentals</t>
  </si>
  <si>
    <t xml:space="preserve">  Subscriptions</t>
  </si>
  <si>
    <t xml:space="preserve">  Supplies</t>
  </si>
  <si>
    <t xml:space="preserve">  Telephone</t>
  </si>
  <si>
    <t xml:space="preserve">  </t>
  </si>
  <si>
    <t>TOTAL EXPENSES</t>
  </si>
  <si>
    <t>PROJECT EXPENSES</t>
  </si>
  <si>
    <t xml:space="preserve">  Boiteko</t>
  </si>
  <si>
    <t xml:space="preserve">  Book Mailings</t>
  </si>
  <si>
    <t xml:space="preserve">  Centre for Hope</t>
  </si>
  <si>
    <t xml:space="preserve">  LAPIS Travel</t>
  </si>
  <si>
    <t xml:space="preserve">  Loan Write-Off</t>
  </si>
  <si>
    <t xml:space="preserve">  Morija Museum</t>
  </si>
  <si>
    <t xml:space="preserve">  Peace Corps VLC</t>
  </si>
  <si>
    <t xml:space="preserve">  Roma Hospital</t>
  </si>
  <si>
    <t xml:space="preserve">  Scholarship Fund</t>
  </si>
  <si>
    <t xml:space="preserve">  Trickle-Up</t>
  </si>
  <si>
    <t>TOTAL PROJECT EXPENSES</t>
  </si>
  <si>
    <t>ANNUAL GAIN/(LOSS)</t>
  </si>
  <si>
    <t>CUMULATIVE BALANCE</t>
  </si>
  <si>
    <t>Average</t>
  </si>
  <si>
    <t>TAP</t>
  </si>
  <si>
    <t>Check total</t>
  </si>
  <si>
    <t>Total</t>
  </si>
  <si>
    <t>Last 5-yr</t>
  </si>
  <si>
    <t>Total to date</t>
  </si>
  <si>
    <t>End balance $0.58 low in these years per checkbook,</t>
  </si>
  <si>
    <t>adjusted 2003 by adding this amount in 'other'.</t>
  </si>
  <si>
    <t>Actual Sent</t>
  </si>
  <si>
    <t>Amount</t>
  </si>
  <si>
    <t>Exceeded</t>
  </si>
  <si>
    <t xml:space="preserve"> - </t>
  </si>
  <si>
    <t>VLC (HIV/AIDS)</t>
  </si>
  <si>
    <t>VLC TOTAL</t>
  </si>
  <si>
    <t>1) All non-designated funds sent to VLC for any appropriate purpose.</t>
  </si>
  <si>
    <t xml:space="preserve"> see note (1)</t>
  </si>
  <si>
    <t>VLC non-desig.</t>
  </si>
  <si>
    <t>1987 - 2003</t>
  </si>
  <si>
    <t>1999 - 2003</t>
  </si>
  <si>
    <t>2004 Add'l fund designations</t>
  </si>
  <si>
    <t xml:space="preserve"> (note - keep min. bank balance &gt;= $1,000)</t>
  </si>
  <si>
    <t xml:space="preserve">  Carryover dues from extra prev. FY</t>
  </si>
  <si>
    <t>TOTAL EXPENSES (minus rebate &amp; carryover)</t>
  </si>
  <si>
    <t>2004 Expenditure Summary</t>
  </si>
  <si>
    <t>2003 (1)</t>
  </si>
  <si>
    <t>balance to equal bank book.</t>
  </si>
  <si>
    <t>1) $0.58 rounding correction to</t>
  </si>
  <si>
    <t>spreadsheet to get cumulative</t>
  </si>
  <si>
    <t>stamps for 2004 restock - Paid by John H. - donated</t>
  </si>
  <si>
    <t>mailing - Paid by John H. - donated</t>
  </si>
  <si>
    <t>mailing and stamps - Paid by John H. - donated</t>
  </si>
  <si>
    <t>2/8/04 conference call - Paid by John H. - donated</t>
  </si>
  <si>
    <t>check 1006 - 3/7/04</t>
  </si>
  <si>
    <t>check 1005</t>
  </si>
  <si>
    <t>2005 Dues (Obligations)</t>
  </si>
  <si>
    <t xml:space="preserve">  Dues - Contributions (prepaid)</t>
  </si>
  <si>
    <t xml:space="preserve">  Dues - Contributions (2004)</t>
  </si>
  <si>
    <t xml:space="preserve">  Extra Contributions (2004)</t>
  </si>
  <si>
    <t>March 20, 2004 Update (incl. 3/22/04 deposit)</t>
  </si>
  <si>
    <t>check 1007</t>
  </si>
  <si>
    <t>Budget</t>
  </si>
  <si>
    <t>Comment</t>
  </si>
  <si>
    <t>same as 2003</t>
  </si>
  <si>
    <t>5 year ave.</t>
  </si>
  <si>
    <t>contingency</t>
  </si>
  <si>
    <t>estimated pass through</t>
  </si>
  <si>
    <t xml:space="preserve">estimate </t>
  </si>
  <si>
    <t>contingency - bounced donation checks</t>
  </si>
  <si>
    <t xml:space="preserve">contingency  </t>
  </si>
  <si>
    <t>% of 5-yr ave. based on non-profit rates</t>
  </si>
  <si>
    <t>round up on 2003</t>
  </si>
  <si>
    <t>carry over dues</t>
  </si>
  <si>
    <t>carryover dues</t>
  </si>
  <si>
    <t>Amount we will spend</t>
  </si>
  <si>
    <t>includes pass through items</t>
  </si>
  <si>
    <t>1/2 of total small donations</t>
  </si>
  <si>
    <t>2003 small donations - see below</t>
  </si>
  <si>
    <t>Note on 2003 donations:</t>
  </si>
  <si>
    <t xml:space="preserve">top 5 donations accounted for $6435 of </t>
  </si>
  <si>
    <t>$9500 received.  This included 1 current</t>
  </si>
  <si>
    <t>PCV and 2 fundraisers by members.</t>
  </si>
  <si>
    <t>Did not hear from Taipei School</t>
  </si>
  <si>
    <t>in 2003 regarding TAP.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</si>
</sst>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7" formatCode="&quot;$&quot;#,##0.00_);\(&quot;$&quot;#,##0.00\)"/>
    <numFmt numFmtId="164" formatCode="dd\-mmm\-yy_)"/>
    <numFmt numFmtId="165" formatCode="&quot;$&quot;#,##0"/>
    <numFmt numFmtId="166" formatCode="&quot;$&quot;#,##0.00"/>
  </numFmts>
  <fonts count="7" x14ac:knownFonts="1">
    <font>
      <sz val="12"/>
      <name val="Arial"/>
    </font>
    <font>
      <sz val="10"/>
      <name val="Arial"/>
    </font>
    <font>
      <sz val="12"/>
      <color indexed="12"/>
      <name val="Arial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8"/>
      </patternFill>
    </fill>
    <fill>
      <patternFill patternType="solid">
        <fgColor indexed="13"/>
        <bgColor indexed="64"/>
      </patternFill>
    </fill>
  </fills>
  <borders count="3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double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double">
        <color indexed="8"/>
      </bottom>
      <diagonal/>
    </border>
  </borders>
  <cellStyleXfs count="2">
    <xf numFmtId="0" fontId="0" fillId="0" borderId="0"/>
    <xf numFmtId="0" fontId="1" fillId="0" borderId="0"/>
  </cellStyleXfs>
  <cellXfs count="109">
    <xf numFmtId="0" fontId="0" fillId="0" borderId="0" xfId="0"/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horizontal="fill"/>
      <protection locked="0"/>
    </xf>
    <xf numFmtId="0" fontId="0" fillId="0" borderId="0" xfId="0" applyAlignment="1">
      <alignment horizontal="fill"/>
    </xf>
    <xf numFmtId="0" fontId="0" fillId="0" borderId="1" xfId="0" applyBorder="1"/>
    <xf numFmtId="0" fontId="0" fillId="0" borderId="2" xfId="0" applyBorder="1"/>
    <xf numFmtId="164" fontId="0" fillId="0" borderId="2" xfId="0" applyNumberFormat="1" applyBorder="1" applyProtection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5" fontId="0" fillId="0" borderId="0" xfId="0" applyNumberFormat="1" applyProtection="1"/>
    <xf numFmtId="9" fontId="0" fillId="0" borderId="0" xfId="0" applyNumberFormat="1" applyProtection="1"/>
    <xf numFmtId="0" fontId="0" fillId="0" borderId="6" xfId="0" applyBorder="1" applyAlignment="1">
      <alignment horizontal="right"/>
    </xf>
    <xf numFmtId="5" fontId="0" fillId="0" borderId="7" xfId="0" applyNumberFormat="1" applyBorder="1" applyProtection="1"/>
    <xf numFmtId="9" fontId="0" fillId="0" borderId="7" xfId="0" applyNumberFormat="1" applyBorder="1" applyProtection="1"/>
    <xf numFmtId="0" fontId="0" fillId="0" borderId="9" xfId="0" applyBorder="1" applyAlignment="1">
      <alignment horizontal="right"/>
    </xf>
    <xf numFmtId="0" fontId="0" fillId="0" borderId="10" xfId="0" applyBorder="1"/>
    <xf numFmtId="5" fontId="0" fillId="0" borderId="10" xfId="0" applyNumberFormat="1" applyBorder="1" applyProtection="1"/>
    <xf numFmtId="9" fontId="0" fillId="0" borderId="10" xfId="0" applyNumberFormat="1" applyBorder="1" applyProtection="1"/>
    <xf numFmtId="0" fontId="0" fillId="0" borderId="11" xfId="0" applyBorder="1"/>
    <xf numFmtId="0" fontId="0" fillId="0" borderId="4" xfId="0" applyBorder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5" fontId="0" fillId="0" borderId="13" xfId="0" applyNumberFormat="1" applyBorder="1" applyProtection="1"/>
    <xf numFmtId="5" fontId="0" fillId="0" borderId="14" xfId="0" applyNumberFormat="1" applyBorder="1" applyProtection="1"/>
    <xf numFmtId="0" fontId="0" fillId="0" borderId="0" xfId="0" applyBorder="1"/>
    <xf numFmtId="0" fontId="0" fillId="0" borderId="0" xfId="0" applyBorder="1" applyAlignment="1">
      <alignment horizontal="center"/>
    </xf>
    <xf numFmtId="5" fontId="0" fillId="0" borderId="0" xfId="0" applyNumberFormat="1" applyBorder="1" applyProtection="1"/>
    <xf numFmtId="5" fontId="0" fillId="0" borderId="15" xfId="0" applyNumberFormat="1" applyBorder="1" applyProtection="1"/>
    <xf numFmtId="5" fontId="0" fillId="0" borderId="16" xfId="0" applyNumberFormat="1" applyBorder="1" applyProtection="1"/>
    <xf numFmtId="0" fontId="0" fillId="0" borderId="17" xfId="0" applyBorder="1" applyAlignment="1">
      <alignment horizontal="center"/>
    </xf>
    <xf numFmtId="5" fontId="0" fillId="0" borderId="18" xfId="0" applyNumberFormat="1" applyBorder="1" applyProtection="1"/>
    <xf numFmtId="5" fontId="0" fillId="0" borderId="19" xfId="0" applyNumberFormat="1" applyBorder="1" applyProtection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5" fontId="0" fillId="0" borderId="21" xfId="0" applyNumberFormat="1" applyBorder="1" applyProtection="1"/>
    <xf numFmtId="7" fontId="0" fillId="0" borderId="21" xfId="0" applyNumberFormat="1" applyBorder="1" applyProtection="1"/>
    <xf numFmtId="7" fontId="0" fillId="0" borderId="22" xfId="0" applyNumberFormat="1" applyBorder="1" applyProtection="1"/>
    <xf numFmtId="5" fontId="0" fillId="0" borderId="22" xfId="0" applyNumberFormat="1" applyBorder="1" applyProtection="1"/>
    <xf numFmtId="5" fontId="0" fillId="0" borderId="23" xfId="0" applyNumberFormat="1" applyBorder="1" applyProtection="1"/>
    <xf numFmtId="7" fontId="0" fillId="0" borderId="24" xfId="0" applyNumberFormat="1" applyBorder="1" applyProtection="1"/>
    <xf numFmtId="7" fontId="0" fillId="0" borderId="25" xfId="0" applyNumberFormat="1" applyBorder="1" applyProtection="1"/>
    <xf numFmtId="7" fontId="0" fillId="0" borderId="23" xfId="0" applyNumberFormat="1" applyBorder="1" applyProtection="1"/>
    <xf numFmtId="5" fontId="0" fillId="0" borderId="26" xfId="0" applyNumberFormat="1" applyBorder="1" applyProtection="1"/>
    <xf numFmtId="0" fontId="0" fillId="0" borderId="0" xfId="0" applyAlignment="1">
      <alignment horizontal="left"/>
    </xf>
    <xf numFmtId="0" fontId="0" fillId="0" borderId="27" xfId="0" applyBorder="1"/>
    <xf numFmtId="5" fontId="0" fillId="0" borderId="28" xfId="0" applyNumberFormat="1" applyBorder="1" applyProtection="1"/>
    <xf numFmtId="5" fontId="0" fillId="0" borderId="29" xfId="0" applyNumberFormat="1" applyBorder="1" applyProtection="1"/>
    <xf numFmtId="5" fontId="0" fillId="0" borderId="30" xfId="0" applyNumberFormat="1" applyBorder="1" applyProtection="1"/>
    <xf numFmtId="0" fontId="3" fillId="0" borderId="0" xfId="0" applyFont="1"/>
    <xf numFmtId="166" fontId="0" fillId="0" borderId="0" xfId="0" applyNumberFormat="1" applyAlignment="1">
      <alignment horizontal="center"/>
    </xf>
    <xf numFmtId="166" fontId="0" fillId="0" borderId="4" xfId="0" applyNumberFormat="1" applyBorder="1" applyAlignment="1">
      <alignment horizontal="left"/>
    </xf>
    <xf numFmtId="166" fontId="0" fillId="0" borderId="4" xfId="0" applyNumberForma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/>
    <xf numFmtId="7" fontId="0" fillId="0" borderId="7" xfId="0" applyNumberFormat="1" applyBorder="1" applyProtection="1"/>
    <xf numFmtId="7" fontId="0" fillId="0" borderId="0" xfId="0" applyNumberFormat="1"/>
    <xf numFmtId="7" fontId="0" fillId="0" borderId="10" xfId="0" applyNumberFormat="1" applyBorder="1" applyProtection="1"/>
    <xf numFmtId="7" fontId="0" fillId="0" borderId="14" xfId="0" applyNumberFormat="1" applyBorder="1" applyProtection="1"/>
    <xf numFmtId="7" fontId="0" fillId="0" borderId="29" xfId="0" applyNumberFormat="1" applyBorder="1" applyProtection="1"/>
    <xf numFmtId="166" fontId="3" fillId="0" borderId="0" xfId="0" applyNumberFormat="1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0" fontId="3" fillId="0" borderId="0" xfId="0" applyFont="1" applyAlignment="1">
      <alignment horizontal="right"/>
    </xf>
    <xf numFmtId="7" fontId="5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7" fontId="0" fillId="0" borderId="0" xfId="0" applyNumberFormat="1" applyProtection="1"/>
    <xf numFmtId="166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4" xfId="0" applyBorder="1" applyAlignment="1">
      <alignment horizontal="left"/>
    </xf>
    <xf numFmtId="0" fontId="3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166" fontId="0" fillId="0" borderId="0" xfId="0" applyNumberFormat="1" applyAlignment="1">
      <alignment horizontal="right"/>
    </xf>
    <xf numFmtId="7" fontId="3" fillId="0" borderId="0" xfId="0" applyNumberFormat="1" applyFont="1"/>
    <xf numFmtId="2" fontId="0" fillId="0" borderId="0" xfId="0" applyNumberFormat="1"/>
    <xf numFmtId="14" fontId="0" fillId="0" borderId="0" xfId="0" applyNumberFormat="1"/>
    <xf numFmtId="7" fontId="0" fillId="0" borderId="0" xfId="0" applyNumberFormat="1" applyFill="1" applyProtection="1"/>
    <xf numFmtId="166" fontId="0" fillId="0" borderId="0" xfId="0" applyNumberFormat="1" applyFill="1" applyAlignment="1">
      <alignment horizontal="right"/>
    </xf>
    <xf numFmtId="0" fontId="0" fillId="0" borderId="0" xfId="0" applyFill="1"/>
    <xf numFmtId="5" fontId="6" fillId="0" borderId="0" xfId="0" applyNumberFormat="1" applyFont="1" applyProtection="1"/>
    <xf numFmtId="5" fontId="3" fillId="0" borderId="13" xfId="0" applyNumberFormat="1" applyFont="1" applyBorder="1" applyProtection="1"/>
    <xf numFmtId="0" fontId="3" fillId="0" borderId="6" xfId="0" applyFont="1" applyBorder="1" applyAlignment="1">
      <alignment horizontal="right"/>
    </xf>
    <xf numFmtId="7" fontId="3" fillId="0" borderId="7" xfId="0" applyNumberFormat="1" applyFont="1" applyBorder="1" applyProtection="1"/>
    <xf numFmtId="5" fontId="3" fillId="0" borderId="7" xfId="0" applyNumberFormat="1" applyFont="1" applyBorder="1" applyProtection="1"/>
    <xf numFmtId="9" fontId="3" fillId="0" borderId="7" xfId="0" applyNumberFormat="1" applyFont="1" applyBorder="1" applyProtection="1"/>
    <xf numFmtId="166" fontId="1" fillId="0" borderId="0" xfId="1" applyNumberFormat="1" applyAlignment="1">
      <alignment horizontal="center"/>
    </xf>
    <xf numFmtId="0" fontId="1" fillId="0" borderId="0" xfId="1" applyFont="1"/>
    <xf numFmtId="7" fontId="0" fillId="0" borderId="13" xfId="0" applyNumberFormat="1" applyBorder="1" applyProtection="1"/>
    <xf numFmtId="0" fontId="0" fillId="2" borderId="31" xfId="0" applyFill="1" applyBorder="1"/>
    <xf numFmtId="0" fontId="0" fillId="2" borderId="24" xfId="0" applyFill="1" applyBorder="1"/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5" fontId="0" fillId="2" borderId="24" xfId="0" applyNumberFormat="1" applyFill="1" applyBorder="1" applyProtection="1"/>
    <xf numFmtId="5" fontId="0" fillId="2" borderId="25" xfId="0" applyNumberFormat="1" applyFill="1" applyBorder="1" applyProtection="1"/>
    <xf numFmtId="5" fontId="3" fillId="3" borderId="25" xfId="0" applyNumberFormat="1" applyFont="1" applyFill="1" applyBorder="1" applyProtection="1"/>
    <xf numFmtId="5" fontId="0" fillId="2" borderId="32" xfId="0" applyNumberFormat="1" applyFill="1" applyBorder="1" applyProtection="1"/>
  </cellXfs>
  <cellStyles count="2">
    <cellStyle name="Normal" xfId="0" builtinId="0"/>
    <cellStyle name="Normal_2004-expend-sum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F75"/>
  <sheetViews>
    <sheetView tabSelected="1" defaultGridColor="0" topLeftCell="W9" colorId="22" zoomScale="87" zoomScaleNormal="87" workbookViewId="0">
      <selection activeCell="AG40" sqref="AG40"/>
    </sheetView>
  </sheetViews>
  <sheetFormatPr defaultColWidth="11.453125" defaultRowHeight="15" x14ac:dyDescent="0.25"/>
  <cols>
    <col min="1" max="1" width="50.81640625" customWidth="1"/>
    <col min="2" max="3" width="1.81640625" customWidth="1"/>
    <col min="4" max="4" width="27.81640625" customWidth="1"/>
    <col min="5" max="5" width="1.81640625" customWidth="1"/>
    <col min="6" max="21" width="11.453125" hidden="1" customWidth="1"/>
    <col min="22" max="25" width="13.81640625" customWidth="1"/>
    <col min="26" max="26" width="11.453125" customWidth="1"/>
    <col min="27" max="27" width="11.81640625" customWidth="1"/>
    <col min="28" max="28" width="12.81640625" customWidth="1"/>
    <col min="29" max="29" width="11.6328125" customWidth="1"/>
    <col min="30" max="31" width="1.81640625" customWidth="1"/>
  </cols>
  <sheetData>
    <row r="1" spans="1:32" x14ac:dyDescent="0.25">
      <c r="A1" s="1" t="s">
        <v>0</v>
      </c>
      <c r="B1" s="1" t="s">
        <v>1</v>
      </c>
    </row>
    <row r="2" spans="1:32" x14ac:dyDescent="0.25">
      <c r="A2" s="2">
        <f ca="1">NOW()</f>
        <v>45325.592062384261</v>
      </c>
      <c r="B2" s="1" t="s">
        <v>1</v>
      </c>
    </row>
    <row r="3" spans="1:32" x14ac:dyDescent="0.25">
      <c r="A3" s="1"/>
      <c r="B3" s="1" t="s">
        <v>1</v>
      </c>
    </row>
    <row r="4" spans="1:32" x14ac:dyDescent="0.25">
      <c r="A4" s="1" t="s">
        <v>2</v>
      </c>
      <c r="B4" s="1" t="s">
        <v>1</v>
      </c>
    </row>
    <row r="5" spans="1:32" x14ac:dyDescent="0.25">
      <c r="A5" s="1"/>
      <c r="B5" s="1" t="s">
        <v>1</v>
      </c>
    </row>
    <row r="6" spans="1:32" x14ac:dyDescent="0.25">
      <c r="A6" s="1"/>
      <c r="B6" s="1" t="s">
        <v>1</v>
      </c>
    </row>
    <row r="7" spans="1:32" x14ac:dyDescent="0.25">
      <c r="A7" s="1"/>
      <c r="B7" s="1" t="s">
        <v>1</v>
      </c>
    </row>
    <row r="8" spans="1:32" x14ac:dyDescent="0.25">
      <c r="A8" s="1"/>
      <c r="B8" s="1" t="s">
        <v>1</v>
      </c>
    </row>
    <row r="9" spans="1:32" x14ac:dyDescent="0.25">
      <c r="A9" s="3" t="s">
        <v>3</v>
      </c>
      <c r="B9" s="1" t="s">
        <v>1</v>
      </c>
    </row>
    <row r="10" spans="1:32" x14ac:dyDescent="0.25">
      <c r="D10" s="4"/>
      <c r="E10" s="55" t="s">
        <v>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55" t="s">
        <v>98</v>
      </c>
      <c r="AB10" s="4"/>
      <c r="AC10" s="4"/>
      <c r="AD10" s="4"/>
    </row>
    <row r="11" spans="1:32" x14ac:dyDescent="0.25">
      <c r="D11" s="5" t="s">
        <v>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28"/>
      <c r="X11" s="6"/>
      <c r="Y11" s="42"/>
      <c r="Z11" s="101"/>
      <c r="AA11" s="6"/>
      <c r="AB11" s="7">
        <f ca="1">NOW()</f>
        <v>45325.592062384261</v>
      </c>
      <c r="AC11" s="6"/>
      <c r="AD11" s="8"/>
    </row>
    <row r="12" spans="1:32" x14ac:dyDescent="0.25">
      <c r="D12" s="9"/>
      <c r="W12" s="29"/>
      <c r="X12" s="35" t="s">
        <v>65</v>
      </c>
      <c r="Y12" s="44" t="s">
        <v>64</v>
      </c>
      <c r="Z12" s="102"/>
      <c r="AD12" s="10"/>
    </row>
    <row r="13" spans="1:32" x14ac:dyDescent="0.25">
      <c r="D13" s="9"/>
      <c r="E13" s="55"/>
      <c r="V13" s="12"/>
      <c r="W13" s="30" t="s">
        <v>6</v>
      </c>
      <c r="X13" s="35" t="s">
        <v>60</v>
      </c>
      <c r="Y13" s="44" t="s">
        <v>60</v>
      </c>
      <c r="Z13" s="103">
        <v>2004</v>
      </c>
      <c r="AA13" s="12">
        <v>2004</v>
      </c>
      <c r="AB13" s="12" t="s">
        <v>7</v>
      </c>
      <c r="AC13" s="12" t="s">
        <v>8</v>
      </c>
      <c r="AD13" s="10"/>
      <c r="AF13" t="s">
        <v>100</v>
      </c>
    </row>
    <row r="14" spans="1:32" x14ac:dyDescent="0.25">
      <c r="D14" s="13" t="s">
        <v>9</v>
      </c>
      <c r="E14" s="14"/>
      <c r="F14" s="15" t="s">
        <v>10</v>
      </c>
      <c r="G14" s="15" t="s">
        <v>11</v>
      </c>
      <c r="H14" s="15" t="s">
        <v>12</v>
      </c>
      <c r="I14" s="15" t="s">
        <v>13</v>
      </c>
      <c r="J14" s="15" t="s">
        <v>14</v>
      </c>
      <c r="K14" s="15" t="s">
        <v>15</v>
      </c>
      <c r="L14" s="15" t="s">
        <v>16</v>
      </c>
      <c r="M14" s="15" t="s">
        <v>17</v>
      </c>
      <c r="N14" s="15" t="s">
        <v>18</v>
      </c>
      <c r="O14" s="15" t="s">
        <v>19</v>
      </c>
      <c r="P14" s="15">
        <v>1997</v>
      </c>
      <c r="Q14" s="15">
        <v>1998</v>
      </c>
      <c r="R14" s="15">
        <v>1999</v>
      </c>
      <c r="S14" s="15">
        <v>2000</v>
      </c>
      <c r="T14" s="15">
        <v>2001</v>
      </c>
      <c r="U14" s="15">
        <v>2002</v>
      </c>
      <c r="V14" s="15" t="s">
        <v>84</v>
      </c>
      <c r="W14" s="31" t="s">
        <v>77</v>
      </c>
      <c r="X14" s="39" t="s">
        <v>77</v>
      </c>
      <c r="Y14" s="45" t="s">
        <v>78</v>
      </c>
      <c r="Z14" s="104" t="s">
        <v>20</v>
      </c>
      <c r="AA14" s="15" t="s">
        <v>21</v>
      </c>
      <c r="AB14" s="14"/>
      <c r="AC14" s="14"/>
      <c r="AD14" s="16"/>
      <c r="AF14" t="s">
        <v>101</v>
      </c>
    </row>
    <row r="15" spans="1:32" x14ac:dyDescent="0.25">
      <c r="D15" s="9"/>
      <c r="S15" s="56"/>
      <c r="T15" s="56"/>
      <c r="U15" s="42"/>
      <c r="V15" s="42"/>
      <c r="W15" s="29"/>
      <c r="X15" s="34"/>
      <c r="Y15" s="43"/>
      <c r="Z15" s="102"/>
      <c r="AD15" s="10"/>
    </row>
    <row r="16" spans="1:32" x14ac:dyDescent="0.25">
      <c r="D16" s="9" t="s">
        <v>22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57"/>
      <c r="T16" s="57"/>
      <c r="U16" s="46"/>
      <c r="V16" s="46"/>
      <c r="W16" s="32"/>
      <c r="X16" s="36"/>
      <c r="Y16" s="46"/>
      <c r="Z16" s="105"/>
      <c r="AA16" s="17"/>
      <c r="AB16" s="17"/>
      <c r="AD16" s="10"/>
    </row>
    <row r="17" spans="4:32" x14ac:dyDescent="0.25">
      <c r="D17" s="9" t="s">
        <v>95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57">
        <v>0</v>
      </c>
      <c r="T17" s="57">
        <v>0</v>
      </c>
      <c r="U17" s="46">
        <v>0</v>
      </c>
      <c r="V17" s="78">
        <v>0</v>
      </c>
      <c r="W17" s="32">
        <f t="shared" ref="W17:W24" si="0">SUM(F17:V17)</f>
        <v>0</v>
      </c>
      <c r="X17" s="51">
        <f>W17/(2003-1987)</f>
        <v>0</v>
      </c>
      <c r="Y17" s="47">
        <f>SUM(R17:V17)/5</f>
        <v>0</v>
      </c>
      <c r="Z17" s="105">
        <v>50</v>
      </c>
      <c r="AA17" s="78">
        <v>50</v>
      </c>
      <c r="AB17" s="17">
        <f>AA17-Z17</f>
        <v>0</v>
      </c>
      <c r="AC17" s="18">
        <f>AA17/Z17</f>
        <v>1</v>
      </c>
      <c r="AD17" s="10"/>
      <c r="AF17" t="s">
        <v>112</v>
      </c>
    </row>
    <row r="18" spans="4:32" x14ac:dyDescent="0.25">
      <c r="D18" s="9" t="s">
        <v>96</v>
      </c>
      <c r="F18" s="17">
        <v>1340</v>
      </c>
      <c r="G18" s="17">
        <v>1510</v>
      </c>
      <c r="H18" s="17">
        <v>1347.5</v>
      </c>
      <c r="I18" s="17">
        <v>1652.5</v>
      </c>
      <c r="J18" s="17">
        <v>1865</v>
      </c>
      <c r="K18" s="17">
        <v>1955</v>
      </c>
      <c r="L18" s="17">
        <v>1580</v>
      </c>
      <c r="M18" s="17">
        <f>250+300+130+60+290+260+180+40</f>
        <v>1510</v>
      </c>
      <c r="N18" s="17">
        <v>1315</v>
      </c>
      <c r="O18" s="17">
        <v>2005</v>
      </c>
      <c r="P18" s="17">
        <v>1465</v>
      </c>
      <c r="Q18" s="17">
        <v>1915</v>
      </c>
      <c r="R18" s="17">
        <v>970</v>
      </c>
      <c r="S18" s="57">
        <v>2010</v>
      </c>
      <c r="T18" s="57">
        <v>1470</v>
      </c>
      <c r="U18" s="46">
        <v>1605</v>
      </c>
      <c r="V18" s="78">
        <v>1306</v>
      </c>
      <c r="W18" s="32">
        <f t="shared" si="0"/>
        <v>26821</v>
      </c>
      <c r="X18" s="51">
        <f>W18/(2003-1987)</f>
        <v>1676.3125</v>
      </c>
      <c r="Y18" s="47">
        <f>SUM(R18:V18)/5</f>
        <v>1472.2</v>
      </c>
      <c r="Z18" s="105">
        <v>1300</v>
      </c>
      <c r="AA18" s="78">
        <v>670</v>
      </c>
      <c r="AB18" s="17">
        <f t="shared" ref="AB18:AB24" si="1">AA18-Z18</f>
        <v>-630</v>
      </c>
      <c r="AC18" s="18">
        <f>AA18/Z18</f>
        <v>0.51538461538461533</v>
      </c>
      <c r="AD18" s="10"/>
      <c r="AF18" t="s">
        <v>102</v>
      </c>
    </row>
    <row r="19" spans="4:32" x14ac:dyDescent="0.25">
      <c r="D19" s="9" t="s">
        <v>97</v>
      </c>
      <c r="F19" s="17">
        <v>0</v>
      </c>
      <c r="G19" s="17">
        <v>470.6</v>
      </c>
      <c r="H19" s="17">
        <v>485</v>
      </c>
      <c r="I19" s="17">
        <v>777.5</v>
      </c>
      <c r="J19" s="17">
        <v>762.5</v>
      </c>
      <c r="K19" s="17">
        <v>695</v>
      </c>
      <c r="L19" s="17">
        <v>815</v>
      </c>
      <c r="M19" s="17">
        <f>240+115+40+105+155+170+25+17.5</f>
        <v>867.5</v>
      </c>
      <c r="N19" s="17">
        <v>885</v>
      </c>
      <c r="O19" s="17">
        <v>1125</v>
      </c>
      <c r="P19" s="17">
        <v>1180</v>
      </c>
      <c r="Q19" s="17">
        <v>1318</v>
      </c>
      <c r="R19" s="17">
        <v>3178</v>
      </c>
      <c r="S19" s="57">
        <v>2180</v>
      </c>
      <c r="T19" s="57">
        <v>9750.9599999999991</v>
      </c>
      <c r="U19" s="46">
        <v>4313.28</v>
      </c>
      <c r="V19" s="78">
        <v>9501.92</v>
      </c>
      <c r="W19" s="32">
        <f t="shared" si="0"/>
        <v>38305.259999999995</v>
      </c>
      <c r="X19" s="51">
        <f t="shared" ref="X19:X24" si="2">W19/(2003-1987)</f>
        <v>2394.0787499999997</v>
      </c>
      <c r="Y19" s="47">
        <f t="shared" ref="Y19:Y24" si="3">SUM(R19:V19)/5</f>
        <v>5784.8319999999994</v>
      </c>
      <c r="Z19" s="105">
        <v>3000</v>
      </c>
      <c r="AA19" s="78">
        <v>1448.68</v>
      </c>
      <c r="AB19" s="17">
        <f t="shared" si="1"/>
        <v>-1551.32</v>
      </c>
      <c r="AC19" s="18">
        <f>AA19/Z19</f>
        <v>0.48289333333333334</v>
      </c>
      <c r="AD19" s="10"/>
      <c r="AF19" t="s">
        <v>116</v>
      </c>
    </row>
    <row r="20" spans="4:32" x14ac:dyDescent="0.25">
      <c r="D20" s="9" t="s">
        <v>23</v>
      </c>
      <c r="F20" s="17">
        <v>29</v>
      </c>
      <c r="G20" s="17">
        <f>90.87+14.31</f>
        <v>105.18</v>
      </c>
      <c r="H20" s="17">
        <f>126.56+141.38</f>
        <v>267.94</v>
      </c>
      <c r="I20" s="17">
        <f>159.87+4.45+117.16</f>
        <v>281.48</v>
      </c>
      <c r="J20" s="17">
        <f>150.43+122.2+25.78</f>
        <v>298.40999999999997</v>
      </c>
      <c r="K20" s="17">
        <f>80.26+27.25</f>
        <v>107.51</v>
      </c>
      <c r="L20" s="17">
        <f>47.92+24.57</f>
        <v>72.490000000000009</v>
      </c>
      <c r="M20" s="17">
        <v>70.790000000000006</v>
      </c>
      <c r="N20" s="17">
        <f>37.49+12.43</f>
        <v>49.92</v>
      </c>
      <c r="O20" s="17">
        <v>46.3</v>
      </c>
      <c r="P20" s="17">
        <v>32</v>
      </c>
      <c r="Q20" s="17">
        <v>62</v>
      </c>
      <c r="R20" s="17">
        <v>55</v>
      </c>
      <c r="S20" s="57">
        <v>27</v>
      </c>
      <c r="T20" s="57">
        <v>17.39</v>
      </c>
      <c r="U20" s="46">
        <v>7.2</v>
      </c>
      <c r="V20" s="78">
        <f>3.02+0.83+1.45+1.36+1.19+1.03+0.8+0.8+0.03</f>
        <v>10.51</v>
      </c>
      <c r="W20" s="32">
        <f t="shared" si="0"/>
        <v>1540.1200000000001</v>
      </c>
      <c r="X20" s="51">
        <f t="shared" si="2"/>
        <v>96.257500000000007</v>
      </c>
      <c r="Y20" s="47">
        <f t="shared" si="3"/>
        <v>23.42</v>
      </c>
      <c r="Z20" s="105">
        <v>10</v>
      </c>
      <c r="AA20" s="78">
        <f>0.43+0.91+0.71</f>
        <v>2.0499999999999998</v>
      </c>
      <c r="AB20" s="17">
        <f t="shared" si="1"/>
        <v>-7.95</v>
      </c>
      <c r="AC20" s="18">
        <f>AA20/Z20</f>
        <v>0.20499999999999999</v>
      </c>
      <c r="AD20" s="10"/>
      <c r="AF20" t="s">
        <v>102</v>
      </c>
    </row>
    <row r="21" spans="4:32" x14ac:dyDescent="0.25">
      <c r="D21" s="9" t="s">
        <v>24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227.5</v>
      </c>
      <c r="N21" s="17">
        <f>263.5-16</f>
        <v>247.5</v>
      </c>
      <c r="O21" s="17">
        <v>315</v>
      </c>
      <c r="P21" s="17">
        <v>303</v>
      </c>
      <c r="Q21" s="17">
        <v>573</v>
      </c>
      <c r="R21" s="17">
        <v>70</v>
      </c>
      <c r="S21" s="57">
        <v>700</v>
      </c>
      <c r="T21" s="57">
        <v>507.5</v>
      </c>
      <c r="U21" s="46">
        <v>465</v>
      </c>
      <c r="V21" s="78">
        <v>490</v>
      </c>
      <c r="W21" s="32">
        <f t="shared" si="0"/>
        <v>3898.5</v>
      </c>
      <c r="X21" s="51">
        <f t="shared" si="2"/>
        <v>243.65625</v>
      </c>
      <c r="Y21" s="47">
        <f t="shared" si="3"/>
        <v>446.5</v>
      </c>
      <c r="Z21" s="105">
        <v>450</v>
      </c>
      <c r="AA21" s="78">
        <v>210</v>
      </c>
      <c r="AB21" s="17">
        <f t="shared" si="1"/>
        <v>-240</v>
      </c>
      <c r="AC21" s="18">
        <f>AA21/Z21</f>
        <v>0.46666666666666667</v>
      </c>
      <c r="AD21" s="10"/>
      <c r="AF21" t="s">
        <v>105</v>
      </c>
    </row>
    <row r="22" spans="4:32" x14ac:dyDescent="0.25">
      <c r="D22" s="9" t="s">
        <v>25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16</v>
      </c>
      <c r="O22" s="17">
        <v>0</v>
      </c>
      <c r="P22" s="17">
        <v>0</v>
      </c>
      <c r="Q22" s="17">
        <v>4615</v>
      </c>
      <c r="R22" s="17">
        <v>0</v>
      </c>
      <c r="S22" s="57">
        <v>0</v>
      </c>
      <c r="T22" s="57">
        <v>0</v>
      </c>
      <c r="U22" s="46">
        <v>0</v>
      </c>
      <c r="V22" s="89">
        <v>0.57999999999999996</v>
      </c>
      <c r="W22" s="32">
        <f t="shared" si="0"/>
        <v>4631.58</v>
      </c>
      <c r="X22" s="51">
        <f t="shared" si="2"/>
        <v>289.47375</v>
      </c>
      <c r="Y22" s="47">
        <f t="shared" si="3"/>
        <v>0.11599999999999999</v>
      </c>
      <c r="Z22" s="105">
        <v>0</v>
      </c>
      <c r="AA22" s="89">
        <v>0</v>
      </c>
      <c r="AB22" s="17">
        <f t="shared" si="1"/>
        <v>0</v>
      </c>
      <c r="AC22" s="18"/>
      <c r="AD22" s="10"/>
      <c r="AF22" s="91"/>
    </row>
    <row r="23" spans="4:32" x14ac:dyDescent="0.25">
      <c r="D23" s="9" t="s">
        <v>26</v>
      </c>
      <c r="F23" s="17">
        <v>0</v>
      </c>
      <c r="G23" s="17">
        <v>0</v>
      </c>
      <c r="H23" s="17">
        <v>660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57">
        <v>0</v>
      </c>
      <c r="T23" s="57">
        <v>0</v>
      </c>
      <c r="U23" s="46">
        <v>0</v>
      </c>
      <c r="V23" s="17">
        <v>0</v>
      </c>
      <c r="W23" s="32">
        <f t="shared" si="0"/>
        <v>660</v>
      </c>
      <c r="X23" s="51">
        <f t="shared" si="2"/>
        <v>41.25</v>
      </c>
      <c r="Y23" s="47">
        <f t="shared" si="3"/>
        <v>0</v>
      </c>
      <c r="Z23" s="105">
        <v>0</v>
      </c>
      <c r="AA23" s="17">
        <v>0</v>
      </c>
      <c r="AB23" s="17">
        <f t="shared" si="1"/>
        <v>0</v>
      </c>
      <c r="AC23" s="18"/>
      <c r="AD23" s="10"/>
      <c r="AF23" s="91"/>
    </row>
    <row r="24" spans="4:32" x14ac:dyDescent="0.25">
      <c r="D24" s="9" t="s">
        <v>27</v>
      </c>
      <c r="F24" s="17">
        <v>0</v>
      </c>
      <c r="G24" s="17">
        <v>2500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57">
        <v>0</v>
      </c>
      <c r="T24" s="57">
        <v>0</v>
      </c>
      <c r="U24" s="46">
        <v>0</v>
      </c>
      <c r="V24" s="17">
        <v>0</v>
      </c>
      <c r="W24" s="32">
        <f t="shared" si="0"/>
        <v>2500</v>
      </c>
      <c r="X24" s="51">
        <f t="shared" si="2"/>
        <v>156.25</v>
      </c>
      <c r="Y24" s="47">
        <f t="shared" si="3"/>
        <v>0</v>
      </c>
      <c r="Z24" s="105">
        <v>0</v>
      </c>
      <c r="AA24" s="17">
        <v>0</v>
      </c>
      <c r="AB24" s="17">
        <f t="shared" si="1"/>
        <v>0</v>
      </c>
      <c r="AC24" s="18"/>
      <c r="AD24" s="10"/>
    </row>
    <row r="25" spans="4:32" x14ac:dyDescent="0.25">
      <c r="D25" s="9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57"/>
      <c r="T25" s="57"/>
      <c r="U25" s="46"/>
      <c r="V25" s="17"/>
      <c r="W25" s="32"/>
      <c r="X25" s="51"/>
      <c r="Y25" s="47"/>
      <c r="Z25" s="105"/>
      <c r="AA25" s="17"/>
      <c r="AB25" s="17"/>
      <c r="AC25" s="18"/>
      <c r="AD25" s="10"/>
    </row>
    <row r="26" spans="4:32" x14ac:dyDescent="0.25">
      <c r="D26" s="19" t="s">
        <v>28</v>
      </c>
      <c r="E26" s="14"/>
      <c r="F26" s="20">
        <f>SUM(F17:F24)</f>
        <v>1369</v>
      </c>
      <c r="G26" s="20">
        <f t="shared" ref="G26:V26" si="4">SUM(G17:G24)</f>
        <v>4585.78</v>
      </c>
      <c r="H26" s="20">
        <f t="shared" si="4"/>
        <v>2760.44</v>
      </c>
      <c r="I26" s="20">
        <f t="shared" si="4"/>
        <v>2711.48</v>
      </c>
      <c r="J26" s="20">
        <f t="shared" si="4"/>
        <v>2925.91</v>
      </c>
      <c r="K26" s="20">
        <f t="shared" si="4"/>
        <v>2757.51</v>
      </c>
      <c r="L26" s="20">
        <f t="shared" si="4"/>
        <v>2467.4899999999998</v>
      </c>
      <c r="M26" s="20">
        <f t="shared" si="4"/>
        <v>2675.79</v>
      </c>
      <c r="N26" s="20">
        <f t="shared" si="4"/>
        <v>2513.42</v>
      </c>
      <c r="O26" s="20">
        <f t="shared" si="4"/>
        <v>3491.3</v>
      </c>
      <c r="P26" s="20">
        <f t="shared" si="4"/>
        <v>2980</v>
      </c>
      <c r="Q26" s="20">
        <f t="shared" si="4"/>
        <v>8483</v>
      </c>
      <c r="R26" s="20">
        <f t="shared" si="4"/>
        <v>4273</v>
      </c>
      <c r="S26" s="20">
        <f t="shared" si="4"/>
        <v>4917</v>
      </c>
      <c r="T26" s="20">
        <f t="shared" si="4"/>
        <v>11745.849999999999</v>
      </c>
      <c r="U26" s="20">
        <f t="shared" si="4"/>
        <v>6390.48</v>
      </c>
      <c r="V26" s="20">
        <f t="shared" si="4"/>
        <v>11309.01</v>
      </c>
      <c r="W26" s="69">
        <f>SUM(F26:V26)</f>
        <v>78356.459999999992</v>
      </c>
      <c r="X26" s="52">
        <f>W26/(2003-1987)</f>
        <v>4897.2787499999995</v>
      </c>
      <c r="Y26" s="48">
        <f>SUM(R26:V26)/5</f>
        <v>7727.0679999999993</v>
      </c>
      <c r="Z26" s="106">
        <f>SUM(Z17:Z24)</f>
        <v>4810</v>
      </c>
      <c r="AA26" s="66">
        <f>SUM(AA17:AA24)</f>
        <v>2380.7300000000005</v>
      </c>
      <c r="AB26" s="20">
        <f>SUM(AB17:AB24)</f>
        <v>-2429.2699999999995</v>
      </c>
      <c r="AC26" s="21">
        <f>AA26/Z26</f>
        <v>0.49495426195426206</v>
      </c>
      <c r="AD26" s="16"/>
    </row>
    <row r="27" spans="4:32" x14ac:dyDescent="0.25">
      <c r="D27" s="9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57"/>
      <c r="T27" s="57"/>
      <c r="U27" s="46"/>
      <c r="V27" s="46"/>
      <c r="W27" s="32"/>
      <c r="X27" s="40"/>
      <c r="Y27" s="46"/>
      <c r="Z27" s="105"/>
      <c r="AA27" s="17"/>
      <c r="AB27" s="17"/>
      <c r="AC27" s="18"/>
      <c r="AD27" s="10"/>
    </row>
    <row r="28" spans="4:32" x14ac:dyDescent="0.25">
      <c r="D28" s="9" t="s">
        <v>29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57"/>
      <c r="T28" s="57"/>
      <c r="U28" s="46"/>
      <c r="V28" s="46"/>
      <c r="W28" s="32"/>
      <c r="X28" s="36"/>
      <c r="Y28" s="46"/>
      <c r="Z28" s="105"/>
      <c r="AA28" s="17"/>
      <c r="AB28" s="17"/>
      <c r="AC28" s="18"/>
      <c r="AD28" s="10"/>
    </row>
    <row r="29" spans="4:32" x14ac:dyDescent="0.25">
      <c r="D29" s="9" t="s">
        <v>30</v>
      </c>
      <c r="F29" s="17">
        <v>0</v>
      </c>
      <c r="G29" s="17">
        <v>0</v>
      </c>
      <c r="H29" s="17">
        <f>2.69+9.19</f>
        <v>11.879999999999999</v>
      </c>
      <c r="I29" s="17">
        <v>68.72</v>
      </c>
      <c r="J29" s="17">
        <v>62.42</v>
      </c>
      <c r="K29" s="17">
        <v>155.01</v>
      </c>
      <c r="L29" s="17">
        <v>249.89</v>
      </c>
      <c r="M29" s="17">
        <v>554.01</v>
      </c>
      <c r="N29" s="17">
        <v>210</v>
      </c>
      <c r="O29" s="17">
        <v>692.79</v>
      </c>
      <c r="P29" s="17">
        <v>352</v>
      </c>
      <c r="Q29" s="17">
        <v>620</v>
      </c>
      <c r="R29" s="17">
        <v>0</v>
      </c>
      <c r="S29" s="57">
        <v>1052</v>
      </c>
      <c r="T29" s="57">
        <v>620.29999999999995</v>
      </c>
      <c r="U29" s="46">
        <v>414</v>
      </c>
      <c r="V29" s="47">
        <v>377.56</v>
      </c>
      <c r="W29" s="32">
        <f t="shared" ref="W29:W44" si="5">SUM(F29:V29)</f>
        <v>5440.58</v>
      </c>
      <c r="X29" s="51">
        <f>W29/(2003-1987)</f>
        <v>340.03625</v>
      </c>
      <c r="Y29" s="47">
        <f>SUM(R29:V29)/5</f>
        <v>492.77200000000005</v>
      </c>
      <c r="Z29" s="105">
        <v>500</v>
      </c>
      <c r="AA29" s="78">
        <f>'2004-expend-sum'!A4</f>
        <v>0</v>
      </c>
      <c r="AB29" s="17">
        <f t="shared" ref="AB29:AB44" si="6">AA29-Z29</f>
        <v>-500</v>
      </c>
      <c r="AC29" s="18">
        <f>AA29/Z29</f>
        <v>0</v>
      </c>
      <c r="AD29" s="10"/>
      <c r="AF29" t="s">
        <v>103</v>
      </c>
    </row>
    <row r="30" spans="4:32" x14ac:dyDescent="0.25">
      <c r="D30" s="9" t="s">
        <v>31</v>
      </c>
      <c r="F30" s="17">
        <v>78.78</v>
      </c>
      <c r="G30" s="17">
        <v>0</v>
      </c>
      <c r="H30" s="17">
        <v>119.04</v>
      </c>
      <c r="I30" s="17">
        <v>231.13</v>
      </c>
      <c r="J30" s="17">
        <v>235.43</v>
      </c>
      <c r="K30" s="17">
        <v>0</v>
      </c>
      <c r="L30" s="17">
        <v>3.69</v>
      </c>
      <c r="M30" s="17">
        <v>92.47</v>
      </c>
      <c r="N30" s="17">
        <v>0</v>
      </c>
      <c r="O30" s="17">
        <v>116.33</v>
      </c>
      <c r="P30" s="17">
        <v>0</v>
      </c>
      <c r="Q30" s="17">
        <v>0</v>
      </c>
      <c r="R30" s="17">
        <v>0</v>
      </c>
      <c r="S30" s="57">
        <v>0</v>
      </c>
      <c r="T30" s="57">
        <v>0</v>
      </c>
      <c r="U30" s="46">
        <v>0</v>
      </c>
      <c r="V30" s="47">
        <v>8.9700000000000006</v>
      </c>
      <c r="W30" s="32">
        <f t="shared" si="5"/>
        <v>885.84000000000015</v>
      </c>
      <c r="X30" s="51">
        <f t="shared" ref="X30:X44" si="7">W30/(2003-1987)</f>
        <v>55.365000000000009</v>
      </c>
      <c r="Y30" s="47">
        <f t="shared" ref="Y30:Y44" si="8">SUM(R30:V30)/5</f>
        <v>1.794</v>
      </c>
      <c r="Z30" s="105">
        <v>0</v>
      </c>
      <c r="AA30" s="78">
        <f>'2004-expend-sum'!C4</f>
        <v>0</v>
      </c>
      <c r="AB30" s="17">
        <f t="shared" si="6"/>
        <v>0</v>
      </c>
      <c r="AC30" s="18"/>
      <c r="AD30" s="10"/>
    </row>
    <row r="31" spans="4:32" x14ac:dyDescent="0.25">
      <c r="D31" s="9" t="s">
        <v>32</v>
      </c>
      <c r="F31" s="17">
        <v>0</v>
      </c>
      <c r="G31" s="17">
        <v>0</v>
      </c>
      <c r="H31" s="17">
        <v>653.75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57">
        <v>0</v>
      </c>
      <c r="T31" s="57">
        <v>0</v>
      </c>
      <c r="U31" s="46">
        <v>0</v>
      </c>
      <c r="V31" s="47">
        <v>0</v>
      </c>
      <c r="W31" s="32">
        <f t="shared" si="5"/>
        <v>653.75</v>
      </c>
      <c r="X31" s="51">
        <f t="shared" si="7"/>
        <v>40.859375</v>
      </c>
      <c r="Y31" s="47">
        <f t="shared" si="8"/>
        <v>0</v>
      </c>
      <c r="Z31" s="105">
        <v>0</v>
      </c>
      <c r="AA31" s="17">
        <f>'2004-expend-sum'!E4</f>
        <v>0</v>
      </c>
      <c r="AB31" s="17">
        <f t="shared" si="6"/>
        <v>0</v>
      </c>
      <c r="AC31" s="18"/>
      <c r="AD31" s="10"/>
    </row>
    <row r="32" spans="4:32" x14ac:dyDescent="0.25">
      <c r="D32" s="9" t="s">
        <v>33</v>
      </c>
      <c r="F32" s="17">
        <v>0</v>
      </c>
      <c r="G32" s="17">
        <v>0</v>
      </c>
      <c r="H32" s="17">
        <v>0</v>
      </c>
      <c r="I32" s="17">
        <v>100</v>
      </c>
      <c r="J32" s="17">
        <v>100</v>
      </c>
      <c r="K32" s="17">
        <v>150</v>
      </c>
      <c r="L32" s="17">
        <v>220.85</v>
      </c>
      <c r="M32" s="17">
        <f>100+100</f>
        <v>200</v>
      </c>
      <c r="N32" s="17">
        <v>321.5</v>
      </c>
      <c r="O32" s="17">
        <v>219</v>
      </c>
      <c r="P32" s="17">
        <v>200</v>
      </c>
      <c r="Q32" s="17">
        <v>100</v>
      </c>
      <c r="R32" s="17">
        <v>0</v>
      </c>
      <c r="S32" s="57">
        <v>100</v>
      </c>
      <c r="T32" s="57">
        <v>0</v>
      </c>
      <c r="U32" s="46">
        <v>0</v>
      </c>
      <c r="V32" s="47">
        <v>0</v>
      </c>
      <c r="W32" s="32">
        <f t="shared" si="5"/>
        <v>1711.35</v>
      </c>
      <c r="X32" s="51">
        <f t="shared" si="7"/>
        <v>106.95937499999999</v>
      </c>
      <c r="Y32" s="47">
        <f t="shared" si="8"/>
        <v>20</v>
      </c>
      <c r="Z32" s="105">
        <v>20</v>
      </c>
      <c r="AA32" s="17">
        <f>'2004-expend-sum'!G4</f>
        <v>0</v>
      </c>
      <c r="AB32" s="17">
        <f t="shared" si="6"/>
        <v>-20</v>
      </c>
      <c r="AC32" s="18">
        <f>AA32/Z32</f>
        <v>0</v>
      </c>
      <c r="AD32" s="10"/>
      <c r="AF32" t="s">
        <v>103</v>
      </c>
    </row>
    <row r="33" spans="4:32" x14ac:dyDescent="0.25">
      <c r="D33" s="9" t="s">
        <v>34</v>
      </c>
      <c r="F33" s="17">
        <f>9+17-10</f>
        <v>16</v>
      </c>
      <c r="G33" s="17">
        <f>202+10</f>
        <v>212</v>
      </c>
      <c r="H33" s="17">
        <v>45</v>
      </c>
      <c r="I33" s="17">
        <v>234.86</v>
      </c>
      <c r="J33" s="17">
        <v>-10</v>
      </c>
      <c r="K33" s="17">
        <f>12.75+15</f>
        <v>27.75</v>
      </c>
      <c r="L33" s="17">
        <v>25</v>
      </c>
      <c r="M33" s="17">
        <v>15</v>
      </c>
      <c r="N33" s="17">
        <f>17+6</f>
        <v>23</v>
      </c>
      <c r="O33" s="17">
        <v>120</v>
      </c>
      <c r="P33" s="17">
        <v>5</v>
      </c>
      <c r="Q33" s="17">
        <v>27</v>
      </c>
      <c r="R33" s="17">
        <v>0</v>
      </c>
      <c r="S33" s="57">
        <v>0</v>
      </c>
      <c r="T33" s="57">
        <v>0</v>
      </c>
      <c r="U33" s="46">
        <v>16</v>
      </c>
      <c r="V33" s="47">
        <v>10</v>
      </c>
      <c r="W33" s="32">
        <f t="shared" si="5"/>
        <v>766.61</v>
      </c>
      <c r="X33" s="51">
        <f t="shared" si="7"/>
        <v>47.913125000000001</v>
      </c>
      <c r="Y33" s="47">
        <f t="shared" si="8"/>
        <v>5.2</v>
      </c>
      <c r="Z33" s="105">
        <v>10</v>
      </c>
      <c r="AA33" s="78">
        <f>'2004-expend-sum'!I4</f>
        <v>0</v>
      </c>
      <c r="AB33" s="17">
        <f t="shared" si="6"/>
        <v>-10</v>
      </c>
      <c r="AC33" s="18">
        <f>AA33/Z33</f>
        <v>0</v>
      </c>
      <c r="AD33" s="10"/>
      <c r="AF33" t="s">
        <v>107</v>
      </c>
    </row>
    <row r="34" spans="4:32" x14ac:dyDescent="0.25">
      <c r="D34" s="9" t="s">
        <v>35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227.5</v>
      </c>
      <c r="N34" s="17">
        <v>247.5</v>
      </c>
      <c r="O34" s="17">
        <v>315</v>
      </c>
      <c r="P34" s="17">
        <v>303</v>
      </c>
      <c r="Q34" s="17">
        <v>573</v>
      </c>
      <c r="R34" s="17">
        <v>70</v>
      </c>
      <c r="S34" s="57">
        <v>525</v>
      </c>
      <c r="T34" s="57">
        <v>682.5</v>
      </c>
      <c r="U34" s="46">
        <v>465</v>
      </c>
      <c r="V34" s="47">
        <v>490</v>
      </c>
      <c r="W34" s="32">
        <f t="shared" si="5"/>
        <v>3898.5</v>
      </c>
      <c r="X34" s="51">
        <f t="shared" si="7"/>
        <v>243.65625</v>
      </c>
      <c r="Y34" s="47">
        <f t="shared" si="8"/>
        <v>446.5</v>
      </c>
      <c r="Z34" s="105">
        <v>450</v>
      </c>
      <c r="AA34" s="78">
        <f>'2004-expend-sum'!K4</f>
        <v>210</v>
      </c>
      <c r="AB34" s="17">
        <f t="shared" si="6"/>
        <v>-240</v>
      </c>
      <c r="AC34" s="18">
        <f>AA34/Z34</f>
        <v>0.46666666666666667</v>
      </c>
      <c r="AD34" s="10"/>
      <c r="AF34" t="s">
        <v>105</v>
      </c>
    </row>
    <row r="35" spans="4:32" x14ac:dyDescent="0.25">
      <c r="D35" s="9" t="s">
        <v>36</v>
      </c>
      <c r="F35" s="17">
        <v>0</v>
      </c>
      <c r="G35" s="17">
        <v>0</v>
      </c>
      <c r="H35" s="17">
        <v>0</v>
      </c>
      <c r="I35" s="17">
        <v>0</v>
      </c>
      <c r="J35" s="17">
        <v>200</v>
      </c>
      <c r="K35" s="17">
        <v>0</v>
      </c>
      <c r="L35" s="17">
        <v>0</v>
      </c>
      <c r="M35" s="17">
        <f>200+200</f>
        <v>400</v>
      </c>
      <c r="N35" s="17">
        <v>0</v>
      </c>
      <c r="O35" s="17">
        <v>534</v>
      </c>
      <c r="P35" s="17">
        <v>320</v>
      </c>
      <c r="Q35" s="17">
        <v>0</v>
      </c>
      <c r="R35" s="17">
        <v>311</v>
      </c>
      <c r="S35" s="57">
        <v>624</v>
      </c>
      <c r="T35" s="57">
        <v>0</v>
      </c>
      <c r="U35" s="46">
        <v>358</v>
      </c>
      <c r="V35" s="47">
        <v>385</v>
      </c>
      <c r="W35" s="32">
        <f t="shared" si="5"/>
        <v>3132</v>
      </c>
      <c r="X35" s="51">
        <f t="shared" si="7"/>
        <v>195.75</v>
      </c>
      <c r="Y35" s="47">
        <f t="shared" si="8"/>
        <v>335.6</v>
      </c>
      <c r="Z35" s="105">
        <v>330</v>
      </c>
      <c r="AA35" s="78">
        <f>'2004-expend-sum'!A20</f>
        <v>309</v>
      </c>
      <c r="AB35" s="17">
        <f t="shared" si="6"/>
        <v>-21</v>
      </c>
      <c r="AC35" s="18">
        <f>AA35/Z35</f>
        <v>0.9363636363636364</v>
      </c>
      <c r="AD35" s="10"/>
      <c r="AF35" t="s">
        <v>106</v>
      </c>
    </row>
    <row r="36" spans="4:32" x14ac:dyDescent="0.25">
      <c r="D36" s="9" t="s">
        <v>25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40.950000000000003</v>
      </c>
      <c r="N36" s="17">
        <v>16</v>
      </c>
      <c r="O36" s="17">
        <v>0</v>
      </c>
      <c r="P36" s="17">
        <v>0</v>
      </c>
      <c r="Q36" s="17">
        <v>0</v>
      </c>
      <c r="R36" s="17">
        <v>0</v>
      </c>
      <c r="S36" s="57">
        <v>0</v>
      </c>
      <c r="T36" s="57">
        <v>0</v>
      </c>
      <c r="U36" s="46">
        <v>0</v>
      </c>
      <c r="V36" s="47">
        <v>6</v>
      </c>
      <c r="W36" s="32">
        <f t="shared" si="5"/>
        <v>62.95</v>
      </c>
      <c r="X36" s="51">
        <f t="shared" si="7"/>
        <v>3.9343750000000002</v>
      </c>
      <c r="Y36" s="47">
        <f t="shared" si="8"/>
        <v>1.2</v>
      </c>
      <c r="Z36" s="105">
        <v>10</v>
      </c>
      <c r="AA36" s="78">
        <f>'2004-expend-sum'!C20</f>
        <v>0</v>
      </c>
      <c r="AB36" s="17">
        <f t="shared" si="6"/>
        <v>-10</v>
      </c>
      <c r="AC36" s="18">
        <f>AA36/Z36</f>
        <v>0</v>
      </c>
      <c r="AD36" s="10"/>
      <c r="AF36" t="s">
        <v>108</v>
      </c>
    </row>
    <row r="37" spans="4:32" x14ac:dyDescent="0.25">
      <c r="D37" s="9" t="s">
        <v>37</v>
      </c>
      <c r="F37" s="17">
        <v>0</v>
      </c>
      <c r="G37" s="17">
        <v>0</v>
      </c>
      <c r="H37" s="17">
        <v>0</v>
      </c>
      <c r="I37" s="17">
        <v>0</v>
      </c>
      <c r="J37" s="17">
        <v>6.5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57">
        <v>0</v>
      </c>
      <c r="T37" s="57">
        <v>0</v>
      </c>
      <c r="U37" s="46">
        <v>0</v>
      </c>
      <c r="V37" s="47">
        <v>0</v>
      </c>
      <c r="W37" s="32">
        <f t="shared" si="5"/>
        <v>6.5</v>
      </c>
      <c r="X37" s="51">
        <f t="shared" si="7"/>
        <v>0.40625</v>
      </c>
      <c r="Y37" s="47">
        <f t="shared" si="8"/>
        <v>0</v>
      </c>
      <c r="Z37" s="105">
        <v>0</v>
      </c>
      <c r="AA37" s="17">
        <f>'2004-expend-sum'!E20</f>
        <v>0</v>
      </c>
      <c r="AB37" s="17">
        <f t="shared" si="6"/>
        <v>0</v>
      </c>
      <c r="AC37" s="18"/>
      <c r="AD37" s="10"/>
    </row>
    <row r="38" spans="4:32" x14ac:dyDescent="0.25">
      <c r="D38" s="9" t="s">
        <v>38</v>
      </c>
      <c r="F38" s="17">
        <v>0</v>
      </c>
      <c r="G38" s="17">
        <v>0</v>
      </c>
      <c r="H38" s="17">
        <f>100+30</f>
        <v>130</v>
      </c>
      <c r="I38" s="17">
        <v>0</v>
      </c>
      <c r="J38" s="17">
        <v>76.87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57">
        <v>0</v>
      </c>
      <c r="T38" s="57">
        <v>0</v>
      </c>
      <c r="U38" s="46">
        <v>0</v>
      </c>
      <c r="V38" s="47">
        <v>0</v>
      </c>
      <c r="W38" s="32">
        <f t="shared" si="5"/>
        <v>206.87</v>
      </c>
      <c r="X38" s="51">
        <f t="shared" si="7"/>
        <v>12.929375</v>
      </c>
      <c r="Y38" s="47">
        <f t="shared" si="8"/>
        <v>0</v>
      </c>
      <c r="Z38" s="105">
        <v>0</v>
      </c>
      <c r="AA38" s="17">
        <f>'2004-expend-sum'!G20</f>
        <v>0</v>
      </c>
      <c r="AB38" s="17">
        <f t="shared" si="6"/>
        <v>0</v>
      </c>
      <c r="AC38" s="18"/>
      <c r="AD38" s="10"/>
    </row>
    <row r="39" spans="4:32" x14ac:dyDescent="0.25">
      <c r="D39" s="9" t="s">
        <v>39</v>
      </c>
      <c r="F39" s="17">
        <f>142.31+67.08</f>
        <v>209.39</v>
      </c>
      <c r="G39" s="17">
        <v>406.97</v>
      </c>
      <c r="H39" s="17">
        <f>692.03+51.25</f>
        <v>743.28</v>
      </c>
      <c r="I39" s="17">
        <v>889.16</v>
      </c>
      <c r="J39" s="17">
        <v>682.5</v>
      </c>
      <c r="K39" s="17">
        <v>875.82</v>
      </c>
      <c r="L39" s="17">
        <v>805.61</v>
      </c>
      <c r="M39" s="17">
        <v>556.80999999999995</v>
      </c>
      <c r="N39" s="17">
        <v>409.7</v>
      </c>
      <c r="O39" s="17">
        <v>598.1</v>
      </c>
      <c r="P39" s="17">
        <v>401</v>
      </c>
      <c r="Q39" s="17">
        <v>758</v>
      </c>
      <c r="R39" s="17">
        <v>58</v>
      </c>
      <c r="S39" s="57">
        <v>671</v>
      </c>
      <c r="T39" s="57">
        <v>650.80999999999995</v>
      </c>
      <c r="U39" s="46">
        <v>367.93</v>
      </c>
      <c r="V39" s="47">
        <v>359.02</v>
      </c>
      <c r="W39" s="32">
        <f t="shared" si="5"/>
        <v>9443.1</v>
      </c>
      <c r="X39" s="51">
        <f t="shared" si="7"/>
        <v>590.19375000000002</v>
      </c>
      <c r="Y39" s="47">
        <f t="shared" si="8"/>
        <v>421.35200000000003</v>
      </c>
      <c r="Z39" s="105">
        <v>300</v>
      </c>
      <c r="AA39" s="78">
        <f>'2004-expend-sum'!I20</f>
        <v>47.230000000000004</v>
      </c>
      <c r="AB39" s="17">
        <f t="shared" si="6"/>
        <v>-252.76999999999998</v>
      </c>
      <c r="AC39" s="18">
        <f>AA39/Z39</f>
        <v>0.15743333333333334</v>
      </c>
      <c r="AD39" s="10"/>
      <c r="AF39" t="s">
        <v>109</v>
      </c>
    </row>
    <row r="40" spans="4:32" x14ac:dyDescent="0.25">
      <c r="D40" s="9" t="s">
        <v>40</v>
      </c>
      <c r="F40" s="17">
        <v>0</v>
      </c>
      <c r="G40" s="17">
        <v>0</v>
      </c>
      <c r="H40" s="17">
        <v>0</v>
      </c>
      <c r="I40" s="17">
        <v>0</v>
      </c>
      <c r="J40" s="17">
        <v>250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57">
        <v>0</v>
      </c>
      <c r="T40" s="57">
        <v>0</v>
      </c>
      <c r="U40" s="46">
        <v>0</v>
      </c>
      <c r="V40" s="47">
        <v>0</v>
      </c>
      <c r="W40" s="32">
        <f t="shared" si="5"/>
        <v>250</v>
      </c>
      <c r="X40" s="51">
        <f t="shared" si="7"/>
        <v>15.625</v>
      </c>
      <c r="Y40" s="47">
        <f t="shared" si="8"/>
        <v>0</v>
      </c>
      <c r="Z40" s="105">
        <v>0</v>
      </c>
      <c r="AA40" s="17">
        <f>'2004-expend-sum'!K20</f>
        <v>0</v>
      </c>
      <c r="AB40" s="17">
        <f t="shared" si="6"/>
        <v>0</v>
      </c>
      <c r="AC40" s="18"/>
      <c r="AD40" s="10"/>
    </row>
    <row r="41" spans="4:32" x14ac:dyDescent="0.25">
      <c r="D41" s="9" t="s">
        <v>41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130</v>
      </c>
      <c r="M41" s="17">
        <v>55</v>
      </c>
      <c r="N41" s="17">
        <v>50</v>
      </c>
      <c r="O41" s="17">
        <v>100</v>
      </c>
      <c r="P41" s="17">
        <v>0</v>
      </c>
      <c r="Q41" s="17">
        <v>0</v>
      </c>
      <c r="R41" s="17">
        <v>0</v>
      </c>
      <c r="S41" s="57">
        <v>0</v>
      </c>
      <c r="T41" s="57">
        <v>0</v>
      </c>
      <c r="U41" s="46">
        <v>0</v>
      </c>
      <c r="V41" s="47">
        <v>0</v>
      </c>
      <c r="W41" s="32">
        <f t="shared" si="5"/>
        <v>335</v>
      </c>
      <c r="X41" s="51">
        <f t="shared" si="7"/>
        <v>20.9375</v>
      </c>
      <c r="Y41" s="47">
        <f t="shared" si="8"/>
        <v>0</v>
      </c>
      <c r="Z41" s="105">
        <v>0</v>
      </c>
      <c r="AA41" s="17">
        <f>'2004-expend-sum'!A38</f>
        <v>0</v>
      </c>
      <c r="AB41" s="17">
        <f t="shared" si="6"/>
        <v>0</v>
      </c>
      <c r="AC41" s="18"/>
      <c r="AD41" s="10"/>
    </row>
    <row r="42" spans="4:32" x14ac:dyDescent="0.25">
      <c r="D42" s="9" t="s">
        <v>42</v>
      </c>
      <c r="F42" s="17">
        <v>76</v>
      </c>
      <c r="G42" s="17">
        <v>202</v>
      </c>
      <c r="H42" s="17">
        <v>52.66</v>
      </c>
      <c r="I42" s="17">
        <v>15</v>
      </c>
      <c r="J42" s="17">
        <v>140.28</v>
      </c>
      <c r="K42" s="17">
        <v>74.2</v>
      </c>
      <c r="L42" s="17">
        <v>163.08000000000001</v>
      </c>
      <c r="M42" s="17">
        <v>-52.5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57">
        <v>67</v>
      </c>
      <c r="T42" s="57">
        <v>0</v>
      </c>
      <c r="U42" s="46">
        <v>0</v>
      </c>
      <c r="V42" s="47">
        <v>24.15</v>
      </c>
      <c r="W42" s="32">
        <f t="shared" si="5"/>
        <v>761.87</v>
      </c>
      <c r="X42" s="51">
        <f t="shared" si="7"/>
        <v>47.616875</v>
      </c>
      <c r="Y42" s="47">
        <f t="shared" si="8"/>
        <v>18.23</v>
      </c>
      <c r="Z42" s="105">
        <v>10</v>
      </c>
      <c r="AA42" s="78">
        <f>'2004-expend-sum'!C38</f>
        <v>0</v>
      </c>
      <c r="AB42" s="17">
        <f t="shared" si="6"/>
        <v>-10</v>
      </c>
      <c r="AC42" s="18">
        <f>AA42/Z42</f>
        <v>0</v>
      </c>
      <c r="AD42" s="10"/>
      <c r="AF42" t="s">
        <v>104</v>
      </c>
    </row>
    <row r="43" spans="4:32" x14ac:dyDescent="0.25">
      <c r="D43" s="9" t="s">
        <v>43</v>
      </c>
      <c r="F43" s="17">
        <v>0</v>
      </c>
      <c r="G43" s="17">
        <v>0</v>
      </c>
      <c r="H43" s="17">
        <v>59.44</v>
      </c>
      <c r="I43" s="17">
        <v>20.82</v>
      </c>
      <c r="J43" s="17">
        <v>3.56</v>
      </c>
      <c r="K43" s="17">
        <v>1.83</v>
      </c>
      <c r="L43" s="17">
        <v>5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57">
        <v>0</v>
      </c>
      <c r="T43" s="57">
        <v>0</v>
      </c>
      <c r="U43" s="46">
        <v>0</v>
      </c>
      <c r="V43" s="47">
        <v>233.86</v>
      </c>
      <c r="W43" s="32">
        <f>SUM(F43:V43)</f>
        <v>324.51</v>
      </c>
      <c r="X43" s="51">
        <f t="shared" si="7"/>
        <v>20.281874999999999</v>
      </c>
      <c r="Y43" s="47">
        <f>SUM(R43:V43)/5</f>
        <v>46.772000000000006</v>
      </c>
      <c r="Z43" s="105">
        <v>300</v>
      </c>
      <c r="AA43" s="78">
        <f>'2004-expend-sum'!E38</f>
        <v>81.45</v>
      </c>
      <c r="AB43" s="17">
        <f>AA43-Z43</f>
        <v>-218.55</v>
      </c>
      <c r="AC43" s="18">
        <f>AA43/Z43</f>
        <v>0.27150000000000002</v>
      </c>
      <c r="AD43" s="10"/>
      <c r="AF43" t="s">
        <v>110</v>
      </c>
    </row>
    <row r="44" spans="4:32" x14ac:dyDescent="0.25">
      <c r="D44" s="9" t="s">
        <v>81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57">
        <v>0</v>
      </c>
      <c r="T44" s="57">
        <v>0</v>
      </c>
      <c r="U44" s="46">
        <v>0</v>
      </c>
      <c r="V44" s="47">
        <v>0</v>
      </c>
      <c r="W44" s="32">
        <f t="shared" si="5"/>
        <v>0</v>
      </c>
      <c r="X44" s="51">
        <f t="shared" si="7"/>
        <v>0</v>
      </c>
      <c r="Y44" s="47">
        <f t="shared" si="8"/>
        <v>0</v>
      </c>
      <c r="Z44" s="105">
        <v>50</v>
      </c>
      <c r="AA44" s="78">
        <v>50</v>
      </c>
      <c r="AB44" s="17">
        <f t="shared" si="6"/>
        <v>0</v>
      </c>
      <c r="AC44" s="18">
        <f>AA44/Z44</f>
        <v>1</v>
      </c>
      <c r="AD44" s="10"/>
      <c r="AF44" t="s">
        <v>111</v>
      </c>
    </row>
    <row r="45" spans="4:32" x14ac:dyDescent="0.25">
      <c r="D45" s="9" t="s">
        <v>44</v>
      </c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57"/>
      <c r="T45" s="57"/>
      <c r="U45" s="46"/>
      <c r="V45" s="47"/>
      <c r="W45" s="32"/>
      <c r="X45" s="36"/>
      <c r="Y45" s="46"/>
      <c r="Z45" s="105"/>
      <c r="AA45" s="17"/>
      <c r="AB45" s="17"/>
      <c r="AC45" s="18"/>
      <c r="AD45" s="10"/>
    </row>
    <row r="46" spans="4:32" x14ac:dyDescent="0.25">
      <c r="D46" s="19" t="s">
        <v>45</v>
      </c>
      <c r="E46" s="14"/>
      <c r="F46" s="20">
        <f t="shared" ref="F46:V46" si="9">SUM(F29:F44)</f>
        <v>380.16999999999996</v>
      </c>
      <c r="G46" s="20">
        <f t="shared" si="9"/>
        <v>820.97</v>
      </c>
      <c r="H46" s="20">
        <f t="shared" si="9"/>
        <v>1815.0500000000002</v>
      </c>
      <c r="I46" s="20">
        <f t="shared" si="9"/>
        <v>1559.6899999999998</v>
      </c>
      <c r="J46" s="20">
        <f t="shared" si="9"/>
        <v>1747.56</v>
      </c>
      <c r="K46" s="20">
        <f t="shared" si="9"/>
        <v>1284.6099999999999</v>
      </c>
      <c r="L46" s="20">
        <f t="shared" si="9"/>
        <v>1603.12</v>
      </c>
      <c r="M46" s="20">
        <f t="shared" si="9"/>
        <v>2089.2399999999998</v>
      </c>
      <c r="N46" s="20">
        <f t="shared" si="9"/>
        <v>1277.7</v>
      </c>
      <c r="O46" s="20">
        <f t="shared" si="9"/>
        <v>2695.22</v>
      </c>
      <c r="P46" s="20">
        <f t="shared" si="9"/>
        <v>1581</v>
      </c>
      <c r="Q46" s="20">
        <f t="shared" si="9"/>
        <v>2078</v>
      </c>
      <c r="R46" s="20">
        <f t="shared" si="9"/>
        <v>439</v>
      </c>
      <c r="S46" s="58">
        <f t="shared" si="9"/>
        <v>3039</v>
      </c>
      <c r="T46" s="58">
        <f t="shared" si="9"/>
        <v>1953.61</v>
      </c>
      <c r="U46" s="49">
        <f>SUM(U29:U44)</f>
        <v>1620.93</v>
      </c>
      <c r="V46" s="48">
        <f t="shared" si="9"/>
        <v>1894.56</v>
      </c>
      <c r="W46" s="33">
        <f>SUM(F46:V46)</f>
        <v>27879.430000000004</v>
      </c>
      <c r="X46" s="52">
        <f>W46/(2003-1987)</f>
        <v>1742.4643750000002</v>
      </c>
      <c r="Y46" s="48">
        <f>SUM(R46:V46)/5</f>
        <v>1789.42</v>
      </c>
      <c r="Z46" s="106">
        <f>SUM(Z29:Z44)</f>
        <v>1980</v>
      </c>
      <c r="AA46" s="66">
        <f>SUM(AA29:AA44)</f>
        <v>697.68000000000006</v>
      </c>
      <c r="AB46" s="20">
        <f>SUM(AB29:AB44)</f>
        <v>-1282.32</v>
      </c>
      <c r="AC46" s="21">
        <f>AA46/Z46</f>
        <v>0.35236363636363638</v>
      </c>
      <c r="AD46" s="16"/>
      <c r="AF46" t="s">
        <v>114</v>
      </c>
    </row>
    <row r="47" spans="4:32" ht="15.6" x14ac:dyDescent="0.3">
      <c r="D47" s="27"/>
      <c r="E47" s="34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57"/>
      <c r="T47" s="57"/>
      <c r="U47" s="46"/>
      <c r="V47" s="46"/>
      <c r="W47" s="93"/>
      <c r="X47" s="94"/>
      <c r="Y47" s="94" t="s">
        <v>82</v>
      </c>
      <c r="Z47" s="107">
        <f>SUM(Z29:Z44)-Z34-Z44</f>
        <v>1480</v>
      </c>
      <c r="AA47" s="95">
        <f>SUM(AA29:AA44)-AA34-AA44</f>
        <v>437.68000000000006</v>
      </c>
      <c r="AB47" s="96">
        <f>SUM(AB29:AB44)-AB34-AB44</f>
        <v>-1042.32</v>
      </c>
      <c r="AC47" s="97">
        <f>AA47/Z47</f>
        <v>0.29572972972972977</v>
      </c>
      <c r="AD47" s="10"/>
      <c r="AF47" t="s">
        <v>113</v>
      </c>
    </row>
    <row r="48" spans="4:32" x14ac:dyDescent="0.25">
      <c r="D48" s="9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57"/>
      <c r="T48" s="57"/>
      <c r="U48" s="46"/>
      <c r="V48" s="46"/>
      <c r="W48" s="32"/>
      <c r="X48" s="36"/>
      <c r="Y48" s="46"/>
      <c r="Z48" s="105"/>
      <c r="AA48" s="17"/>
      <c r="AB48" s="17"/>
      <c r="AC48" s="18"/>
      <c r="AD48" s="10"/>
    </row>
    <row r="49" spans="4:32" x14ac:dyDescent="0.25">
      <c r="D49" s="9" t="s">
        <v>46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57"/>
      <c r="T49" s="57"/>
      <c r="U49" s="46"/>
      <c r="V49" s="46"/>
      <c r="W49" s="32"/>
      <c r="X49" s="36"/>
      <c r="Y49" s="46"/>
      <c r="Z49" s="105"/>
      <c r="AA49" s="17"/>
      <c r="AB49" s="17"/>
      <c r="AC49" s="18"/>
      <c r="AD49" s="10"/>
    </row>
    <row r="50" spans="4:32" x14ac:dyDescent="0.25">
      <c r="D50" s="9" t="s">
        <v>47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300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57">
        <v>0</v>
      </c>
      <c r="T50" s="57">
        <v>0</v>
      </c>
      <c r="U50" s="46">
        <v>0</v>
      </c>
      <c r="V50" s="46">
        <v>0</v>
      </c>
      <c r="W50" s="32">
        <f t="shared" ref="W50:W59" si="10">SUM(F50:V50)</f>
        <v>300</v>
      </c>
      <c r="X50" s="51">
        <f>W50/(2003-1987)</f>
        <v>18.75</v>
      </c>
      <c r="Y50" s="47">
        <f>SUM(R50:V50)/5</f>
        <v>0</v>
      </c>
      <c r="Z50" s="105">
        <v>0</v>
      </c>
      <c r="AA50" s="17">
        <v>0</v>
      </c>
      <c r="AB50" s="17">
        <f t="shared" ref="AB50:AB59" si="11">AA50-Z50</f>
        <v>0</v>
      </c>
      <c r="AC50" s="18"/>
      <c r="AD50" s="10"/>
    </row>
    <row r="51" spans="4:32" x14ac:dyDescent="0.25">
      <c r="D51" s="9" t="s">
        <v>48</v>
      </c>
      <c r="F51" s="17">
        <v>0</v>
      </c>
      <c r="G51" s="17">
        <v>0</v>
      </c>
      <c r="H51" s="17">
        <v>100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57">
        <v>350</v>
      </c>
      <c r="T51" s="57">
        <v>0</v>
      </c>
      <c r="U51" s="46">
        <v>0</v>
      </c>
      <c r="V51" s="46">
        <v>0</v>
      </c>
      <c r="W51" s="32">
        <f t="shared" si="10"/>
        <v>450</v>
      </c>
      <c r="X51" s="51">
        <f t="shared" ref="X51:X59" si="12">W51/(2003-1987)</f>
        <v>28.125</v>
      </c>
      <c r="Y51" s="47">
        <f t="shared" ref="Y51:Y59" si="13">SUM(R51:V51)/5</f>
        <v>70</v>
      </c>
      <c r="Z51" s="105">
        <v>0</v>
      </c>
      <c r="AA51" s="17">
        <v>0</v>
      </c>
      <c r="AB51" s="17">
        <f t="shared" si="11"/>
        <v>0</v>
      </c>
      <c r="AC51" s="18"/>
      <c r="AD51" s="10"/>
    </row>
    <row r="52" spans="4:32" x14ac:dyDescent="0.25">
      <c r="D52" s="9" t="s">
        <v>49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f>250+300</f>
        <v>550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57">
        <v>0</v>
      </c>
      <c r="T52" s="57">
        <v>0</v>
      </c>
      <c r="U52" s="46">
        <v>0</v>
      </c>
      <c r="V52" s="46">
        <v>0</v>
      </c>
      <c r="W52" s="32">
        <f t="shared" si="10"/>
        <v>550</v>
      </c>
      <c r="X52" s="51">
        <f t="shared" si="12"/>
        <v>34.375</v>
      </c>
      <c r="Y52" s="47">
        <f t="shared" si="13"/>
        <v>0</v>
      </c>
      <c r="Z52" s="105">
        <v>0</v>
      </c>
      <c r="AA52" s="17">
        <v>0</v>
      </c>
      <c r="AB52" s="17">
        <f t="shared" si="11"/>
        <v>0</v>
      </c>
      <c r="AC52" s="18"/>
      <c r="AD52" s="10"/>
    </row>
    <row r="53" spans="4:32" x14ac:dyDescent="0.25">
      <c r="D53" s="9" t="s">
        <v>50</v>
      </c>
      <c r="F53" s="17">
        <v>0</v>
      </c>
      <c r="G53" s="17">
        <v>0</v>
      </c>
      <c r="H53" s="17">
        <f>350+35</f>
        <v>385</v>
      </c>
      <c r="I53" s="17">
        <v>200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57">
        <v>0</v>
      </c>
      <c r="T53" s="57">
        <v>0</v>
      </c>
      <c r="U53" s="46">
        <v>0</v>
      </c>
      <c r="V53" s="46">
        <v>0</v>
      </c>
      <c r="W53" s="32">
        <f t="shared" si="10"/>
        <v>585</v>
      </c>
      <c r="X53" s="51">
        <f t="shared" si="12"/>
        <v>36.5625</v>
      </c>
      <c r="Y53" s="47">
        <f t="shared" si="13"/>
        <v>0</v>
      </c>
      <c r="Z53" s="105">
        <v>0</v>
      </c>
      <c r="AA53" s="17">
        <v>0</v>
      </c>
      <c r="AB53" s="17">
        <f t="shared" si="11"/>
        <v>0</v>
      </c>
      <c r="AC53" s="18"/>
      <c r="AD53" s="10"/>
    </row>
    <row r="54" spans="4:32" x14ac:dyDescent="0.25">
      <c r="D54" s="9" t="s">
        <v>51</v>
      </c>
      <c r="F54" s="17">
        <v>0</v>
      </c>
      <c r="G54" s="17">
        <v>0</v>
      </c>
      <c r="H54" s="17">
        <v>0</v>
      </c>
      <c r="I54" s="17">
        <v>0</v>
      </c>
      <c r="J54" s="17">
        <v>500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57">
        <v>0</v>
      </c>
      <c r="T54" s="57">
        <v>0</v>
      </c>
      <c r="U54" s="46">
        <v>0</v>
      </c>
      <c r="V54" s="46">
        <v>0</v>
      </c>
      <c r="W54" s="32">
        <f t="shared" si="10"/>
        <v>500</v>
      </c>
      <c r="X54" s="51">
        <f t="shared" si="12"/>
        <v>31.25</v>
      </c>
      <c r="Y54" s="47">
        <f t="shared" si="13"/>
        <v>0</v>
      </c>
      <c r="Z54" s="105">
        <v>0</v>
      </c>
      <c r="AA54" s="17">
        <v>0</v>
      </c>
      <c r="AB54" s="17">
        <f t="shared" si="11"/>
        <v>0</v>
      </c>
      <c r="AC54" s="18"/>
      <c r="AD54" s="10"/>
    </row>
    <row r="55" spans="4:32" x14ac:dyDescent="0.25">
      <c r="D55" s="9" t="s">
        <v>52</v>
      </c>
      <c r="F55" s="17">
        <v>0</v>
      </c>
      <c r="G55" s="17">
        <v>0</v>
      </c>
      <c r="H55" s="17">
        <v>0</v>
      </c>
      <c r="I55" s="17">
        <v>0</v>
      </c>
      <c r="J55" s="17">
        <v>100</v>
      </c>
      <c r="K55" s="17">
        <v>0</v>
      </c>
      <c r="L55" s="17">
        <v>100</v>
      </c>
      <c r="M55" s="17">
        <v>100</v>
      </c>
      <c r="N55" s="17">
        <v>0</v>
      </c>
      <c r="O55" s="17">
        <v>100</v>
      </c>
      <c r="P55" s="17">
        <v>0</v>
      </c>
      <c r="Q55" s="17">
        <v>0</v>
      </c>
      <c r="R55" s="17">
        <v>0</v>
      </c>
      <c r="S55" s="57">
        <v>0</v>
      </c>
      <c r="T55" s="57">
        <v>0</v>
      </c>
      <c r="U55" s="46">
        <v>0</v>
      </c>
      <c r="V55" s="46">
        <v>0</v>
      </c>
      <c r="W55" s="32">
        <f t="shared" si="10"/>
        <v>400</v>
      </c>
      <c r="X55" s="51">
        <f t="shared" si="12"/>
        <v>25</v>
      </c>
      <c r="Y55" s="47">
        <f t="shared" si="13"/>
        <v>0</v>
      </c>
      <c r="Z55" s="105">
        <v>0</v>
      </c>
      <c r="AA55" s="17">
        <v>0</v>
      </c>
      <c r="AB55" s="17">
        <f t="shared" si="11"/>
        <v>0</v>
      </c>
      <c r="AC55" s="18"/>
      <c r="AD55" s="10"/>
    </row>
    <row r="56" spans="4:32" x14ac:dyDescent="0.25">
      <c r="D56" s="9" t="s">
        <v>53</v>
      </c>
      <c r="F56" s="17">
        <v>0</v>
      </c>
      <c r="G56" s="17">
        <v>0</v>
      </c>
      <c r="H56" s="17">
        <v>0</v>
      </c>
      <c r="I56" s="17">
        <v>0</v>
      </c>
      <c r="J56" s="17">
        <v>500</v>
      </c>
      <c r="K56" s="17">
        <v>500</v>
      </c>
      <c r="L56" s="17">
        <v>250</v>
      </c>
      <c r="M56" s="17">
        <v>0</v>
      </c>
      <c r="N56" s="17">
        <v>0</v>
      </c>
      <c r="O56" s="17">
        <v>350</v>
      </c>
      <c r="P56" s="17">
        <v>500</v>
      </c>
      <c r="Q56" s="17">
        <v>0</v>
      </c>
      <c r="R56" s="17">
        <v>2000</v>
      </c>
      <c r="S56" s="57">
        <v>1000</v>
      </c>
      <c r="T56" s="57">
        <v>1000</v>
      </c>
      <c r="U56" s="46">
        <v>1000</v>
      </c>
      <c r="V56" s="46">
        <v>7000</v>
      </c>
      <c r="W56" s="32">
        <f t="shared" si="10"/>
        <v>14100</v>
      </c>
      <c r="X56" s="51">
        <f t="shared" si="12"/>
        <v>881.25</v>
      </c>
      <c r="Y56" s="47">
        <f t="shared" si="13"/>
        <v>2400</v>
      </c>
      <c r="Z56" s="105">
        <v>1500</v>
      </c>
      <c r="AA56" s="17">
        <v>0</v>
      </c>
      <c r="AB56" s="17">
        <f t="shared" si="11"/>
        <v>-1500</v>
      </c>
      <c r="AC56" s="18">
        <f>AA56/Z56</f>
        <v>0</v>
      </c>
      <c r="AD56" s="10"/>
      <c r="AF56" t="s">
        <v>115</v>
      </c>
    </row>
    <row r="57" spans="4:32" x14ac:dyDescent="0.25">
      <c r="D57" s="9" t="s">
        <v>54</v>
      </c>
      <c r="F57" s="17">
        <v>0</v>
      </c>
      <c r="G57" s="17">
        <v>0</v>
      </c>
      <c r="H57" s="17">
        <v>0</v>
      </c>
      <c r="I57" s="17">
        <v>0</v>
      </c>
      <c r="J57" s="17">
        <v>300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57">
        <v>0</v>
      </c>
      <c r="T57" s="57">
        <v>0</v>
      </c>
      <c r="U57" s="46">
        <v>0</v>
      </c>
      <c r="V57" s="46">
        <v>0</v>
      </c>
      <c r="W57" s="32">
        <f t="shared" si="10"/>
        <v>300</v>
      </c>
      <c r="X57" s="51">
        <f t="shared" si="12"/>
        <v>18.75</v>
      </c>
      <c r="Y57" s="47">
        <f t="shared" si="13"/>
        <v>0</v>
      </c>
      <c r="Z57" s="105">
        <v>0</v>
      </c>
      <c r="AA57" s="17">
        <v>0</v>
      </c>
      <c r="AB57" s="17">
        <f t="shared" si="11"/>
        <v>0</v>
      </c>
      <c r="AC57" s="18"/>
      <c r="AD57" s="10"/>
    </row>
    <row r="58" spans="4:32" x14ac:dyDescent="0.25">
      <c r="D58" s="9" t="s">
        <v>55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2000</v>
      </c>
      <c r="L58" s="17">
        <v>0</v>
      </c>
      <c r="M58" s="17">
        <v>1000</v>
      </c>
      <c r="N58" s="17">
        <v>1000</v>
      </c>
      <c r="O58" s="17">
        <v>1000</v>
      </c>
      <c r="P58" s="17">
        <v>1300</v>
      </c>
      <c r="Q58" s="17">
        <v>0</v>
      </c>
      <c r="R58" s="17">
        <v>5100</v>
      </c>
      <c r="S58" s="57">
        <v>1250</v>
      </c>
      <c r="T58" s="57">
        <v>7800</v>
      </c>
      <c r="U58" s="46">
        <v>4500</v>
      </c>
      <c r="V58" s="46">
        <v>3000</v>
      </c>
      <c r="W58" s="32">
        <f t="shared" si="10"/>
        <v>27950</v>
      </c>
      <c r="X58" s="51">
        <f t="shared" si="12"/>
        <v>1746.875</v>
      </c>
      <c r="Y58" s="47">
        <f t="shared" si="13"/>
        <v>4330</v>
      </c>
      <c r="Z58" s="105">
        <v>1500</v>
      </c>
      <c r="AA58" s="17">
        <v>0</v>
      </c>
      <c r="AB58" s="17">
        <f t="shared" si="11"/>
        <v>-1500</v>
      </c>
      <c r="AC58" s="18">
        <f>AA58/Z58</f>
        <v>0</v>
      </c>
      <c r="AD58" s="10"/>
      <c r="AF58" t="s">
        <v>115</v>
      </c>
    </row>
    <row r="59" spans="4:32" x14ac:dyDescent="0.25">
      <c r="D59" s="9" t="s">
        <v>56</v>
      </c>
      <c r="F59" s="17">
        <v>0</v>
      </c>
      <c r="G59" s="17">
        <v>0</v>
      </c>
      <c r="H59" s="17">
        <v>500</v>
      </c>
      <c r="I59" s="17">
        <v>0</v>
      </c>
      <c r="J59" s="17">
        <v>1000</v>
      </c>
      <c r="K59" s="17">
        <v>500</v>
      </c>
      <c r="L59" s="17">
        <v>500</v>
      </c>
      <c r="M59" s="17">
        <v>500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57">
        <v>0</v>
      </c>
      <c r="T59" s="57">
        <v>0</v>
      </c>
      <c r="U59" s="46">
        <v>0</v>
      </c>
      <c r="V59" s="46">
        <v>0</v>
      </c>
      <c r="W59" s="32">
        <f t="shared" si="10"/>
        <v>3000</v>
      </c>
      <c r="X59" s="51">
        <f t="shared" si="12"/>
        <v>187.5</v>
      </c>
      <c r="Y59" s="47">
        <f t="shared" si="13"/>
        <v>0</v>
      </c>
      <c r="Z59" s="105">
        <v>0</v>
      </c>
      <c r="AA59" s="17">
        <v>0</v>
      </c>
      <c r="AB59" s="17">
        <f t="shared" si="11"/>
        <v>0</v>
      </c>
      <c r="AC59" s="18"/>
      <c r="AD59" s="10"/>
    </row>
    <row r="60" spans="4:32" x14ac:dyDescent="0.25">
      <c r="D60" s="9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57"/>
      <c r="T60" s="57"/>
      <c r="U60" s="46"/>
      <c r="V60" s="46"/>
      <c r="W60" s="32"/>
      <c r="X60" s="36"/>
      <c r="Y60" s="46"/>
      <c r="Z60" s="105"/>
      <c r="AA60" s="17"/>
      <c r="AB60" s="17"/>
      <c r="AC60" s="18"/>
      <c r="AD60" s="10"/>
      <c r="AF60" t="s">
        <v>117</v>
      </c>
    </row>
    <row r="61" spans="4:32" ht="15.6" thickBot="1" x14ac:dyDescent="0.3">
      <c r="D61" s="22" t="s">
        <v>57</v>
      </c>
      <c r="E61" s="23"/>
      <c r="F61" s="24">
        <f t="shared" ref="F61:V61" si="14">SUM(F50:F59)</f>
        <v>0</v>
      </c>
      <c r="G61" s="24">
        <f t="shared" si="14"/>
        <v>0</v>
      </c>
      <c r="H61" s="24">
        <f t="shared" si="14"/>
        <v>985</v>
      </c>
      <c r="I61" s="24">
        <f t="shared" si="14"/>
        <v>200</v>
      </c>
      <c r="J61" s="24">
        <f t="shared" si="14"/>
        <v>2400</v>
      </c>
      <c r="K61" s="24">
        <f t="shared" si="14"/>
        <v>3850</v>
      </c>
      <c r="L61" s="24">
        <f t="shared" si="14"/>
        <v>850</v>
      </c>
      <c r="M61" s="24">
        <f t="shared" si="14"/>
        <v>1600</v>
      </c>
      <c r="N61" s="24">
        <f t="shared" si="14"/>
        <v>1000</v>
      </c>
      <c r="O61" s="24">
        <f t="shared" si="14"/>
        <v>1450</v>
      </c>
      <c r="P61" s="24">
        <f t="shared" si="14"/>
        <v>1800</v>
      </c>
      <c r="Q61" s="24">
        <f t="shared" si="14"/>
        <v>0</v>
      </c>
      <c r="R61" s="24">
        <f t="shared" si="14"/>
        <v>7100</v>
      </c>
      <c r="S61" s="59">
        <f t="shared" si="14"/>
        <v>2600</v>
      </c>
      <c r="T61" s="59">
        <f t="shared" si="14"/>
        <v>8800</v>
      </c>
      <c r="U61" s="50">
        <f>SUM(U50:U59)</f>
        <v>5500</v>
      </c>
      <c r="V61" s="50">
        <f t="shared" si="14"/>
        <v>10000</v>
      </c>
      <c r="W61" s="37">
        <f>SUM(F61:V61)</f>
        <v>48135</v>
      </c>
      <c r="X61" s="52">
        <f>W61/(2003-1987)</f>
        <v>3008.4375</v>
      </c>
      <c r="Y61" s="53">
        <f>SUM(R61:V61)/5</f>
        <v>6800</v>
      </c>
      <c r="Z61" s="108">
        <f>SUM(Z50:Z59)</f>
        <v>3000</v>
      </c>
      <c r="AA61" s="68">
        <f>SUM(AA50:AA59)</f>
        <v>0</v>
      </c>
      <c r="AB61" s="24">
        <f>SUM(AB50:AB59)</f>
        <v>-3000</v>
      </c>
      <c r="AC61" s="25">
        <f>AA61/Z61</f>
        <v>0</v>
      </c>
      <c r="AD61" s="26"/>
      <c r="AF61" t="s">
        <v>118</v>
      </c>
    </row>
    <row r="62" spans="4:32" ht="15.6" thickTop="1" x14ac:dyDescent="0.25">
      <c r="D62" s="9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57"/>
      <c r="T62" s="57"/>
      <c r="U62" s="46"/>
      <c r="V62" s="46"/>
      <c r="W62" s="38"/>
      <c r="X62" s="41"/>
      <c r="Y62" s="54"/>
      <c r="Z62" s="105"/>
      <c r="AA62" s="92" t="s">
        <v>80</v>
      </c>
      <c r="AB62" s="17"/>
      <c r="AC62" s="18"/>
      <c r="AD62" s="10"/>
      <c r="AF62" t="s">
        <v>119</v>
      </c>
    </row>
    <row r="63" spans="4:32" x14ac:dyDescent="0.25">
      <c r="D63" s="27" t="s">
        <v>58</v>
      </c>
      <c r="F63" s="17">
        <f t="shared" ref="F63:AA63" si="15">F26-F46-F61</f>
        <v>988.83</v>
      </c>
      <c r="G63" s="17">
        <f t="shared" si="15"/>
        <v>3764.8099999999995</v>
      </c>
      <c r="H63" s="17">
        <f t="shared" si="15"/>
        <v>-39.610000000000127</v>
      </c>
      <c r="I63" s="17">
        <f t="shared" si="15"/>
        <v>951.79000000000019</v>
      </c>
      <c r="J63" s="17">
        <f t="shared" si="15"/>
        <v>-1221.6500000000001</v>
      </c>
      <c r="K63" s="17">
        <f t="shared" si="15"/>
        <v>-2377.0999999999995</v>
      </c>
      <c r="L63" s="17">
        <f t="shared" si="15"/>
        <v>14.369999999999891</v>
      </c>
      <c r="M63" s="17">
        <f t="shared" si="15"/>
        <v>-1013.4499999999998</v>
      </c>
      <c r="N63" s="17">
        <f t="shared" si="15"/>
        <v>235.72000000000003</v>
      </c>
      <c r="O63" s="17">
        <f t="shared" si="15"/>
        <v>-653.91999999999962</v>
      </c>
      <c r="P63" s="17">
        <f t="shared" si="15"/>
        <v>-401</v>
      </c>
      <c r="Q63" s="17">
        <f t="shared" si="15"/>
        <v>6405</v>
      </c>
      <c r="R63" s="17">
        <f t="shared" si="15"/>
        <v>-3266</v>
      </c>
      <c r="S63" s="57">
        <f t="shared" si="15"/>
        <v>-722</v>
      </c>
      <c r="T63" s="57">
        <f t="shared" si="15"/>
        <v>992.23999999999796</v>
      </c>
      <c r="U63" s="46">
        <f>U26-U46-U61</f>
        <v>-730.45000000000073</v>
      </c>
      <c r="V63" s="47">
        <f t="shared" si="15"/>
        <v>-585.54999999999927</v>
      </c>
      <c r="W63" s="100">
        <f t="shared" si="15"/>
        <v>2342.0299999999843</v>
      </c>
      <c r="X63" s="51">
        <f>W63/(2003-1987)</f>
        <v>146.37687499999902</v>
      </c>
      <c r="Y63" s="47">
        <f>SUM(R63:V63)/5</f>
        <v>-862.35200000000043</v>
      </c>
      <c r="Z63" s="105">
        <f t="shared" si="15"/>
        <v>-170</v>
      </c>
      <c r="AA63" s="78">
        <f t="shared" si="15"/>
        <v>1683.0500000000004</v>
      </c>
      <c r="AB63" s="17"/>
      <c r="AC63" s="18"/>
      <c r="AD63" s="10"/>
      <c r="AF63" t="s">
        <v>120</v>
      </c>
    </row>
    <row r="64" spans="4:32" x14ac:dyDescent="0.25">
      <c r="D64" s="19" t="s">
        <v>59</v>
      </c>
      <c r="E64" s="14"/>
      <c r="F64" s="20">
        <f>F26-F46-F61</f>
        <v>988.83</v>
      </c>
      <c r="G64" s="20">
        <f t="shared" ref="G64:T64" si="16">F64+(G26-G46-G61)</f>
        <v>4753.6399999999994</v>
      </c>
      <c r="H64" s="20">
        <f t="shared" si="16"/>
        <v>4714.0299999999988</v>
      </c>
      <c r="I64" s="20">
        <f t="shared" si="16"/>
        <v>5665.8199999999988</v>
      </c>
      <c r="J64" s="20">
        <f t="shared" si="16"/>
        <v>4444.1699999999983</v>
      </c>
      <c r="K64" s="20">
        <f t="shared" si="16"/>
        <v>2067.0699999999988</v>
      </c>
      <c r="L64" s="20">
        <f t="shared" si="16"/>
        <v>2081.4399999999987</v>
      </c>
      <c r="M64" s="20">
        <f t="shared" si="16"/>
        <v>1067.9899999999989</v>
      </c>
      <c r="N64" s="20">
        <f t="shared" si="16"/>
        <v>1303.7099999999989</v>
      </c>
      <c r="O64" s="20">
        <f t="shared" si="16"/>
        <v>649.78999999999928</v>
      </c>
      <c r="P64" s="20">
        <f t="shared" si="16"/>
        <v>248.78999999999928</v>
      </c>
      <c r="Q64" s="20">
        <f t="shared" si="16"/>
        <v>6653.7899999999991</v>
      </c>
      <c r="R64" s="20">
        <f t="shared" si="16"/>
        <v>3387.7899999999991</v>
      </c>
      <c r="S64" s="70">
        <f t="shared" si="16"/>
        <v>2665.7899999999991</v>
      </c>
      <c r="T64" s="70">
        <f t="shared" si="16"/>
        <v>3658.029999999997</v>
      </c>
      <c r="U64" s="48">
        <f>T64+(U26-U46-U61)</f>
        <v>2927.5799999999963</v>
      </c>
      <c r="V64" s="48">
        <f>U64+(V26-V46-V61)</f>
        <v>2342.029999999997</v>
      </c>
      <c r="W64" s="69">
        <f>(W26-W46-W61)</f>
        <v>2342.0299999999843</v>
      </c>
      <c r="X64" s="52">
        <f>W64/(2003-1987)</f>
        <v>146.37687499999902</v>
      </c>
      <c r="Y64" s="48">
        <f>SUM(R64:V64)/5</f>
        <v>2996.2439999999979</v>
      </c>
      <c r="Z64" s="106">
        <f>V64+(Z26-Z46-Z61)</f>
        <v>2172.029999999997</v>
      </c>
      <c r="AA64" s="66">
        <f>V64+AA26-AA46-AA61</f>
        <v>4025.0799999999972</v>
      </c>
      <c r="AB64" s="14"/>
      <c r="AC64" s="21"/>
      <c r="AD64" s="16"/>
      <c r="AF64" t="s">
        <v>121</v>
      </c>
    </row>
    <row r="65" spans="4:32" ht="15.6" x14ac:dyDescent="0.3">
      <c r="AC65" s="77" t="s">
        <v>69</v>
      </c>
      <c r="AF65" t="s">
        <v>122</v>
      </c>
    </row>
    <row r="66" spans="4:32" ht="15.6" x14ac:dyDescent="0.3"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 t="s">
        <v>66</v>
      </c>
      <c r="T66" s="4"/>
      <c r="U66" s="4"/>
      <c r="V66" s="4" t="s">
        <v>86</v>
      </c>
      <c r="W66" s="4"/>
      <c r="X66" s="11"/>
      <c r="Z66" s="74" t="s">
        <v>79</v>
      </c>
      <c r="AB66" s="76" t="s">
        <v>68</v>
      </c>
      <c r="AC66" s="77" t="s">
        <v>70</v>
      </c>
      <c r="AD66" s="4"/>
    </row>
    <row r="67" spans="4:32" x14ac:dyDescent="0.25">
      <c r="S67" t="s">
        <v>67</v>
      </c>
      <c r="V67" t="s">
        <v>87</v>
      </c>
      <c r="Y67" s="11"/>
      <c r="Z67" s="85"/>
      <c r="AA67" s="12"/>
      <c r="AB67" s="12" t="s">
        <v>71</v>
      </c>
      <c r="AC67" s="12" t="s">
        <v>71</v>
      </c>
    </row>
    <row r="68" spans="4:32" ht="15.6" x14ac:dyDescent="0.3">
      <c r="V68" t="s">
        <v>85</v>
      </c>
      <c r="Y68" s="11" t="s">
        <v>61</v>
      </c>
      <c r="Z68" s="85">
        <v>90</v>
      </c>
      <c r="AA68" s="73"/>
      <c r="AB68" s="75">
        <f>AA58</f>
        <v>0</v>
      </c>
      <c r="AC68" s="65">
        <f>AB68-Z68</f>
        <v>-90</v>
      </c>
    </row>
    <row r="69" spans="4:32" ht="15.6" x14ac:dyDescent="0.3">
      <c r="Y69" s="11" t="s">
        <v>94</v>
      </c>
      <c r="Z69" s="90">
        <v>10</v>
      </c>
      <c r="AA69" s="72"/>
      <c r="AB69" s="75">
        <v>0</v>
      </c>
      <c r="AC69" s="65">
        <f>AB69-Z69</f>
        <v>-10</v>
      </c>
    </row>
    <row r="70" spans="4:32" ht="15.6" x14ac:dyDescent="0.3">
      <c r="Y70" s="11" t="s">
        <v>76</v>
      </c>
      <c r="Z70" s="85">
        <v>1348.68</v>
      </c>
      <c r="AA70" s="73"/>
      <c r="AB70" s="75" t="s">
        <v>75</v>
      </c>
      <c r="AC70" s="65"/>
    </row>
    <row r="71" spans="4:32" ht="15.6" x14ac:dyDescent="0.3">
      <c r="Y71" s="11" t="s">
        <v>72</v>
      </c>
      <c r="Z71" s="85">
        <v>0</v>
      </c>
      <c r="AA71" s="72"/>
      <c r="AB71" s="75"/>
      <c r="AC71" s="65"/>
    </row>
    <row r="72" spans="4:32" ht="15.6" x14ac:dyDescent="0.3">
      <c r="Y72" s="11" t="s">
        <v>73</v>
      </c>
      <c r="Z72" s="85">
        <f>Z70+Z71</f>
        <v>1348.68</v>
      </c>
      <c r="AA72" s="85"/>
      <c r="AB72" s="75">
        <f>AA56</f>
        <v>0</v>
      </c>
      <c r="AC72" s="65">
        <f>AB72-Z72</f>
        <v>-1348.68</v>
      </c>
    </row>
    <row r="73" spans="4:32" ht="15.6" x14ac:dyDescent="0.3">
      <c r="AB73" s="74"/>
      <c r="AC73" s="65"/>
    </row>
    <row r="74" spans="4:32" x14ac:dyDescent="0.25">
      <c r="S74" s="67"/>
      <c r="T74" s="67"/>
      <c r="U74" s="67"/>
      <c r="V74" s="67"/>
      <c r="Y74" t="s">
        <v>74</v>
      </c>
      <c r="AF74" s="87"/>
    </row>
    <row r="75" spans="4:32" ht="15.6" x14ac:dyDescent="0.3">
      <c r="Y75" s="60" t="s">
        <v>62</v>
      </c>
      <c r="Z75" s="71">
        <f>SUM(Z67:Z71)</f>
        <v>1448.68</v>
      </c>
      <c r="AA75" s="71"/>
      <c r="AB75" s="86">
        <f>AB68+AB72</f>
        <v>0</v>
      </c>
      <c r="AC75" s="65">
        <f>AB75-Z75</f>
        <v>-1448.68</v>
      </c>
    </row>
  </sheetData>
  <pageMargins left="0.5" right="0.5" top="0.5" bottom="0.5" header="0.5" footer="0.5"/>
  <pageSetup scale="54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E1" workbookViewId="0">
      <selection activeCell="L7" sqref="L7"/>
    </sheetView>
  </sheetViews>
  <sheetFormatPr defaultRowHeight="15" x14ac:dyDescent="0.25"/>
  <cols>
    <col min="1" max="1" width="8.90625" style="61" customWidth="1"/>
    <col min="2" max="2" width="30.6328125" style="55" customWidth="1"/>
    <col min="4" max="4" width="29.36328125" customWidth="1"/>
    <col min="5" max="5" width="8.90625" style="61" customWidth="1"/>
    <col min="6" max="6" width="20.1796875" customWidth="1"/>
    <col min="9" max="9" width="8.90625" style="61" customWidth="1"/>
    <col min="10" max="10" width="20.54296875" customWidth="1"/>
    <col min="11" max="11" width="8.90625" style="61" customWidth="1"/>
  </cols>
  <sheetData>
    <row r="1" spans="1:12" ht="17.399999999999999" x14ac:dyDescent="0.3">
      <c r="A1" s="79" t="s">
        <v>83</v>
      </c>
      <c r="B1" s="80"/>
    </row>
    <row r="3" spans="1:12" x14ac:dyDescent="0.25">
      <c r="A3" s="62" t="s">
        <v>30</v>
      </c>
      <c r="B3" s="81"/>
      <c r="C3" s="9" t="s">
        <v>31</v>
      </c>
      <c r="D3" s="9"/>
      <c r="E3" s="62" t="s">
        <v>32</v>
      </c>
      <c r="F3" s="9"/>
      <c r="G3" s="9" t="s">
        <v>33</v>
      </c>
      <c r="H3" s="9"/>
      <c r="I3" s="62" t="s">
        <v>34</v>
      </c>
      <c r="J3" s="9"/>
      <c r="K3" s="62" t="s">
        <v>35</v>
      </c>
      <c r="L3" s="34"/>
    </row>
    <row r="4" spans="1:12" ht="15.6" x14ac:dyDescent="0.3">
      <c r="A4" s="64">
        <f>SUM(A5:A17)</f>
        <v>0</v>
      </c>
      <c r="B4" s="82" t="s">
        <v>63</v>
      </c>
      <c r="C4" s="64">
        <f>SUM(C5:C17)</f>
        <v>0</v>
      </c>
      <c r="D4" s="82" t="s">
        <v>63</v>
      </c>
      <c r="I4" s="64">
        <f>SUM(I5:I17)</f>
        <v>0</v>
      </c>
      <c r="J4" s="60" t="s">
        <v>63</v>
      </c>
      <c r="K4" s="64">
        <f>SUM(K5:K17)</f>
        <v>210</v>
      </c>
      <c r="L4" s="60" t="s">
        <v>63</v>
      </c>
    </row>
    <row r="5" spans="1:12" x14ac:dyDescent="0.25">
      <c r="K5" s="61">
        <v>140</v>
      </c>
      <c r="L5" t="s">
        <v>93</v>
      </c>
    </row>
    <row r="6" spans="1:12" x14ac:dyDescent="0.25">
      <c r="K6" s="61">
        <v>70</v>
      </c>
      <c r="L6" t="s">
        <v>99</v>
      </c>
    </row>
    <row r="7" spans="1:12" x14ac:dyDescent="0.25">
      <c r="B7" s="83"/>
    </row>
    <row r="8" spans="1:12" x14ac:dyDescent="0.25">
      <c r="B8" s="83"/>
    </row>
    <row r="9" spans="1:12" x14ac:dyDescent="0.25">
      <c r="B9" s="83"/>
    </row>
    <row r="10" spans="1:12" x14ac:dyDescent="0.25">
      <c r="B10" s="83"/>
      <c r="L10" s="88"/>
    </row>
    <row r="13" spans="1:12" x14ac:dyDescent="0.25">
      <c r="B13" s="84"/>
    </row>
    <row r="14" spans="1:12" x14ac:dyDescent="0.25">
      <c r="B14" s="84"/>
    </row>
    <row r="15" spans="1:12" x14ac:dyDescent="0.25">
      <c r="B15" s="84"/>
    </row>
    <row r="16" spans="1:12" x14ac:dyDescent="0.25">
      <c r="B16" s="84"/>
    </row>
    <row r="17" spans="1:11" x14ac:dyDescent="0.25">
      <c r="B17" s="84"/>
    </row>
    <row r="19" spans="1:11" x14ac:dyDescent="0.25">
      <c r="A19" s="62" t="s">
        <v>36</v>
      </c>
      <c r="C19" s="9" t="s">
        <v>25</v>
      </c>
      <c r="E19" s="62" t="s">
        <v>37</v>
      </c>
      <c r="G19" s="9" t="s">
        <v>38</v>
      </c>
      <c r="I19" s="62" t="s">
        <v>39</v>
      </c>
      <c r="K19" s="63" t="s">
        <v>40</v>
      </c>
    </row>
    <row r="20" spans="1:11" ht="15.6" x14ac:dyDescent="0.3">
      <c r="A20" s="64">
        <v>309</v>
      </c>
      <c r="B20" s="82" t="s">
        <v>92</v>
      </c>
      <c r="C20" s="64">
        <f>SUM(C21:C35)</f>
        <v>0</v>
      </c>
      <c r="D20" s="60" t="s">
        <v>63</v>
      </c>
      <c r="I20" s="64">
        <f>SUM(I21:I35)</f>
        <v>47.230000000000004</v>
      </c>
      <c r="J20" s="60" t="s">
        <v>63</v>
      </c>
    </row>
    <row r="21" spans="1:11" x14ac:dyDescent="0.25">
      <c r="C21" s="61"/>
      <c r="I21" s="98">
        <v>30</v>
      </c>
      <c r="J21" s="99" t="s">
        <v>88</v>
      </c>
    </row>
    <row r="22" spans="1:11" x14ac:dyDescent="0.25">
      <c r="C22" s="61"/>
      <c r="I22" s="98">
        <v>1.75</v>
      </c>
      <c r="J22" s="99" t="s">
        <v>89</v>
      </c>
    </row>
    <row r="23" spans="1:11" x14ac:dyDescent="0.25">
      <c r="C23" s="61"/>
      <c r="I23" s="98">
        <v>15.48</v>
      </c>
      <c r="J23" s="99" t="s">
        <v>90</v>
      </c>
    </row>
    <row r="24" spans="1:11" x14ac:dyDescent="0.25">
      <c r="C24" s="61"/>
      <c r="I24" s="98"/>
      <c r="J24" s="99"/>
    </row>
    <row r="25" spans="1:11" x14ac:dyDescent="0.25">
      <c r="C25" s="61"/>
    </row>
    <row r="26" spans="1:11" x14ac:dyDescent="0.25">
      <c r="C26" s="61"/>
    </row>
    <row r="27" spans="1:11" x14ac:dyDescent="0.25">
      <c r="C27" s="61"/>
    </row>
    <row r="28" spans="1:11" x14ac:dyDescent="0.25">
      <c r="C28" s="61"/>
    </row>
    <row r="29" spans="1:11" x14ac:dyDescent="0.25">
      <c r="C29" s="61"/>
    </row>
    <row r="30" spans="1:11" x14ac:dyDescent="0.25">
      <c r="C30" s="61"/>
    </row>
    <row r="31" spans="1:11" x14ac:dyDescent="0.25">
      <c r="C31" s="61"/>
    </row>
    <row r="32" spans="1:11" x14ac:dyDescent="0.25">
      <c r="C32" s="61"/>
    </row>
    <row r="33" spans="1:6" x14ac:dyDescent="0.25">
      <c r="C33" s="61"/>
    </row>
    <row r="34" spans="1:6" x14ac:dyDescent="0.25">
      <c r="C34" s="61"/>
    </row>
    <row r="35" spans="1:6" x14ac:dyDescent="0.25">
      <c r="C35" s="61"/>
    </row>
    <row r="36" spans="1:6" x14ac:dyDescent="0.25">
      <c r="C36" s="61"/>
    </row>
    <row r="37" spans="1:6" x14ac:dyDescent="0.25">
      <c r="A37" s="63" t="s">
        <v>41</v>
      </c>
      <c r="C37" s="9" t="s">
        <v>42</v>
      </c>
      <c r="E37" s="63" t="s">
        <v>43</v>
      </c>
    </row>
    <row r="38" spans="1:6" ht="15.6" x14ac:dyDescent="0.3">
      <c r="C38" s="65">
        <f>SUM(C39:C50)</f>
        <v>0</v>
      </c>
      <c r="D38" s="60" t="s">
        <v>63</v>
      </c>
      <c r="E38" s="64">
        <f>SUM(E39:E50)</f>
        <v>81.45</v>
      </c>
      <c r="F38" s="60" t="s">
        <v>63</v>
      </c>
    </row>
    <row r="39" spans="1:6" x14ac:dyDescent="0.25">
      <c r="C39" s="61"/>
      <c r="E39" s="98">
        <v>81.45</v>
      </c>
      <c r="F39" s="99" t="s">
        <v>91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FOL Financial History</vt:lpstr>
      <vt:lpstr>2004-expend-sum</vt:lpstr>
      <vt:lpstr>'FOL Financial History'!Print_Area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2004-03-21T05:05:46Z</cp:lastPrinted>
  <dcterms:created xsi:type="dcterms:W3CDTF">2003-02-10T00:11:04Z</dcterms:created>
  <dcterms:modified xsi:type="dcterms:W3CDTF">2024-02-03T22:12:34Z</dcterms:modified>
</cp:coreProperties>
</file>