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0F59B6D-3EB8-4699-AF85-B3C993B02AB4}" xr6:coauthVersionLast="47" xr6:coauthVersionMax="47" xr10:uidLastSave="{00000000-0000-0000-0000-000000000000}"/>
  <bookViews>
    <workbookView xWindow="3348" yWindow="3348" windowWidth="17280" windowHeight="8880" tabRatio="843"/>
  </bookViews>
  <sheets>
    <sheet name="Title_Page" sheetId="2" r:id="rId1"/>
    <sheet name="Check_Document_1" sheetId="3" r:id="rId2"/>
    <sheet name="2003_2002_Difference" sheetId="14" r:id="rId3"/>
    <sheet name="Calculation_of_HEMS" sheetId="13" r:id="rId4"/>
    <sheet name="Check_Document_2" sheetId="12" r:id="rId5"/>
    <sheet name="CCANALYSIS" sheetId="4" r:id="rId6"/>
  </sheets>
  <definedNames>
    <definedName name="_xlnm.Print_Area" localSheetId="2">'2003_2002_Difference'!$A$1:$U$240</definedName>
    <definedName name="_xlnm.Print_Area" localSheetId="3">Calculation_of_HEMS!$A$1:$D$27</definedName>
    <definedName name="_xlnm.Print_Area" localSheetId="5">CCANALYSIS!$A$1:$P$61</definedName>
    <definedName name="_xlnm.Print_Area" localSheetId="1">Check_Document_1!$A$1:$M$52</definedName>
    <definedName name="_xlnm.Print_Area" localSheetId="4">Check_Document_2!$A$1:$M$70</definedName>
    <definedName name="_xlnm.Print_Area" localSheetId="0">Title_Page!$A$1:$S$43</definedName>
    <definedName name="_xlnm.Print_Titles" localSheetId="1">Check_Document_1!$1:$4</definedName>
  </definedNames>
  <calcPr calcId="191029" fullCalcOnLoad="1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4" l="1"/>
  <c r="H11" i="14"/>
  <c r="R11" i="14" s="1"/>
  <c r="J11" i="14"/>
  <c r="K11" i="14"/>
  <c r="L11" i="14" s="1"/>
  <c r="G12" i="14"/>
  <c r="H12" i="14"/>
  <c r="J12" i="14"/>
  <c r="K12" i="14"/>
  <c r="L12" i="14" s="1"/>
  <c r="R12" i="14"/>
  <c r="G13" i="14"/>
  <c r="H13" i="14"/>
  <c r="J13" i="14"/>
  <c r="K13" i="14"/>
  <c r="L13" i="14" s="1"/>
  <c r="R13" i="14"/>
  <c r="G14" i="14"/>
  <c r="H14" i="14"/>
  <c r="R14" i="14" s="1"/>
  <c r="J14" i="14"/>
  <c r="K14" i="14"/>
  <c r="L14" i="14" s="1"/>
  <c r="G15" i="14"/>
  <c r="H15" i="14"/>
  <c r="R15" i="14" s="1"/>
  <c r="J15" i="14"/>
  <c r="K15" i="14"/>
  <c r="L15" i="14" s="1"/>
  <c r="E16" i="14"/>
  <c r="K16" i="14" s="1"/>
  <c r="F16" i="14"/>
  <c r="G16" i="14" s="1"/>
  <c r="H16" i="14" s="1"/>
  <c r="I16" i="14"/>
  <c r="J16" i="14"/>
  <c r="G18" i="14"/>
  <c r="H18" i="14"/>
  <c r="R18" i="14" s="1"/>
  <c r="J18" i="14"/>
  <c r="K18" i="14" s="1"/>
  <c r="L18" i="14" s="1"/>
  <c r="G19" i="14"/>
  <c r="H19" i="14"/>
  <c r="R19" i="14" s="1"/>
  <c r="J19" i="14"/>
  <c r="K19" i="14"/>
  <c r="L19" i="14" s="1"/>
  <c r="G20" i="14"/>
  <c r="H20" i="14" s="1"/>
  <c r="R20" i="14" s="1"/>
  <c r="J20" i="14"/>
  <c r="K20" i="14"/>
  <c r="L20" i="14" s="1"/>
  <c r="G21" i="14"/>
  <c r="H21" i="14"/>
  <c r="J21" i="14"/>
  <c r="K21" i="14" s="1"/>
  <c r="L21" i="14" s="1"/>
  <c r="R21" i="14"/>
  <c r="E22" i="14"/>
  <c r="F22" i="14"/>
  <c r="I22" i="14"/>
  <c r="G29" i="14"/>
  <c r="H29" i="14" s="1"/>
  <c r="I29" i="14"/>
  <c r="G30" i="14"/>
  <c r="H30" i="14"/>
  <c r="I30" i="14"/>
  <c r="G31" i="14"/>
  <c r="H31" i="14"/>
  <c r="I31" i="14"/>
  <c r="G32" i="14"/>
  <c r="H32" i="14"/>
  <c r="I32" i="14" s="1"/>
  <c r="G33" i="14"/>
  <c r="H33" i="14"/>
  <c r="I33" i="14" s="1"/>
  <c r="G34" i="14"/>
  <c r="H34" i="14"/>
  <c r="I34" i="14" s="1"/>
  <c r="G35" i="14"/>
  <c r="H35" i="14" s="1"/>
  <c r="I35" i="14" s="1"/>
  <c r="G36" i="14"/>
  <c r="H36" i="14" s="1"/>
  <c r="I36" i="14" s="1"/>
  <c r="G37" i="14"/>
  <c r="H37" i="14" s="1"/>
  <c r="I37" i="14"/>
  <c r="G38" i="14"/>
  <c r="H38" i="14"/>
  <c r="I38" i="14"/>
  <c r="G39" i="14"/>
  <c r="H39" i="14"/>
  <c r="I39" i="14"/>
  <c r="G40" i="14"/>
  <c r="H40" i="14"/>
  <c r="I40" i="14" s="1"/>
  <c r="G41" i="14"/>
  <c r="H41" i="14"/>
  <c r="I41" i="14" s="1"/>
  <c r="G42" i="14"/>
  <c r="H42" i="14"/>
  <c r="I42" i="14" s="1"/>
  <c r="G43" i="14"/>
  <c r="H43" i="14" s="1"/>
  <c r="I43" i="14" s="1"/>
  <c r="G44" i="14"/>
  <c r="H44" i="14" s="1"/>
  <c r="I44" i="14" s="1"/>
  <c r="G45" i="14"/>
  <c r="H45" i="14" s="1"/>
  <c r="I45" i="14"/>
  <c r="G46" i="14"/>
  <c r="H46" i="14"/>
  <c r="I46" i="14"/>
  <c r="G47" i="14"/>
  <c r="H47" i="14"/>
  <c r="I47" i="14"/>
  <c r="G48" i="14"/>
  <c r="H48" i="14"/>
  <c r="I48" i="14" s="1"/>
  <c r="G49" i="14"/>
  <c r="H49" i="14"/>
  <c r="I49" i="14" s="1"/>
  <c r="G50" i="14"/>
  <c r="H50" i="14"/>
  <c r="I50" i="14" s="1"/>
  <c r="G51" i="14"/>
  <c r="H51" i="14" s="1"/>
  <c r="I51" i="14" s="1"/>
  <c r="G52" i="14"/>
  <c r="H52" i="14" s="1"/>
  <c r="I52" i="14" s="1"/>
  <c r="G53" i="14"/>
  <c r="H53" i="14" s="1"/>
  <c r="I53" i="14"/>
  <c r="G54" i="14"/>
  <c r="H54" i="14"/>
  <c r="I54" i="14"/>
  <c r="G55" i="14"/>
  <c r="H55" i="14"/>
  <c r="I55" i="14"/>
  <c r="G56" i="14"/>
  <c r="H56" i="14"/>
  <c r="I56" i="14" s="1"/>
  <c r="G57" i="14"/>
  <c r="H57" i="14"/>
  <c r="I57" i="14" s="1"/>
  <c r="G58" i="14"/>
  <c r="H58" i="14"/>
  <c r="I58" i="14" s="1"/>
  <c r="G59" i="14"/>
  <c r="H59" i="14" s="1"/>
  <c r="I59" i="14" s="1"/>
  <c r="G60" i="14"/>
  <c r="H60" i="14" s="1"/>
  <c r="I60" i="14" s="1"/>
  <c r="G61" i="14"/>
  <c r="H61" i="14" s="1"/>
  <c r="I61" i="14"/>
  <c r="G62" i="14"/>
  <c r="H62" i="14"/>
  <c r="I62" i="14"/>
  <c r="G63" i="14"/>
  <c r="H63" i="14"/>
  <c r="I63" i="14"/>
  <c r="G64" i="14"/>
  <c r="H64" i="14"/>
  <c r="I64" i="14" s="1"/>
  <c r="G65" i="14"/>
  <c r="H65" i="14"/>
  <c r="I65" i="14" s="1"/>
  <c r="G66" i="14"/>
  <c r="H66" i="14"/>
  <c r="I66" i="14" s="1"/>
  <c r="G67" i="14"/>
  <c r="H67" i="14" s="1"/>
  <c r="I67" i="14" s="1"/>
  <c r="G68" i="14"/>
  <c r="H68" i="14" s="1"/>
  <c r="I68" i="14" s="1"/>
  <c r="E69" i="14"/>
  <c r="F69" i="14"/>
  <c r="G71" i="14"/>
  <c r="H71" i="14"/>
  <c r="I71" i="14" s="1"/>
  <c r="G72" i="14"/>
  <c r="H72" i="14"/>
  <c r="I72" i="14" s="1"/>
  <c r="G73" i="14"/>
  <c r="H73" i="14" s="1"/>
  <c r="I73" i="14" s="1"/>
  <c r="E74" i="14"/>
  <c r="G74" i="14" s="1"/>
  <c r="F74" i="14"/>
  <c r="G76" i="14"/>
  <c r="H76" i="14"/>
  <c r="I76" i="14" s="1"/>
  <c r="G77" i="14"/>
  <c r="H77" i="14"/>
  <c r="I77" i="14" s="1"/>
  <c r="G78" i="14"/>
  <c r="H78" i="14"/>
  <c r="I78" i="14" s="1"/>
  <c r="E79" i="14"/>
  <c r="G79" i="14" s="1"/>
  <c r="F79" i="14"/>
  <c r="F80" i="14"/>
  <c r="G90" i="14"/>
  <c r="H90" i="14" s="1"/>
  <c r="U90" i="14" s="1"/>
  <c r="K90" i="14"/>
  <c r="L90" i="14"/>
  <c r="O90" i="14"/>
  <c r="P90" i="14"/>
  <c r="Q90" i="14"/>
  <c r="R90" i="14"/>
  <c r="S90" i="14"/>
  <c r="V90" i="14"/>
  <c r="G91" i="14"/>
  <c r="H91" i="14"/>
  <c r="K91" i="14"/>
  <c r="L91" i="14" s="1"/>
  <c r="U91" i="14" s="1"/>
  <c r="O91" i="14"/>
  <c r="P91" i="14" s="1"/>
  <c r="Q91" i="14"/>
  <c r="S91" i="14" s="1"/>
  <c r="R91" i="14"/>
  <c r="G92" i="14"/>
  <c r="H92" i="14" s="1"/>
  <c r="U92" i="14" s="1"/>
  <c r="K92" i="14"/>
  <c r="L92" i="14"/>
  <c r="O92" i="14"/>
  <c r="P92" i="14"/>
  <c r="Q92" i="14"/>
  <c r="R92" i="14"/>
  <c r="S92" i="14"/>
  <c r="V92" i="14"/>
  <c r="G93" i="14"/>
  <c r="H93" i="14"/>
  <c r="K93" i="14"/>
  <c r="L93" i="14" s="1"/>
  <c r="U93" i="14" s="1"/>
  <c r="O93" i="14"/>
  <c r="P93" i="14" s="1"/>
  <c r="Q93" i="14"/>
  <c r="S93" i="14" s="1"/>
  <c r="R93" i="14"/>
  <c r="G94" i="14"/>
  <c r="H94" i="14" s="1"/>
  <c r="U94" i="14" s="1"/>
  <c r="K94" i="14"/>
  <c r="L94" i="14"/>
  <c r="O94" i="14"/>
  <c r="P94" i="14"/>
  <c r="Q94" i="14"/>
  <c r="R94" i="14"/>
  <c r="S94" i="14"/>
  <c r="V94" i="14"/>
  <c r="G95" i="14"/>
  <c r="H95" i="14"/>
  <c r="K95" i="14"/>
  <c r="L95" i="14" s="1"/>
  <c r="U95" i="14" s="1"/>
  <c r="O95" i="14"/>
  <c r="P95" i="14" s="1"/>
  <c r="Q95" i="14"/>
  <c r="S95" i="14" s="1"/>
  <c r="R95" i="14"/>
  <c r="E96" i="14"/>
  <c r="G96" i="14" s="1"/>
  <c r="F96" i="14"/>
  <c r="I96" i="14"/>
  <c r="J96" i="14"/>
  <c r="L96" i="14" s="1"/>
  <c r="K96" i="14"/>
  <c r="M96" i="14"/>
  <c r="O96" i="14" s="1"/>
  <c r="N96" i="14"/>
  <c r="P96" i="14"/>
  <c r="S97" i="14"/>
  <c r="T97" i="14" s="1"/>
  <c r="U97" i="14" s="1"/>
  <c r="V97" i="14"/>
  <c r="S99" i="14"/>
  <c r="T99" i="14" s="1"/>
  <c r="U99" i="14" s="1"/>
  <c r="S100" i="14"/>
  <c r="T100" i="14"/>
  <c r="V100" i="14" s="1"/>
  <c r="U100" i="14"/>
  <c r="S101" i="14"/>
  <c r="T101" i="14" s="1"/>
  <c r="U101" i="14" s="1"/>
  <c r="V101" i="14"/>
  <c r="G110" i="14"/>
  <c r="H110" i="14" s="1"/>
  <c r="I110" i="14" s="1"/>
  <c r="G111" i="14"/>
  <c r="H111" i="14" s="1"/>
  <c r="I111" i="14" s="1"/>
  <c r="G112" i="14"/>
  <c r="H112" i="14" s="1"/>
  <c r="I112" i="14"/>
  <c r="G113" i="14"/>
  <c r="H113" i="14"/>
  <c r="I113" i="14"/>
  <c r="G114" i="14"/>
  <c r="H114" i="14"/>
  <c r="I114" i="14"/>
  <c r="G115" i="14"/>
  <c r="H115" i="14"/>
  <c r="I115" i="14" s="1"/>
  <c r="E116" i="14"/>
  <c r="G116" i="14" s="1"/>
  <c r="F116" i="14"/>
  <c r="G118" i="14"/>
  <c r="H118" i="14" s="1"/>
  <c r="I118" i="14" s="1"/>
  <c r="I119" i="14"/>
  <c r="G120" i="14"/>
  <c r="H120" i="14"/>
  <c r="I120" i="14" s="1"/>
  <c r="G121" i="14"/>
  <c r="H121" i="14"/>
  <c r="I121" i="14" s="1"/>
  <c r="G122" i="14"/>
  <c r="H122" i="14" s="1"/>
  <c r="I122" i="14" s="1"/>
  <c r="G123" i="14"/>
  <c r="H123" i="14" s="1"/>
  <c r="I123" i="14" s="1"/>
  <c r="G124" i="14"/>
  <c r="H124" i="14" s="1"/>
  <c r="I124" i="14"/>
  <c r="G125" i="14"/>
  <c r="H125" i="14"/>
  <c r="I125" i="14"/>
  <c r="G126" i="14"/>
  <c r="H126" i="14"/>
  <c r="I126" i="14"/>
  <c r="G127" i="14"/>
  <c r="H127" i="14"/>
  <c r="I127" i="14" s="1"/>
  <c r="G128" i="14"/>
  <c r="H128" i="14"/>
  <c r="I128" i="14" s="1"/>
  <c r="E129" i="14"/>
  <c r="G129" i="14" s="1"/>
  <c r="F129" i="14"/>
  <c r="H129" i="14" s="1"/>
  <c r="G132" i="14"/>
  <c r="H132" i="14"/>
  <c r="I132" i="14"/>
  <c r="G133" i="14"/>
  <c r="H133" i="14"/>
  <c r="I133" i="14"/>
  <c r="G134" i="14"/>
  <c r="H134" i="14"/>
  <c r="I134" i="14" s="1"/>
  <c r="G135" i="14"/>
  <c r="H135" i="14" s="1"/>
  <c r="I135" i="14" s="1"/>
  <c r="G136" i="14"/>
  <c r="H136" i="14"/>
  <c r="I136" i="14" s="1"/>
  <c r="G137" i="14"/>
  <c r="H137" i="14" s="1"/>
  <c r="I137" i="14"/>
  <c r="G138" i="14"/>
  <c r="H138" i="14" s="1"/>
  <c r="I138" i="14" s="1"/>
  <c r="G139" i="14"/>
  <c r="H139" i="14" s="1"/>
  <c r="I139" i="14"/>
  <c r="G140" i="14"/>
  <c r="H140" i="14"/>
  <c r="I140" i="14" s="1"/>
  <c r="G141" i="14"/>
  <c r="H141" i="14"/>
  <c r="I141" i="14"/>
  <c r="G142" i="14"/>
  <c r="H142" i="14"/>
  <c r="I142" i="14" s="1"/>
  <c r="G143" i="14"/>
  <c r="H143" i="14"/>
  <c r="I143" i="14" s="1"/>
  <c r="G144" i="14"/>
  <c r="H144" i="14"/>
  <c r="I144" i="14" s="1"/>
  <c r="G145" i="14"/>
  <c r="H145" i="14" s="1"/>
  <c r="I145" i="14" s="1"/>
  <c r="G146" i="14"/>
  <c r="H146" i="14" s="1"/>
  <c r="I146" i="14" s="1"/>
  <c r="E147" i="14"/>
  <c r="F147" i="14"/>
  <c r="G149" i="14"/>
  <c r="H149" i="14"/>
  <c r="I149" i="14" s="1"/>
  <c r="G150" i="14"/>
  <c r="H150" i="14"/>
  <c r="I150" i="14" s="1"/>
  <c r="G151" i="14"/>
  <c r="H151" i="14" s="1"/>
  <c r="I151" i="14"/>
  <c r="G152" i="14"/>
  <c r="H152" i="14" s="1"/>
  <c r="I152" i="14" s="1"/>
  <c r="G153" i="14"/>
  <c r="H153" i="14" s="1"/>
  <c r="I153" i="14" s="1"/>
  <c r="E154" i="14"/>
  <c r="F154" i="14"/>
  <c r="G154" i="14" s="1"/>
  <c r="G165" i="14"/>
  <c r="H165" i="14"/>
  <c r="K165" i="14"/>
  <c r="L165" i="14" s="1"/>
  <c r="O165" i="14"/>
  <c r="P165" i="14"/>
  <c r="V165" i="14" s="1"/>
  <c r="G166" i="14"/>
  <c r="H166" i="14"/>
  <c r="U166" i="14" s="1"/>
  <c r="K166" i="14"/>
  <c r="L166" i="14" s="1"/>
  <c r="O166" i="14"/>
  <c r="P166" i="14"/>
  <c r="G167" i="14"/>
  <c r="H167" i="14"/>
  <c r="U167" i="14" s="1"/>
  <c r="K167" i="14"/>
  <c r="L167" i="14" s="1"/>
  <c r="O167" i="14"/>
  <c r="P167" i="14"/>
  <c r="G168" i="14"/>
  <c r="H168" i="14"/>
  <c r="K168" i="14"/>
  <c r="L168" i="14" s="1"/>
  <c r="O168" i="14"/>
  <c r="P168" i="14"/>
  <c r="V168" i="14"/>
  <c r="G169" i="14"/>
  <c r="H169" i="14"/>
  <c r="K169" i="14"/>
  <c r="L169" i="14" s="1"/>
  <c r="O169" i="14"/>
  <c r="P169" i="14"/>
  <c r="V169" i="14" s="1"/>
  <c r="G170" i="14"/>
  <c r="H170" i="14"/>
  <c r="U170" i="14" s="1"/>
  <c r="K170" i="14"/>
  <c r="L170" i="14" s="1"/>
  <c r="O170" i="14"/>
  <c r="P170" i="14"/>
  <c r="G171" i="14"/>
  <c r="H171" i="14"/>
  <c r="U171" i="14" s="1"/>
  <c r="K171" i="14"/>
  <c r="L171" i="14" s="1"/>
  <c r="O171" i="14"/>
  <c r="P171" i="14"/>
  <c r="G172" i="14"/>
  <c r="H172" i="14"/>
  <c r="K172" i="14"/>
  <c r="L172" i="14" s="1"/>
  <c r="O172" i="14"/>
  <c r="P172" i="14"/>
  <c r="V172" i="14"/>
  <c r="G173" i="14"/>
  <c r="H173" i="14"/>
  <c r="K173" i="14"/>
  <c r="L173" i="14" s="1"/>
  <c r="O173" i="14"/>
  <c r="P173" i="14"/>
  <c r="V173" i="14" s="1"/>
  <c r="G174" i="14"/>
  <c r="H174" i="14"/>
  <c r="U174" i="14" s="1"/>
  <c r="K174" i="14"/>
  <c r="L174" i="14" s="1"/>
  <c r="O174" i="14"/>
  <c r="P174" i="14"/>
  <c r="G175" i="14"/>
  <c r="H175" i="14"/>
  <c r="U175" i="14" s="1"/>
  <c r="K175" i="14"/>
  <c r="L175" i="14" s="1"/>
  <c r="O175" i="14"/>
  <c r="P175" i="14"/>
  <c r="G176" i="14"/>
  <c r="H176" i="14"/>
  <c r="K176" i="14"/>
  <c r="L176" i="14" s="1"/>
  <c r="O176" i="14"/>
  <c r="P176" i="14"/>
  <c r="V176" i="14"/>
  <c r="G177" i="14"/>
  <c r="H177" i="14"/>
  <c r="K177" i="14"/>
  <c r="L177" i="14" s="1"/>
  <c r="O177" i="14"/>
  <c r="P177" i="14"/>
  <c r="V177" i="14" s="1"/>
  <c r="G178" i="14"/>
  <c r="H178" i="14"/>
  <c r="U178" i="14" s="1"/>
  <c r="K178" i="14"/>
  <c r="L178" i="14" s="1"/>
  <c r="O178" i="14"/>
  <c r="P178" i="14"/>
  <c r="G179" i="14"/>
  <c r="H179" i="14"/>
  <c r="U179" i="14" s="1"/>
  <c r="K179" i="14"/>
  <c r="L179" i="14" s="1"/>
  <c r="O179" i="14"/>
  <c r="P179" i="14"/>
  <c r="G180" i="14"/>
  <c r="H180" i="14"/>
  <c r="K180" i="14"/>
  <c r="L180" i="14" s="1"/>
  <c r="O180" i="14"/>
  <c r="P180" i="14"/>
  <c r="V180" i="14"/>
  <c r="G181" i="14"/>
  <c r="H181" i="14"/>
  <c r="K181" i="14"/>
  <c r="L181" i="14" s="1"/>
  <c r="O181" i="14"/>
  <c r="P181" i="14"/>
  <c r="V181" i="14"/>
  <c r="G182" i="14"/>
  <c r="H182" i="14"/>
  <c r="U182" i="14" s="1"/>
  <c r="K182" i="14"/>
  <c r="L182" i="14" s="1"/>
  <c r="O182" i="14"/>
  <c r="P182" i="14"/>
  <c r="G183" i="14"/>
  <c r="H183" i="14"/>
  <c r="U183" i="14" s="1"/>
  <c r="K183" i="14"/>
  <c r="L183" i="14" s="1"/>
  <c r="O183" i="14"/>
  <c r="P183" i="14"/>
  <c r="G184" i="14"/>
  <c r="H184" i="14"/>
  <c r="K184" i="14"/>
  <c r="L184" i="14" s="1"/>
  <c r="O184" i="14"/>
  <c r="P184" i="14"/>
  <c r="V184" i="14"/>
  <c r="G185" i="14"/>
  <c r="H185" i="14"/>
  <c r="K185" i="14"/>
  <c r="L185" i="14" s="1"/>
  <c r="O185" i="14"/>
  <c r="P185" i="14"/>
  <c r="V185" i="14"/>
  <c r="G186" i="14"/>
  <c r="H186" i="14"/>
  <c r="U186" i="14" s="1"/>
  <c r="K186" i="14"/>
  <c r="L186" i="14" s="1"/>
  <c r="O186" i="14"/>
  <c r="P186" i="14"/>
  <c r="G187" i="14"/>
  <c r="H187" i="14"/>
  <c r="U187" i="14" s="1"/>
  <c r="K187" i="14"/>
  <c r="L187" i="14" s="1"/>
  <c r="O187" i="14"/>
  <c r="P187" i="14"/>
  <c r="G188" i="14"/>
  <c r="H188" i="14"/>
  <c r="K188" i="14"/>
  <c r="L188" i="14" s="1"/>
  <c r="O188" i="14"/>
  <c r="P188" i="14" s="1"/>
  <c r="V188" i="14" s="1"/>
  <c r="G189" i="14"/>
  <c r="H189" i="14"/>
  <c r="K189" i="14"/>
  <c r="L189" i="14" s="1"/>
  <c r="O189" i="14"/>
  <c r="P189" i="14"/>
  <c r="V189" i="14"/>
  <c r="G190" i="14"/>
  <c r="H190" i="14"/>
  <c r="K190" i="14"/>
  <c r="L190" i="14" s="1"/>
  <c r="O190" i="14"/>
  <c r="P190" i="14" s="1"/>
  <c r="G191" i="14"/>
  <c r="H191" i="14"/>
  <c r="K191" i="14"/>
  <c r="L191" i="14" s="1"/>
  <c r="O191" i="14"/>
  <c r="P191" i="14" s="1"/>
  <c r="G192" i="14"/>
  <c r="H192" i="14"/>
  <c r="K192" i="14"/>
  <c r="L192" i="14" s="1"/>
  <c r="O192" i="14"/>
  <c r="P192" i="14" s="1"/>
  <c r="V192" i="14" s="1"/>
  <c r="G193" i="14"/>
  <c r="H193" i="14"/>
  <c r="K193" i="14"/>
  <c r="L193" i="14" s="1"/>
  <c r="O193" i="14"/>
  <c r="P193" i="14"/>
  <c r="V193" i="14"/>
  <c r="G194" i="14"/>
  <c r="H194" i="14"/>
  <c r="K194" i="14"/>
  <c r="L194" i="14" s="1"/>
  <c r="O194" i="14"/>
  <c r="P194" i="14" s="1"/>
  <c r="G195" i="14"/>
  <c r="H195" i="14"/>
  <c r="K195" i="14"/>
  <c r="L195" i="14"/>
  <c r="O195" i="14"/>
  <c r="P195" i="14" s="1"/>
  <c r="G196" i="14"/>
  <c r="H196" i="14"/>
  <c r="K196" i="14"/>
  <c r="L196" i="14" s="1"/>
  <c r="O196" i="14"/>
  <c r="P196" i="14" s="1"/>
  <c r="G197" i="14"/>
  <c r="H197" i="14"/>
  <c r="K197" i="14"/>
  <c r="L197" i="14"/>
  <c r="V197" i="14" s="1"/>
  <c r="O197" i="14"/>
  <c r="P197" i="14"/>
  <c r="G198" i="14"/>
  <c r="H198" i="14"/>
  <c r="K198" i="14"/>
  <c r="L198" i="14"/>
  <c r="O198" i="14"/>
  <c r="P198" i="14" s="1"/>
  <c r="V198" i="14" s="1"/>
  <c r="G199" i="14"/>
  <c r="H199" i="14"/>
  <c r="K199" i="14"/>
  <c r="L199" i="14"/>
  <c r="O199" i="14"/>
  <c r="P199" i="14"/>
  <c r="V199" i="14" s="1"/>
  <c r="G200" i="14"/>
  <c r="H200" i="14"/>
  <c r="K200" i="14"/>
  <c r="L200" i="14" s="1"/>
  <c r="V200" i="14" s="1"/>
  <c r="O200" i="14"/>
  <c r="P200" i="14"/>
  <c r="G201" i="14"/>
  <c r="H201" i="14"/>
  <c r="K201" i="14"/>
  <c r="L201" i="14" s="1"/>
  <c r="O201" i="14"/>
  <c r="P201" i="14"/>
  <c r="G202" i="14"/>
  <c r="H202" i="14"/>
  <c r="K202" i="14"/>
  <c r="L202" i="14" s="1"/>
  <c r="O202" i="14"/>
  <c r="P202" i="14" s="1"/>
  <c r="G203" i="14"/>
  <c r="H203" i="14"/>
  <c r="K203" i="14"/>
  <c r="L203" i="14"/>
  <c r="O203" i="14"/>
  <c r="P203" i="14" s="1"/>
  <c r="G204" i="14"/>
  <c r="H204" i="14"/>
  <c r="K204" i="14"/>
  <c r="L204" i="14" s="1"/>
  <c r="O204" i="14"/>
  <c r="P204" i="14" s="1"/>
  <c r="E205" i="14"/>
  <c r="F205" i="14"/>
  <c r="G205" i="14"/>
  <c r="H205" i="14"/>
  <c r="I205" i="14"/>
  <c r="J205" i="14"/>
  <c r="M205" i="14"/>
  <c r="N205" i="14"/>
  <c r="O205" i="14"/>
  <c r="P205" i="14"/>
  <c r="G207" i="14"/>
  <c r="H207" i="14" s="1"/>
  <c r="K207" i="14"/>
  <c r="L207" i="14"/>
  <c r="O207" i="14"/>
  <c r="P207" i="14"/>
  <c r="G208" i="14"/>
  <c r="H208" i="14" s="1"/>
  <c r="K208" i="14"/>
  <c r="L208" i="14"/>
  <c r="O208" i="14"/>
  <c r="P208" i="14"/>
  <c r="G209" i="14"/>
  <c r="H209" i="14" s="1"/>
  <c r="K209" i="14"/>
  <c r="L209" i="14"/>
  <c r="O209" i="14"/>
  <c r="P209" i="14"/>
  <c r="E210" i="14"/>
  <c r="G210" i="14" s="1"/>
  <c r="F210" i="14"/>
  <c r="H210" i="14"/>
  <c r="I210" i="14"/>
  <c r="J210" i="14"/>
  <c r="K210" i="14" s="1"/>
  <c r="L210" i="14" s="1"/>
  <c r="M210" i="14"/>
  <c r="N210" i="14"/>
  <c r="N240" i="14" s="1"/>
  <c r="V211" i="14"/>
  <c r="G212" i="14"/>
  <c r="H212" i="14" s="1"/>
  <c r="K212" i="14"/>
  <c r="L212" i="14"/>
  <c r="O212" i="14"/>
  <c r="P212" i="14" s="1"/>
  <c r="G213" i="14"/>
  <c r="H213" i="14" s="1"/>
  <c r="K213" i="14"/>
  <c r="L213" i="14" s="1"/>
  <c r="O213" i="14"/>
  <c r="P213" i="14" s="1"/>
  <c r="G214" i="14"/>
  <c r="H214" i="14"/>
  <c r="K214" i="14"/>
  <c r="L214" i="14" s="1"/>
  <c r="O214" i="14"/>
  <c r="P214" i="14" s="1"/>
  <c r="E215" i="14"/>
  <c r="F215" i="14"/>
  <c r="G215" i="14"/>
  <c r="H215" i="14" s="1"/>
  <c r="I215" i="14"/>
  <c r="J215" i="14"/>
  <c r="K215" i="14"/>
  <c r="L215" i="14"/>
  <c r="M215" i="14"/>
  <c r="N215" i="14"/>
  <c r="O215" i="14"/>
  <c r="P215" i="14" s="1"/>
  <c r="V216" i="14"/>
  <c r="O217" i="14"/>
  <c r="P217" i="14"/>
  <c r="U217" i="14"/>
  <c r="V217" i="14"/>
  <c r="O218" i="14"/>
  <c r="P218" i="14"/>
  <c r="U218" i="14" s="1"/>
  <c r="K219" i="14"/>
  <c r="L219" i="14"/>
  <c r="O219" i="14"/>
  <c r="P219" i="14"/>
  <c r="U219" i="14" s="1"/>
  <c r="V219" i="14"/>
  <c r="K220" i="14"/>
  <c r="L220" i="14" s="1"/>
  <c r="O220" i="14"/>
  <c r="P220" i="14"/>
  <c r="O221" i="14"/>
  <c r="P221" i="14"/>
  <c r="U221" i="14" s="1"/>
  <c r="K223" i="14"/>
  <c r="L223" i="14"/>
  <c r="O223" i="14"/>
  <c r="P223" i="14"/>
  <c r="S223" i="14"/>
  <c r="T223" i="14"/>
  <c r="U223" i="14" s="1"/>
  <c r="I224" i="14"/>
  <c r="J224" i="14"/>
  <c r="K224" i="14"/>
  <c r="L224" i="14"/>
  <c r="M224" i="14"/>
  <c r="N224" i="14"/>
  <c r="O224" i="14" s="1"/>
  <c r="Q224" i="14"/>
  <c r="R224" i="14"/>
  <c r="S224" i="14"/>
  <c r="T224" i="14"/>
  <c r="K225" i="14"/>
  <c r="L225" i="14"/>
  <c r="O225" i="14"/>
  <c r="P225" i="14" s="1"/>
  <c r="S225" i="14"/>
  <c r="T225" i="14"/>
  <c r="U226" i="14"/>
  <c r="V226" i="14"/>
  <c r="G227" i="14"/>
  <c r="H227" i="14" s="1"/>
  <c r="K227" i="14"/>
  <c r="L227" i="14"/>
  <c r="O227" i="14"/>
  <c r="P227" i="14"/>
  <c r="G228" i="14"/>
  <c r="H228" i="14" s="1"/>
  <c r="K228" i="14"/>
  <c r="L228" i="14"/>
  <c r="O228" i="14"/>
  <c r="P228" i="14"/>
  <c r="G229" i="14"/>
  <c r="H229" i="14" s="1"/>
  <c r="K229" i="14"/>
  <c r="L229" i="14"/>
  <c r="O229" i="14"/>
  <c r="P229" i="14"/>
  <c r="G230" i="14"/>
  <c r="H230" i="14" s="1"/>
  <c r="K230" i="14"/>
  <c r="L230" i="14"/>
  <c r="O230" i="14"/>
  <c r="P230" i="14"/>
  <c r="G231" i="14"/>
  <c r="H231" i="14" s="1"/>
  <c r="K231" i="14"/>
  <c r="L231" i="14"/>
  <c r="O231" i="14"/>
  <c r="P231" i="14"/>
  <c r="G232" i="14"/>
  <c r="H232" i="14" s="1"/>
  <c r="K232" i="14"/>
  <c r="L232" i="14"/>
  <c r="O232" i="14"/>
  <c r="P232" i="14"/>
  <c r="G233" i="14"/>
  <c r="H233" i="14" s="1"/>
  <c r="K233" i="14"/>
  <c r="L233" i="14"/>
  <c r="O233" i="14"/>
  <c r="P233" i="14"/>
  <c r="G234" i="14"/>
  <c r="H234" i="14" s="1"/>
  <c r="K234" i="14"/>
  <c r="L234" i="14"/>
  <c r="O234" i="14"/>
  <c r="P234" i="14"/>
  <c r="E235" i="14"/>
  <c r="G235" i="14" s="1"/>
  <c r="F235" i="14"/>
  <c r="I235" i="14"/>
  <c r="L235" i="14" s="1"/>
  <c r="J235" i="14"/>
  <c r="K235" i="14"/>
  <c r="M235" i="14"/>
  <c r="M240" i="14" s="1"/>
  <c r="N235" i="14"/>
  <c r="V236" i="14"/>
  <c r="G237" i="14"/>
  <c r="H237" i="14"/>
  <c r="K237" i="14"/>
  <c r="L237" i="14"/>
  <c r="O237" i="14"/>
  <c r="P237" i="14" s="1"/>
  <c r="S237" i="14"/>
  <c r="T237" i="14"/>
  <c r="G238" i="14"/>
  <c r="H238" i="14"/>
  <c r="V238" i="14" s="1"/>
  <c r="K238" i="14"/>
  <c r="L238" i="14" s="1"/>
  <c r="O238" i="14"/>
  <c r="P238" i="14"/>
  <c r="S238" i="14"/>
  <c r="T238" i="14"/>
  <c r="E239" i="14"/>
  <c r="G239" i="14" s="1"/>
  <c r="F239" i="14"/>
  <c r="I239" i="14"/>
  <c r="K239" i="14" s="1"/>
  <c r="L239" i="14" s="1"/>
  <c r="J239" i="14"/>
  <c r="M239" i="14"/>
  <c r="O239" i="14" s="1"/>
  <c r="N239" i="14"/>
  <c r="Q239" i="14"/>
  <c r="S239" i="14" s="1"/>
  <c r="T239" i="14" s="1"/>
  <c r="R239" i="14"/>
  <c r="E240" i="14"/>
  <c r="G240" i="14" s="1"/>
  <c r="F240" i="14"/>
  <c r="I240" i="14"/>
  <c r="Q240" i="14"/>
  <c r="S240" i="14" s="1"/>
  <c r="T240" i="14" s="1"/>
  <c r="R240" i="14"/>
  <c r="E8" i="4"/>
  <c r="P8" i="4" s="1"/>
  <c r="E9" i="4"/>
  <c r="P9" i="4"/>
  <c r="E10" i="4"/>
  <c r="P10" i="4"/>
  <c r="E11" i="4"/>
  <c r="P11" i="4"/>
  <c r="E12" i="4"/>
  <c r="P12" i="4" s="1"/>
  <c r="E13" i="4"/>
  <c r="P13" i="4"/>
  <c r="E14" i="4"/>
  <c r="P14" i="4"/>
  <c r="E15" i="4"/>
  <c r="P15" i="4"/>
  <c r="E16" i="4"/>
  <c r="P16" i="4" s="1"/>
  <c r="E17" i="4"/>
  <c r="P17" i="4"/>
  <c r="E18" i="4"/>
  <c r="P18" i="4"/>
  <c r="E19" i="4"/>
  <c r="P19" i="4"/>
  <c r="E20" i="4"/>
  <c r="P20" i="4" s="1"/>
  <c r="E21" i="4"/>
  <c r="P21" i="4"/>
  <c r="E22" i="4"/>
  <c r="P22" i="4"/>
  <c r="E23" i="4"/>
  <c r="P23" i="4"/>
  <c r="E24" i="4"/>
  <c r="P24" i="4" s="1"/>
  <c r="E25" i="4"/>
  <c r="P25" i="4"/>
  <c r="E26" i="4"/>
  <c r="P26" i="4"/>
  <c r="E27" i="4"/>
  <c r="P27" i="4"/>
  <c r="E28" i="4"/>
  <c r="P28" i="4" s="1"/>
  <c r="E29" i="4"/>
  <c r="P29" i="4"/>
  <c r="E30" i="4"/>
  <c r="P30" i="4"/>
  <c r="E31" i="4"/>
  <c r="P31" i="4"/>
  <c r="E32" i="4"/>
  <c r="P32" i="4" s="1"/>
  <c r="E33" i="4"/>
  <c r="P33" i="4"/>
  <c r="E34" i="4"/>
  <c r="P34" i="4"/>
  <c r="E35" i="4"/>
  <c r="P35" i="4"/>
  <c r="E36" i="4"/>
  <c r="P36" i="4" s="1"/>
  <c r="E37" i="4"/>
  <c r="P37" i="4"/>
  <c r="E38" i="4"/>
  <c r="P38" i="4"/>
  <c r="E39" i="4"/>
  <c r="P39" i="4"/>
  <c r="E40" i="4"/>
  <c r="P40" i="4" s="1"/>
  <c r="E41" i="4"/>
  <c r="P41" i="4"/>
  <c r="E42" i="4"/>
  <c r="P42" i="4"/>
  <c r="E43" i="4"/>
  <c r="P43" i="4"/>
  <c r="E44" i="4"/>
  <c r="P44" i="4" s="1"/>
  <c r="E45" i="4"/>
  <c r="P45" i="4"/>
  <c r="E46" i="4"/>
  <c r="P46" i="4"/>
  <c r="E47" i="4"/>
  <c r="P47" i="4"/>
  <c r="P48" i="4"/>
  <c r="P49" i="4"/>
  <c r="P50" i="4"/>
  <c r="P51" i="4"/>
  <c r="P52" i="4"/>
  <c r="P53" i="4"/>
  <c r="P54" i="4"/>
  <c r="E57" i="4"/>
  <c r="C58" i="4"/>
  <c r="D58" i="4"/>
  <c r="G58" i="4"/>
  <c r="H58" i="4"/>
  <c r="I58" i="4"/>
  <c r="J58" i="4"/>
  <c r="L58" i="4"/>
  <c r="M58" i="4"/>
  <c r="N58" i="4"/>
  <c r="M11" i="3"/>
  <c r="N11" i="3"/>
  <c r="M12" i="3"/>
  <c r="N12" i="3"/>
  <c r="M13" i="3"/>
  <c r="N13" i="3"/>
  <c r="M14" i="3"/>
  <c r="M15" i="3"/>
  <c r="G8" i="12"/>
  <c r="G9" i="12"/>
  <c r="G11" i="12"/>
  <c r="N11" i="12"/>
  <c r="E24" i="12"/>
  <c r="F24" i="12"/>
  <c r="G24" i="12"/>
  <c r="H24" i="12"/>
  <c r="I24" i="12"/>
  <c r="J24" i="12"/>
  <c r="K24" i="12"/>
  <c r="L24" i="12"/>
  <c r="E25" i="12"/>
  <c r="F25" i="12"/>
  <c r="N25" i="12" s="1"/>
  <c r="G25" i="12"/>
  <c r="H25" i="12"/>
  <c r="I25" i="12"/>
  <c r="J25" i="12"/>
  <c r="K25" i="12"/>
  <c r="L25" i="12"/>
  <c r="H36" i="12"/>
  <c r="M37" i="12" s="1"/>
  <c r="J36" i="12"/>
  <c r="K36" i="12"/>
  <c r="L36" i="12"/>
  <c r="H37" i="12"/>
  <c r="J37" i="12"/>
  <c r="K37" i="12"/>
  <c r="L37" i="12"/>
  <c r="H38" i="12"/>
  <c r="J38" i="12"/>
  <c r="K38" i="12"/>
  <c r="L38" i="12"/>
  <c r="H39" i="12"/>
  <c r="M39" i="12" s="1"/>
  <c r="J39" i="12"/>
  <c r="K39" i="12"/>
  <c r="L39" i="12"/>
  <c r="H40" i="12"/>
  <c r="J40" i="12"/>
  <c r="K40" i="12"/>
  <c r="L40" i="12"/>
  <c r="H41" i="12"/>
  <c r="M41" i="12" s="1"/>
  <c r="J41" i="12"/>
  <c r="K41" i="12"/>
  <c r="L41" i="12"/>
  <c r="E42" i="12"/>
  <c r="N43" i="12" s="1"/>
  <c r="F42" i="12"/>
  <c r="G42" i="12"/>
  <c r="G49" i="12"/>
  <c r="N49" i="12"/>
  <c r="G56" i="12"/>
  <c r="M56" i="12"/>
  <c r="N57" i="12" s="1"/>
  <c r="G57" i="12"/>
  <c r="M57" i="12"/>
  <c r="E69" i="12"/>
  <c r="G69" i="12"/>
  <c r="N69" i="12"/>
  <c r="U227" i="14" l="1"/>
  <c r="V227" i="14"/>
  <c r="U213" i="14"/>
  <c r="V213" i="14"/>
  <c r="U209" i="14"/>
  <c r="V209" i="14"/>
  <c r="O240" i="14"/>
  <c r="P240" i="14"/>
  <c r="V228" i="14"/>
  <c r="U228" i="14"/>
  <c r="U230" i="14"/>
  <c r="V230" i="14"/>
  <c r="U220" i="14"/>
  <c r="V220" i="14"/>
  <c r="U207" i="14"/>
  <c r="V207" i="14"/>
  <c r="V190" i="14"/>
  <c r="U231" i="14"/>
  <c r="V231" i="14"/>
  <c r="V234" i="14"/>
  <c r="U234" i="14"/>
  <c r="P224" i="14"/>
  <c r="U214" i="14"/>
  <c r="U212" i="14"/>
  <c r="V212" i="14"/>
  <c r="U229" i="14"/>
  <c r="V229" i="14"/>
  <c r="U225" i="14"/>
  <c r="U233" i="14"/>
  <c r="V233" i="14"/>
  <c r="U237" i="14"/>
  <c r="V232" i="14"/>
  <c r="U232" i="14"/>
  <c r="U208" i="14"/>
  <c r="V208" i="14"/>
  <c r="V201" i="14"/>
  <c r="U238" i="14"/>
  <c r="K205" i="14"/>
  <c r="L205" i="14" s="1"/>
  <c r="U202" i="14"/>
  <c r="F155" i="14"/>
  <c r="H96" i="14"/>
  <c r="V95" i="14"/>
  <c r="V93" i="14"/>
  <c r="V91" i="14"/>
  <c r="E80" i="14"/>
  <c r="U194" i="14"/>
  <c r="U203" i="14"/>
  <c r="U195" i="14"/>
  <c r="U191" i="14"/>
  <c r="M40" i="12"/>
  <c r="H147" i="14"/>
  <c r="J240" i="14"/>
  <c r="K240" i="14" s="1"/>
  <c r="V237" i="14"/>
  <c r="V225" i="14"/>
  <c r="V214" i="14"/>
  <c r="O210" i="14"/>
  <c r="P210" i="14" s="1"/>
  <c r="U204" i="14"/>
  <c r="U196" i="14"/>
  <c r="H22" i="14"/>
  <c r="M36" i="12"/>
  <c r="N41" i="12" s="1"/>
  <c r="H240" i="14"/>
  <c r="P239" i="14"/>
  <c r="H239" i="14"/>
  <c r="V202" i="14"/>
  <c r="U197" i="14"/>
  <c r="V194" i="14"/>
  <c r="U192" i="14"/>
  <c r="U188" i="14"/>
  <c r="V186" i="14"/>
  <c r="U184" i="14"/>
  <c r="V182" i="14"/>
  <c r="U180" i="14"/>
  <c r="V178" i="14"/>
  <c r="U176" i="14"/>
  <c r="V174" i="14"/>
  <c r="U172" i="14"/>
  <c r="V170" i="14"/>
  <c r="U168" i="14"/>
  <c r="V166" i="14"/>
  <c r="H154" i="14"/>
  <c r="J22" i="14"/>
  <c r="K22" i="14" s="1"/>
  <c r="M38" i="12"/>
  <c r="J42" i="12"/>
  <c r="E58" i="4"/>
  <c r="H235" i="14"/>
  <c r="V203" i="14"/>
  <c r="U198" i="14"/>
  <c r="V195" i="14"/>
  <c r="V99" i="14"/>
  <c r="R96" i="14"/>
  <c r="R98" i="14" s="1"/>
  <c r="R102" i="14" s="1"/>
  <c r="U201" i="14"/>
  <c r="U190" i="14"/>
  <c r="H42" i="12"/>
  <c r="O235" i="14"/>
  <c r="P235" i="14" s="1"/>
  <c r="V223" i="14"/>
  <c r="V221" i="14"/>
  <c r="V218" i="14"/>
  <c r="V204" i="14"/>
  <c r="U199" i="14"/>
  <c r="V196" i="14"/>
  <c r="U193" i="14"/>
  <c r="V191" i="14"/>
  <c r="U189" i="14"/>
  <c r="V187" i="14"/>
  <c r="U185" i="14"/>
  <c r="V183" i="14"/>
  <c r="U181" i="14"/>
  <c r="V179" i="14"/>
  <c r="U177" i="14"/>
  <c r="V175" i="14"/>
  <c r="U173" i="14"/>
  <c r="V171" i="14"/>
  <c r="U169" i="14"/>
  <c r="V167" i="14"/>
  <c r="U165" i="14"/>
  <c r="G147" i="14"/>
  <c r="T94" i="14"/>
  <c r="T92" i="14"/>
  <c r="Q96" i="14"/>
  <c r="T90" i="14"/>
  <c r="H79" i="14"/>
  <c r="U200" i="14"/>
  <c r="H74" i="14"/>
  <c r="G69" i="14"/>
  <c r="H69" i="14" s="1"/>
  <c r="G22" i="14"/>
  <c r="E155" i="14"/>
  <c r="H116" i="14"/>
  <c r="T95" i="14"/>
  <c r="T93" i="14"/>
  <c r="T91" i="14"/>
  <c r="H80" i="14" l="1"/>
  <c r="G80" i="14"/>
  <c r="Q98" i="14"/>
  <c r="S96" i="14"/>
  <c r="T96" i="14" s="1"/>
  <c r="G155" i="14"/>
  <c r="H155" i="14"/>
  <c r="L240" i="14"/>
  <c r="Q102" i="14" l="1"/>
  <c r="S98" i="14"/>
  <c r="T98" i="14" s="1"/>
  <c r="T102" i="14" l="1"/>
  <c r="S102" i="14"/>
</calcChain>
</file>

<file path=xl/sharedStrings.xml><?xml version="1.0" encoding="utf-8"?>
<sst xmlns="http://schemas.openxmlformats.org/spreadsheetml/2006/main" count="1122" uniqueCount="497">
  <si>
    <t>Thank you for sending your finance data to HESA.  The return has successfully passed through</t>
  </si>
  <si>
    <t>the HESA validation system and has now been loaded to the HESA database for checking.</t>
  </si>
  <si>
    <t>This workbook contains the check documentation for your institution, namely:</t>
  </si>
  <si>
    <t>1. A set of summary income and expenditure information and financial profiles derived from your return</t>
  </si>
  <si>
    <t>HESA will be scrutinising this data over the next two weeks and may wish to raise queries with</t>
  </si>
  <si>
    <t>In order to progress the data collection exercise, please check this data and either:</t>
  </si>
  <si>
    <t>If you wish to resubmit your data, please contact HESA by:</t>
  </si>
  <si>
    <t>If you need to make a resubmission, this needs to have been received by HESA and passed validation by:</t>
  </si>
  <si>
    <t>Please note that, as part of the new data quality assurance procedures, HESA requires</t>
  </si>
  <si>
    <t>the return to be signed off by the head of your institution, or by a person with suitable</t>
  </si>
  <si>
    <t>authority.</t>
  </si>
  <si>
    <t>If you have any queries relating to this file, please contact Institutional Liaison at HESA</t>
  </si>
  <si>
    <t>Institution</t>
  </si>
  <si>
    <t>Item 1 - Summary Financial Statistics</t>
  </si>
  <si>
    <t>The following figures would normally be expected to match the corresponding values on the Published Accounts</t>
  </si>
  <si>
    <t>Difference</t>
  </si>
  <si>
    <t>£000s</t>
  </si>
  <si>
    <t>Total income (Table 1 Head 6)</t>
  </si>
  <si>
    <t>Total expenditure (Table 1 Head 11)</t>
  </si>
  <si>
    <t>Item 2 - Institutional Financial Profiles</t>
  </si>
  <si>
    <t>As published in HEMS - Institution Level (Financial Profiles)</t>
  </si>
  <si>
    <t>Ratio of liquid assets to current liabilities</t>
  </si>
  <si>
    <t>Days ratio of net liquid assets to total expenditure</t>
  </si>
  <si>
    <t>Ratio of current assets to current liabilities</t>
  </si>
  <si>
    <t>Days of current income (excluding funding council income) represented by debtors</t>
  </si>
  <si>
    <t>Days ratio of increase/(decrease) in cash &amp; cash equivalents to total expenditure</t>
  </si>
  <si>
    <t>Days ratio of net cash flow from operating activities plus returns on investment &amp; servicing of finance to total expenditure</t>
  </si>
  <si>
    <t>Ratio of total payroll costs to total expenditure</t>
  </si>
  <si>
    <t>% Ratio of historical surplus/(deficit) after tax to total income</t>
  </si>
  <si>
    <t>Days ratio of total general funds to total expenditure</t>
  </si>
  <si>
    <t>10a</t>
  </si>
  <si>
    <t>% Ratio of long-term liabilities to total general funds</t>
  </si>
  <si>
    <t>10ai</t>
  </si>
  <si>
    <t>10aii</t>
  </si>
  <si>
    <t>% Ratio of interest payable to total income</t>
  </si>
  <si>
    <t>% Ratio of premises (excluding residences &amp; catering) maintenance expenditure to total expenditure</t>
  </si>
  <si>
    <t>% Ratio of grants from higher education funding councils (HEFCs) to total income</t>
  </si>
  <si>
    <t>% Ratio of "T" grant from HEFCs to total income</t>
  </si>
  <si>
    <t>% Ratio of "R" grant from HEFCs to total income</t>
  </si>
  <si>
    <t>% Ratio of full-time home/European Community (EC) HE standard rate student fees to total income</t>
  </si>
  <si>
    <t>% Ratio of all overseas, full cost &amp; other HE students fees to total income</t>
  </si>
  <si>
    <t>% Ratio of income from research councils &amp; charities to total income</t>
  </si>
  <si>
    <t>% Ratio of income from other research grants &amp; contracts to total income</t>
  </si>
  <si>
    <t>% Income of other services rendered to total income</t>
  </si>
  <si>
    <t>% Ratio of residences &amp; catering income to total income</t>
  </si>
  <si>
    <t>% Ratio of miscellaneous income to total income</t>
  </si>
  <si>
    <t>Ratio</t>
  </si>
  <si>
    <t>FSR Template References</t>
  </si>
  <si>
    <t>(Table 2 Head 3iii + Head 3iv) / Table 2 Head 4</t>
  </si>
  <si>
    <t>Table 2 Head 3 / Table 2 Head 4</t>
  </si>
  <si>
    <t xml:space="preserve">Days ratio of net cash flow from operating activities + returns on investment &amp; servicing </t>
  </si>
  <si>
    <t>% Ratio of long-term liabilities (reimbursable by the funding council) to total general funds</t>
  </si>
  <si>
    <t>% Ratio of long-term liabilities (not reimbursable by the funding council) to total general funds</t>
  </si>
  <si>
    <t>Staff Data</t>
  </si>
  <si>
    <t>HE</t>
  </si>
  <si>
    <t>FE</t>
  </si>
  <si>
    <t>Total</t>
  </si>
  <si>
    <t>NCB</t>
  </si>
  <si>
    <t>Expenditure</t>
  </si>
  <si>
    <t>Research Income</t>
  </si>
  <si>
    <t>Cost Centre</t>
  </si>
  <si>
    <t>FTE</t>
  </si>
  <si>
    <t>Hours</t>
  </si>
  <si>
    <t>Count</t>
  </si>
  <si>
    <t>£000</t>
  </si>
  <si>
    <t>Clinical Medicine</t>
  </si>
  <si>
    <t>Clinical Dentistry</t>
  </si>
  <si>
    <t>Veterinary Science</t>
  </si>
  <si>
    <t>Anatomy and Physiology</t>
  </si>
  <si>
    <t>Nursing and Paramedical Studies</t>
  </si>
  <si>
    <t>Health and Community Studies</t>
  </si>
  <si>
    <t>Psychology and Behavioural Sciences</t>
  </si>
  <si>
    <t>Pharmacy</t>
  </si>
  <si>
    <t>Pharmacology</t>
  </si>
  <si>
    <t>Biosciences</t>
  </si>
  <si>
    <t>Chemistry</t>
  </si>
  <si>
    <t>Physics</t>
  </si>
  <si>
    <t>Agriculture and Forestry</t>
  </si>
  <si>
    <t>Earth, Marine and Environmental  Sciences</t>
  </si>
  <si>
    <t>General Sciences</t>
  </si>
  <si>
    <t>General Engineering</t>
  </si>
  <si>
    <t>Chemical Engineering</t>
  </si>
  <si>
    <t>Mineral, Metallurgy and Materials  Engineering</t>
  </si>
  <si>
    <t>Civil Engineering</t>
  </si>
  <si>
    <t>Electrical, Electronic and Computer Engineering</t>
  </si>
  <si>
    <t>Mechanical, Aero &amp; Production  Engineering</t>
  </si>
  <si>
    <t>Other Technologies</t>
  </si>
  <si>
    <t>Architecture, Built Environment &amp; Planning</t>
  </si>
  <si>
    <t>Mathematics</t>
  </si>
  <si>
    <t>Information Technology &amp; Systems Sciences</t>
  </si>
  <si>
    <t>Catering &amp; Hospitality Management</t>
  </si>
  <si>
    <t>Business &amp; Management Studies</t>
  </si>
  <si>
    <t>Geography</t>
  </si>
  <si>
    <t>Social Studies</t>
  </si>
  <si>
    <t>Librarianship, Communication &amp; Media Studies</t>
  </si>
  <si>
    <t>Language Based Studies</t>
  </si>
  <si>
    <t>Humanities</t>
  </si>
  <si>
    <t>Design &amp; Creative Arts</t>
  </si>
  <si>
    <t>Education</t>
  </si>
  <si>
    <t>French, Spanish &amp; German Modern Languages</t>
  </si>
  <si>
    <t>Other Modern Languages</t>
  </si>
  <si>
    <t>Archaeology</t>
  </si>
  <si>
    <t>Sports Science &amp; Leisure Studies</t>
  </si>
  <si>
    <t>Computer Software Engineering</t>
  </si>
  <si>
    <t>Continuing Education</t>
  </si>
  <si>
    <t>Central Libraries &amp; Information Services</t>
  </si>
  <si>
    <t>Central Computers &amp; Computer Networks</t>
  </si>
  <si>
    <t>Other Academic Services</t>
  </si>
  <si>
    <t>Central Administration &amp; Services</t>
  </si>
  <si>
    <t>Staff &amp; Student Facilities</t>
  </si>
  <si>
    <t>Premises</t>
  </si>
  <si>
    <t>Residences &amp; Catering</t>
  </si>
  <si>
    <t>Research Grants &amp; Contracts</t>
  </si>
  <si>
    <t>Other Expenditure</t>
  </si>
  <si>
    <t>Cost Centre not assignable</t>
  </si>
  <si>
    <t xml:space="preserve">Notes to Analyses    </t>
  </si>
  <si>
    <t>The total Individualised Staff Record FTE column will not always equal the sum of the FTE's due to rounding</t>
  </si>
  <si>
    <t xml:space="preserve">Net assets (Table 2 Head 9) </t>
  </si>
  <si>
    <t>365 x (Table 2 Head 3iii + Head 3iv - Head 4iii) / Table 1 Head 11</t>
  </si>
  <si>
    <t>365 x (Table 3 Head 6 + Head 8e) / Table 1 Head 11</t>
  </si>
  <si>
    <t>365 x (Table 3 Head 1 + Head 2f) / Table 1 Head 11</t>
  </si>
  <si>
    <t>100 x (Table 1 Head 7 / Head 11)</t>
  </si>
  <si>
    <t>100 x (Table 1 Head 22 / Table 1 Head 6)</t>
  </si>
  <si>
    <t>100 x (Table 1 Head 10 / Table 1 Head 6)</t>
  </si>
  <si>
    <t>100 x (Table 6 Head 4d + Head 4e) / Table 1 Head 11</t>
  </si>
  <si>
    <t>100 x (Table 5b Head 1ai) / Table 1 Head 6</t>
  </si>
  <si>
    <t>100 x (Table 5b Head 1aii) / Table 1 Head 6</t>
  </si>
  <si>
    <t>100 x (Table 5a Head 1ai + Head 1aiii) / Table 1 Head 6</t>
  </si>
  <si>
    <t>100 x (Table 5a Head 1aii +Heads 1aiv to 1avi + Head 1b) / Table 1 Head 6</t>
  </si>
  <si>
    <t>100 x (Table 5b Head 3a + Head 3b) / Table 1 Head 6</t>
  </si>
  <si>
    <t>100 x (Table 5b Heads 4ai to 4aviii) / Table 1 Head 6</t>
  </si>
  <si>
    <t>100 x (Table 5b Head 4b / Table 1 Head 6)</t>
  </si>
  <si>
    <r>
      <t xml:space="preserve">(Email: </t>
    </r>
    <r>
      <rPr>
        <b/>
        <sz val="10"/>
        <rFont val="Arial"/>
        <family val="2"/>
      </rPr>
      <t>liaison@hesa.ac.uk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or telephone 01242 211144).</t>
    </r>
  </si>
  <si>
    <t>Please note that the analyses presented here are for checking purposes only and do not necessarily</t>
  </si>
  <si>
    <t>represent the format in which figures will be published.</t>
  </si>
  <si>
    <t>365 x (Table 2 Head 11ii + Head 12iv) / Table 1 Head 11</t>
  </si>
  <si>
    <t>100 x Table 2 Head 7 / (Table 2 Head 11ii + Head 12iv)</t>
  </si>
  <si>
    <t>100 x Table 2 Head 7i / (Table 2 Head 11ii + Head 12iv)</t>
  </si>
  <si>
    <t>100 x (Table 2 Head 7ii + Head 7iii) / (Table 2 Head 11ii + Head 12iv)</t>
  </si>
  <si>
    <t>Staff FTE is calculated as FTE x Percentage Time Academic (as in Field 10, PERACA)</t>
  </si>
  <si>
    <t>Historical cost surplus/(deficit) for the period after taxation (Table 1 Head 22)</t>
  </si>
  <si>
    <t>Increase/(decrease) in cash in the period (Table 3 Head 9)</t>
  </si>
  <si>
    <t>% Ratio of total payroll costs to total expenditure</t>
  </si>
  <si>
    <t>% Ratio of all overseas, full-cost &amp; other HE students fees to total income</t>
  </si>
  <si>
    <t>Total £000's</t>
  </si>
  <si>
    <t>Table 4: Research Grants and Contracts</t>
  </si>
  <si>
    <t>Total Research Grants and Contracts TOTAL</t>
  </si>
  <si>
    <t>(cell K239)</t>
  </si>
  <si>
    <t>Table 6: Expenditure by Activity</t>
  </si>
  <si>
    <t>(cell I407)</t>
  </si>
  <si>
    <t>OST</t>
  </si>
  <si>
    <t>UK-based</t>
  </si>
  <si>
    <t>UK cent gov't/</t>
  </si>
  <si>
    <t>UK ind/</t>
  </si>
  <si>
    <t xml:space="preserve">EU </t>
  </si>
  <si>
    <t>Other</t>
  </si>
  <si>
    <t>Research</t>
  </si>
  <si>
    <t>charities</t>
  </si>
  <si>
    <t>loc auth, health</t>
  </si>
  <si>
    <t>comm/</t>
  </si>
  <si>
    <t>gov't</t>
  </si>
  <si>
    <t>other</t>
  </si>
  <si>
    <t>overseas</t>
  </si>
  <si>
    <t>sources</t>
  </si>
  <si>
    <t>Councils</t>
  </si>
  <si>
    <t>hospitals</t>
  </si>
  <si>
    <t>pub corps</t>
  </si>
  <si>
    <t>(cell C239)</t>
  </si>
  <si>
    <t>(cell D239)</t>
  </si>
  <si>
    <t>(cell E239)</t>
  </si>
  <si>
    <t>(cell F239)</t>
  </si>
  <si>
    <t>(cell G239)</t>
  </si>
  <si>
    <t>(cell H239)</t>
  </si>
  <si>
    <t>(cell I239)</t>
  </si>
  <si>
    <t>(cell J239)</t>
  </si>
  <si>
    <t>Total Research Grants and Contracts</t>
  </si>
  <si>
    <t>(cell I399)</t>
  </si>
  <si>
    <t>(cell I400)</t>
  </si>
  <si>
    <t>(cell I401)</t>
  </si>
  <si>
    <t>(cell I402)</t>
  </si>
  <si>
    <t>(cell I403)</t>
  </si>
  <si>
    <t>(cell I404)</t>
  </si>
  <si>
    <t>(cell I405)</t>
  </si>
  <si>
    <t>(cell I406)</t>
  </si>
  <si>
    <t>SLC/LEAs/</t>
  </si>
  <si>
    <t>TOTAL</t>
  </si>
  <si>
    <t>SAAS/DEL</t>
  </si>
  <si>
    <t>SHHD</t>
  </si>
  <si>
    <t>Table 5a : Tuition Fees and Education Grants and Contracts</t>
  </si>
  <si>
    <t>HE COURSE FEES</t>
  </si>
  <si>
    <t>(column D)</t>
  </si>
  <si>
    <t>(column E)</t>
  </si>
  <si>
    <t>(column F)</t>
  </si>
  <si>
    <t>a   Home &amp; EC domicile students</t>
  </si>
  <si>
    <t>(D)</t>
  </si>
  <si>
    <t>(E)</t>
  </si>
  <si>
    <t>(F)</t>
  </si>
  <si>
    <t xml:space="preserve">     i   Full-time undergraduate Standard rate</t>
  </si>
  <si>
    <t>(row 251)</t>
  </si>
  <si>
    <t>(251)</t>
  </si>
  <si>
    <t xml:space="preserve">     ii  Full-time undergraduate Non-standard rate</t>
  </si>
  <si>
    <t>(row 252)</t>
  </si>
  <si>
    <t>(252)</t>
  </si>
  <si>
    <t xml:space="preserve">     iii Full-time postgraduate Standard rate</t>
  </si>
  <si>
    <t>(row 253)</t>
  </si>
  <si>
    <t>(253)</t>
  </si>
  <si>
    <t xml:space="preserve">     iv Full-time postgraduate Non-standard rate</t>
  </si>
  <si>
    <t>(row 254)</t>
  </si>
  <si>
    <t>(254)</t>
  </si>
  <si>
    <t xml:space="preserve">     v  Part-time undergraduate</t>
  </si>
  <si>
    <t>(row 255)</t>
  </si>
  <si>
    <t>(255)</t>
  </si>
  <si>
    <t xml:space="preserve">     vi Part-time postgraduate</t>
  </si>
  <si>
    <t>(row 256)</t>
  </si>
  <si>
    <t>(256)</t>
  </si>
  <si>
    <t xml:space="preserve">     Total</t>
  </si>
  <si>
    <t>Table 5b: Income Analysed by Source</t>
  </si>
  <si>
    <t>a   Grants for HE provision  (SHEFC grants for all provision)</t>
  </si>
  <si>
    <t xml:space="preserve">     ii  Recurrent (R)</t>
  </si>
  <si>
    <t>(cell C273)</t>
  </si>
  <si>
    <t>3 RESEARCH GRANTS AND CONTRACTS</t>
  </si>
  <si>
    <t>e    i  European Commission</t>
  </si>
  <si>
    <t>(cell C288)</t>
  </si>
  <si>
    <t xml:space="preserve">     ii  Other EU government bodies</t>
  </si>
  <si>
    <t>(cell C289)</t>
  </si>
  <si>
    <t>Table 7: Capital Expenditure</t>
  </si>
  <si>
    <t>Table 2 Current Assets Investments + Cash at bank and in hand / Table 2 Total Creditors</t>
  </si>
  <si>
    <t>365*(Current Assets Investments + Cash at bank and in hand - Creditors Bank overdrafts) / Total Expenditure</t>
  </si>
  <si>
    <t>Total current assets/Total creditors: Amounts falling due within 1 year</t>
  </si>
  <si>
    <t>365* Current assets Debtors / (Total income less grants for HE provision but including grants for FE provision)</t>
  </si>
  <si>
    <t>100* (Historical cost surplus/(deficit) for the period after taxation / Total income</t>
  </si>
  <si>
    <t>365* (Endowments General + Reserves General reserves) / Total expenditure</t>
  </si>
  <si>
    <t>100* (Total creditors: amounts falling due after more than 1 year / (Endowments General + Reserves General reserve)</t>
  </si>
  <si>
    <t>100* Creditors: amounts falling after more than 1 year (reimbursable by the FC) / (Endowments General + Reserves General reserve)</t>
  </si>
  <si>
    <t>100* Creditors: amounts falling after more than 1 year (not reimbursable by the FC) / (Endowments General + Reserves General reserve)</t>
  </si>
  <si>
    <t>100* (Total income Interest payable / Total income)</t>
  </si>
  <si>
    <t>100* (Premises: Repairs and maintenance + Long-term maintenance provision charge) / Total expenditure</t>
  </si>
  <si>
    <t>100* (Funding Council grants Grants for HE provision / Total income)</t>
  </si>
  <si>
    <t>100* (Funding Council grants Recurrent (T) / Total income)</t>
  </si>
  <si>
    <t>100* (Funding Council grants Recurrent (R) / Total income)</t>
  </si>
  <si>
    <t>100* (HE course fees Home and EC domiciled students FT UG non-standard rate + FT PG non-standard rate + PT UG + PT PG + Overseas non-EC domicile students) / Total income</t>
  </si>
  <si>
    <t>100* (HE course fees Home and EC domiciled students FT UG standard rate + FT PG standard rate) / Total income</t>
  </si>
  <si>
    <t>100* (Research grants and contracts OST research councils + UK based charities) / Total income</t>
  </si>
  <si>
    <t>100* (Research grants and contracts UK cent govt/local, health and hospital authorities + UK industry, commerce public corps + European Commission + Other EU government bodies + EU other + Other overseas + Other sources) / Total income</t>
  </si>
  <si>
    <t>100* (Other income Residencies and catering operations / Total income )</t>
  </si>
  <si>
    <t>100* (Other income Total other services rendered / Total income )</t>
  </si>
  <si>
    <t>365 x Table 2 Head 3ii / (Table 5b Head 6 minus sum of Heads 1ai to 1av)</t>
  </si>
  <si>
    <t>365* (Cash inflow/(outflow) before use of liquid resources and financing + Financing Net cashflow from financing) / Total expenditure</t>
  </si>
  <si>
    <t>365* (Cash inflow/(outflow) from operating activities + Net cash inflow/(outflow) from returns on investments and servicing of finance) / Total expenditure</t>
  </si>
  <si>
    <t>100* (Staff costs (including restructuring costs) / Total expenditure)</t>
  </si>
  <si>
    <t>100 x (Table 5b Heads 1ai to 1av) / Table 1 Head 6</t>
  </si>
  <si>
    <t>100 x (Table 5b Heads 3c to 3h) / Table 1 Head 6</t>
  </si>
  <si>
    <t>100 x (Table 5b Head 1b + Heads 4c to 4g + Head 5) + (Table 5a Heads 2 to 4) / Table 1 Head 6</t>
  </si>
  <si>
    <t>+ Total endowment and investment income + NCB course fees + FE course fees + research training support grants) / total income</t>
  </si>
  <si>
    <t>100* (Funding Council grants Grants for FE provision + Grants from local authorities + Income from health and hospital authorities + Released from deferred capital grants + Income from intellectual property rights</t>
  </si>
  <si>
    <t>2001-02</t>
  </si>
  <si>
    <t>1  RESIDENCIES AND CATERING OPERATIONS</t>
  </si>
  <si>
    <t xml:space="preserve">     a   Major works (Project value &gt;=£3m inc. VAT + fees)</t>
  </si>
  <si>
    <t xml:space="preserve">     b   Minor works (Project value &lt;=£3m inc. VAT + fees)</t>
  </si>
  <si>
    <t xml:space="preserve">     c   Equipment</t>
  </si>
  <si>
    <t xml:space="preserve">Funding Council </t>
  </si>
  <si>
    <t>Grants</t>
  </si>
  <si>
    <t>(cell D426)</t>
  </si>
  <si>
    <t>(cell D427)</t>
  </si>
  <si>
    <t>(cell D428)</t>
  </si>
  <si>
    <t>Table 1: Income and Expenditure Account</t>
  </si>
  <si>
    <t>INCOME</t>
  </si>
  <si>
    <t>EXPENDITURE</t>
  </si>
  <si>
    <t>difference</t>
  </si>
  <si>
    <t>NHS/RONE/</t>
  </si>
  <si>
    <t>2001/02</t>
  </si>
  <si>
    <r>
      <t>A.</t>
    </r>
    <r>
      <rPr>
        <sz val="10"/>
        <rFont val="Arial"/>
        <family val="2"/>
      </rPr>
      <t xml:space="preserve"> Balance as at</t>
    </r>
  </si>
  <si>
    <t>A-B</t>
  </si>
  <si>
    <t>31 July 2002</t>
  </si>
  <si>
    <t>(restated) £000s</t>
  </si>
  <si>
    <t>Funding Council grants</t>
  </si>
  <si>
    <t>Tuition fees and education grants and contracts</t>
  </si>
  <si>
    <t>Research grants and contracts</t>
  </si>
  <si>
    <t>Other income</t>
  </si>
  <si>
    <t>Endowment and investment income</t>
  </si>
  <si>
    <t>TOTAL INCOME</t>
  </si>
  <si>
    <t>Staff costs</t>
  </si>
  <si>
    <t>Other operating expenses</t>
  </si>
  <si>
    <t>Depreciation</t>
  </si>
  <si>
    <t>Interest payable</t>
  </si>
  <si>
    <t>TOTAL EXPENDITURE</t>
  </si>
  <si>
    <t xml:space="preserve">Table 4: Research Grants and Contracts - Breakdown of Income </t>
  </si>
  <si>
    <t>by Cost Centre</t>
  </si>
  <si>
    <t>9 TOTAL</t>
  </si>
  <si>
    <t>COST CENTRE</t>
  </si>
  <si>
    <t>1 Clinical Medicine</t>
  </si>
  <si>
    <t>2 Clinical Dentistry</t>
  </si>
  <si>
    <t>3 Veterinary Science</t>
  </si>
  <si>
    <t>4 Anatomy and Physiology</t>
  </si>
  <si>
    <t>5 Nursing and Paramedical Studies</t>
  </si>
  <si>
    <t>6 Health and Community Studies</t>
  </si>
  <si>
    <t>7 Psychology and Behavioural Sciences</t>
  </si>
  <si>
    <t>8 Pharmacy</t>
  </si>
  <si>
    <t>9 Pharmacology</t>
  </si>
  <si>
    <t>10 Biosciences</t>
  </si>
  <si>
    <t>11 Chemistry</t>
  </si>
  <si>
    <t>12 Physics</t>
  </si>
  <si>
    <t>13 Agriculture and Forestry</t>
  </si>
  <si>
    <t>14 Earth, Marine and Environmental  Sciences</t>
  </si>
  <si>
    <t>15 General Sciences</t>
  </si>
  <si>
    <t>16 General Engineering</t>
  </si>
  <si>
    <t>17 Chemical Engineering</t>
  </si>
  <si>
    <t>18 Mineral, Metallurgy and Materials  Engineering</t>
  </si>
  <si>
    <t>19 Civil Engineering</t>
  </si>
  <si>
    <t>20 Electrical, Electronic and Computer Engineering</t>
  </si>
  <si>
    <t>21 Mechanical, Aero and Production  Engineering</t>
  </si>
  <si>
    <t>22 Other Technologies</t>
  </si>
  <si>
    <t>23 Architecture, Built Environment and Planning</t>
  </si>
  <si>
    <t>24 Mathematics</t>
  </si>
  <si>
    <t>25 Information Technology and Systems Sciences</t>
  </si>
  <si>
    <t>26 Catering and Hospitality Management</t>
  </si>
  <si>
    <t>27 Business and Management Studies</t>
  </si>
  <si>
    <t>28 Geography</t>
  </si>
  <si>
    <t>29 Social Studies</t>
  </si>
  <si>
    <t>30 Librarianship, Communication and Media Studies</t>
  </si>
  <si>
    <t>31 Language Based Studies</t>
  </si>
  <si>
    <t>32 Humanities</t>
  </si>
  <si>
    <t>33 Design and Creative Arts</t>
  </si>
  <si>
    <t>34 Education</t>
  </si>
  <si>
    <t>35 French, Spanish &amp; German Modern Languages</t>
  </si>
  <si>
    <t>36 Other Modern Languages</t>
  </si>
  <si>
    <t>37 Archaeology</t>
  </si>
  <si>
    <t>38 Sports Science and Leisure Studies</t>
  </si>
  <si>
    <t>39 Computer Software Engineering</t>
  </si>
  <si>
    <t>41 Continuing Education</t>
  </si>
  <si>
    <t>TOTAL ACADEMIC DEPARTMENTS</t>
  </si>
  <si>
    <t>ACADEMIC SERVICES</t>
  </si>
  <si>
    <t>51 Central libraries and information services</t>
  </si>
  <si>
    <t>52 Central computer and computer networks</t>
  </si>
  <si>
    <t xml:space="preserve">53 Other academic services </t>
  </si>
  <si>
    <t>TOTAL ACADEMIC SERVICES</t>
  </si>
  <si>
    <t>ADMINISTRATION AND CENTRAL SERVICES</t>
  </si>
  <si>
    <t>54a Central administration and services</t>
  </si>
  <si>
    <t>54b General education expenditure</t>
  </si>
  <si>
    <t>55 Staff and student facilities</t>
  </si>
  <si>
    <t>TOTAL ADMINISTRATION AND CENTRAL SERVICES</t>
  </si>
  <si>
    <t>TOTAL RESEARCH GRANTS AND CONTRACTS</t>
  </si>
  <si>
    <t xml:space="preserve">Table 5a : Tuition Fees and Education Grants and Contracts </t>
  </si>
  <si>
    <t>Analysed by Domicile, Mode, Level and Source</t>
  </si>
  <si>
    <t>b   Overseas (non-EC) domicile students</t>
  </si>
  <si>
    <t>//////////</t>
  </si>
  <si>
    <t>TOTAL HE COURSE FEES</t>
  </si>
  <si>
    <t>NON-CREDIT BEARING COURSE FEES</t>
  </si>
  <si>
    <t>FE COURSE FEES</t>
  </si>
  <si>
    <t>RESEARCH TRAINING SUPPORT GRANTS</t>
  </si>
  <si>
    <t>TOTAL TUITION FEES AND EDUCATION GRANTS AND CONTRACTS</t>
  </si>
  <si>
    <t>FUNDING COUNCIL GRANTS</t>
  </si>
  <si>
    <t xml:space="preserve">     i   Recurrent  (T)</t>
  </si>
  <si>
    <t xml:space="preserve">     iii Recurrent - Other (including special funding)</t>
  </si>
  <si>
    <t xml:space="preserve">     iv Release of deferred capital grants - Buildings</t>
  </si>
  <si>
    <t xml:space="preserve">     v  Release of deferred capital grants - Equipment </t>
  </si>
  <si>
    <t>b   Grants for FE provision (not applicable to SHEFC)</t>
  </si>
  <si>
    <t>TOTAL FUNDING COUNCIL GRANTS</t>
  </si>
  <si>
    <t>TUITION FEES AND EDUCATION GRANTS AND CONTRACTS</t>
  </si>
  <si>
    <t>RESEARCH GRANTS AND CONTRACTS</t>
  </si>
  <si>
    <t>a   OST Research Councils</t>
  </si>
  <si>
    <t>b   UK based charities</t>
  </si>
  <si>
    <t>c   UK cent govt/local, health &amp; hospital authorities</t>
  </si>
  <si>
    <t>d   UK industry,commerce,public corps</t>
  </si>
  <si>
    <t>f    EU other</t>
  </si>
  <si>
    <t>g   Other overseas</t>
  </si>
  <si>
    <t>h   Other sources</t>
  </si>
  <si>
    <t>OTHER INCOME</t>
  </si>
  <si>
    <t>a   Other services rendered</t>
  </si>
  <si>
    <t xml:space="preserve">     i    Course validation fees</t>
  </si>
  <si>
    <t xml:space="preserve">     ii   Teaching companies</t>
  </si>
  <si>
    <t xml:space="preserve">     iii   UK cent government/local authorities, health &amp; hospital authorities</t>
  </si>
  <si>
    <t xml:space="preserve">     iv   UK industry, commerce, public corps</t>
  </si>
  <si>
    <t xml:space="preserve">     v    EU government bodies</t>
  </si>
  <si>
    <t xml:space="preserve">     vi   EU other</t>
  </si>
  <si>
    <t xml:space="preserve">     vii  Other overseas</t>
  </si>
  <si>
    <t xml:space="preserve">     viii Other sources</t>
  </si>
  <si>
    <t xml:space="preserve">     Total other services rendered</t>
  </si>
  <si>
    <t>b   Residences and catering operations</t>
  </si>
  <si>
    <t>c   Grants from local authorities</t>
  </si>
  <si>
    <t>d   Income from health and hospital authorities</t>
  </si>
  <si>
    <t>e   Release of deferred capital grants</t>
  </si>
  <si>
    <t>f    Income from intellectual property rights</t>
  </si>
  <si>
    <t>g   Other operating income</t>
  </si>
  <si>
    <t>TOTAL OTHER INCOME</t>
  </si>
  <si>
    <t>ENDOWMENT AND INVESTMENT INCOME</t>
  </si>
  <si>
    <t>a   Transferred from specific endowments</t>
  </si>
  <si>
    <t>b   Income from general endowment asset investments</t>
  </si>
  <si>
    <t>c   Income from investment of short-term funds</t>
  </si>
  <si>
    <t>d   Realisation of investments held as long-term funds</t>
  </si>
  <si>
    <t xml:space="preserve">e   Other interest receivable </t>
  </si>
  <si>
    <t>TOTAL ENDOWMENT AND INVESTMENT INCOME</t>
  </si>
  <si>
    <t>Staff</t>
  </si>
  <si>
    <t>Interest</t>
  </si>
  <si>
    <t>Costs</t>
  </si>
  <si>
    <t>Operating</t>
  </si>
  <si>
    <t>Payable</t>
  </si>
  <si>
    <t>ACTIVITY</t>
  </si>
  <si>
    <t>Academic</t>
  </si>
  <si>
    <t>Expenses</t>
  </si>
  <si>
    <t>ACADEMIC DEPARTMENTS</t>
  </si>
  <si>
    <t>1   Clinical Medicine</t>
  </si>
  <si>
    <t>///////////</t>
  </si>
  <si>
    <t>2   Clinical Dentistry</t>
  </si>
  <si>
    <t>3   Veterinary Science</t>
  </si>
  <si>
    <t>4   Anatomy and Physiology</t>
  </si>
  <si>
    <t>5   Nursing and Paramedical Studies</t>
  </si>
  <si>
    <t>6   Health and Community Studies</t>
  </si>
  <si>
    <t>7   Psychology and Behavioural Sciences</t>
  </si>
  <si>
    <t>8   Pharmacy</t>
  </si>
  <si>
    <t>9   Pharmacology</t>
  </si>
  <si>
    <t>51 Central Libraries and Information Services</t>
  </si>
  <si>
    <t>52 Central Computer and Computer Networks</t>
  </si>
  <si>
    <t xml:space="preserve">53 Other Academic Services </t>
  </si>
  <si>
    <t>54a Central Administration and Services</t>
  </si>
  <si>
    <t>54b General Educational Expenditure</t>
  </si>
  <si>
    <t>55   Staff and Student Facilities</t>
  </si>
  <si>
    <t xml:space="preserve">PREMISES </t>
  </si>
  <si>
    <t>a   Rates</t>
  </si>
  <si>
    <t>b   Rents</t>
  </si>
  <si>
    <t>c   Energy, water and sewerage</t>
  </si>
  <si>
    <t>d   Repairs and maintenance</t>
  </si>
  <si>
    <t>e   Long-term maintenance provision charge</t>
  </si>
  <si>
    <t>f    Depreciation, excluding residences &amp; catering</t>
  </si>
  <si>
    <t>g   Other expenditure</t>
  </si>
  <si>
    <t>TOTAL PREMISES</t>
  </si>
  <si>
    <t>RESIDENCES AND CATERING OPERATIONS</t>
  </si>
  <si>
    <t>b   UK-based charities</t>
  </si>
  <si>
    <t>c   UK cent gov't//local, health &amp; hospital auth</t>
  </si>
  <si>
    <t>e   EU government bodies</t>
  </si>
  <si>
    <t>OTHER EXPENDITURE</t>
  </si>
  <si>
    <t>b   Other</t>
  </si>
  <si>
    <t>TOTAL OTHER EXPENDITURE</t>
  </si>
  <si>
    <r>
      <t>Bi.</t>
    </r>
    <r>
      <rPr>
        <sz val="10"/>
        <rFont val="Arial"/>
        <family val="2"/>
      </rPr>
      <t xml:space="preserve"> Balance as at</t>
    </r>
  </si>
  <si>
    <t>A-Bi</t>
  </si>
  <si>
    <r>
      <t xml:space="preserve">B. </t>
    </r>
    <r>
      <rPr>
        <sz val="10"/>
        <rFont val="Arial"/>
        <family val="2"/>
      </rPr>
      <t>Balance as at</t>
    </r>
  </si>
  <si>
    <t>AB Ratio</t>
  </si>
  <si>
    <t>ABi Ratio</t>
  </si>
  <si>
    <t>2. A year on year differences sheet showing this year's and last year's figures for tables 1, 4, 5a, 5b and 6</t>
  </si>
  <si>
    <t>3. An 'automated credibility checking' sheet, highlighting specific queries with your data</t>
  </si>
  <si>
    <t>you. Once this checking is completed the return will be set to CREDIBLE on the collection system.</t>
  </si>
  <si>
    <t>(a) print-off and sign the reply slip for the collection (available at http:\\submit.hesa.ac.uk), when credible or</t>
  </si>
  <si>
    <t>(b) inform HESA that you wish to recommit and resubmit your data (Institutional Liaison - 01242 211144)</t>
  </si>
  <si>
    <t>4. An analysis of your data by Cost Centre</t>
  </si>
  <si>
    <t>2002-03</t>
  </si>
  <si>
    <t>(NB 2001-02 Figures are taken from the HEMS - Institution Level 2001-02 (Financial Profiles) publication and are presented for information only)</t>
  </si>
  <si>
    <t>2002/03</t>
  </si>
  <si>
    <t>31 July 2003</t>
  </si>
  <si>
    <t>C02031 (2002-03 Finance Return) - Table1 2002-03 2001-02 Difference</t>
  </si>
  <si>
    <t>A. 2002/03</t>
  </si>
  <si>
    <t>B. 2001/02</t>
  </si>
  <si>
    <t>B.2001/02</t>
  </si>
  <si>
    <r>
      <t xml:space="preserve">    2002/03 &amp; 2001/02 &lt;&gt;=0,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difference &gt;750 or &lt;-750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Ratio &gt;2, </t>
    </r>
    <r>
      <rPr>
        <u/>
        <sz val="10"/>
        <rFont val="Arial"/>
        <family val="2"/>
      </rPr>
      <t>OR</t>
    </r>
  </si>
  <si>
    <r>
      <t xml:space="preserve">    2002/03 or 2001/02 = 0,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Difference &gt;750 or &lt;-750</t>
    </r>
  </si>
  <si>
    <r>
      <t xml:space="preserve">    (note: where either 2002/03 or 2001/02 = 0, </t>
    </r>
    <r>
      <rPr>
        <u/>
        <sz val="10"/>
        <rFont val="Arial"/>
        <family val="2"/>
      </rPr>
      <t>OR</t>
    </r>
  </si>
  <si>
    <t xml:space="preserve">    (2002/03 &gt;0 &amp; 2001/02 &lt;0) or (2002/03 &lt;0 &amp; 2001/02 &gt;0), the Ratio field is populated with an arbitrary value of 10)</t>
  </si>
  <si>
    <t>C02031 - Finance Statistical Return 2002-03 - Check Documentation (Automated Credibility Checking)</t>
  </si>
  <si>
    <t>Analysis of 2002-03 Student, NCB, Individualised Staff and Finance Data by Cost Centre</t>
  </si>
  <si>
    <r>
      <t xml:space="preserve">Item 1 - </t>
    </r>
    <r>
      <rPr>
        <sz val="8"/>
        <rFont val="Arial"/>
        <family val="2"/>
      </rPr>
      <t>Query where there is no expenditure in Table 6 ‘Total Research Grants and Contracts’, but institutions return income in Table 4 ‘Total Research Grants and Contracts’, and vice versa.</t>
    </r>
  </si>
  <si>
    <r>
      <t xml:space="preserve">Item 2 - </t>
    </r>
    <r>
      <rPr>
        <sz val="8"/>
        <rFont val="Arial"/>
        <family val="2"/>
      </rPr>
      <t>Query where there is no expenditure in Table 6 ‘Total Research Grants and Contracts’ under a particular source, but institution returns income in Table 4 ‘Total Research Grants and Contracts’ under that source, and vice versa.</t>
    </r>
  </si>
  <si>
    <r>
      <t>Item 3a -</t>
    </r>
    <r>
      <rPr>
        <sz val="8"/>
        <rFont val="Arial"/>
        <family val="2"/>
      </rPr>
      <t xml:space="preserve"> Institutions should record their fee income in Table 5a by source of fee, mode and level student. Query if only one cell in the table is non-zero, as it is likely that the institution has grouped all the fee income together.</t>
    </r>
  </si>
  <si>
    <r>
      <t xml:space="preserve">Item 3b - </t>
    </r>
    <r>
      <rPr>
        <sz val="8"/>
        <rFont val="Arial"/>
        <family val="2"/>
      </rPr>
      <t>Most institutions (although not all) will receive fee income from the SLC/LEAs/SAAS/DHFETE. Query where the sum of Table 5a, column 1, ‘Total HE Course Fees’ ‘SLC/LEAs/SAAS/DHFETE’ is zero.</t>
    </r>
  </si>
  <si>
    <r>
      <t xml:space="preserve">Item 4b - </t>
    </r>
    <r>
      <rPr>
        <sz val="8"/>
        <rFont val="Arial"/>
        <family val="2"/>
      </rPr>
      <t>The majority of institutions that receive research income from EU government bodies receive some of that income from the EC. Query institutions returning more than £500,000 under Table 5b Head 3eii and £0 under Head 3ei.</t>
    </r>
  </si>
  <si>
    <r>
      <t>Item 5</t>
    </r>
    <r>
      <rPr>
        <sz val="9"/>
        <rFont val="Arial"/>
        <family val="2"/>
      </rPr>
      <t xml:space="preserve"> - In most cases Funding Council grants for Residencies and Catering Operations should be zero. Query where Table 7, Head1  column 2 'Funding Council Grants' for 'Residencies and Catering Operations' is greater than zero.</t>
    </r>
  </si>
  <si>
    <t>Please note that this cost centre analysis sheet contains 2002-03 data for Student, NCB, Individualised Staff and Finance. The 2001-02 Staff Aggregate data has been included for information only.</t>
  </si>
  <si>
    <t>http://www.hefce.ac.uk/ASP/0225/ByHEI.asp</t>
  </si>
  <si>
    <t>Transaction</t>
  </si>
  <si>
    <t>A. 2002-03</t>
  </si>
  <si>
    <t>B. 2001-02</t>
  </si>
  <si>
    <t>(NB B. 2001-02 Figures are taken from the 2002-03 Finance Return (restated column))</t>
  </si>
  <si>
    <t xml:space="preserve">As a check on incoming 2002-03 and incoming 2001-02 restated figures in Table 1, a query is raised against Item 1 where: </t>
  </si>
  <si>
    <r>
      <t>Table 6</t>
    </r>
    <r>
      <rPr>
        <sz val="10"/>
        <rFont val="Arial"/>
        <family val="2"/>
      </rPr>
      <t xml:space="preserve"> query raised where: 2002/03 &amp; 2001/02 &lt;&gt;=0, AND difference &gt;750 or &lt;-750 AND Ratio &gt;10, OR 2002/03 or 2001/02 = 0, AND Difference &gt;750 or &lt;-750</t>
    </r>
  </si>
  <si>
    <r>
      <t>Table 5b</t>
    </r>
    <r>
      <rPr>
        <sz val="10"/>
        <rFont val="Arial"/>
        <family val="2"/>
      </rPr>
      <t xml:space="preserve"> query raised where: 2002/03 &amp; 2001/02 &lt;&gt;=0, AND difference &gt;750 or &lt;-750 AND Ratio &gt;5, OR 2002/03 or 2001/02 = 0, AND Difference &gt;750 or &lt;-750</t>
    </r>
  </si>
  <si>
    <r>
      <t>Table 5a</t>
    </r>
    <r>
      <rPr>
        <sz val="10"/>
        <rFont val="Arial"/>
        <family val="2"/>
      </rPr>
      <t xml:space="preserve"> query raised where: 2002/03 &amp; 2001/02 &lt;&gt;=0, AND difference &gt;750 or &lt;-750 AND Ratio &gt;5, OR 2002/03 or 2001/02 = 0, AND Difference &gt;750 or &lt;-750</t>
    </r>
  </si>
  <si>
    <r>
      <t xml:space="preserve">  (note: where either 2002/03 or 2001/02 = 0, </t>
    </r>
    <r>
      <rPr>
        <u/>
        <sz val="10"/>
        <rFont val="Arial"/>
        <family val="2"/>
      </rPr>
      <t>OR</t>
    </r>
  </si>
  <si>
    <t xml:space="preserve">  the Ratio field is populated with an arbitrary value of 10)</t>
  </si>
  <si>
    <t xml:space="preserve">  (note: where either 2002/03 or 2001/02 = 0, OR (2002/03 &gt;0 &amp; 2001/02 &lt;0) or (2002/03 &lt;0 &amp; 2001/02 &gt;0), the Ratio field is populated with an arbitrary value of 10) the Ratio field is populated with an arbitrary value of 10)</t>
  </si>
  <si>
    <t>(note: where either 2002/03 or 2001/02 = 0, OR (2002/03 &gt;0 &amp; 2001/02 &lt;0) or (2002/03 &lt;0 &amp; 2001/02 &gt;0), the Ratio field is populated with an arbitrary value of 10) the Ratio field is populated with an arbitrary value of 10)</t>
  </si>
  <si>
    <t>(note: where either 2002/03 or 2001/02 = 0, OR (2002/03 &gt;0 &amp; 2001/02 &lt;0) or (2002/03 &lt;0 &amp; 2001/02 &gt;0) the Ratio field is populated with an arbitrary value of 20)</t>
  </si>
  <si>
    <r>
      <t>Table 1</t>
    </r>
    <r>
      <rPr>
        <sz val="10"/>
        <rFont val="Arial"/>
        <family val="2"/>
      </rPr>
      <t xml:space="preserve"> query raised where: 2002/03 &amp; 2001/02 &lt;&gt;=0, AND difference &gt;750 or &lt;-750 AND Ratio &gt;2, OR 2002/03 or 2001/02 = 0, AND Difference &gt;750 or &lt;-750</t>
    </r>
  </si>
  <si>
    <t xml:space="preserve">  (2002/03 &gt;0 &amp; 2001/02 &lt;0) or (2002/03 &lt;0 &amp; 2001/02 &gt;0),</t>
  </si>
  <si>
    <r>
      <t>Table 4</t>
    </r>
    <r>
      <rPr>
        <sz val="10"/>
        <rFont val="Arial"/>
        <family val="2"/>
      </rPr>
      <t xml:space="preserve"> query raised where: 2002/03 &amp; 2001/02 &lt;&gt;=0, AND difference &gt;750 or &lt;-750 AND Ratio &gt;5, OR 2002/03 or 2001/02 = 0, AND Difference &gt;750 or &lt;-750</t>
    </r>
  </si>
  <si>
    <r>
      <t>Item 4a -</t>
    </r>
    <r>
      <rPr>
        <sz val="8"/>
        <rFont val="Arial"/>
        <family val="2"/>
      </rPr>
      <t xml:space="preserve"> </t>
    </r>
    <r>
      <rPr>
        <u/>
        <sz val="8"/>
        <rFont val="Arial"/>
        <family val="2"/>
      </rPr>
      <t xml:space="preserve">Most, but not all, </t>
    </r>
    <r>
      <rPr>
        <sz val="8"/>
        <rFont val="Arial"/>
        <family val="2"/>
      </rPr>
      <t>institutions receive research funding from the Funding Council. Query where Table 5b Head 1aii ‘Recurrent (R)’ is zero.</t>
    </r>
  </si>
  <si>
    <t>Student Data (2002-03)</t>
  </si>
  <si>
    <t>Financial Data (2002-03)</t>
  </si>
  <si>
    <t>Individualised (2002-03)</t>
  </si>
  <si>
    <t>Aggregate (2001-02)</t>
  </si>
  <si>
    <t>Student data includes any students who are returned as being franchised out to another institution and may differ from the Individualised Student Return due t orounding</t>
  </si>
  <si>
    <t>The Individualised Staff Record only includes staff who have an FTE of at least 25% and whose primary function is teaching and/or research</t>
  </si>
  <si>
    <t>The Staff Aggregate Return covers all academic staff, irrespective of FTE</t>
  </si>
  <si>
    <t>Unit Expenditure</t>
  </si>
  <si>
    <t xml:space="preserve">  Queries:</t>
  </si>
  <si>
    <t>2001/02's valid cost centre assignment list can be viewed at:</t>
  </si>
  <si>
    <t>C02031 (2002-03 Finance Return) - Check Documentation</t>
  </si>
  <si>
    <t>C02031 (2002-03 Finance Return) Check Documentation</t>
  </si>
  <si>
    <t>Calculation of HEMS Financial Ratios from the HESA Finance Record</t>
  </si>
  <si>
    <t>Figures from the Individualised Staff Record exclude any staff who left before 1st August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</si>
</sst>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&quot;£&quot;#,##0;[Red]\-&quot;£&quot;#,##0"/>
    <numFmt numFmtId="172" formatCode="0000"/>
    <numFmt numFmtId="177" formatCode="0.0"/>
    <numFmt numFmtId="180" formatCode="dd\ mmmm\ yyyy"/>
    <numFmt numFmtId="182" formatCode="#,##0.0"/>
  </numFmts>
  <fonts count="33">
    <font>
      <sz val="10"/>
      <name val="Century Gothic"/>
    </font>
    <font>
      <sz val="10"/>
      <name val="Century Gothic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7"/>
      <name val="Arial"/>
      <family val="2"/>
    </font>
    <font>
      <sz val="9"/>
      <name val="Souvenir Lt BT"/>
      <family val="1"/>
    </font>
    <font>
      <sz val="8"/>
      <color indexed="55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22"/>
      <name val="Arial"/>
      <family val="2"/>
    </font>
    <font>
      <u/>
      <sz val="8"/>
      <name val="Arial"/>
      <family val="2"/>
    </font>
    <font>
      <u/>
      <sz val="10"/>
      <color indexed="12"/>
      <name val="Century Gothic"/>
      <family val="2"/>
    </font>
    <font>
      <u/>
      <sz val="7.5"/>
      <color indexed="12"/>
      <name val="Century Gothic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11"/>
      <color indexed="22"/>
      <name val="Arial"/>
      <family val="2"/>
    </font>
    <font>
      <sz val="9"/>
      <color indexed="22"/>
      <name val="Arial"/>
      <family val="2"/>
    </font>
    <font>
      <b/>
      <sz val="8"/>
      <color indexed="22"/>
      <name val="Arial"/>
      <family val="2"/>
    </font>
    <font>
      <sz val="9"/>
      <color indexed="22"/>
      <name val="Souvenir Lt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64"/>
      </bottom>
      <diagonal/>
    </border>
  </borders>
  <cellStyleXfs count="4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</cellStyleXfs>
  <cellXfs count="528">
    <xf numFmtId="0" fontId="0" fillId="0" borderId="0" xfId="0"/>
    <xf numFmtId="0" fontId="0" fillId="0" borderId="1" xfId="0" applyBorder="1"/>
    <xf numFmtId="3" fontId="2" fillId="0" borderId="0" xfId="0" applyNumberFormat="1" applyFont="1"/>
    <xf numFmtId="0" fontId="2" fillId="0" borderId="2" xfId="0" applyFont="1" applyBorder="1"/>
    <xf numFmtId="3" fontId="2" fillId="0" borderId="2" xfId="0" applyNumberFormat="1" applyFont="1" applyBorder="1"/>
    <xf numFmtId="3" fontId="4" fillId="0" borderId="0" xfId="0" applyNumberFormat="1" applyFont="1" applyBorder="1"/>
    <xf numFmtId="3" fontId="4" fillId="0" borderId="0" xfId="0" applyNumberFormat="1" applyFont="1"/>
    <xf numFmtId="3" fontId="3" fillId="0" borderId="3" xfId="0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0" fontId="2" fillId="0" borderId="0" xfId="0" applyFont="1" applyBorder="1"/>
    <xf numFmtId="3" fontId="2" fillId="0" borderId="0" xfId="0" applyNumberFormat="1" applyFont="1" applyBorder="1"/>
    <xf numFmtId="3" fontId="5" fillId="0" borderId="0" xfId="0" applyNumberFormat="1" applyFont="1" applyBorder="1"/>
    <xf numFmtId="3" fontId="2" fillId="0" borderId="1" xfId="0" applyNumberFormat="1" applyFont="1" applyBorder="1"/>
    <xf numFmtId="0" fontId="2" fillId="0" borderId="1" xfId="0" applyFont="1" applyBorder="1"/>
    <xf numFmtId="0" fontId="4" fillId="0" borderId="0" xfId="0" applyFont="1" applyBorder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 applyAlignment="1">
      <alignment horizontal="right"/>
    </xf>
    <xf numFmtId="3" fontId="4" fillId="0" borderId="4" xfId="0" applyNumberFormat="1" applyFont="1" applyBorder="1"/>
    <xf numFmtId="3" fontId="4" fillId="0" borderId="2" xfId="0" applyNumberFormat="1" applyFont="1" applyBorder="1"/>
    <xf numFmtId="0" fontId="4" fillId="0" borderId="2" xfId="0" applyFont="1" applyBorder="1"/>
    <xf numFmtId="3" fontId="7" fillId="0" borderId="5" xfId="0" applyNumberFormat="1" applyFont="1" applyBorder="1" applyAlignment="1">
      <alignment horizontal="right"/>
    </xf>
    <xf numFmtId="0" fontId="4" fillId="0" borderId="6" xfId="0" applyFont="1" applyBorder="1"/>
    <xf numFmtId="3" fontId="4" fillId="0" borderId="1" xfId="0" applyNumberFormat="1" applyFont="1" applyBorder="1"/>
    <xf numFmtId="0" fontId="4" fillId="0" borderId="1" xfId="0" applyFont="1" applyBorder="1"/>
    <xf numFmtId="3" fontId="4" fillId="0" borderId="7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0" fontId="7" fillId="0" borderId="9" xfId="0" applyFont="1" applyBorder="1" applyAlignment="1">
      <alignment horizontal="left"/>
    </xf>
    <xf numFmtId="0" fontId="4" fillId="0" borderId="10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4" fillId="0" borderId="12" xfId="0" applyNumberFormat="1" applyFont="1" applyBorder="1"/>
    <xf numFmtId="0" fontId="7" fillId="0" borderId="13" xfId="0" applyFont="1" applyBorder="1" applyAlignment="1">
      <alignment horizontal="left"/>
    </xf>
    <xf numFmtId="0" fontId="4" fillId="0" borderId="14" xfId="0" applyFont="1" applyBorder="1"/>
    <xf numFmtId="3" fontId="4" fillId="0" borderId="14" xfId="0" applyNumberFormat="1" applyFont="1" applyBorder="1"/>
    <xf numFmtId="3" fontId="4" fillId="0" borderId="15" xfId="0" applyNumberFormat="1" applyFont="1" applyBorder="1"/>
    <xf numFmtId="3" fontId="4" fillId="0" borderId="16" xfId="0" applyNumberFormat="1" applyFont="1" applyBorder="1"/>
    <xf numFmtId="3" fontId="7" fillId="0" borderId="13" xfId="0" applyNumberFormat="1" applyFont="1" applyBorder="1" applyAlignment="1">
      <alignment horizontal="left"/>
    </xf>
    <xf numFmtId="3" fontId="7" fillId="0" borderId="6" xfId="0" applyNumberFormat="1" applyFont="1" applyBorder="1" applyAlignment="1">
      <alignment horizontal="left"/>
    </xf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17" xfId="0" applyNumberFormat="1" applyFont="1" applyBorder="1"/>
    <xf numFmtId="3" fontId="4" fillId="0" borderId="18" xfId="0" applyNumberFormat="1" applyFont="1" applyBorder="1"/>
    <xf numFmtId="2" fontId="4" fillId="0" borderId="10" xfId="0" applyNumberFormat="1" applyFont="1" applyFill="1" applyBorder="1"/>
    <xf numFmtId="1" fontId="4" fillId="0" borderId="14" xfId="0" applyNumberFormat="1" applyFont="1" applyFill="1" applyBorder="1"/>
    <xf numFmtId="2" fontId="4" fillId="0" borderId="14" xfId="0" applyNumberFormat="1" applyFont="1" applyFill="1" applyBorder="1"/>
    <xf numFmtId="177" fontId="4" fillId="0" borderId="14" xfId="0" applyNumberFormat="1" applyFont="1" applyFill="1" applyBorder="1"/>
    <xf numFmtId="177" fontId="4" fillId="0" borderId="14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177" fontId="4" fillId="0" borderId="1" xfId="0" applyNumberFormat="1" applyFont="1" applyFill="1" applyBorder="1"/>
    <xf numFmtId="0" fontId="4" fillId="0" borderId="7" xfId="0" applyFont="1" applyBorder="1"/>
    <xf numFmtId="0" fontId="11" fillId="0" borderId="0" xfId="0" applyFont="1"/>
    <xf numFmtId="0" fontId="13" fillId="0" borderId="0" xfId="0" applyFont="1" applyBorder="1"/>
    <xf numFmtId="0" fontId="14" fillId="0" borderId="4" xfId="0" applyFont="1" applyBorder="1" applyAlignment="1">
      <alignment horizontal="centerContinuous"/>
    </xf>
    <xf numFmtId="0" fontId="11" fillId="0" borderId="2" xfId="0" applyFont="1" applyBorder="1" applyAlignment="1">
      <alignment horizontal="centerContinuous"/>
    </xf>
    <xf numFmtId="0" fontId="11" fillId="0" borderId="19" xfId="0" applyFont="1" applyBorder="1" applyAlignment="1">
      <alignment horizontal="centerContinuous"/>
    </xf>
    <xf numFmtId="0" fontId="2" fillId="0" borderId="0" xfId="0" applyFont="1"/>
    <xf numFmtId="0" fontId="4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3" fontId="7" fillId="0" borderId="6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5" fontId="7" fillId="0" borderId="6" xfId="0" quotePrefix="1" applyNumberFormat="1" applyFont="1" applyBorder="1" applyAlignment="1">
      <alignment horizontal="right"/>
    </xf>
    <xf numFmtId="165" fontId="7" fillId="0" borderId="7" xfId="0" quotePrefix="1" applyNumberFormat="1" applyFont="1" applyBorder="1" applyAlignment="1">
      <alignment horizontal="right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182" fontId="4" fillId="0" borderId="9" xfId="0" applyNumberFormat="1" applyFont="1" applyBorder="1"/>
    <xf numFmtId="182" fontId="4" fillId="0" borderId="10" xfId="0" applyNumberFormat="1" applyFont="1" applyBorder="1"/>
    <xf numFmtId="177" fontId="4" fillId="0" borderId="10" xfId="0" applyNumberFormat="1" applyFont="1" applyBorder="1"/>
    <xf numFmtId="3" fontId="4" fillId="0" borderId="9" xfId="0" applyNumberFormat="1" applyFont="1" applyBorder="1"/>
    <xf numFmtId="182" fontId="4" fillId="0" borderId="11" xfId="0" applyNumberFormat="1" applyFont="1" applyBorder="1"/>
    <xf numFmtId="0" fontId="4" fillId="0" borderId="13" xfId="0" applyFont="1" applyBorder="1" applyAlignment="1">
      <alignment vertical="top"/>
    </xf>
    <xf numFmtId="0" fontId="4" fillId="0" borderId="15" xfId="0" applyFont="1" applyBorder="1" applyAlignment="1">
      <alignment horizontal="left" vertical="top" wrapText="1"/>
    </xf>
    <xf numFmtId="182" fontId="4" fillId="0" borderId="13" xfId="0" applyNumberFormat="1" applyFont="1" applyBorder="1"/>
    <xf numFmtId="182" fontId="4" fillId="0" borderId="14" xfId="0" applyNumberFormat="1" applyFont="1" applyBorder="1"/>
    <xf numFmtId="177" fontId="4" fillId="0" borderId="14" xfId="0" applyNumberFormat="1" applyFont="1" applyBorder="1"/>
    <xf numFmtId="3" fontId="4" fillId="0" borderId="13" xfId="0" applyNumberFormat="1" applyFont="1" applyBorder="1"/>
    <xf numFmtId="182" fontId="4" fillId="0" borderId="15" xfId="0" applyNumberFormat="1" applyFont="1" applyBorder="1"/>
    <xf numFmtId="3" fontId="4" fillId="2" borderId="13" xfId="0" applyNumberFormat="1" applyFont="1" applyFill="1" applyBorder="1"/>
    <xf numFmtId="3" fontId="4" fillId="2" borderId="15" xfId="0" applyNumberFormat="1" applyFont="1" applyFill="1" applyBorder="1"/>
    <xf numFmtId="182" fontId="4" fillId="2" borderId="13" xfId="0" applyNumberFormat="1" applyFont="1" applyFill="1" applyBorder="1"/>
    <xf numFmtId="182" fontId="4" fillId="2" borderId="14" xfId="0" applyNumberFormat="1" applyFont="1" applyFill="1" applyBorder="1"/>
    <xf numFmtId="177" fontId="4" fillId="2" borderId="14" xfId="0" applyNumberFormat="1" applyFont="1" applyFill="1" applyBorder="1"/>
    <xf numFmtId="182" fontId="4" fillId="2" borderId="15" xfId="0" applyNumberFormat="1" applyFont="1" applyFill="1" applyBorder="1"/>
    <xf numFmtId="3" fontId="4" fillId="2" borderId="14" xfId="0" applyNumberFormat="1" applyFont="1" applyFill="1" applyBorder="1"/>
    <xf numFmtId="0" fontId="4" fillId="0" borderId="17" xfId="0" applyFont="1" applyBorder="1"/>
    <xf numFmtId="0" fontId="7" fillId="0" borderId="20" xfId="0" applyFont="1" applyBorder="1"/>
    <xf numFmtId="182" fontId="4" fillId="0" borderId="17" xfId="0" applyNumberFormat="1" applyFont="1" applyBorder="1"/>
    <xf numFmtId="182" fontId="4" fillId="0" borderId="18" xfId="0" applyNumberFormat="1" applyFont="1" applyBorder="1"/>
    <xf numFmtId="177" fontId="4" fillId="0" borderId="18" xfId="0" applyNumberFormat="1" applyFont="1" applyBorder="1"/>
    <xf numFmtId="3" fontId="4" fillId="0" borderId="20" xfId="0" applyNumberFormat="1" applyFont="1" applyBorder="1"/>
    <xf numFmtId="182" fontId="4" fillId="0" borderId="20" xfId="0" applyNumberFormat="1" applyFont="1" applyBorder="1"/>
    <xf numFmtId="172" fontId="4" fillId="0" borderId="0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left"/>
    </xf>
    <xf numFmtId="3" fontId="4" fillId="0" borderId="19" xfId="0" applyNumberFormat="1" applyFont="1" applyBorder="1"/>
    <xf numFmtId="3" fontId="4" fillId="0" borderId="21" xfId="0" applyNumberFormat="1" applyFont="1" applyBorder="1"/>
    <xf numFmtId="0" fontId="7" fillId="0" borderId="0" xfId="0" applyFont="1" applyAlignment="1">
      <alignment horizontal="left"/>
    </xf>
    <xf numFmtId="180" fontId="4" fillId="0" borderId="0" xfId="0" applyNumberFormat="1" applyFont="1" applyBorder="1" applyAlignment="1">
      <alignment horizontal="left"/>
    </xf>
    <xf numFmtId="0" fontId="7" fillId="0" borderId="0" xfId="0" applyFont="1"/>
    <xf numFmtId="0" fontId="15" fillId="0" borderId="0" xfId="0" applyFont="1" applyBorder="1"/>
    <xf numFmtId="3" fontId="4" fillId="3" borderId="13" xfId="0" applyNumberFormat="1" applyFont="1" applyFill="1" applyBorder="1"/>
    <xf numFmtId="3" fontId="4" fillId="3" borderId="15" xfId="0" applyNumberFormat="1" applyFont="1" applyFill="1" applyBorder="1"/>
    <xf numFmtId="3" fontId="4" fillId="0" borderId="14" xfId="0" applyNumberFormat="1" applyFont="1" applyFill="1" applyBorder="1"/>
    <xf numFmtId="3" fontId="4" fillId="0" borderId="15" xfId="0" applyNumberFormat="1" applyFont="1" applyFill="1" applyBorder="1"/>
    <xf numFmtId="0" fontId="4" fillId="0" borderId="21" xfId="0" applyFont="1" applyBorder="1" applyAlignment="1">
      <alignment horizontal="right"/>
    </xf>
    <xf numFmtId="3" fontId="3" fillId="0" borderId="2" xfId="0" applyNumberFormat="1" applyFont="1" applyFill="1" applyBorder="1"/>
    <xf numFmtId="0" fontId="2" fillId="0" borderId="2" xfId="0" applyFont="1" applyFill="1" applyBorder="1"/>
    <xf numFmtId="0" fontId="6" fillId="0" borderId="0" xfId="0" applyFont="1" applyFill="1"/>
    <xf numFmtId="3" fontId="2" fillId="0" borderId="0" xfId="0" applyNumberFormat="1" applyFont="1" applyFill="1"/>
    <xf numFmtId="3" fontId="7" fillId="0" borderId="19" xfId="0" applyNumberFormat="1" applyFont="1" applyFill="1" applyBorder="1" applyAlignment="1">
      <alignment horizontal="right" wrapText="1"/>
    </xf>
    <xf numFmtId="0" fontId="4" fillId="0" borderId="10" xfId="0" applyFont="1" applyFill="1" applyBorder="1"/>
    <xf numFmtId="3" fontId="7" fillId="0" borderId="10" xfId="0" applyNumberFormat="1" applyFont="1" applyFill="1" applyBorder="1"/>
    <xf numFmtId="0" fontId="4" fillId="0" borderId="14" xfId="0" applyFont="1" applyFill="1" applyBorder="1"/>
    <xf numFmtId="3" fontId="7" fillId="0" borderId="14" xfId="0" applyNumberFormat="1" applyFont="1" applyFill="1" applyBorder="1"/>
    <xf numFmtId="3" fontId="4" fillId="0" borderId="1" xfId="0" applyNumberFormat="1" applyFont="1" applyFill="1" applyBorder="1"/>
    <xf numFmtId="3" fontId="7" fillId="0" borderId="1" xfId="0" applyNumberFormat="1" applyFont="1" applyFill="1" applyBorder="1"/>
    <xf numFmtId="3" fontId="6" fillId="0" borderId="0" xfId="0" applyNumberFormat="1" applyFont="1" applyFill="1"/>
    <xf numFmtId="3" fontId="4" fillId="0" borderId="0" xfId="0" applyNumberFormat="1" applyFont="1" applyFill="1"/>
    <xf numFmtId="177" fontId="4" fillId="0" borderId="12" xfId="0" applyNumberFormat="1" applyFont="1" applyFill="1" applyBorder="1"/>
    <xf numFmtId="177" fontId="4" fillId="0" borderId="16" xfId="0" applyNumberFormat="1" applyFont="1" applyFill="1" applyBorder="1"/>
    <xf numFmtId="177" fontId="4" fillId="0" borderId="16" xfId="0" applyNumberFormat="1" applyFont="1" applyFill="1" applyBorder="1" applyAlignment="1">
      <alignment horizontal="right"/>
    </xf>
    <xf numFmtId="177" fontId="4" fillId="0" borderId="8" xfId="0" applyNumberFormat="1" applyFont="1" applyFill="1" applyBorder="1" applyAlignment="1">
      <alignment horizontal="right"/>
    </xf>
    <xf numFmtId="0" fontId="16" fillId="0" borderId="0" xfId="0" applyFont="1"/>
    <xf numFmtId="0" fontId="17" fillId="0" borderId="0" xfId="0" applyFont="1" applyBorder="1" applyAlignment="1" applyProtection="1">
      <alignment horizontal="right"/>
    </xf>
    <xf numFmtId="3" fontId="2" fillId="0" borderId="0" xfId="2" applyNumberFormat="1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8" fillId="0" borderId="17" xfId="2" applyFont="1" applyBorder="1" applyAlignment="1">
      <alignment vertical="top"/>
    </xf>
    <xf numFmtId="3" fontId="2" fillId="0" borderId="18" xfId="2" applyNumberFormat="1" applyFont="1" applyBorder="1" applyAlignment="1">
      <alignment vertical="top"/>
    </xf>
    <xf numFmtId="3" fontId="2" fillId="0" borderId="20" xfId="0" applyNumberFormat="1" applyFont="1" applyBorder="1" applyAlignment="1">
      <alignment vertical="top"/>
    </xf>
    <xf numFmtId="2" fontId="10" fillId="0" borderId="10" xfId="2" applyNumberFormat="1" applyFont="1" applyFill="1" applyBorder="1" applyAlignment="1">
      <alignment vertical="top"/>
    </xf>
    <xf numFmtId="3" fontId="10" fillId="0" borderId="11" xfId="0" applyNumberFormat="1" applyFont="1" applyBorder="1" applyAlignment="1">
      <alignment vertical="top"/>
    </xf>
    <xf numFmtId="1" fontId="10" fillId="0" borderId="14" xfId="2" applyNumberFormat="1" applyFont="1" applyFill="1" applyBorder="1" applyAlignment="1">
      <alignment vertical="top"/>
    </xf>
    <xf numFmtId="3" fontId="10" fillId="0" borderId="15" xfId="0" applyNumberFormat="1" applyFont="1" applyBorder="1" applyAlignment="1">
      <alignment vertical="top"/>
    </xf>
    <xf numFmtId="2" fontId="10" fillId="0" borderId="14" xfId="2" applyNumberFormat="1" applyFont="1" applyFill="1" applyBorder="1" applyAlignment="1">
      <alignment vertical="top"/>
    </xf>
    <xf numFmtId="177" fontId="10" fillId="0" borderId="14" xfId="2" applyNumberFormat="1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3" fontId="10" fillId="0" borderId="15" xfId="0" applyNumberFormat="1" applyFont="1" applyBorder="1" applyAlignment="1">
      <alignment vertical="top" wrapText="1"/>
    </xf>
    <xf numFmtId="0" fontId="17" fillId="0" borderId="1" xfId="0" applyFont="1" applyBorder="1" applyAlignment="1" applyProtection="1">
      <alignment horizontal="right"/>
    </xf>
    <xf numFmtId="3" fontId="10" fillId="0" borderId="22" xfId="0" applyNumberFormat="1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177" fontId="10" fillId="0" borderId="23" xfId="2" applyNumberFormat="1" applyFont="1" applyFill="1" applyBorder="1" applyAlignment="1">
      <alignment vertical="top"/>
    </xf>
    <xf numFmtId="0" fontId="7" fillId="0" borderId="5" xfId="0" applyFont="1" applyFill="1" applyBorder="1" applyAlignment="1">
      <alignment horizontal="right"/>
    </xf>
    <xf numFmtId="0" fontId="7" fillId="0" borderId="24" xfId="0" applyFont="1" applyFill="1" applyBorder="1" applyAlignment="1">
      <alignment horizontal="right"/>
    </xf>
    <xf numFmtId="177" fontId="4" fillId="0" borderId="12" xfId="0" applyNumberFormat="1" applyFont="1" applyBorder="1"/>
    <xf numFmtId="177" fontId="4" fillId="0" borderId="16" xfId="0" applyNumberFormat="1" applyFont="1" applyBorder="1" applyAlignment="1">
      <alignment horizontal="right"/>
    </xf>
    <xf numFmtId="177" fontId="4" fillId="0" borderId="16" xfId="0" applyNumberFormat="1" applyFont="1" applyBorder="1"/>
    <xf numFmtId="177" fontId="4" fillId="0" borderId="8" xfId="0" applyNumberFormat="1" applyFont="1" applyBorder="1"/>
    <xf numFmtId="0" fontId="18" fillId="0" borderId="19" xfId="0" applyFont="1" applyBorder="1"/>
    <xf numFmtId="0" fontId="18" fillId="0" borderId="21" xfId="0" applyFont="1" applyBorder="1"/>
    <xf numFmtId="0" fontId="18" fillId="0" borderId="4" xfId="0" applyFont="1" applyBorder="1"/>
    <xf numFmtId="0" fontId="18" fillId="0" borderId="0" xfId="0" applyFont="1" applyBorder="1"/>
    <xf numFmtId="3" fontId="18" fillId="0" borderId="21" xfId="0" applyNumberFormat="1" applyFont="1" applyBorder="1"/>
    <xf numFmtId="0" fontId="18" fillId="0" borderId="19" xfId="0" applyFont="1" applyBorder="1" applyAlignment="1">
      <alignment horizontal="right"/>
    </xf>
    <xf numFmtId="0" fontId="18" fillId="0" borderId="21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7" fillId="0" borderId="21" xfId="0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0" fontId="9" fillId="0" borderId="12" xfId="2" applyFont="1" applyBorder="1" applyAlignment="1">
      <alignment vertical="top"/>
    </xf>
    <xf numFmtId="0" fontId="9" fillId="0" borderId="16" xfId="2" applyFont="1" applyBorder="1" applyAlignment="1">
      <alignment vertical="top"/>
    </xf>
    <xf numFmtId="0" fontId="9" fillId="0" borderId="16" xfId="2" applyFont="1" applyBorder="1" applyAlignment="1">
      <alignment horizontal="right" vertical="top"/>
    </xf>
    <xf numFmtId="0" fontId="9" fillId="0" borderId="22" xfId="2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8" fillId="0" borderId="24" xfId="2" applyFont="1" applyBorder="1" applyAlignment="1">
      <alignment vertical="top"/>
    </xf>
    <xf numFmtId="0" fontId="10" fillId="0" borderId="12" xfId="2" applyFont="1" applyBorder="1" applyAlignment="1">
      <alignment vertical="top"/>
    </xf>
    <xf numFmtId="0" fontId="10" fillId="0" borderId="16" xfId="2" applyFont="1" applyBorder="1" applyAlignment="1">
      <alignment vertical="top"/>
    </xf>
    <xf numFmtId="0" fontId="10" fillId="0" borderId="16" xfId="2" applyFont="1" applyBorder="1" applyAlignment="1">
      <alignment vertical="top" wrapText="1"/>
    </xf>
    <xf numFmtId="0" fontId="10" fillId="0" borderId="22" xfId="2" applyFont="1" applyBorder="1" applyAlignment="1">
      <alignment vertical="top" wrapText="1"/>
    </xf>
    <xf numFmtId="0" fontId="4" fillId="0" borderId="21" xfId="0" applyFont="1" applyBorder="1"/>
    <xf numFmtId="0" fontId="4" fillId="0" borderId="4" xfId="0" applyFont="1" applyBorder="1"/>
    <xf numFmtId="0" fontId="7" fillId="0" borderId="2" xfId="0" applyFont="1" applyBorder="1"/>
    <xf numFmtId="3" fontId="4" fillId="0" borderId="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4" fillId="0" borderId="20" xfId="0" applyFont="1" applyBorder="1"/>
    <xf numFmtId="0" fontId="4" fillId="0" borderId="3" xfId="0" applyFont="1" applyBorder="1"/>
    <xf numFmtId="49" fontId="4" fillId="0" borderId="0" xfId="0" applyNumberFormat="1" applyFont="1" applyBorder="1"/>
    <xf numFmtId="0" fontId="7" fillId="0" borderId="25" xfId="0" applyFont="1" applyBorder="1" applyAlignment="1" applyProtection="1">
      <alignment horizontal="center"/>
    </xf>
    <xf numFmtId="0" fontId="7" fillId="0" borderId="25" xfId="0" applyFont="1" applyBorder="1" applyAlignment="1">
      <alignment horizontal="right"/>
    </xf>
    <xf numFmtId="0" fontId="7" fillId="0" borderId="26" xfId="0" applyFont="1" applyBorder="1" applyAlignment="1">
      <alignment horizontal="center"/>
    </xf>
    <xf numFmtId="0" fontId="7" fillId="0" borderId="4" xfId="0" applyFont="1" applyBorder="1"/>
    <xf numFmtId="0" fontId="7" fillId="0" borderId="25" xfId="0" applyFont="1" applyFill="1" applyBorder="1" applyAlignment="1" applyProtection="1">
      <alignment horizontal="right"/>
    </xf>
    <xf numFmtId="0" fontId="7" fillId="0" borderId="19" xfId="0" applyFont="1" applyFill="1" applyBorder="1" applyAlignment="1" applyProtection="1">
      <alignment horizontal="center"/>
    </xf>
    <xf numFmtId="0" fontId="4" fillId="0" borderId="27" xfId="0" quotePrefix="1" applyFont="1" applyBorder="1" applyAlignment="1" applyProtection="1">
      <alignment horizontal="center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center"/>
    </xf>
    <xf numFmtId="0" fontId="4" fillId="0" borderId="3" xfId="0" quotePrefix="1" applyFont="1" applyBorder="1" applyAlignment="1" applyProtection="1">
      <alignment horizontal="center"/>
    </xf>
    <xf numFmtId="9" fontId="4" fillId="0" borderId="21" xfId="3" applyFont="1" applyBorder="1" applyAlignment="1">
      <alignment horizontal="center"/>
    </xf>
    <xf numFmtId="49" fontId="4" fillId="0" borderId="1" xfId="0" applyNumberFormat="1" applyFont="1" applyBorder="1"/>
    <xf numFmtId="0" fontId="4" fillId="0" borderId="29" xfId="0" applyFont="1" applyBorder="1" applyAlignment="1" applyProtection="1">
      <alignment horizontal="center"/>
    </xf>
    <xf numFmtId="0" fontId="4" fillId="0" borderId="29" xfId="0" applyFont="1" applyBorder="1" applyAlignment="1">
      <alignment horizontal="right"/>
    </xf>
    <xf numFmtId="0" fontId="4" fillId="0" borderId="6" xfId="0" applyFont="1" applyBorder="1" applyAlignment="1" applyProtection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4" fillId="0" borderId="2" xfId="0" applyNumberFormat="1" applyFont="1" applyBorder="1"/>
    <xf numFmtId="3" fontId="4" fillId="0" borderId="4" xfId="0" applyNumberFormat="1" applyFont="1" applyFill="1" applyBorder="1" applyAlignment="1">
      <alignment horizontal="right"/>
    </xf>
    <xf numFmtId="3" fontId="4" fillId="0" borderId="4" xfId="0" applyNumberFormat="1" applyFont="1" applyFill="1" applyBorder="1"/>
    <xf numFmtId="3" fontId="4" fillId="0" borderId="25" xfId="3" applyNumberFormat="1" applyFont="1" applyFill="1" applyBorder="1" applyAlignment="1">
      <alignment horizontal="right"/>
    </xf>
    <xf numFmtId="3" fontId="4" fillId="0" borderId="27" xfId="0" applyNumberFormat="1" applyFont="1" applyBorder="1"/>
    <xf numFmtId="3" fontId="4" fillId="0" borderId="27" xfId="3" applyNumberFormat="1" applyFont="1" applyBorder="1" applyAlignment="1">
      <alignment horizontal="right"/>
    </xf>
    <xf numFmtId="3" fontId="20" fillId="0" borderId="6" xfId="0" applyNumberFormat="1" applyFont="1" applyBorder="1" applyAlignment="1">
      <alignment horizontal="right"/>
    </xf>
    <xf numFmtId="3" fontId="7" fillId="0" borderId="29" xfId="0" applyNumberFormat="1" applyFont="1" applyBorder="1"/>
    <xf numFmtId="3" fontId="20" fillId="0" borderId="1" xfId="0" applyNumberFormat="1" applyFont="1" applyBorder="1" applyAlignment="1">
      <alignment horizontal="right"/>
    </xf>
    <xf numFmtId="3" fontId="7" fillId="0" borderId="29" xfId="3" applyNumberFormat="1" applyFont="1" applyBorder="1" applyAlignment="1">
      <alignment horizontal="right"/>
    </xf>
    <xf numFmtId="3" fontId="19" fillId="0" borderId="4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49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9" fontId="4" fillId="0" borderId="0" xfId="3" applyFont="1" applyBorder="1"/>
    <xf numFmtId="0" fontId="7" fillId="0" borderId="4" xfId="0" applyFont="1" applyBorder="1" applyAlignment="1">
      <alignment horizontal="right"/>
    </xf>
    <xf numFmtId="0" fontId="7" fillId="0" borderId="30" xfId="0" applyFont="1" applyBorder="1" applyAlignment="1">
      <alignment horizontal="right"/>
    </xf>
    <xf numFmtId="0" fontId="7" fillId="0" borderId="19" xfId="0" applyFont="1" applyBorder="1" applyAlignment="1">
      <alignment horizontal="center"/>
    </xf>
    <xf numFmtId="0" fontId="4" fillId="0" borderId="3" xfId="0" applyFont="1" applyBorder="1" applyAlignment="1" applyProtection="1">
      <alignment horizontal="right"/>
    </xf>
    <xf numFmtId="0" fontId="4" fillId="0" borderId="31" xfId="0" applyFont="1" applyBorder="1" applyAlignment="1" applyProtection="1">
      <alignment horizontal="right"/>
    </xf>
    <xf numFmtId="0" fontId="4" fillId="0" borderId="21" xfId="0" applyFont="1" applyBorder="1" applyAlignment="1">
      <alignment horizontal="center"/>
    </xf>
    <xf numFmtId="0" fontId="4" fillId="0" borderId="6" xfId="0" applyFont="1" applyBorder="1" applyAlignment="1" applyProtection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3" fontId="4" fillId="0" borderId="3" xfId="0" applyNumberFormat="1" applyFont="1" applyBorder="1" applyAlignment="1" applyProtection="1">
      <alignment horizontal="right"/>
    </xf>
    <xf numFmtId="3" fontId="4" fillId="0" borderId="31" xfId="0" applyNumberFormat="1" applyFont="1" applyBorder="1" applyAlignment="1">
      <alignment horizontal="right"/>
    </xf>
    <xf numFmtId="0" fontId="4" fillId="0" borderId="19" xfId="0" applyFont="1" applyFill="1" applyBorder="1"/>
    <xf numFmtId="9" fontId="4" fillId="0" borderId="0" xfId="3" applyFont="1" applyFill="1"/>
    <xf numFmtId="9" fontId="7" fillId="0" borderId="0" xfId="3" applyFont="1" applyFill="1"/>
    <xf numFmtId="3" fontId="20" fillId="0" borderId="3" xfId="0" applyNumberFormat="1" applyFont="1" applyBorder="1" applyAlignment="1" applyProtection="1">
      <alignment horizontal="right"/>
    </xf>
    <xf numFmtId="3" fontId="20" fillId="0" borderId="31" xfId="0" applyNumberFormat="1" applyFont="1" applyBorder="1" applyAlignment="1">
      <alignment horizontal="right"/>
    </xf>
    <xf numFmtId="3" fontId="7" fillId="0" borderId="27" xfId="3" applyNumberFormat="1" applyFont="1" applyBorder="1" applyAlignment="1">
      <alignment horizontal="right"/>
    </xf>
    <xf numFmtId="0" fontId="4" fillId="0" borderId="2" xfId="0" applyFont="1" applyBorder="1" applyProtection="1"/>
    <xf numFmtId="0" fontId="4" fillId="0" borderId="2" xfId="0" applyFont="1" applyBorder="1" applyAlignment="1" applyProtection="1">
      <alignment horizontal="left"/>
    </xf>
    <xf numFmtId="3" fontId="4" fillId="0" borderId="4" xfId="0" applyNumberFormat="1" applyFont="1" applyBorder="1" applyAlignment="1" applyProtection="1">
      <alignment horizontal="right"/>
    </xf>
    <xf numFmtId="3" fontId="4" fillId="0" borderId="30" xfId="0" applyNumberFormat="1" applyFont="1" applyBorder="1" applyAlignment="1">
      <alignment horizontal="right"/>
    </xf>
    <xf numFmtId="3" fontId="4" fillId="0" borderId="25" xfId="3" applyNumberFormat="1" applyFont="1" applyBorder="1" applyAlignment="1">
      <alignment horizontal="right"/>
    </xf>
    <xf numFmtId="0" fontId="4" fillId="0" borderId="0" xfId="0" applyFont="1" applyBorder="1" applyAlignment="1" applyProtection="1">
      <alignment horizontal="left"/>
    </xf>
    <xf numFmtId="0" fontId="4" fillId="0" borderId="18" xfId="0" applyFont="1" applyBorder="1" applyProtection="1"/>
    <xf numFmtId="0" fontId="4" fillId="0" borderId="18" xfId="0" applyFont="1" applyBorder="1" applyAlignment="1" applyProtection="1">
      <alignment horizontal="left"/>
    </xf>
    <xf numFmtId="3" fontId="20" fillId="0" borderId="17" xfId="0" applyNumberFormat="1" applyFont="1" applyBorder="1" applyAlignment="1" applyProtection="1">
      <alignment horizontal="right"/>
    </xf>
    <xf numFmtId="3" fontId="20" fillId="0" borderId="33" xfId="0" applyNumberFormat="1" applyFont="1" applyBorder="1" applyAlignment="1">
      <alignment horizontal="right"/>
    </xf>
    <xf numFmtId="3" fontId="7" fillId="0" borderId="34" xfId="3" applyNumberFormat="1" applyFont="1" applyBorder="1" applyAlignment="1">
      <alignment horizontal="right"/>
    </xf>
    <xf numFmtId="0" fontId="7" fillId="0" borderId="2" xfId="0" applyFont="1" applyBorder="1" applyAlignment="1" applyProtection="1">
      <alignment horizontal="left"/>
    </xf>
    <xf numFmtId="0" fontId="7" fillId="0" borderId="19" xfId="0" applyFont="1" applyBorder="1" applyAlignment="1">
      <alignment horizontal="right"/>
    </xf>
    <xf numFmtId="49" fontId="7" fillId="0" borderId="0" xfId="0" applyNumberFormat="1" applyFont="1" applyBorder="1"/>
    <xf numFmtId="0" fontId="4" fillId="0" borderId="27" xfId="0" applyFont="1" applyBorder="1" applyAlignment="1" applyProtection="1">
      <alignment horizontal="right"/>
    </xf>
    <xf numFmtId="0" fontId="4" fillId="0" borderId="21" xfId="0" applyFont="1" applyBorder="1" applyAlignment="1" applyProtection="1">
      <alignment horizontal="right"/>
    </xf>
    <xf numFmtId="0" fontId="4" fillId="0" borderId="27" xfId="0" applyFont="1" applyBorder="1"/>
    <xf numFmtId="0" fontId="4" fillId="0" borderId="29" xfId="0" applyFont="1" applyBorder="1" applyAlignment="1" applyProtection="1">
      <alignment horizontal="right"/>
    </xf>
    <xf numFmtId="0" fontId="4" fillId="0" borderId="7" xfId="0" applyFont="1" applyBorder="1" applyAlignment="1" applyProtection="1">
      <alignment horizontal="right"/>
    </xf>
    <xf numFmtId="3" fontId="19" fillId="0" borderId="21" xfId="0" applyNumberFormat="1" applyFont="1" applyBorder="1" applyAlignment="1" applyProtection="1">
      <alignment horizontal="right"/>
      <protection locked="0"/>
    </xf>
    <xf numFmtId="3" fontId="4" fillId="0" borderId="27" xfId="0" applyNumberFormat="1" applyFont="1" applyBorder="1" applyAlignment="1">
      <alignment horizontal="right"/>
    </xf>
    <xf numFmtId="3" fontId="20" fillId="0" borderId="27" xfId="0" applyNumberFormat="1" applyFont="1" applyBorder="1" applyAlignment="1" applyProtection="1">
      <alignment horizontal="right"/>
    </xf>
    <xf numFmtId="3" fontId="20" fillId="0" borderId="21" xfId="0" applyNumberFormat="1" applyFont="1" applyBorder="1" applyAlignment="1" applyProtection="1">
      <alignment horizontal="right"/>
    </xf>
    <xf numFmtId="3" fontId="7" fillId="0" borderId="27" xfId="0" applyNumberFormat="1" applyFont="1" applyBorder="1" applyAlignment="1">
      <alignment horizontal="right"/>
    </xf>
    <xf numFmtId="0" fontId="4" fillId="0" borderId="25" xfId="0" applyFont="1" applyBorder="1" applyAlignment="1" applyProtection="1">
      <alignment horizontal="right"/>
    </xf>
    <xf numFmtId="0" fontId="4" fillId="0" borderId="19" xfId="0" applyFont="1" applyBorder="1" applyAlignment="1" applyProtection="1">
      <alignment horizontal="right"/>
    </xf>
    <xf numFmtId="3" fontId="4" fillId="0" borderId="34" xfId="0" applyNumberFormat="1" applyFont="1" applyBorder="1" applyAlignment="1">
      <alignment horizontal="right"/>
    </xf>
    <xf numFmtId="0" fontId="4" fillId="0" borderId="34" xfId="0" applyFont="1" applyBorder="1" applyAlignment="1" applyProtection="1">
      <alignment horizontal="right"/>
    </xf>
    <xf numFmtId="0" fontId="4" fillId="0" borderId="20" xfId="0" applyFont="1" applyBorder="1" applyAlignment="1" applyProtection="1">
      <alignment horizontal="right"/>
    </xf>
    <xf numFmtId="3" fontId="20" fillId="0" borderId="34" xfId="0" applyNumberFormat="1" applyFont="1" applyBorder="1" applyAlignment="1" applyProtection="1">
      <alignment horizontal="right"/>
    </xf>
    <xf numFmtId="3" fontId="7" fillId="0" borderId="3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right"/>
    </xf>
    <xf numFmtId="0" fontId="4" fillId="0" borderId="1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3" xfId="0" applyFont="1" applyBorder="1" applyProtection="1"/>
    <xf numFmtId="0" fontId="4" fillId="0" borderId="21" xfId="0" applyFont="1" applyBorder="1" applyAlignment="1" applyProtection="1">
      <alignment horizontal="center"/>
    </xf>
    <xf numFmtId="3" fontId="19" fillId="0" borderId="3" xfId="0" applyNumberFormat="1" applyFont="1" applyBorder="1"/>
    <xf numFmtId="3" fontId="19" fillId="0" borderId="0" xfId="0" applyNumberFormat="1" applyFont="1" applyBorder="1"/>
    <xf numFmtId="3" fontId="4" fillId="0" borderId="3" xfId="0" applyNumberFormat="1" applyFont="1" applyBorder="1"/>
    <xf numFmtId="3" fontId="20" fillId="0" borderId="1" xfId="0" applyNumberFormat="1" applyFont="1" applyBorder="1"/>
    <xf numFmtId="0" fontId="7" fillId="0" borderId="26" xfId="0" applyFont="1" applyBorder="1" applyAlignment="1">
      <alignment horizontal="right"/>
    </xf>
    <xf numFmtId="0" fontId="4" fillId="0" borderId="28" xfId="0" applyFont="1" applyBorder="1" applyProtection="1"/>
    <xf numFmtId="0" fontId="4" fillId="0" borderId="28" xfId="0" applyFont="1" applyBorder="1" applyAlignment="1" applyProtection="1">
      <alignment horizontal="right"/>
    </xf>
    <xf numFmtId="0" fontId="4" fillId="0" borderId="28" xfId="0" applyFont="1" applyBorder="1"/>
    <xf numFmtId="0" fontId="4" fillId="0" borderId="35" xfId="0" applyFont="1" applyBorder="1" applyAlignment="1" applyProtection="1">
      <alignment horizontal="right"/>
    </xf>
    <xf numFmtId="0" fontId="4" fillId="0" borderId="0" xfId="0" applyFont="1" applyBorder="1" applyProtection="1"/>
    <xf numFmtId="3" fontId="19" fillId="0" borderId="27" xfId="0" applyNumberFormat="1" applyFont="1" applyBorder="1" applyProtection="1">
      <protection locked="0"/>
    </xf>
    <xf numFmtId="3" fontId="19" fillId="0" borderId="36" xfId="0" applyNumberFormat="1" applyFont="1" applyBorder="1" applyProtection="1">
      <protection locked="0"/>
    </xf>
    <xf numFmtId="3" fontId="4" fillId="0" borderId="28" xfId="0" applyNumberFormat="1" applyFont="1" applyBorder="1" applyAlignment="1" applyProtection="1">
      <alignment horizontal="right"/>
    </xf>
    <xf numFmtId="0" fontId="4" fillId="0" borderId="1" xfId="0" applyFont="1" applyBorder="1" applyAlignment="1" applyProtection="1">
      <alignment horizontal="left"/>
    </xf>
    <xf numFmtId="3" fontId="20" fillId="0" borderId="29" xfId="0" applyNumberFormat="1" applyFont="1" applyBorder="1" applyProtection="1"/>
    <xf numFmtId="3" fontId="20" fillId="0" borderId="7" xfId="0" applyNumberFormat="1" applyFont="1" applyBorder="1" applyProtection="1"/>
    <xf numFmtId="3" fontId="20" fillId="0" borderId="6" xfId="0" applyNumberFormat="1" applyFont="1" applyBorder="1" applyProtection="1"/>
    <xf numFmtId="3" fontId="20" fillId="0" borderId="35" xfId="0" applyNumberFormat="1" applyFont="1" applyBorder="1" applyProtection="1"/>
    <xf numFmtId="3" fontId="4" fillId="0" borderId="6" xfId="0" applyNumberFormat="1" applyFont="1" applyBorder="1" applyAlignment="1" applyProtection="1">
      <alignment horizontal="right"/>
    </xf>
    <xf numFmtId="3" fontId="4" fillId="0" borderId="35" xfId="0" applyNumberFormat="1" applyFont="1" applyBorder="1" applyAlignment="1" applyProtection="1">
      <alignment horizontal="right"/>
    </xf>
    <xf numFmtId="3" fontId="19" fillId="0" borderId="28" xfId="0" applyNumberFormat="1" applyFont="1" applyBorder="1"/>
    <xf numFmtId="3" fontId="4" fillId="0" borderId="28" xfId="0" applyNumberFormat="1" applyFont="1" applyBorder="1"/>
    <xf numFmtId="3" fontId="19" fillId="0" borderId="3" xfId="0" applyNumberFormat="1" applyFont="1" applyBorder="1" applyProtection="1">
      <protection locked="0"/>
    </xf>
    <xf numFmtId="3" fontId="19" fillId="0" borderId="28" xfId="0" applyNumberFormat="1" applyFont="1" applyBorder="1" applyProtection="1">
      <protection locked="0"/>
    </xf>
    <xf numFmtId="3" fontId="19" fillId="0" borderId="3" xfId="0" applyNumberFormat="1" applyFont="1" applyBorder="1" applyProtection="1"/>
    <xf numFmtId="3" fontId="19" fillId="0" borderId="28" xfId="0" applyNumberFormat="1" applyFont="1" applyBorder="1" applyProtection="1"/>
    <xf numFmtId="3" fontId="4" fillId="0" borderId="17" xfId="0" applyNumberFormat="1" applyFont="1" applyBorder="1" applyAlignment="1" applyProtection="1">
      <alignment horizontal="right"/>
    </xf>
    <xf numFmtId="3" fontId="4" fillId="0" borderId="37" xfId="0" applyNumberFormat="1" applyFont="1" applyBorder="1" applyAlignment="1" applyProtection="1">
      <alignment horizontal="right"/>
    </xf>
    <xf numFmtId="3" fontId="19" fillId="0" borderId="17" xfId="0" applyNumberFormat="1" applyFont="1" applyBorder="1" applyProtection="1">
      <protection locked="0"/>
    </xf>
    <xf numFmtId="3" fontId="19" fillId="0" borderId="37" xfId="0" applyNumberFormat="1" applyFont="1" applyBorder="1" applyProtection="1">
      <protection locked="0"/>
    </xf>
    <xf numFmtId="3" fontId="19" fillId="0" borderId="3" xfId="0" applyNumberFormat="1" applyFont="1" applyBorder="1" applyAlignment="1" applyProtection="1">
      <alignment horizontal="right"/>
      <protection locked="0"/>
    </xf>
    <xf numFmtId="3" fontId="19" fillId="0" borderId="28" xfId="0" applyNumberFormat="1" applyFont="1" applyBorder="1" applyAlignment="1" applyProtection="1">
      <alignment horizontal="right"/>
      <protection locked="0"/>
    </xf>
    <xf numFmtId="0" fontId="4" fillId="0" borderId="1" xfId="0" applyFont="1" applyBorder="1" applyProtection="1"/>
    <xf numFmtId="3" fontId="20" fillId="0" borderId="29" xfId="0" applyNumberFormat="1" applyFont="1" applyBorder="1"/>
    <xf numFmtId="0" fontId="4" fillId="0" borderId="25" xfId="0" applyFont="1" applyBorder="1" applyProtection="1"/>
    <xf numFmtId="3" fontId="4" fillId="0" borderId="29" xfId="0" applyNumberFormat="1" applyFont="1" applyBorder="1"/>
    <xf numFmtId="3" fontId="19" fillId="0" borderId="27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 applyProtection="1">
      <alignment horizontal="right"/>
    </xf>
    <xf numFmtId="3" fontId="19" fillId="0" borderId="0" xfId="0" applyNumberFormat="1" applyFont="1" applyBorder="1" applyProtection="1">
      <protection locked="0"/>
    </xf>
    <xf numFmtId="3" fontId="4" fillId="0" borderId="0" xfId="0" applyNumberFormat="1" applyFont="1" applyBorder="1" applyProtection="1"/>
    <xf numFmtId="9" fontId="4" fillId="0" borderId="0" xfId="3" applyFont="1" applyBorder="1" applyAlignment="1" applyProtection="1">
      <alignment horizontal="center"/>
      <protection locked="0"/>
    </xf>
    <xf numFmtId="3" fontId="20" fillId="0" borderId="0" xfId="0" applyNumberFormat="1" applyFont="1" applyBorder="1" applyProtection="1"/>
    <xf numFmtId="3" fontId="7" fillId="0" borderId="0" xfId="0" applyNumberFormat="1" applyFont="1" applyBorder="1" applyProtection="1"/>
    <xf numFmtId="3" fontId="19" fillId="0" borderId="0" xfId="0" applyNumberFormat="1" applyFont="1" applyBorder="1" applyProtection="1"/>
    <xf numFmtId="0" fontId="4" fillId="0" borderId="1" xfId="0" applyFont="1" applyBorder="1" applyAlignment="1" applyProtection="1">
      <alignment horizontal="right"/>
    </xf>
    <xf numFmtId="3" fontId="20" fillId="0" borderId="1" xfId="0" applyNumberFormat="1" applyFont="1" applyBorder="1" applyProtection="1"/>
    <xf numFmtId="3" fontId="4" fillId="0" borderId="0" xfId="0" applyNumberFormat="1" applyFont="1" applyBorder="1" applyAlignment="1" applyProtection="1">
      <alignment horizontal="right"/>
    </xf>
    <xf numFmtId="3" fontId="19" fillId="0" borderId="18" xfId="0" applyNumberFormat="1" applyFont="1" applyBorder="1" applyProtection="1">
      <protection locked="0"/>
    </xf>
    <xf numFmtId="0" fontId="7" fillId="4" borderId="2" xfId="0" applyFont="1" applyFill="1" applyBorder="1" applyAlignment="1" applyProtection="1">
      <alignment horizontal="center"/>
    </xf>
    <xf numFmtId="0" fontId="7" fillId="4" borderId="25" xfId="0" applyFont="1" applyFill="1" applyBorder="1" applyAlignment="1">
      <alignment horizontal="right"/>
    </xf>
    <xf numFmtId="0" fontId="7" fillId="4" borderId="26" xfId="0" applyFont="1" applyFill="1" applyBorder="1" applyAlignment="1">
      <alignment horizontal="center"/>
    </xf>
    <xf numFmtId="0" fontId="4" fillId="4" borderId="0" xfId="0" quotePrefix="1" applyFont="1" applyFill="1" applyBorder="1" applyAlignment="1" applyProtection="1">
      <alignment horizontal="center"/>
    </xf>
    <xf numFmtId="0" fontId="4" fillId="4" borderId="27" xfId="0" applyFont="1" applyFill="1" applyBorder="1" applyAlignment="1">
      <alignment horizontal="right"/>
    </xf>
    <xf numFmtId="0" fontId="4" fillId="4" borderId="28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center"/>
    </xf>
    <xf numFmtId="0" fontId="4" fillId="4" borderId="29" xfId="0" applyFont="1" applyFill="1" applyBorder="1" applyAlignment="1">
      <alignment horizontal="right"/>
    </xf>
    <xf numFmtId="0" fontId="4" fillId="4" borderId="35" xfId="0" applyFont="1" applyFill="1" applyBorder="1" applyAlignment="1">
      <alignment horizontal="center"/>
    </xf>
    <xf numFmtId="3" fontId="4" fillId="4" borderId="30" xfId="0" applyNumberFormat="1" applyFont="1" applyFill="1" applyBorder="1" applyAlignment="1">
      <alignment horizontal="right"/>
    </xf>
    <xf numFmtId="0" fontId="4" fillId="4" borderId="25" xfId="0" applyFont="1" applyFill="1" applyBorder="1"/>
    <xf numFmtId="3" fontId="4" fillId="4" borderId="27" xfId="0" applyNumberFormat="1" applyFont="1" applyFill="1" applyBorder="1"/>
    <xf numFmtId="3" fontId="20" fillId="4" borderId="32" xfId="0" applyNumberFormat="1" applyFont="1" applyFill="1" applyBorder="1" applyAlignment="1">
      <alignment horizontal="right"/>
    </xf>
    <xf numFmtId="3" fontId="7" fillId="4" borderId="29" xfId="0" applyNumberFormat="1" applyFont="1" applyFill="1" applyBorder="1"/>
    <xf numFmtId="3" fontId="19" fillId="4" borderId="30" xfId="0" applyNumberFormat="1" applyFont="1" applyFill="1" applyBorder="1" applyAlignment="1">
      <alignment horizontal="right"/>
    </xf>
    <xf numFmtId="3" fontId="4" fillId="4" borderId="25" xfId="0" applyNumberFormat="1" applyFont="1" applyFill="1" applyBorder="1"/>
    <xf numFmtId="0" fontId="4" fillId="0" borderId="0" xfId="0" applyFont="1" applyAlignment="1">
      <alignment horizontal="left"/>
    </xf>
    <xf numFmtId="9" fontId="4" fillId="0" borderId="0" xfId="3" applyFont="1" applyFill="1" applyAlignment="1">
      <alignment horizontal="left"/>
    </xf>
    <xf numFmtId="177" fontId="4" fillId="0" borderId="21" xfId="3" applyNumberFormat="1" applyFont="1" applyFill="1" applyBorder="1" applyAlignment="1">
      <alignment horizontal="center"/>
    </xf>
    <xf numFmtId="177" fontId="4" fillId="4" borderId="26" xfId="0" applyNumberFormat="1" applyFont="1" applyFill="1" applyBorder="1"/>
    <xf numFmtId="177" fontId="4" fillId="0" borderId="19" xfId="0" applyNumberFormat="1" applyFont="1" applyFill="1" applyBorder="1" applyAlignment="1">
      <alignment horizontal="center"/>
    </xf>
    <xf numFmtId="2" fontId="4" fillId="0" borderId="21" xfId="3" applyNumberFormat="1" applyFont="1" applyFill="1" applyBorder="1" applyAlignment="1">
      <alignment horizontal="center"/>
    </xf>
    <xf numFmtId="2" fontId="4" fillId="4" borderId="21" xfId="3" applyNumberFormat="1" applyFont="1" applyFill="1" applyBorder="1" applyAlignment="1">
      <alignment horizontal="center"/>
    </xf>
    <xf numFmtId="3" fontId="19" fillId="4" borderId="31" xfId="0" applyNumberFormat="1" applyFont="1" applyFill="1" applyBorder="1" applyAlignment="1" applyProtection="1">
      <alignment horizontal="right"/>
      <protection locked="0"/>
    </xf>
    <xf numFmtId="177" fontId="4" fillId="0" borderId="37" xfId="3" applyNumberFormat="1" applyFont="1" applyFill="1" applyBorder="1" applyAlignment="1">
      <alignment horizontal="center"/>
    </xf>
    <xf numFmtId="177" fontId="4" fillId="0" borderId="35" xfId="3" applyNumberFormat="1" applyFont="1" applyFill="1" applyBorder="1" applyAlignment="1">
      <alignment horizontal="center"/>
    </xf>
    <xf numFmtId="0" fontId="4" fillId="0" borderId="26" xfId="0" applyFont="1" applyBorder="1"/>
    <xf numFmtId="2" fontId="4" fillId="0" borderId="35" xfId="3" applyNumberFormat="1" applyFont="1" applyFill="1" applyBorder="1" applyAlignment="1">
      <alignment horizontal="center"/>
    </xf>
    <xf numFmtId="2" fontId="4" fillId="4" borderId="35" xfId="3" applyNumberFormat="1" applyFont="1" applyFill="1" applyBorder="1" applyAlignment="1">
      <alignment horizontal="center"/>
    </xf>
    <xf numFmtId="3" fontId="19" fillId="0" borderId="31" xfId="0" applyNumberFormat="1" applyFont="1" applyBorder="1" applyAlignment="1" applyProtection="1">
      <alignment horizontal="right"/>
      <protection locked="0"/>
    </xf>
    <xf numFmtId="0" fontId="19" fillId="0" borderId="27" xfId="0" applyFont="1" applyBorder="1" applyAlignment="1" applyProtection="1">
      <alignment horizontal="right"/>
      <protection locked="0"/>
    </xf>
    <xf numFmtId="0" fontId="19" fillId="0" borderId="21" xfId="0" applyFont="1" applyBorder="1" applyAlignment="1" applyProtection="1">
      <alignment horizontal="right"/>
      <protection locked="0"/>
    </xf>
    <xf numFmtId="0" fontId="19" fillId="0" borderId="25" xfId="0" applyFont="1" applyBorder="1" applyAlignment="1" applyProtection="1">
      <alignment horizontal="right"/>
      <protection locked="0"/>
    </xf>
    <xf numFmtId="0" fontId="19" fillId="0" borderId="34" xfId="0" applyFont="1" applyBorder="1" applyAlignment="1" applyProtection="1">
      <alignment horizontal="right"/>
      <protection locked="0"/>
    </xf>
    <xf numFmtId="0" fontId="19" fillId="0" borderId="19" xfId="0" applyFont="1" applyBorder="1" applyAlignment="1" applyProtection="1">
      <alignment horizontal="right"/>
      <protection locked="0"/>
    </xf>
    <xf numFmtId="0" fontId="19" fillId="0" borderId="20" xfId="0" applyFont="1" applyBorder="1" applyAlignment="1" applyProtection="1">
      <alignment horizontal="right"/>
      <protection locked="0"/>
    </xf>
    <xf numFmtId="3" fontId="19" fillId="0" borderId="29" xfId="0" applyNumberFormat="1" applyFont="1" applyBorder="1" applyProtection="1">
      <protection locked="0"/>
    </xf>
    <xf numFmtId="3" fontId="19" fillId="0" borderId="1" xfId="0" applyNumberFormat="1" applyFont="1" applyBorder="1" applyProtection="1">
      <protection locked="0"/>
    </xf>
    <xf numFmtId="3" fontId="4" fillId="0" borderId="3" xfId="0" applyNumberFormat="1" applyFont="1" applyBorder="1" applyProtection="1"/>
    <xf numFmtId="3" fontId="4" fillId="0" borderId="28" xfId="0" applyNumberFormat="1" applyFont="1" applyBorder="1" applyProtection="1"/>
    <xf numFmtId="177" fontId="4" fillId="0" borderId="28" xfId="3" applyNumberFormat="1" applyFont="1" applyFill="1" applyBorder="1" applyAlignment="1" applyProtection="1">
      <alignment horizontal="center"/>
    </xf>
    <xf numFmtId="3" fontId="7" fillId="0" borderId="6" xfId="0" applyNumberFormat="1" applyFont="1" applyBorder="1" applyProtection="1"/>
    <xf numFmtId="177" fontId="4" fillId="0" borderId="35" xfId="3" applyNumberFormat="1" applyFont="1" applyFill="1" applyBorder="1" applyAlignment="1" applyProtection="1">
      <alignment horizontal="center"/>
    </xf>
    <xf numFmtId="3" fontId="4" fillId="0" borderId="17" xfId="0" applyNumberFormat="1" applyFont="1" applyBorder="1" applyProtection="1"/>
    <xf numFmtId="3" fontId="7" fillId="0" borderId="6" xfId="0" applyNumberFormat="1" applyFont="1" applyBorder="1" applyAlignment="1" applyProtection="1">
      <alignment horizontal="right"/>
    </xf>
    <xf numFmtId="0" fontId="12" fillId="0" borderId="0" xfId="0" applyFont="1" applyBorder="1"/>
    <xf numFmtId="3" fontId="12" fillId="0" borderId="4" xfId="0" applyNumberFormat="1" applyFont="1" applyFill="1" applyBorder="1" applyAlignment="1">
      <alignment horizontal="left"/>
    </xf>
    <xf numFmtId="0" fontId="12" fillId="0" borderId="0" xfId="2" applyFont="1" applyAlignment="1">
      <alignment vertical="top"/>
    </xf>
    <xf numFmtId="0" fontId="12" fillId="0" borderId="4" xfId="0" applyFont="1" applyBorder="1"/>
    <xf numFmtId="0" fontId="2" fillId="0" borderId="19" xfId="0" applyFont="1" applyBorder="1"/>
    <xf numFmtId="0" fontId="9" fillId="0" borderId="3" xfId="0" applyFont="1" applyBorder="1"/>
    <xf numFmtId="0" fontId="10" fillId="0" borderId="0" xfId="0" applyFont="1" applyBorder="1"/>
    <xf numFmtId="17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21" xfId="0" applyFont="1" applyBorder="1"/>
    <xf numFmtId="0" fontId="10" fillId="0" borderId="0" xfId="0" applyFont="1"/>
    <xf numFmtId="0" fontId="9" fillId="0" borderId="6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7" xfId="0" applyFont="1" applyBorder="1"/>
    <xf numFmtId="0" fontId="18" fillId="0" borderId="0" xfId="0" applyFont="1"/>
    <xf numFmtId="0" fontId="18" fillId="0" borderId="0" xfId="0" applyFont="1" applyAlignment="1">
      <alignment horizontal="center"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/>
    <xf numFmtId="0" fontId="18" fillId="0" borderId="24" xfId="0" applyFont="1" applyBorder="1" applyAlignment="1">
      <alignment horizontal="right" wrapText="1"/>
    </xf>
    <xf numFmtId="0" fontId="23" fillId="0" borderId="0" xfId="0" applyFont="1" applyAlignment="1">
      <alignment horizontal="right"/>
    </xf>
    <xf numFmtId="0" fontId="18" fillId="0" borderId="3" xfId="0" applyFont="1" applyBorder="1" applyAlignment="1" applyProtection="1">
      <alignment horizontal="left"/>
    </xf>
    <xf numFmtId="0" fontId="18" fillId="0" borderId="0" xfId="0" applyFont="1" applyBorder="1" applyAlignment="1">
      <alignment horizontal="right"/>
    </xf>
    <xf numFmtId="0" fontId="17" fillId="0" borderId="38" xfId="0" applyFont="1" applyBorder="1" applyAlignment="1">
      <alignment horizontal="right"/>
    </xf>
    <xf numFmtId="0" fontId="22" fillId="0" borderId="0" xfId="0" applyFont="1"/>
    <xf numFmtId="0" fontId="18" fillId="0" borderId="6" xfId="0" applyFont="1" applyBorder="1" applyAlignment="1" applyProtection="1">
      <alignment horizontal="left" wrapText="1"/>
    </xf>
    <xf numFmtId="0" fontId="18" fillId="0" borderId="1" xfId="0" applyFont="1" applyBorder="1" applyAlignment="1">
      <alignment wrapText="1"/>
    </xf>
    <xf numFmtId="0" fontId="17" fillId="0" borderId="1" xfId="0" applyFont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18" fillId="0" borderId="3" xfId="0" applyFont="1" applyBorder="1"/>
    <xf numFmtId="0" fontId="17" fillId="0" borderId="0" xfId="0" applyFont="1" applyAlignment="1" applyProtection="1">
      <alignment horizontal="right"/>
    </xf>
    <xf numFmtId="0" fontId="18" fillId="0" borderId="6" xfId="0" applyFont="1" applyBorder="1"/>
    <xf numFmtId="0" fontId="18" fillId="0" borderId="0" xfId="0" applyFont="1" applyAlignment="1" applyProtection="1">
      <alignment horizontal="right"/>
    </xf>
    <xf numFmtId="0" fontId="22" fillId="0" borderId="0" xfId="0" applyFont="1" applyAlignment="1">
      <alignment horizontal="left" wrapText="1"/>
    </xf>
    <xf numFmtId="0" fontId="18" fillId="0" borderId="0" xfId="0" applyFont="1" applyProtection="1"/>
    <xf numFmtId="0" fontId="18" fillId="0" borderId="4" xfId="0" applyFont="1" applyBorder="1" applyAlignment="1" applyProtection="1">
      <alignment horizontal="left"/>
    </xf>
    <xf numFmtId="0" fontId="18" fillId="0" borderId="2" xfId="0" applyFont="1" applyBorder="1" applyProtection="1"/>
    <xf numFmtId="0" fontId="18" fillId="0" borderId="5" xfId="0" applyFont="1" applyBorder="1" applyAlignment="1" applyProtection="1">
      <alignment horizontal="right"/>
    </xf>
    <xf numFmtId="0" fontId="18" fillId="0" borderId="38" xfId="0" applyFont="1" applyBorder="1" applyAlignment="1" applyProtection="1">
      <alignment horizontal="right"/>
    </xf>
    <xf numFmtId="0" fontId="18" fillId="0" borderId="38" xfId="0" applyFont="1" applyBorder="1" applyAlignment="1">
      <alignment horizontal="right"/>
    </xf>
    <xf numFmtId="0" fontId="18" fillId="0" borderId="1" xfId="0" applyFont="1" applyBorder="1"/>
    <xf numFmtId="0" fontId="18" fillId="0" borderId="8" xfId="0" applyFont="1" applyBorder="1" applyAlignment="1" applyProtection="1">
      <alignment horizontal="right"/>
    </xf>
    <xf numFmtId="3" fontId="18" fillId="0" borderId="8" xfId="0" applyNumberFormat="1" applyFont="1" applyBorder="1"/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18" fillId="0" borderId="2" xfId="0" applyFont="1" applyBorder="1"/>
    <xf numFmtId="0" fontId="18" fillId="0" borderId="38" xfId="0" applyFont="1" applyBorder="1"/>
    <xf numFmtId="0" fontId="18" fillId="0" borderId="0" xfId="0" applyFont="1" applyBorder="1" applyAlignment="1" applyProtection="1">
      <alignment horizontal="left"/>
    </xf>
    <xf numFmtId="3" fontId="18" fillId="0" borderId="38" xfId="0" applyNumberFormat="1" applyFont="1" applyBorder="1" applyProtection="1"/>
    <xf numFmtId="3" fontId="18" fillId="1" borderId="38" xfId="0" applyNumberFormat="1" applyFont="1" applyFill="1" applyBorder="1" applyProtection="1"/>
    <xf numFmtId="49" fontId="17" fillId="0" borderId="0" xfId="0" applyNumberFormat="1" applyFont="1" applyAlignment="1">
      <alignment horizontal="right"/>
    </xf>
    <xf numFmtId="0" fontId="22" fillId="0" borderId="39" xfId="0" applyFont="1" applyBorder="1" applyAlignment="1">
      <alignment horizontal="right"/>
    </xf>
    <xf numFmtId="0" fontId="22" fillId="0" borderId="40" xfId="0" applyFont="1" applyBorder="1" applyAlignment="1">
      <alignment horizontal="right"/>
    </xf>
    <xf numFmtId="0" fontId="22" fillId="0" borderId="41" xfId="0" applyFont="1" applyBorder="1" applyAlignment="1">
      <alignment horizontal="right"/>
    </xf>
    <xf numFmtId="0" fontId="22" fillId="0" borderId="42" xfId="0" applyFont="1" applyBorder="1" applyAlignment="1">
      <alignment horizontal="right"/>
    </xf>
    <xf numFmtId="0" fontId="22" fillId="0" borderId="43" xfId="0" applyFont="1" applyBorder="1" applyAlignment="1">
      <alignment horizontal="right"/>
    </xf>
    <xf numFmtId="0" fontId="22" fillId="0" borderId="44" xfId="0" applyFont="1" applyBorder="1" applyAlignment="1">
      <alignment horizontal="right"/>
    </xf>
    <xf numFmtId="3" fontId="18" fillId="0" borderId="38" xfId="0" applyNumberFormat="1" applyFont="1" applyFill="1" applyBorder="1" applyProtection="1"/>
    <xf numFmtId="0" fontId="22" fillId="0" borderId="45" xfId="0" applyFont="1" applyBorder="1" applyAlignment="1">
      <alignment horizontal="right"/>
    </xf>
    <xf numFmtId="0" fontId="22" fillId="0" borderId="46" xfId="0" applyFont="1" applyBorder="1" applyAlignment="1">
      <alignment horizontal="right"/>
    </xf>
    <xf numFmtId="0" fontId="22" fillId="0" borderId="47" xfId="0" applyFont="1" applyBorder="1" applyAlignment="1">
      <alignment horizontal="right"/>
    </xf>
    <xf numFmtId="0" fontId="18" fillId="0" borderId="17" xfId="0" applyFont="1" applyBorder="1"/>
    <xf numFmtId="0" fontId="18" fillId="0" borderId="18" xfId="0" applyFont="1" applyBorder="1" applyAlignment="1" applyProtection="1">
      <alignment horizontal="left"/>
    </xf>
    <xf numFmtId="0" fontId="17" fillId="0" borderId="18" xfId="0" applyFont="1" applyBorder="1" applyAlignment="1" applyProtection="1">
      <alignment horizontal="right"/>
    </xf>
    <xf numFmtId="3" fontId="18" fillId="0" borderId="24" xfId="0" applyNumberFormat="1" applyFont="1" applyFill="1" applyBorder="1" applyProtection="1"/>
    <xf numFmtId="3" fontId="18" fillId="1" borderId="24" xfId="0" applyNumberFormat="1" applyFont="1" applyFill="1" applyBorder="1" applyProtection="1"/>
    <xf numFmtId="0" fontId="18" fillId="0" borderId="24" xfId="0" applyFont="1" applyBorder="1" applyAlignment="1" applyProtection="1">
      <alignment horizontal="right"/>
    </xf>
    <xf numFmtId="0" fontId="18" fillId="0" borderId="1" xfId="0" applyFont="1" applyBorder="1" applyAlignment="1" applyProtection="1">
      <alignment horizontal="left"/>
    </xf>
    <xf numFmtId="0" fontId="17" fillId="0" borderId="0" xfId="0" applyFont="1" applyBorder="1" applyAlignment="1">
      <alignment horizontal="right"/>
    </xf>
    <xf numFmtId="3" fontId="18" fillId="0" borderId="38" xfId="0" applyNumberFormat="1" applyFont="1" applyBorder="1"/>
    <xf numFmtId="0" fontId="9" fillId="0" borderId="0" xfId="0" applyFont="1"/>
    <xf numFmtId="0" fontId="10" fillId="0" borderId="4" xfId="0" applyFont="1" applyBorder="1"/>
    <xf numFmtId="0" fontId="10" fillId="0" borderId="2" xfId="0" applyFont="1" applyBorder="1"/>
    <xf numFmtId="0" fontId="10" fillId="0" borderId="19" xfId="0" applyFont="1" applyBorder="1"/>
    <xf numFmtId="0" fontId="10" fillId="0" borderId="3" xfId="0" applyFont="1" applyBorder="1"/>
    <xf numFmtId="0" fontId="10" fillId="0" borderId="6" xfId="0" applyFont="1" applyBorder="1"/>
    <xf numFmtId="3" fontId="10" fillId="0" borderId="21" xfId="0" applyNumberFormat="1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0" xfId="0" applyFont="1" applyBorder="1"/>
    <xf numFmtId="3" fontId="10" fillId="0" borderId="20" xfId="0" applyNumberFormat="1" applyFont="1" applyBorder="1"/>
    <xf numFmtId="0" fontId="4" fillId="0" borderId="0" xfId="0" applyFont="1" applyBorder="1" applyAlignment="1">
      <alignment horizontal="left"/>
    </xf>
    <xf numFmtId="0" fontId="25" fillId="0" borderId="0" xfId="1" applyFont="1" applyBorder="1" applyAlignment="1" applyProtection="1">
      <alignment horizontal="left"/>
    </xf>
    <xf numFmtId="0" fontId="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172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3" fontId="12" fillId="0" borderId="4" xfId="0" applyNumberFormat="1" applyFont="1" applyBorder="1" applyAlignment="1">
      <alignment horizontal="left"/>
    </xf>
    <xf numFmtId="3" fontId="11" fillId="0" borderId="2" xfId="0" applyNumberFormat="1" applyFont="1" applyBorder="1"/>
    <xf numFmtId="0" fontId="11" fillId="0" borderId="19" xfId="0" applyFont="1" applyBorder="1"/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9" fontId="4" fillId="0" borderId="0" xfId="3" quotePrefix="1" applyFont="1" applyFill="1"/>
    <xf numFmtId="182" fontId="4" fillId="0" borderId="0" xfId="0" quotePrefix="1" applyNumberFormat="1" applyFont="1" applyAlignment="1">
      <alignment horizontal="center"/>
    </xf>
    <xf numFmtId="9" fontId="4" fillId="0" borderId="0" xfId="3" applyFont="1" applyFill="1" applyAlignment="1"/>
    <xf numFmtId="0" fontId="4" fillId="0" borderId="0" xfId="0" applyFont="1" applyAlignment="1"/>
    <xf numFmtId="9" fontId="7" fillId="0" borderId="0" xfId="3" applyFont="1" applyFill="1" applyAlignment="1">
      <alignment horizontal="left"/>
    </xf>
    <xf numFmtId="0" fontId="4" fillId="0" borderId="0" xfId="0" quotePrefix="1" applyFont="1" applyFill="1"/>
    <xf numFmtId="0" fontId="7" fillId="0" borderId="0" xfId="0" quotePrefix="1" applyFont="1" applyFill="1"/>
    <xf numFmtId="0" fontId="0" fillId="0" borderId="0" xfId="0" applyFill="1"/>
    <xf numFmtId="0" fontId="4" fillId="0" borderId="0" xfId="0" applyFont="1" applyFill="1"/>
    <xf numFmtId="0" fontId="7" fillId="0" borderId="0" xfId="0" quotePrefix="1" applyFont="1"/>
    <xf numFmtId="0" fontId="4" fillId="0" borderId="0" xfId="0" quotePrefix="1" applyFont="1"/>
    <xf numFmtId="0" fontId="7" fillId="0" borderId="0" xfId="0" applyFont="1" applyAlignment="1">
      <alignment horizontal="left" vertical="center"/>
    </xf>
    <xf numFmtId="0" fontId="4" fillId="0" borderId="0" xfId="3" applyNumberFormat="1" applyFont="1" applyFill="1" applyAlignment="1">
      <alignment horizontal="left" vertical="center"/>
    </xf>
    <xf numFmtId="9" fontId="4" fillId="0" borderId="0" xfId="3" applyFont="1" applyFill="1" applyAlignment="1">
      <alignment horizontal="left" vertical="center"/>
    </xf>
    <xf numFmtId="3" fontId="4" fillId="0" borderId="48" xfId="0" applyNumberFormat="1" applyFont="1" applyBorder="1"/>
    <xf numFmtId="3" fontId="4" fillId="0" borderId="49" xfId="0" applyNumberFormat="1" applyFont="1" applyBorder="1"/>
    <xf numFmtId="3" fontId="4" fillId="0" borderId="22" xfId="0" applyNumberFormat="1" applyFont="1" applyBorder="1"/>
    <xf numFmtId="3" fontId="27" fillId="0" borderId="0" xfId="0" applyNumberFormat="1" applyFont="1" applyAlignment="1">
      <alignment horizontal="center"/>
    </xf>
    <xf numFmtId="3" fontId="27" fillId="0" borderId="0" xfId="0" applyNumberFormat="1" applyFont="1"/>
    <xf numFmtId="182" fontId="27" fillId="0" borderId="0" xfId="0" quotePrefix="1" applyNumberFormat="1" applyFont="1" applyAlignment="1">
      <alignment horizontal="center"/>
    </xf>
    <xf numFmtId="3" fontId="4" fillId="0" borderId="5" xfId="0" applyNumberFormat="1" applyFont="1" applyBorder="1"/>
    <xf numFmtId="0" fontId="18" fillId="0" borderId="0" xfId="0" quotePrefix="1" applyFont="1"/>
    <xf numFmtId="1" fontId="18" fillId="0" borderId="0" xfId="0" applyNumberFormat="1" applyFont="1"/>
    <xf numFmtId="0" fontId="22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1" fontId="28" fillId="0" borderId="0" xfId="0" quotePrefix="1" applyNumberFormat="1" applyFont="1"/>
    <xf numFmtId="0" fontId="28" fillId="0" borderId="0" xfId="0" quotePrefix="1" applyFont="1"/>
    <xf numFmtId="0" fontId="29" fillId="0" borderId="0" xfId="0" applyFont="1"/>
    <xf numFmtId="0" fontId="30" fillId="0" borderId="0" xfId="0" applyFont="1"/>
    <xf numFmtId="0" fontId="23" fillId="0" borderId="0" xfId="0" applyFont="1"/>
    <xf numFmtId="0" fontId="23" fillId="0" borderId="0" xfId="0" quotePrefix="1" applyFont="1" applyAlignment="1">
      <alignment horizontal="left"/>
    </xf>
    <xf numFmtId="0" fontId="23" fillId="0" borderId="0" xfId="0" applyFont="1" applyBorder="1"/>
    <xf numFmtId="0" fontId="23" fillId="0" borderId="0" xfId="0" quotePrefix="1" applyFont="1"/>
    <xf numFmtId="0" fontId="31" fillId="0" borderId="0" xfId="0" quotePrefix="1" applyFont="1" applyFill="1" applyBorder="1" applyAlignment="1">
      <alignment horizontal="right"/>
    </xf>
    <xf numFmtId="0" fontId="23" fillId="0" borderId="0" xfId="0" quotePrefix="1" applyFont="1" applyFill="1" applyBorder="1" applyAlignment="1">
      <alignment horizontal="left"/>
    </xf>
    <xf numFmtId="0" fontId="23" fillId="0" borderId="0" xfId="0" quotePrefix="1" applyFont="1" applyFill="1"/>
    <xf numFmtId="0" fontId="30" fillId="0" borderId="0" xfId="0" quotePrefix="1" applyFont="1"/>
    <xf numFmtId="0" fontId="32" fillId="0" borderId="0" xfId="0" applyFont="1"/>
    <xf numFmtId="0" fontId="7" fillId="0" borderId="7" xfId="0" applyFont="1" applyBorder="1" applyAlignment="1">
      <alignment horizontal="right"/>
    </xf>
    <xf numFmtId="0" fontId="4" fillId="0" borderId="0" xfId="0" applyFont="1" applyAlignment="1">
      <alignment wrapText="1"/>
    </xf>
    <xf numFmtId="0" fontId="7" fillId="0" borderId="3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21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82" fontId="4" fillId="0" borderId="2" xfId="0" applyNumberFormat="1" applyFont="1" applyBorder="1"/>
    <xf numFmtId="182" fontId="4" fillId="0" borderId="50" xfId="0" applyNumberFormat="1" applyFont="1" applyBorder="1"/>
    <xf numFmtId="1" fontId="4" fillId="0" borderId="0" xfId="0" applyNumberFormat="1" applyFont="1"/>
    <xf numFmtId="0" fontId="7" fillId="0" borderId="38" xfId="0" applyFont="1" applyBorder="1" applyAlignment="1">
      <alignment horizontal="right" wrapText="1"/>
    </xf>
    <xf numFmtId="165" fontId="7" fillId="0" borderId="38" xfId="0" quotePrefix="1" applyNumberFormat="1" applyFont="1" applyBorder="1" applyAlignment="1">
      <alignment horizontal="right"/>
    </xf>
    <xf numFmtId="1" fontId="4" fillId="0" borderId="8" xfId="0" applyNumberFormat="1" applyFont="1" applyBorder="1"/>
    <xf numFmtId="1" fontId="4" fillId="0" borderId="12" xfId="0" applyNumberFormat="1" applyFont="1" applyBorder="1"/>
    <xf numFmtId="1" fontId="4" fillId="0" borderId="48" xfId="0" applyNumberFormat="1" applyFont="1" applyBorder="1"/>
    <xf numFmtId="0" fontId="7" fillId="0" borderId="0" xfId="0" applyFont="1" applyAlignment="1">
      <alignment horizontal="center" wrapText="1"/>
    </xf>
    <xf numFmtId="3" fontId="4" fillId="0" borderId="51" xfId="0" applyNumberFormat="1" applyFont="1" applyBorder="1"/>
    <xf numFmtId="3" fontId="4" fillId="0" borderId="52" xfId="0" applyNumberFormat="1" applyFont="1" applyBorder="1"/>
    <xf numFmtId="3" fontId="4" fillId="3" borderId="53" xfId="0" applyNumberFormat="1" applyFont="1" applyFill="1" applyBorder="1"/>
    <xf numFmtId="3" fontId="4" fillId="0" borderId="53" xfId="0" applyNumberFormat="1" applyFont="1" applyBorder="1"/>
    <xf numFmtId="3" fontId="19" fillId="0" borderId="27" xfId="0" applyNumberFormat="1" applyFont="1" applyBorder="1" applyAlignment="1" applyProtection="1">
      <alignment horizontal="right"/>
      <protection locked="0"/>
    </xf>
    <xf numFmtId="3" fontId="19" fillId="0" borderId="34" xfId="0" applyNumberFormat="1" applyFont="1" applyBorder="1" applyProtection="1">
      <protection locked="0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0" fontId="7" fillId="0" borderId="3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_0126.HESA" xfId="2"/>
    <cellStyle name="Percent" xfId="3" builtinId="5"/>
  </cellStyles>
  <dxfs count="4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hefce.ac.uk/ASP/0225/ByHEI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3"/>
  <sheetViews>
    <sheetView showGridLines="0" tabSelected="1" workbookViewId="0"/>
  </sheetViews>
  <sheetFormatPr defaultColWidth="9.109375" defaultRowHeight="13.2"/>
  <cols>
    <col min="1" max="16" width="5.109375" style="15" customWidth="1"/>
    <col min="17" max="17" width="11.33203125" style="15" customWidth="1"/>
    <col min="18" max="18" width="20" style="15" customWidth="1"/>
    <col min="19" max="23" width="9.109375" style="16"/>
    <col min="24" max="16384" width="9.109375" style="15"/>
  </cols>
  <sheetData>
    <row r="1" spans="1:23" ht="17.399999999999999">
      <c r="A1" s="363" t="s">
        <v>494</v>
      </c>
      <c r="B1" s="10"/>
      <c r="C1" s="10"/>
      <c r="D1" s="10"/>
      <c r="E1" s="10"/>
      <c r="F1" s="10"/>
      <c r="G1" s="10"/>
      <c r="H1" s="10"/>
    </row>
    <row r="2" spans="1:23" ht="13.8">
      <c r="A2" s="10"/>
      <c r="B2" s="10"/>
      <c r="C2" s="10"/>
      <c r="D2" s="10"/>
      <c r="E2" s="10"/>
      <c r="F2" s="10"/>
      <c r="G2" s="10"/>
      <c r="H2" s="10"/>
    </row>
    <row r="3" spans="1:23" ht="12" customHeight="1">
      <c r="A3" s="15" t="s">
        <v>0</v>
      </c>
    </row>
    <row r="4" spans="1:23" ht="12" customHeight="1">
      <c r="A4" s="15" t="s">
        <v>1</v>
      </c>
    </row>
    <row r="5" spans="1:23" ht="12" customHeight="1"/>
    <row r="6" spans="1:23" ht="12" customHeight="1">
      <c r="A6" s="15" t="s">
        <v>2</v>
      </c>
    </row>
    <row r="7" spans="1:23" ht="12" customHeight="1">
      <c r="A7" s="15" t="s">
        <v>3</v>
      </c>
    </row>
    <row r="8" spans="1:23" ht="12" customHeight="1">
      <c r="A8" s="15" t="s">
        <v>438</v>
      </c>
    </row>
    <row r="9" spans="1:23" ht="12" customHeight="1">
      <c r="A9" s="15" t="s">
        <v>439</v>
      </c>
    </row>
    <row r="10" spans="1:23" ht="12" customHeight="1">
      <c r="A10" s="16" t="s">
        <v>443</v>
      </c>
    </row>
    <row r="11" spans="1:23" ht="12" customHeight="1">
      <c r="A11" s="16"/>
    </row>
    <row r="12" spans="1:23" ht="12" customHeight="1">
      <c r="A12" s="15" t="s">
        <v>4</v>
      </c>
    </row>
    <row r="13" spans="1:23" ht="12" customHeight="1">
      <c r="A13" s="15" t="s">
        <v>440</v>
      </c>
    </row>
    <row r="14" spans="1:23" ht="12" customHeight="1">
      <c r="A14" s="16"/>
    </row>
    <row r="15" spans="1:23" ht="12.9" customHeight="1">
      <c r="A15" s="15" t="s">
        <v>133</v>
      </c>
      <c r="S15" s="15"/>
      <c r="T15" s="15"/>
      <c r="U15" s="15"/>
      <c r="V15" s="15"/>
      <c r="W15" s="15"/>
    </row>
    <row r="16" spans="1:23" ht="12.9" customHeight="1">
      <c r="A16" s="15" t="s">
        <v>134</v>
      </c>
      <c r="S16" s="15"/>
      <c r="T16" s="15"/>
      <c r="U16" s="15"/>
      <c r="V16" s="15"/>
      <c r="W16" s="15"/>
    </row>
    <row r="17" spans="1:23" ht="12.9" customHeight="1">
      <c r="S17" s="15"/>
      <c r="T17" s="15"/>
      <c r="U17" s="15"/>
      <c r="V17" s="15"/>
      <c r="W17" s="15"/>
    </row>
    <row r="18" spans="1:23" ht="12" customHeight="1">
      <c r="A18" s="15" t="s">
        <v>5</v>
      </c>
    </row>
    <row r="19" spans="1:23" ht="12" customHeight="1">
      <c r="A19" s="15" t="s">
        <v>441</v>
      </c>
    </row>
    <row r="20" spans="1:23" ht="12" customHeight="1">
      <c r="A20" s="15" t="s">
        <v>442</v>
      </c>
    </row>
    <row r="21" spans="1:23" ht="12" customHeight="1">
      <c r="A21" s="16"/>
    </row>
    <row r="22" spans="1:23" ht="12" customHeight="1">
      <c r="A22" s="102" t="s">
        <v>6</v>
      </c>
      <c r="H22" s="60"/>
    </row>
    <row r="23" spans="1:23" ht="12" customHeight="1">
      <c r="A23" s="103"/>
      <c r="H23" s="16"/>
    </row>
    <row r="24" spans="1:23" ht="14.25" customHeight="1">
      <c r="A24" s="16"/>
    </row>
    <row r="25" spans="1:23" ht="13.5" customHeight="1">
      <c r="A25" s="16" t="s">
        <v>7</v>
      </c>
      <c r="D25" s="60"/>
    </row>
    <row r="26" spans="1:23" ht="12" customHeight="1">
      <c r="A26" s="103"/>
    </row>
    <row r="27" spans="1:23" ht="12" customHeight="1">
      <c r="A27" s="16"/>
    </row>
    <row r="28" spans="1:23" ht="12" customHeight="1">
      <c r="A28" s="103" t="s">
        <v>8</v>
      </c>
    </row>
    <row r="29" spans="1:23" ht="12" customHeight="1">
      <c r="A29" s="103" t="s">
        <v>9</v>
      </c>
    </row>
    <row r="30" spans="1:23" ht="12" customHeight="1">
      <c r="A30" s="103" t="s">
        <v>10</v>
      </c>
    </row>
    <row r="31" spans="1:23" ht="12" customHeight="1"/>
    <row r="32" spans="1:23" ht="12" customHeight="1">
      <c r="A32" s="15" t="s">
        <v>11</v>
      </c>
    </row>
    <row r="33" spans="1:8" ht="12" customHeight="1">
      <c r="A33" s="15" t="s">
        <v>132</v>
      </c>
    </row>
    <row r="34" spans="1:8" ht="12" customHeight="1">
      <c r="A34" s="16"/>
    </row>
    <row r="35" spans="1:8" ht="12" customHeight="1"/>
    <row r="36" spans="1:8" ht="12" customHeight="1">
      <c r="A36" s="16"/>
    </row>
    <row r="37" spans="1:8" ht="12" customHeight="1"/>
    <row r="38" spans="1:8" ht="12.75" customHeight="1">
      <c r="A38" s="60"/>
    </row>
    <row r="39" spans="1:8" ht="12" customHeight="1">
      <c r="A39" s="16"/>
    </row>
    <row r="40" spans="1:8" ht="12" customHeight="1">
      <c r="A40" s="57"/>
      <c r="B40" s="10"/>
      <c r="C40" s="10"/>
      <c r="D40" s="10"/>
      <c r="E40" s="10"/>
      <c r="F40" s="10"/>
      <c r="G40" s="10"/>
      <c r="H40" s="10"/>
    </row>
    <row r="41" spans="1:8" ht="12" customHeight="1">
      <c r="A41" s="57"/>
      <c r="B41" s="10"/>
      <c r="C41" s="10"/>
      <c r="D41" s="10"/>
      <c r="E41" s="10"/>
      <c r="F41" s="10"/>
      <c r="G41" s="10"/>
      <c r="H41" s="10"/>
    </row>
    <row r="42" spans="1:8" ht="18" customHeight="1">
      <c r="A42" s="16"/>
      <c r="B42" s="10"/>
      <c r="C42" s="10"/>
      <c r="D42" s="10"/>
      <c r="E42" s="10"/>
      <c r="F42" s="10"/>
      <c r="G42" s="10"/>
      <c r="H42" s="10"/>
    </row>
    <row r="43" spans="1:8" ht="12" customHeight="1">
      <c r="A43" s="16"/>
      <c r="B43" s="10"/>
      <c r="C43" s="10"/>
      <c r="D43" s="10"/>
      <c r="E43" s="10"/>
      <c r="F43" s="10"/>
      <c r="G43" s="10"/>
      <c r="H43" s="10"/>
    </row>
    <row r="44" spans="1:8" ht="12" customHeight="1">
      <c r="A44" s="16"/>
      <c r="B44" s="16"/>
      <c r="C44" s="104"/>
      <c r="D44" s="16"/>
      <c r="E44" s="16"/>
      <c r="F44" s="16"/>
      <c r="G44" s="16"/>
    </row>
    <row r="45" spans="1:8" ht="12" customHeight="1">
      <c r="C45" s="104"/>
    </row>
    <row r="46" spans="1:8" ht="12.75" customHeight="1">
      <c r="C46" s="104"/>
      <c r="E46" s="16"/>
    </row>
    <row r="47" spans="1:8" ht="9.9" customHeight="1"/>
    <row r="48" spans="1:8" ht="11.1" customHeight="1"/>
    <row r="49" ht="11.1" customHeight="1"/>
    <row r="50" ht="11.1" customHeight="1"/>
    <row r="51" ht="11.1" customHeight="1"/>
    <row r="52" ht="11.1" customHeight="1"/>
    <row r="53" ht="11.1" customHeight="1"/>
    <row r="54" ht="11.1" customHeight="1"/>
    <row r="55" ht="11.1" customHeight="1"/>
    <row r="56" ht="11.1" customHeight="1"/>
    <row r="57" ht="11.1" customHeight="1"/>
    <row r="58" ht="11.1" customHeight="1"/>
    <row r="59" ht="11.1" customHeight="1"/>
    <row r="60" ht="11.1" customHeight="1"/>
    <row r="61" ht="11.1" customHeight="1"/>
    <row r="62" ht="11.1" customHeight="1"/>
    <row r="63" ht="11.1" customHeight="1"/>
    <row r="64" ht="11.1" customHeight="1"/>
    <row r="65" ht="11.1" customHeight="1"/>
    <row r="66" ht="11.1" customHeight="1"/>
    <row r="67" ht="11.1" customHeight="1"/>
    <row r="68" ht="11.1" customHeight="1"/>
    <row r="69" ht="11.1" customHeight="1"/>
    <row r="70" ht="11.1" customHeight="1"/>
    <row r="71" ht="11.1" customHeight="1"/>
    <row r="72" ht="11.1" customHeight="1"/>
    <row r="73" ht="11.1" customHeight="1"/>
    <row r="74" ht="11.1" customHeight="1"/>
    <row r="75" ht="11.1" customHeight="1"/>
    <row r="76" ht="11.1" customHeight="1"/>
    <row r="77" ht="11.1" customHeight="1"/>
    <row r="78" ht="11.1" customHeight="1"/>
    <row r="79" ht="11.1" customHeight="1"/>
    <row r="80" ht="11.1" customHeight="1"/>
    <row r="81" ht="11.1" customHeight="1"/>
    <row r="82" ht="11.1" customHeight="1"/>
    <row r="83" ht="11.1" customHeight="1"/>
    <row r="84" ht="11.1" customHeight="1"/>
    <row r="85" ht="11.1" customHeight="1"/>
    <row r="86" ht="11.1" customHeight="1"/>
    <row r="87" ht="11.1" customHeight="1"/>
    <row r="88" ht="11.1" customHeight="1"/>
    <row r="89" ht="11.1" customHeight="1"/>
    <row r="90" ht="11.1" customHeight="1"/>
    <row r="91" ht="11.1" customHeight="1"/>
    <row r="92" ht="11.1" customHeight="1"/>
    <row r="93" ht="11.1" customHeight="1"/>
    <row r="94" ht="11.1" customHeight="1"/>
    <row r="95" ht="11.1" customHeight="1"/>
    <row r="96" ht="11.1" customHeight="1"/>
    <row r="97" ht="11.1" customHeight="1"/>
    <row r="98" ht="11.1" customHeight="1"/>
    <row r="99" ht="11.1" customHeight="1"/>
    <row r="100" ht="11.1" customHeight="1"/>
    <row r="101" ht="11.1" customHeight="1"/>
    <row r="102" ht="11.1" customHeight="1"/>
    <row r="103" ht="11.1" customHeight="1"/>
    <row r="104" ht="11.1" customHeight="1"/>
    <row r="105" ht="11.1" customHeight="1"/>
    <row r="106" ht="11.1" customHeight="1"/>
    <row r="107" ht="11.1" customHeight="1"/>
    <row r="108" ht="11.1" customHeight="1"/>
    <row r="109" ht="11.1" customHeight="1"/>
    <row r="110" ht="11.1" customHeight="1"/>
    <row r="111" ht="11.1" customHeight="1"/>
    <row r="112" ht="11.1" customHeight="1"/>
    <row r="113" ht="11.1" customHeight="1"/>
  </sheetData>
  <phoneticPr fontId="0" type="noConversion"/>
  <pageMargins left="0.62992125984251968" right="0.35433070866141736" top="0.70866141732283472" bottom="0.27" header="0.51181102362204722" footer="0.51181102362204722"/>
  <pageSetup paperSize="9" scale="77" orientation="portrait" r:id="rId1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showGridLines="0" topLeftCell="A4" zoomScale="80" workbookViewId="0">
      <selection activeCell="D6" sqref="D6"/>
    </sheetView>
  </sheetViews>
  <sheetFormatPr defaultColWidth="9.109375" defaultRowHeight="13.2"/>
  <cols>
    <col min="1" max="1" width="3.6640625" style="16" customWidth="1"/>
    <col min="2" max="2" width="2" style="16" customWidth="1"/>
    <col min="3" max="3" width="13.33203125" style="16" customWidth="1"/>
    <col min="4" max="4" width="19.33203125" style="16" customWidth="1"/>
    <col min="5" max="5" width="11.6640625" style="16" customWidth="1"/>
    <col min="6" max="6" width="10.44140625" style="16" customWidth="1"/>
    <col min="7" max="7" width="16.44140625" style="16" customWidth="1"/>
    <col min="8" max="8" width="11.5546875" style="16" customWidth="1"/>
    <col min="9" max="9" width="9" style="16" customWidth="1"/>
    <col min="10" max="10" width="5" style="16" customWidth="1"/>
    <col min="11" max="11" width="18.5546875" style="16" customWidth="1"/>
    <col min="12" max="13" width="18.6640625" style="16" customWidth="1"/>
    <col min="14" max="14" width="10" style="16" customWidth="1"/>
    <col min="15" max="16384" width="9.109375" style="16"/>
  </cols>
  <sheetData>
    <row r="1" spans="1:14" s="6" customFormat="1" ht="17.399999999999999">
      <c r="A1" s="364" t="s">
        <v>493</v>
      </c>
      <c r="B1" s="110"/>
      <c r="C1" s="110"/>
      <c r="D1" s="110"/>
      <c r="E1" s="111"/>
      <c r="F1" s="3"/>
      <c r="G1" s="3"/>
      <c r="H1" s="4"/>
      <c r="I1" s="4"/>
      <c r="J1" s="20"/>
      <c r="K1" s="99"/>
      <c r="L1" s="5"/>
      <c r="M1" s="5"/>
    </row>
    <row r="2" spans="1:14" s="6" customFormat="1" ht="4.5" customHeight="1">
      <c r="A2" s="7"/>
      <c r="B2" s="8"/>
      <c r="C2" s="9"/>
      <c r="D2" s="9"/>
      <c r="E2" s="10"/>
      <c r="F2" s="10"/>
      <c r="G2" s="10"/>
      <c r="H2" s="11"/>
      <c r="I2" s="11"/>
      <c r="J2" s="5"/>
      <c r="K2" s="100"/>
      <c r="L2" s="5"/>
      <c r="M2" s="5"/>
    </row>
    <row r="3" spans="1:14" s="6" customFormat="1" ht="13.8">
      <c r="A3" s="98" t="s">
        <v>12</v>
      </c>
      <c r="B3" s="5"/>
      <c r="C3" s="5"/>
      <c r="D3" s="97"/>
      <c r="E3" s="15"/>
      <c r="F3" s="10"/>
      <c r="G3" s="12"/>
      <c r="H3" s="10"/>
      <c r="I3" s="11"/>
      <c r="J3" s="5"/>
      <c r="K3" s="100"/>
      <c r="L3" s="5"/>
      <c r="M3" s="5"/>
    </row>
    <row r="4" spans="1:14" s="6" customFormat="1" ht="12.75" customHeight="1" thickBot="1">
      <c r="A4" s="49" t="s">
        <v>466</v>
      </c>
      <c r="B4" s="24"/>
      <c r="C4" s="24"/>
      <c r="D4" s="162"/>
      <c r="E4" s="14"/>
      <c r="F4" s="14"/>
      <c r="G4" s="13"/>
      <c r="H4" s="13"/>
      <c r="I4" s="13"/>
      <c r="J4" s="25"/>
      <c r="K4" s="51"/>
      <c r="L4" s="15"/>
      <c r="M4" s="15"/>
    </row>
    <row r="5" spans="1:14" ht="0.75" hidden="1" customHeight="1"/>
    <row r="6" spans="1:14" s="6" customFormat="1" ht="13.8">
      <c r="A6" s="17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s="6" customFormat="1" ht="13.8">
      <c r="A7" s="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4" s="6" customFormat="1" ht="14.25" customHeight="1" thickBot="1">
      <c r="A8" s="112" t="s">
        <v>469</v>
      </c>
      <c r="B8" s="113"/>
      <c r="C8" s="113"/>
      <c r="D8" s="113"/>
      <c r="E8" s="113"/>
      <c r="F8" s="113"/>
      <c r="G8" s="2"/>
      <c r="H8" s="2"/>
      <c r="I8" s="18"/>
      <c r="J8" s="2"/>
      <c r="K8" s="2"/>
      <c r="L8" s="2"/>
      <c r="M8" s="2"/>
    </row>
    <row r="9" spans="1:14" s="6" customFormat="1" ht="12" customHeight="1">
      <c r="A9" s="19"/>
      <c r="B9" s="20"/>
      <c r="C9" s="21"/>
      <c r="D9" s="21"/>
      <c r="E9" s="20"/>
      <c r="F9" s="20"/>
      <c r="G9" s="21"/>
      <c r="H9" s="21"/>
      <c r="I9" s="21"/>
      <c r="J9" s="20"/>
      <c r="K9" s="147" t="s">
        <v>467</v>
      </c>
      <c r="L9" s="114" t="s">
        <v>468</v>
      </c>
      <c r="M9" s="22" t="s">
        <v>15</v>
      </c>
      <c r="N9" s="476" t="s">
        <v>436</v>
      </c>
    </row>
    <row r="10" spans="1:14" s="6" customFormat="1" ht="12" customHeight="1" thickBot="1">
      <c r="A10" s="23"/>
      <c r="B10" s="24"/>
      <c r="C10" s="25"/>
      <c r="D10" s="25"/>
      <c r="E10" s="24"/>
      <c r="F10" s="24"/>
      <c r="G10" s="25"/>
      <c r="H10" s="25"/>
      <c r="I10" s="25"/>
      <c r="J10" s="24"/>
      <c r="K10" s="27" t="s">
        <v>16</v>
      </c>
      <c r="L10" s="26" t="s">
        <v>16</v>
      </c>
      <c r="M10" s="27" t="s">
        <v>16</v>
      </c>
      <c r="N10" s="477"/>
    </row>
    <row r="11" spans="1:14" s="6" customFormat="1">
      <c r="A11" s="28">
        <v>1</v>
      </c>
      <c r="B11" s="115"/>
      <c r="C11" s="116" t="s">
        <v>17</v>
      </c>
      <c r="D11" s="30"/>
      <c r="E11" s="30"/>
      <c r="F11" s="30"/>
      <c r="G11" s="30"/>
      <c r="H11" s="30"/>
      <c r="I11" s="30"/>
      <c r="J11" s="30"/>
      <c r="K11" s="32">
        <v>0</v>
      </c>
      <c r="L11" s="479">
        <v>0</v>
      </c>
      <c r="M11" s="32">
        <f>K11-L11</f>
        <v>0</v>
      </c>
      <c r="N11" s="478" t="str">
        <f>IF(AND(OR(K11=0,L11&lt;&gt;0),OR(L11=0,K11&lt;&gt;0)),IF((K11+L11+M11&lt;&gt;0),IF(AND(OR(K11&gt;0,L11&lt;0),OR(L11&gt;0,K11&lt;0)),ABS(M11/MIN(ABS(L11),ABS(K11))),10),"-"),10)</f>
        <v>-</v>
      </c>
    </row>
    <row r="12" spans="1:14" s="6" customFormat="1">
      <c r="A12" s="33">
        <v>2</v>
      </c>
      <c r="B12" s="117"/>
      <c r="C12" s="118" t="s">
        <v>18</v>
      </c>
      <c r="D12" s="35"/>
      <c r="E12" s="35"/>
      <c r="F12" s="35"/>
      <c r="G12" s="35"/>
      <c r="H12" s="35"/>
      <c r="I12" s="35"/>
      <c r="J12" s="35"/>
      <c r="K12" s="473">
        <v>0</v>
      </c>
      <c r="L12" s="473">
        <v>0</v>
      </c>
      <c r="M12" s="37">
        <f>K12-L12</f>
        <v>0</v>
      </c>
      <c r="N12" s="478" t="str">
        <f>IF(AND(OR(K12=0,L12&lt;&gt;0),OR(L12=0,K12&lt;&gt;0)),IF((K12+L12+M12&lt;&gt;0),IF(AND(OR(K12&gt;0,L12&lt;0),OR(L12&gt;0,K12&lt;0)),ABS(M12/MIN(ABS(L12),ABS(K12))),10),"-"),10)</f>
        <v>-</v>
      </c>
    </row>
    <row r="13" spans="1:14" s="6" customFormat="1">
      <c r="A13" s="33">
        <v>3</v>
      </c>
      <c r="B13" s="117"/>
      <c r="C13" s="118" t="s">
        <v>140</v>
      </c>
      <c r="D13" s="35"/>
      <c r="E13" s="35"/>
      <c r="F13" s="35"/>
      <c r="G13" s="35"/>
      <c r="H13" s="35"/>
      <c r="I13" s="35"/>
      <c r="J13" s="35"/>
      <c r="K13" s="473">
        <v>0</v>
      </c>
      <c r="L13" s="473">
        <v>0</v>
      </c>
      <c r="M13" s="37">
        <f>K13-L13</f>
        <v>0</v>
      </c>
      <c r="N13" s="478" t="str">
        <f>IF(AND(OR(K13=0,L13&lt;&gt;0),OR(L13=0,K13&lt;&gt;0)),IF((K13+L13+M13&lt;&gt;0),IF(AND(OR(K13&gt;0,L13&lt;0),OR(L13&gt;0,K13&lt;0)),ABS(M13/MIN(ABS(L13),ABS(K13))),10),"-"),10)</f>
        <v>-</v>
      </c>
    </row>
    <row r="14" spans="1:14" s="6" customFormat="1">
      <c r="A14" s="38">
        <v>4</v>
      </c>
      <c r="B14" s="107"/>
      <c r="C14" s="118" t="s">
        <v>117</v>
      </c>
      <c r="D14" s="35"/>
      <c r="E14" s="35"/>
      <c r="F14" s="35"/>
      <c r="G14" s="35"/>
      <c r="H14" s="35"/>
      <c r="I14" s="35"/>
      <c r="J14" s="35"/>
      <c r="K14" s="475">
        <v>0</v>
      </c>
      <c r="L14" s="36">
        <v>0</v>
      </c>
      <c r="M14" s="37">
        <f>K14-L14</f>
        <v>0</v>
      </c>
      <c r="N14" s="478"/>
    </row>
    <row r="15" spans="1:14" s="6" customFormat="1" ht="13.8" thickBot="1">
      <c r="A15" s="39">
        <v>5</v>
      </c>
      <c r="B15" s="119"/>
      <c r="C15" s="120" t="s">
        <v>141</v>
      </c>
      <c r="D15" s="24"/>
      <c r="E15" s="24"/>
      <c r="F15" s="24"/>
      <c r="G15" s="24"/>
      <c r="H15" s="24"/>
      <c r="I15" s="24"/>
      <c r="J15" s="24"/>
      <c r="K15" s="474">
        <v>0</v>
      </c>
      <c r="L15" s="40">
        <v>0</v>
      </c>
      <c r="M15" s="41">
        <f>K15-L15</f>
        <v>0</v>
      </c>
      <c r="N15" s="460"/>
    </row>
    <row r="16" spans="1:14" ht="4.5" customHeight="1"/>
    <row r="17" spans="1:13" s="6" customFormat="1" ht="13.8">
      <c r="A17" s="17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s="6" customFormat="1" ht="13.8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s="6" customFormat="1" ht="14.25" customHeight="1" thickBot="1">
      <c r="A19" s="121" t="s">
        <v>445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</row>
    <row r="20" spans="1:13" s="6" customFormat="1" ht="13.8" thickBot="1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148" t="s">
        <v>444</v>
      </c>
      <c r="M20" s="114" t="s">
        <v>255</v>
      </c>
    </row>
    <row r="21" spans="1:13" s="6" customFormat="1">
      <c r="A21" s="28">
        <v>1</v>
      </c>
      <c r="B21" s="29"/>
      <c r="C21" s="44" t="s">
        <v>21</v>
      </c>
      <c r="D21" s="30"/>
      <c r="E21" s="30"/>
      <c r="F21" s="30"/>
      <c r="G21" s="30"/>
      <c r="H21" s="30"/>
      <c r="I21" s="30"/>
      <c r="J21" s="30"/>
      <c r="K21" s="30"/>
      <c r="L21" s="149"/>
      <c r="M21" s="123"/>
    </row>
    <row r="22" spans="1:13" s="6" customFormat="1">
      <c r="A22" s="33">
        <v>2</v>
      </c>
      <c r="B22" s="34"/>
      <c r="C22" s="45" t="s">
        <v>22</v>
      </c>
      <c r="D22" s="35"/>
      <c r="E22" s="35"/>
      <c r="F22" s="35"/>
      <c r="G22" s="35"/>
      <c r="H22" s="35"/>
      <c r="I22" s="35"/>
      <c r="J22" s="35"/>
      <c r="K22" s="35"/>
      <c r="L22" s="150"/>
      <c r="M22" s="124"/>
    </row>
    <row r="23" spans="1:13" s="6" customFormat="1">
      <c r="A23" s="33">
        <v>3</v>
      </c>
      <c r="B23" s="34"/>
      <c r="C23" s="46" t="s">
        <v>23</v>
      </c>
      <c r="D23" s="35"/>
      <c r="E23" s="35"/>
      <c r="F23" s="35"/>
      <c r="G23" s="35"/>
      <c r="H23" s="35"/>
      <c r="I23" s="35"/>
      <c r="J23" s="35"/>
      <c r="K23" s="35"/>
      <c r="L23" s="151"/>
      <c r="M23" s="124"/>
    </row>
    <row r="24" spans="1:13" s="6" customFormat="1">
      <c r="A24" s="33">
        <v>4</v>
      </c>
      <c r="B24" s="34"/>
      <c r="C24" s="45" t="s">
        <v>24</v>
      </c>
      <c r="D24" s="35"/>
      <c r="E24" s="35"/>
      <c r="F24" s="35"/>
      <c r="G24" s="35"/>
      <c r="H24" s="35"/>
      <c r="I24" s="35"/>
      <c r="J24" s="35"/>
      <c r="K24" s="35"/>
      <c r="L24" s="151"/>
      <c r="M24" s="124"/>
    </row>
    <row r="25" spans="1:13" s="6" customFormat="1">
      <c r="A25" s="33">
        <v>5</v>
      </c>
      <c r="B25" s="34"/>
      <c r="C25" s="45" t="s">
        <v>25</v>
      </c>
      <c r="D25" s="35"/>
      <c r="E25" s="35"/>
      <c r="F25" s="35"/>
      <c r="G25" s="35"/>
      <c r="H25" s="35"/>
      <c r="I25" s="35"/>
      <c r="J25" s="35"/>
      <c r="K25" s="35"/>
      <c r="L25" s="151"/>
      <c r="M25" s="124"/>
    </row>
    <row r="26" spans="1:13" s="6" customFormat="1">
      <c r="A26" s="33">
        <v>6</v>
      </c>
      <c r="B26" s="34"/>
      <c r="C26" s="45" t="s">
        <v>26</v>
      </c>
      <c r="D26" s="35"/>
      <c r="E26" s="35"/>
      <c r="F26" s="35"/>
      <c r="G26" s="35"/>
      <c r="H26" s="35"/>
      <c r="I26" s="35"/>
      <c r="J26" s="35"/>
      <c r="K26" s="35"/>
      <c r="L26" s="151"/>
      <c r="M26" s="124"/>
    </row>
    <row r="27" spans="1:13" s="6" customFormat="1">
      <c r="A27" s="33">
        <v>7</v>
      </c>
      <c r="B27" s="34"/>
      <c r="C27" s="47" t="s">
        <v>142</v>
      </c>
      <c r="D27" s="35"/>
      <c r="E27" s="35"/>
      <c r="F27" s="35"/>
      <c r="G27" s="35"/>
      <c r="H27" s="35"/>
      <c r="I27" s="35"/>
      <c r="J27" s="35"/>
      <c r="K27" s="35"/>
      <c r="L27" s="151"/>
      <c r="M27" s="124"/>
    </row>
    <row r="28" spans="1:13" s="6" customFormat="1">
      <c r="A28" s="33">
        <v>8</v>
      </c>
      <c r="B28" s="34"/>
      <c r="C28" s="48" t="s">
        <v>28</v>
      </c>
      <c r="D28" s="35"/>
      <c r="E28" s="35"/>
      <c r="F28" s="35"/>
      <c r="G28" s="35"/>
      <c r="H28" s="35"/>
      <c r="I28" s="35"/>
      <c r="J28" s="35"/>
      <c r="K28" s="35"/>
      <c r="L28" s="151"/>
      <c r="M28" s="124"/>
    </row>
    <row r="29" spans="1:13" s="6" customFormat="1">
      <c r="A29" s="33">
        <v>9</v>
      </c>
      <c r="B29" s="34"/>
      <c r="C29" s="45" t="s">
        <v>29</v>
      </c>
      <c r="D29" s="35"/>
      <c r="E29" s="35"/>
      <c r="F29" s="35"/>
      <c r="G29" s="35"/>
      <c r="H29" s="35"/>
      <c r="I29" s="35"/>
      <c r="J29" s="35"/>
      <c r="K29" s="35"/>
      <c r="L29" s="151"/>
      <c r="M29" s="124"/>
    </row>
    <row r="30" spans="1:13" s="6" customFormat="1">
      <c r="A30" s="33" t="s">
        <v>30</v>
      </c>
      <c r="B30" s="34"/>
      <c r="C30" s="47" t="s">
        <v>31</v>
      </c>
      <c r="D30" s="35"/>
      <c r="E30" s="35"/>
      <c r="F30" s="35"/>
      <c r="G30" s="35"/>
      <c r="H30" s="35"/>
      <c r="I30" s="35"/>
      <c r="J30" s="35"/>
      <c r="K30" s="35"/>
      <c r="L30" s="151"/>
      <c r="M30" s="124"/>
    </row>
    <row r="31" spans="1:13" s="6" customFormat="1">
      <c r="A31" s="33" t="s">
        <v>32</v>
      </c>
      <c r="B31" s="34"/>
      <c r="C31" s="47" t="s">
        <v>51</v>
      </c>
      <c r="D31" s="35"/>
      <c r="E31" s="35"/>
      <c r="F31" s="35"/>
      <c r="G31" s="35"/>
      <c r="H31" s="35"/>
      <c r="I31" s="35"/>
      <c r="J31" s="35"/>
      <c r="K31" s="35"/>
      <c r="L31" s="151"/>
      <c r="M31" s="124"/>
    </row>
    <row r="32" spans="1:13" s="6" customFormat="1">
      <c r="A32" s="33" t="s">
        <v>33</v>
      </c>
      <c r="B32" s="34"/>
      <c r="C32" s="47" t="s">
        <v>52</v>
      </c>
      <c r="D32" s="35"/>
      <c r="E32" s="35"/>
      <c r="F32" s="35"/>
      <c r="G32" s="35"/>
      <c r="H32" s="35"/>
      <c r="I32" s="35"/>
      <c r="J32" s="35"/>
      <c r="K32" s="35"/>
      <c r="L32" s="151"/>
      <c r="M32" s="124"/>
    </row>
    <row r="33" spans="1:13" s="6" customFormat="1">
      <c r="A33" s="33">
        <v>12</v>
      </c>
      <c r="B33" s="34"/>
      <c r="C33" s="47" t="s">
        <v>34</v>
      </c>
      <c r="D33" s="35"/>
      <c r="E33" s="35"/>
      <c r="F33" s="35"/>
      <c r="G33" s="35"/>
      <c r="H33" s="35"/>
      <c r="I33" s="35"/>
      <c r="J33" s="35"/>
      <c r="K33" s="35"/>
      <c r="L33" s="151"/>
      <c r="M33" s="124"/>
    </row>
    <row r="34" spans="1:13" s="6" customFormat="1">
      <c r="A34" s="33">
        <v>13</v>
      </c>
      <c r="B34" s="34"/>
      <c r="C34" s="47" t="s">
        <v>35</v>
      </c>
      <c r="D34" s="35"/>
      <c r="E34" s="35"/>
      <c r="F34" s="35"/>
      <c r="G34" s="35"/>
      <c r="H34" s="35"/>
      <c r="I34" s="35"/>
      <c r="J34" s="35"/>
      <c r="K34" s="35"/>
      <c r="L34" s="151"/>
      <c r="M34" s="124"/>
    </row>
    <row r="35" spans="1:13" s="6" customFormat="1">
      <c r="A35" s="33">
        <v>14</v>
      </c>
      <c r="B35" s="34"/>
      <c r="C35" s="47" t="s">
        <v>36</v>
      </c>
      <c r="D35" s="35"/>
      <c r="E35" s="35"/>
      <c r="F35" s="35"/>
      <c r="G35" s="35"/>
      <c r="H35" s="35"/>
      <c r="I35" s="35"/>
      <c r="J35" s="35"/>
      <c r="K35" s="35"/>
      <c r="L35" s="151"/>
      <c r="M35" s="124"/>
    </row>
    <row r="36" spans="1:13" s="6" customFormat="1">
      <c r="A36" s="33">
        <v>15</v>
      </c>
      <c r="B36" s="34"/>
      <c r="C36" s="47" t="s">
        <v>37</v>
      </c>
      <c r="D36" s="35"/>
      <c r="E36" s="35"/>
      <c r="F36" s="35"/>
      <c r="G36" s="35"/>
      <c r="H36" s="35"/>
      <c r="I36" s="35"/>
      <c r="J36" s="35"/>
      <c r="K36" s="35"/>
      <c r="L36" s="151"/>
      <c r="M36" s="124"/>
    </row>
    <row r="37" spans="1:13" s="6" customFormat="1">
      <c r="A37" s="33">
        <v>16</v>
      </c>
      <c r="B37" s="34"/>
      <c r="C37" s="47" t="s">
        <v>38</v>
      </c>
      <c r="D37" s="35"/>
      <c r="E37" s="35"/>
      <c r="F37" s="35"/>
      <c r="G37" s="35"/>
      <c r="H37" s="35"/>
      <c r="I37" s="35"/>
      <c r="J37" s="35"/>
      <c r="K37" s="35"/>
      <c r="L37" s="151"/>
      <c r="M37" s="124"/>
    </row>
    <row r="38" spans="1:13" s="6" customFormat="1">
      <c r="A38" s="33">
        <v>17</v>
      </c>
      <c r="B38" s="34"/>
      <c r="C38" s="47" t="s">
        <v>39</v>
      </c>
      <c r="D38" s="35"/>
      <c r="E38" s="35"/>
      <c r="F38" s="35"/>
      <c r="G38" s="35"/>
      <c r="H38" s="35"/>
      <c r="I38" s="35"/>
      <c r="J38" s="35"/>
      <c r="K38" s="35"/>
      <c r="L38" s="151"/>
      <c r="M38" s="125"/>
    </row>
    <row r="39" spans="1:13" s="6" customFormat="1">
      <c r="A39" s="33">
        <v>18</v>
      </c>
      <c r="B39" s="34"/>
      <c r="C39" s="47" t="s">
        <v>143</v>
      </c>
      <c r="D39" s="35"/>
      <c r="E39" s="35"/>
      <c r="F39" s="35"/>
      <c r="G39" s="35"/>
      <c r="H39" s="35"/>
      <c r="I39" s="35"/>
      <c r="J39" s="35"/>
      <c r="K39" s="35"/>
      <c r="L39" s="151"/>
      <c r="M39" s="125"/>
    </row>
    <row r="40" spans="1:13" s="6" customFormat="1">
      <c r="A40" s="33">
        <v>19</v>
      </c>
      <c r="B40" s="34"/>
      <c r="C40" s="47" t="s">
        <v>41</v>
      </c>
      <c r="D40" s="35"/>
      <c r="E40" s="35"/>
      <c r="F40" s="35"/>
      <c r="G40" s="35"/>
      <c r="H40" s="35"/>
      <c r="I40" s="35"/>
      <c r="J40" s="35"/>
      <c r="K40" s="35"/>
      <c r="L40" s="151"/>
      <c r="M40" s="124"/>
    </row>
    <row r="41" spans="1:13" s="6" customFormat="1">
      <c r="A41" s="33">
        <v>20</v>
      </c>
      <c r="B41" s="34"/>
      <c r="C41" s="47" t="s">
        <v>42</v>
      </c>
      <c r="D41" s="35"/>
      <c r="E41" s="35"/>
      <c r="F41" s="35"/>
      <c r="G41" s="35"/>
      <c r="H41" s="35"/>
      <c r="I41" s="35"/>
      <c r="J41" s="35"/>
      <c r="K41" s="35"/>
      <c r="L41" s="151"/>
      <c r="M41" s="124"/>
    </row>
    <row r="42" spans="1:13" s="6" customFormat="1">
      <c r="A42" s="33">
        <v>21</v>
      </c>
      <c r="B42" s="34"/>
      <c r="C42" s="47" t="s">
        <v>43</v>
      </c>
      <c r="D42" s="35"/>
      <c r="E42" s="35"/>
      <c r="F42" s="35"/>
      <c r="G42" s="35"/>
      <c r="H42" s="35"/>
      <c r="I42" s="35"/>
      <c r="J42" s="35"/>
      <c r="K42" s="35"/>
      <c r="L42" s="151"/>
      <c r="M42" s="124"/>
    </row>
    <row r="43" spans="1:13" s="6" customFormat="1">
      <c r="A43" s="33">
        <v>22</v>
      </c>
      <c r="B43" s="34"/>
      <c r="C43" s="47" t="s">
        <v>44</v>
      </c>
      <c r="D43" s="35"/>
      <c r="E43" s="35"/>
      <c r="F43" s="35"/>
      <c r="G43" s="35"/>
      <c r="H43" s="35"/>
      <c r="I43" s="35"/>
      <c r="J43" s="35"/>
      <c r="K43" s="35"/>
      <c r="L43" s="151"/>
      <c r="M43" s="124"/>
    </row>
    <row r="44" spans="1:13" s="6" customFormat="1" ht="13.8" thickBot="1">
      <c r="A44" s="49">
        <v>23</v>
      </c>
      <c r="B44" s="25"/>
      <c r="C44" s="50" t="s">
        <v>45</v>
      </c>
      <c r="D44" s="24"/>
      <c r="E44" s="24"/>
      <c r="F44" s="24"/>
      <c r="G44" s="24"/>
      <c r="H44" s="24"/>
      <c r="I44" s="24"/>
      <c r="J44" s="24"/>
      <c r="K44" s="24"/>
      <c r="L44" s="152"/>
      <c r="M44" s="126"/>
    </row>
    <row r="46" spans="1:13">
      <c r="A46" s="16" t="s">
        <v>470</v>
      </c>
    </row>
    <row r="47" spans="1:13">
      <c r="A47" s="101"/>
    </row>
    <row r="48" spans="1:13">
      <c r="A48" s="334" t="s">
        <v>452</v>
      </c>
    </row>
    <row r="49" spans="1:1">
      <c r="A49" s="334" t="s">
        <v>453</v>
      </c>
    </row>
    <row r="50" spans="1:1">
      <c r="A50" s="335"/>
    </row>
    <row r="51" spans="1:1">
      <c r="A51" s="335" t="s">
        <v>454</v>
      </c>
    </row>
    <row r="52" spans="1:1">
      <c r="A52" s="227" t="s">
        <v>455</v>
      </c>
    </row>
  </sheetData>
  <phoneticPr fontId="0" type="noConversion"/>
  <conditionalFormatting sqref="K11:K13 K15">
    <cfRule type="expression" dxfId="43" priority="1" stopIfTrue="1">
      <formula>AND(OR((N11)&gt;2,(N11)&lt;-2),OR((M11)&gt;750,(M11)&lt;-750))</formula>
    </cfRule>
  </conditionalFormatting>
  <conditionalFormatting sqref="L11:L13">
    <cfRule type="expression" dxfId="42" priority="2" stopIfTrue="1">
      <formula>AND(OR((N11)&gt;2,(N11)&lt;-2),OR((M11)&gt;750,(M11)&lt;-750))</formula>
    </cfRule>
  </conditionalFormatting>
  <pageMargins left="0.59055118110236204" right="0.35433070866141703" top="0.37" bottom="0.23622047244094499" header="0.196850393700787" footer="0.196850393700787"/>
  <pageSetup paperSize="9" scale="81" orientation="landscape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8"/>
  <sheetViews>
    <sheetView showGridLines="0" topLeftCell="A43" zoomScale="65" zoomScaleNormal="60" workbookViewId="0">
      <selection activeCell="C4" sqref="C4"/>
    </sheetView>
  </sheetViews>
  <sheetFormatPr defaultRowHeight="13.2"/>
  <cols>
    <col min="1" max="1" width="1.88671875" customWidth="1"/>
    <col min="2" max="2" width="4" customWidth="1"/>
    <col min="3" max="3" width="3.88671875" customWidth="1"/>
    <col min="4" max="4" width="70.6640625" bestFit="1" customWidth="1"/>
    <col min="5" max="5" width="16.33203125" bestFit="1" customWidth="1"/>
    <col min="6" max="6" width="17" bestFit="1" customWidth="1"/>
    <col min="7" max="8" width="15.6640625" customWidth="1"/>
    <col min="9" max="9" width="16.5546875" bestFit="1" customWidth="1"/>
    <col min="10" max="16" width="15.6640625" customWidth="1"/>
    <col min="17" max="17" width="13.6640625" bestFit="1" customWidth="1"/>
    <col min="18" max="20" width="15.6640625" customWidth="1"/>
    <col min="21" max="21" width="10" bestFit="1" customWidth="1"/>
    <col min="22" max="22" width="15.6640625" customWidth="1"/>
    <col min="23" max="28" width="15.88671875" customWidth="1"/>
  </cols>
  <sheetData>
    <row r="1" spans="1:18" ht="24" customHeight="1">
      <c r="A1" s="364" t="s">
        <v>448</v>
      </c>
      <c r="B1" s="110"/>
      <c r="C1" s="110"/>
      <c r="D1" s="110"/>
      <c r="E1" s="111"/>
      <c r="F1" s="3"/>
      <c r="G1" s="3"/>
      <c r="H1" s="4"/>
      <c r="I1" s="4"/>
      <c r="J1" s="20"/>
      <c r="K1" s="99"/>
      <c r="R1" s="466"/>
    </row>
    <row r="2" spans="1:18" ht="15.75" customHeight="1">
      <c r="A2" s="7"/>
      <c r="B2" s="8"/>
      <c r="C2" s="9"/>
      <c r="D2" s="9"/>
      <c r="E2" s="10"/>
      <c r="F2" s="10"/>
      <c r="G2" s="10"/>
      <c r="H2" s="11"/>
      <c r="I2" s="11"/>
      <c r="J2" s="5"/>
      <c r="K2" s="100"/>
      <c r="R2" s="466"/>
    </row>
    <row r="3" spans="1:18" ht="13.8">
      <c r="A3" s="98" t="s">
        <v>12</v>
      </c>
      <c r="B3" s="5"/>
      <c r="C3" s="5"/>
      <c r="E3" s="97"/>
      <c r="F3" s="15"/>
      <c r="G3" s="12"/>
      <c r="H3" s="10"/>
      <c r="I3" s="11"/>
      <c r="J3" s="5"/>
      <c r="K3" s="100"/>
      <c r="R3" s="466"/>
    </row>
    <row r="4" spans="1:18" ht="14.4" thickBot="1">
      <c r="A4" s="49" t="s">
        <v>466</v>
      </c>
      <c r="B4" s="24"/>
      <c r="C4" s="24"/>
      <c r="D4" s="1"/>
      <c r="E4" s="162"/>
      <c r="F4" s="14"/>
      <c r="G4" s="13"/>
      <c r="H4" s="13"/>
      <c r="I4" s="13"/>
      <c r="J4" s="25"/>
      <c r="K4" s="51"/>
      <c r="R4" s="466"/>
    </row>
    <row r="5" spans="1:18" s="16" customFormat="1" ht="35.25" customHeight="1" thickBot="1">
      <c r="A5" s="101"/>
      <c r="B5" s="470" t="s">
        <v>479</v>
      </c>
      <c r="R5" s="467"/>
    </row>
    <row r="6" spans="1:18" s="16" customFormat="1" ht="13.8" thickBot="1">
      <c r="A6" s="173"/>
      <c r="B6" s="174"/>
      <c r="C6" s="175" t="s">
        <v>265</v>
      </c>
      <c r="D6" s="21"/>
      <c r="E6" s="518" t="s">
        <v>446</v>
      </c>
      <c r="F6" s="519"/>
      <c r="G6" s="20"/>
      <c r="H6" s="176"/>
      <c r="I6" s="177" t="s">
        <v>270</v>
      </c>
      <c r="J6" s="21"/>
      <c r="K6" s="178"/>
      <c r="L6" s="461" t="s">
        <v>474</v>
      </c>
      <c r="M6" s="103"/>
      <c r="R6" s="467"/>
    </row>
    <row r="7" spans="1:18" s="16" customFormat="1">
      <c r="A7" s="15"/>
      <c r="B7" s="179"/>
      <c r="C7" s="180"/>
      <c r="D7" s="173"/>
      <c r="E7" s="181" t="s">
        <v>271</v>
      </c>
      <c r="F7" s="318" t="s">
        <v>433</v>
      </c>
      <c r="G7" s="319" t="s">
        <v>434</v>
      </c>
      <c r="H7" s="320" t="s">
        <v>437</v>
      </c>
      <c r="I7" s="184" t="s">
        <v>435</v>
      </c>
      <c r="J7" s="185" t="s">
        <v>272</v>
      </c>
      <c r="K7" s="186" t="s">
        <v>436</v>
      </c>
      <c r="L7" s="461" t="s">
        <v>480</v>
      </c>
      <c r="R7" s="467"/>
    </row>
    <row r="8" spans="1:18" s="16" customFormat="1">
      <c r="B8" s="179"/>
      <c r="C8" s="180"/>
      <c r="D8" s="15"/>
      <c r="E8" s="187" t="s">
        <v>447</v>
      </c>
      <c r="F8" s="321" t="s">
        <v>273</v>
      </c>
      <c r="G8" s="322" t="s">
        <v>268</v>
      </c>
      <c r="H8" s="323"/>
      <c r="I8" s="190" t="s">
        <v>273</v>
      </c>
      <c r="J8" s="188" t="s">
        <v>268</v>
      </c>
      <c r="K8" s="191"/>
      <c r="L8" s="462" t="s">
        <v>475</v>
      </c>
      <c r="R8" s="467"/>
    </row>
    <row r="9" spans="1:18" s="16" customFormat="1" ht="13.8" thickBot="1">
      <c r="B9" s="23"/>
      <c r="C9" s="192"/>
      <c r="D9" s="25"/>
      <c r="E9" s="193" t="s">
        <v>16</v>
      </c>
      <c r="F9" s="324" t="s">
        <v>274</v>
      </c>
      <c r="G9" s="325" t="s">
        <v>16</v>
      </c>
      <c r="H9" s="326"/>
      <c r="I9" s="195" t="s">
        <v>16</v>
      </c>
      <c r="J9" s="194" t="s">
        <v>16</v>
      </c>
      <c r="K9" s="196"/>
      <c r="L9" s="335"/>
      <c r="M9" s="227"/>
      <c r="R9" s="467"/>
    </row>
    <row r="10" spans="1:18" s="16" customFormat="1">
      <c r="B10" s="174"/>
      <c r="C10" s="198"/>
      <c r="D10" s="21" t="s">
        <v>266</v>
      </c>
      <c r="E10" s="199"/>
      <c r="F10" s="327"/>
      <c r="G10" s="328"/>
      <c r="H10" s="337"/>
      <c r="I10" s="200"/>
      <c r="J10" s="201"/>
      <c r="K10" s="338"/>
      <c r="L10" s="335"/>
      <c r="M10" s="227"/>
      <c r="R10" s="467"/>
    </row>
    <row r="11" spans="1:18" s="16" customFormat="1">
      <c r="B11" s="179"/>
      <c r="C11" s="180">
        <v>1</v>
      </c>
      <c r="D11" s="15" t="s">
        <v>275</v>
      </c>
      <c r="E11" s="299">
        <v>0</v>
      </c>
      <c r="F11" s="341">
        <v>0</v>
      </c>
      <c r="G11" s="329">
        <f>E11-F11</f>
        <v>0</v>
      </c>
      <c r="H11" s="340" t="str">
        <f>IF(AND(OR(E11=0,F11&lt;&gt;0),OR(F11=0,E11&lt;&gt;0)),IF((E11+F11+G11&lt;&gt;0),IF(AND(OR(E11&gt;0,F11&lt;0),OR(F11&gt;0,E11&lt;0)),ABS(G11/MIN(ABS(F11),ABS(E11))),10),"-"),10)</f>
        <v>-</v>
      </c>
      <c r="I11" s="299">
        <v>0</v>
      </c>
      <c r="J11" s="203">
        <f>E11-I11</f>
        <v>0</v>
      </c>
      <c r="K11" s="339" t="str">
        <f>IF(AND(OR(E11=0,I11&lt;&gt;0),OR(I11=0,E11&lt;&gt;0)),IF((E11+I11+J11&lt;&gt;0),IF(AND(OR(E11&gt;0,I11&lt;0),OR(I11&gt;0,E11&lt;0)),ABS(J11/MIN(ABS(I11),ABS(E11))),10),"-"),10)</f>
        <v>-</v>
      </c>
      <c r="L11" s="463" t="str">
        <f>IF(AND(OR((K11)&gt;2,(K11)&lt;-2),OR((J11)&gt;750,(J11)&lt;-750))," QUERY - " &amp; (D11) &amp; " 2002/03 2001/02 difference of " &amp; (J11) &amp; "k.","")</f>
        <v/>
      </c>
      <c r="R11" s="465" t="str">
        <f>IF(AND(OR((H11)&gt;2,(H11)&lt;-2),OR((G11)&gt;750,(G11)&lt;-750)), "QUERY - FC grants 2002/03 / Restated difference of "&amp;(G11)&amp; "k","")</f>
        <v/>
      </c>
    </row>
    <row r="12" spans="1:18" s="16" customFormat="1">
      <c r="B12" s="179"/>
      <c r="C12" s="180">
        <v>2</v>
      </c>
      <c r="D12" s="15" t="s">
        <v>276</v>
      </c>
      <c r="E12" s="299">
        <v>0</v>
      </c>
      <c r="F12" s="341">
        <v>0</v>
      </c>
      <c r="G12" s="329">
        <f t="shared" ref="G12:G22" si="0">E12-F12</f>
        <v>0</v>
      </c>
      <c r="H12" s="340" t="str">
        <f t="shared" ref="H12:H22" si="1">IF(AND(OR(E12=0,F12&lt;&gt;0),OR(F12=0,E12&lt;&gt;0)),IF((E12+F12+G12&lt;&gt;0),IF(AND(OR(E12&gt;0,F12&lt;0),OR(F12&gt;0,E12&lt;0)),ABS(G12/MIN(ABS(F12),ABS(E12))),10),"-"),10)</f>
        <v>-</v>
      </c>
      <c r="I12" s="299">
        <v>0</v>
      </c>
      <c r="J12" s="203">
        <f t="shared" ref="J12:J22" si="2">E12-I12</f>
        <v>0</v>
      </c>
      <c r="K12" s="339" t="str">
        <f t="shared" ref="K12:K21" si="3">IF(AND(OR(E12=0,I12&lt;&gt;0),OR(I12=0,E12&lt;&gt;0)),IF((E12+I12+J12&lt;&gt;0),IF(AND(OR(E12&gt;0,I12&lt;0),OR(I12&gt;0,E12&lt;0)),ABS(J12/MIN(ABS(I12),ABS(E12))),10),"-"),10)</f>
        <v>-</v>
      </c>
      <c r="L12" s="463" t="str">
        <f>IF(AND(OR((K12)&gt;2,(K12)&lt;-2),OR((J12)&gt;750,(J12)&lt;-750))," QUERY - " &amp; MID(D12,1,12) &amp; " 2002/03 2001/02 difference of " &amp; (J12) &amp; "k.","")</f>
        <v/>
      </c>
      <c r="R12" s="465" t="str">
        <f>IF(AND(OR((H12)&gt;2,(H12)&lt;-2),OR((G12)&gt;750,(G12)&lt;-750)), "QUERY - Tuition fees 2002/03 / Restated difference of "&amp;(G12)&amp; "k","")</f>
        <v/>
      </c>
    </row>
    <row r="13" spans="1:18" s="16" customFormat="1">
      <c r="B13" s="179"/>
      <c r="C13" s="180">
        <v>3</v>
      </c>
      <c r="D13" s="15" t="s">
        <v>277</v>
      </c>
      <c r="E13" s="299">
        <v>0</v>
      </c>
      <c r="F13" s="341">
        <v>0</v>
      </c>
      <c r="G13" s="329">
        <f t="shared" si="0"/>
        <v>0</v>
      </c>
      <c r="H13" s="340" t="str">
        <f t="shared" si="1"/>
        <v>-</v>
      </c>
      <c r="I13" s="299">
        <v>0</v>
      </c>
      <c r="J13" s="203">
        <f t="shared" si="2"/>
        <v>0</v>
      </c>
      <c r="K13" s="339" t="str">
        <f t="shared" si="3"/>
        <v>-</v>
      </c>
      <c r="L13" s="463" t="str">
        <f>IF(AND(OR((K13)&gt;2,(K13)&lt;-2),OR((J13)&gt;750,(J13)&lt;-750))," QUERY - " &amp; MID(D13,1,15) &amp; " 2002/03 2001/02 difference of " &amp; (J13) &amp; "k.","")</f>
        <v/>
      </c>
      <c r="R13" s="465" t="str">
        <f>IF(AND(OR((H13)&gt;2,(H13)&lt;-2),OR((G13)&gt;750,(G13)&lt;-750)), "QUERY - Research grants 2002/03 / Restated difference of "&amp;(G13)&amp; "k","")</f>
        <v/>
      </c>
    </row>
    <row r="14" spans="1:18" s="16" customFormat="1">
      <c r="B14" s="179"/>
      <c r="C14" s="180">
        <v>4</v>
      </c>
      <c r="D14" s="15" t="s">
        <v>278</v>
      </c>
      <c r="E14" s="299">
        <v>0</v>
      </c>
      <c r="F14" s="341">
        <v>0</v>
      </c>
      <c r="G14" s="329">
        <f t="shared" si="0"/>
        <v>0</v>
      </c>
      <c r="H14" s="340" t="str">
        <f t="shared" si="1"/>
        <v>-</v>
      </c>
      <c r="I14" s="299">
        <v>0</v>
      </c>
      <c r="J14" s="203">
        <f t="shared" si="2"/>
        <v>0</v>
      </c>
      <c r="K14" s="339" t="str">
        <f t="shared" si="3"/>
        <v>-</v>
      </c>
      <c r="L14" s="463" t="str">
        <f>IF(AND(OR((K14)&gt;2,(K14)&lt;-2),OR((J14)&gt;750,(J14)&lt;-750))," QUERY - " &amp; (D14) &amp; " 2002/03 2001/02 difference of " &amp; (J14) &amp; "k.","")</f>
        <v/>
      </c>
      <c r="R14" s="465" t="str">
        <f>IF(AND(OR((H14)&gt;2,(H14)&lt;-2),OR((G14)&gt;750,(G14)&lt;-750)), "QUERY - Other income 2002/03 / Restated difference of "&amp;(G14)&amp; "k","")</f>
        <v/>
      </c>
    </row>
    <row r="15" spans="1:18" s="16" customFormat="1">
      <c r="B15" s="179"/>
      <c r="C15" s="180">
        <v>5</v>
      </c>
      <c r="D15" s="15" t="s">
        <v>279</v>
      </c>
      <c r="E15" s="299">
        <v>0</v>
      </c>
      <c r="F15" s="341">
        <v>0</v>
      </c>
      <c r="G15" s="329">
        <f t="shared" si="0"/>
        <v>0</v>
      </c>
      <c r="H15" s="340" t="str">
        <f t="shared" si="1"/>
        <v>-</v>
      </c>
      <c r="I15" s="299">
        <v>0</v>
      </c>
      <c r="J15" s="203">
        <f t="shared" si="2"/>
        <v>0</v>
      </c>
      <c r="K15" s="339" t="str">
        <f t="shared" si="3"/>
        <v>-</v>
      </c>
      <c r="L15" s="463" t="str">
        <f>IF(AND(OR((K15)&gt;2,(K15)&lt;-2),OR((J15)&gt;750,(J15)&lt;-750))," QUERY - " &amp; MID(D15,1,24) &amp; " 2002/03 2001/02 difference of " &amp; (J15) &amp; "k.","")</f>
        <v/>
      </c>
      <c r="R15" s="465" t="str">
        <f>IF(AND(OR((H15)&gt;2,(H15)&lt;-2),OR((G15)&gt;750,(G15)&lt;-750)), "QUERY - Endowment income 2002/03 / Restated difference of "&amp;(G15)&amp; "k","")</f>
        <v/>
      </c>
    </row>
    <row r="16" spans="1:18" s="16" customFormat="1" ht="13.8" thickBot="1">
      <c r="B16" s="23"/>
      <c r="C16" s="192">
        <v>6</v>
      </c>
      <c r="D16" s="25" t="s">
        <v>280</v>
      </c>
      <c r="E16" s="204">
        <f>SUM(E11:E15)</f>
        <v>0</v>
      </c>
      <c r="F16" s="330">
        <f>SUM(F11:F15)</f>
        <v>0</v>
      </c>
      <c r="G16" s="331">
        <f t="shared" si="0"/>
        <v>0</v>
      </c>
      <c r="H16" s="346" t="str">
        <f t="shared" si="1"/>
        <v>-</v>
      </c>
      <c r="I16" s="206">
        <f>SUM(I11:I15)</f>
        <v>0</v>
      </c>
      <c r="J16" s="207">
        <f t="shared" si="2"/>
        <v>0</v>
      </c>
      <c r="K16" s="345" t="str">
        <f t="shared" si="3"/>
        <v>-</v>
      </c>
      <c r="L16" s="463"/>
      <c r="R16" s="465"/>
    </row>
    <row r="17" spans="2:19" s="16" customFormat="1">
      <c r="B17" s="174"/>
      <c r="C17" s="198"/>
      <c r="D17" s="21" t="s">
        <v>267</v>
      </c>
      <c r="E17" s="208"/>
      <c r="F17" s="332"/>
      <c r="G17" s="333"/>
      <c r="H17" s="340"/>
      <c r="I17" s="209"/>
      <c r="J17" s="203"/>
      <c r="K17" s="339"/>
      <c r="L17" s="463"/>
      <c r="R17" s="465"/>
    </row>
    <row r="18" spans="2:19" s="16" customFormat="1">
      <c r="B18" s="179"/>
      <c r="C18" s="180">
        <v>7</v>
      </c>
      <c r="D18" s="15" t="s">
        <v>281</v>
      </c>
      <c r="E18" s="299">
        <v>0</v>
      </c>
      <c r="F18" s="341">
        <v>0</v>
      </c>
      <c r="G18" s="329">
        <f t="shared" si="0"/>
        <v>0</v>
      </c>
      <c r="H18" s="340" t="str">
        <f t="shared" si="1"/>
        <v>-</v>
      </c>
      <c r="I18" s="299">
        <v>0</v>
      </c>
      <c r="J18" s="203">
        <f t="shared" si="2"/>
        <v>0</v>
      </c>
      <c r="K18" s="339" t="str">
        <f t="shared" si="3"/>
        <v>-</v>
      </c>
      <c r="L18" s="463" t="str">
        <f>IF(AND(OR((K18)&gt;2,(K18)&lt;-2),OR((J18)&gt;750,(J18)&lt;-750))," QUERY - " &amp; (D18) &amp; " 2002/03 2001/02 difference of " &amp; (J18) &amp; "k.","")</f>
        <v/>
      </c>
      <c r="R18" s="465" t="str">
        <f>IF(AND(OR((H18)&gt;2,(H18)&lt;-2),OR((G18)&gt;750,(G18)&lt;-750)), "QUERY - Staff costs 2002/03 / Restated difference of "&amp;(G18)&amp; "k","")</f>
        <v/>
      </c>
    </row>
    <row r="19" spans="2:19" s="16" customFormat="1">
      <c r="B19" s="179"/>
      <c r="C19" s="180">
        <v>8</v>
      </c>
      <c r="D19" s="15" t="s">
        <v>282</v>
      </c>
      <c r="E19" s="299">
        <v>0</v>
      </c>
      <c r="F19" s="341">
        <v>0</v>
      </c>
      <c r="G19" s="329">
        <f t="shared" si="0"/>
        <v>0</v>
      </c>
      <c r="H19" s="340" t="str">
        <f t="shared" si="1"/>
        <v>-</v>
      </c>
      <c r="I19" s="299">
        <v>0</v>
      </c>
      <c r="J19" s="203">
        <f t="shared" si="2"/>
        <v>0</v>
      </c>
      <c r="K19" s="339" t="str">
        <f t="shared" si="3"/>
        <v>-</v>
      </c>
      <c r="L19" s="463" t="str">
        <f>IF(AND(OR((K19)&gt;2,(K19)&lt;-2),OR((J19)&gt;750,(J19)&lt;-750))," QUERY - " &amp; (D19) &amp; " 2002/03 2001/02 difference of " &amp; (J19) &amp; "k.","")</f>
        <v/>
      </c>
      <c r="R19" s="465" t="str">
        <f>IF(AND(OR((H19)&gt;2,(H19)&lt;-2),OR((G19)&gt;750,(G19)&lt;-750)), "QUERY - Other op. expenses 2002/03 / Restated difference of "&amp;(G19)&amp; "k","")</f>
        <v/>
      </c>
    </row>
    <row r="20" spans="2:19" s="16" customFormat="1">
      <c r="B20" s="179"/>
      <c r="C20" s="180">
        <v>9</v>
      </c>
      <c r="D20" s="15" t="s">
        <v>283</v>
      </c>
      <c r="E20" s="299">
        <v>0</v>
      </c>
      <c r="F20" s="341">
        <v>0</v>
      </c>
      <c r="G20" s="329">
        <f t="shared" si="0"/>
        <v>0</v>
      </c>
      <c r="H20" s="340" t="str">
        <f t="shared" si="1"/>
        <v>-</v>
      </c>
      <c r="I20" s="299">
        <v>0</v>
      </c>
      <c r="J20" s="203">
        <f t="shared" si="2"/>
        <v>0</v>
      </c>
      <c r="K20" s="339" t="str">
        <f t="shared" si="3"/>
        <v>-</v>
      </c>
      <c r="L20" s="463" t="str">
        <f>IF(AND(OR((K20)&gt;2,(K20)&lt;-2),OR((J20)&gt;750,(J20)&lt;-750))," QUERY - " &amp; (D20) &amp; " 2002/03 2001/02 difference of " &amp; (J20) &amp; "k.","")</f>
        <v/>
      </c>
      <c r="R20" s="465" t="str">
        <f>IF(AND(OR((H20)&gt;2,(H20)&lt;-2),OR((G20)&gt;750,(G20)&lt;-750)), "QUERY - Depreciation 2002/03 / Restated difference of "&amp;(G20)&amp; "k","")</f>
        <v/>
      </c>
    </row>
    <row r="21" spans="2:19" s="16" customFormat="1">
      <c r="B21" s="179"/>
      <c r="C21" s="180">
        <v>10</v>
      </c>
      <c r="D21" s="15" t="s">
        <v>284</v>
      </c>
      <c r="E21" s="299">
        <v>0</v>
      </c>
      <c r="F21" s="341">
        <v>0</v>
      </c>
      <c r="G21" s="329">
        <f t="shared" si="0"/>
        <v>0</v>
      </c>
      <c r="H21" s="340" t="str">
        <f t="shared" si="1"/>
        <v>-</v>
      </c>
      <c r="I21" s="299">
        <v>0</v>
      </c>
      <c r="J21" s="203">
        <f t="shared" si="2"/>
        <v>0</v>
      </c>
      <c r="K21" s="339" t="str">
        <f t="shared" si="3"/>
        <v>-</v>
      </c>
      <c r="L21" s="463" t="str">
        <f>IF(AND(OR((K21)&gt;2,(K21)&lt;-2),OR((J21)&gt;750,(J21)&lt;-750))," QUERY - " &amp; (D21) &amp; " 2002/03 2001/02 difference of " &amp; (J21) &amp; "k.","")</f>
        <v/>
      </c>
      <c r="R21" s="465" t="str">
        <f>IF(AND(OR((H21)&gt;2,(H21)&lt;-2),OR((G21)&gt;750,(G21)&lt;-750)), "QUERY - Interest payable 2002/03 / Restated difference of "&amp;(G21)&amp; "k","")</f>
        <v/>
      </c>
    </row>
    <row r="22" spans="2:19" s="16" customFormat="1" ht="13.8" thickBot="1">
      <c r="B22" s="23"/>
      <c r="C22" s="192">
        <v>11</v>
      </c>
      <c r="D22" s="25" t="s">
        <v>285</v>
      </c>
      <c r="E22" s="204">
        <f>SUM(E18:E21)</f>
        <v>0</v>
      </c>
      <c r="F22" s="330">
        <f>SUM(F18:F21)</f>
        <v>0</v>
      </c>
      <c r="G22" s="331">
        <f t="shared" si="0"/>
        <v>0</v>
      </c>
      <c r="H22" s="346" t="str">
        <f t="shared" si="1"/>
        <v>-</v>
      </c>
      <c r="I22" s="206">
        <f>SUM(I18:I21)</f>
        <v>0</v>
      </c>
      <c r="J22" s="207">
        <f t="shared" si="2"/>
        <v>0</v>
      </c>
      <c r="K22" s="345" t="str">
        <f>IF(AND(OR(E22=0,I22&lt;&gt;0),OR(I22=0,E22&lt;&gt;0)),IF((E22+I22+J22&lt;&gt;0),IF(AND(OR(E22&gt;0,I22&lt;0),OR(I22&gt;0,E22&lt;0)),ABS(J22/MIN(ABS(I22),ABS(E22))),10),"-"),10)</f>
        <v>-</v>
      </c>
      <c r="L22" s="463"/>
      <c r="R22" s="467"/>
      <c r="S22" s="464"/>
    </row>
    <row r="23" spans="2:19" s="16" customFormat="1" ht="11.25" customHeight="1">
      <c r="C23" s="210"/>
      <c r="E23" s="211"/>
      <c r="F23" s="211"/>
      <c r="H23" s="212"/>
      <c r="I23" s="213"/>
      <c r="J23" s="213"/>
      <c r="L23" s="103"/>
      <c r="R23" s="467"/>
    </row>
    <row r="24" spans="2:19" s="16" customFormat="1" ht="24.75" customHeight="1" thickBot="1">
      <c r="B24" s="470" t="s">
        <v>481</v>
      </c>
      <c r="L24" s="103"/>
    </row>
    <row r="25" spans="2:19" s="16" customFormat="1">
      <c r="B25" s="174"/>
      <c r="C25" s="175" t="s">
        <v>286</v>
      </c>
      <c r="D25" s="21"/>
      <c r="E25" s="214" t="s">
        <v>449</v>
      </c>
      <c r="F25" s="215" t="s">
        <v>450</v>
      </c>
      <c r="G25" s="182" t="s">
        <v>272</v>
      </c>
      <c r="H25" s="216" t="s">
        <v>436</v>
      </c>
      <c r="I25" s="335" t="s">
        <v>474</v>
      </c>
      <c r="J25" s="101"/>
    </row>
    <row r="26" spans="2:19" s="16" customFormat="1">
      <c r="B26" s="179"/>
      <c r="D26" s="103" t="s">
        <v>287</v>
      </c>
      <c r="E26" s="217" t="s">
        <v>288</v>
      </c>
      <c r="F26" s="218" t="s">
        <v>288</v>
      </c>
      <c r="G26" s="188" t="s">
        <v>268</v>
      </c>
      <c r="H26" s="219"/>
      <c r="I26" s="227" t="s">
        <v>480</v>
      </c>
      <c r="J26" s="334"/>
    </row>
    <row r="27" spans="2:19" s="16" customFormat="1" ht="13.8" thickBot="1">
      <c r="B27" s="23"/>
      <c r="C27" s="25"/>
      <c r="D27" s="51"/>
      <c r="E27" s="220" t="s">
        <v>16</v>
      </c>
      <c r="F27" s="221" t="s">
        <v>16</v>
      </c>
      <c r="G27" s="194" t="s">
        <v>16</v>
      </c>
      <c r="H27" s="196"/>
      <c r="I27" s="16" t="s">
        <v>475</v>
      </c>
      <c r="J27" s="334"/>
    </row>
    <row r="28" spans="2:19" s="16" customFormat="1">
      <c r="B28" s="179"/>
      <c r="C28" s="222">
        <v>1</v>
      </c>
      <c r="D28" s="223" t="s">
        <v>289</v>
      </c>
      <c r="E28" s="224"/>
      <c r="F28" s="225"/>
      <c r="G28" s="188"/>
      <c r="H28" s="226"/>
      <c r="I28" s="335"/>
      <c r="J28" s="335"/>
    </row>
    <row r="29" spans="2:19" s="16" customFormat="1">
      <c r="B29" s="179"/>
      <c r="D29" s="223" t="s">
        <v>290</v>
      </c>
      <c r="E29" s="299">
        <v>0</v>
      </c>
      <c r="F29" s="347">
        <v>0</v>
      </c>
      <c r="G29" s="203">
        <f>E29-F29</f>
        <v>0</v>
      </c>
      <c r="H29" s="336" t="str">
        <f>IF(AND(OR(E29=0,F29&lt;&gt;0),OR(F29=0,E29&lt;&gt;0)),IF((E29+F29+G29&lt;&gt;0),IF(AND(OR(E29&gt;0,F29&lt;0),OR(F29&gt;0,E29&lt;0)),ABS(G29/MIN(ABS(F29),ABS(E29))),10),"-"),10)</f>
        <v>-</v>
      </c>
      <c r="I29" s="463" t="str">
        <f>IF(AND(OR((H29)&gt;5,(H29)&lt;-5),OR((G29)&gt;750,(G29)&lt;-750))," QUERY - " &amp; (D29) &amp; " 2002/03 2001/02 difference of " &amp; (G29) &amp; "k. Genuine?","")</f>
        <v/>
      </c>
      <c r="J29" s="335"/>
    </row>
    <row r="30" spans="2:19" s="16" customFormat="1">
      <c r="B30" s="179"/>
      <c r="D30" s="223" t="s">
        <v>291</v>
      </c>
      <c r="E30" s="299">
        <v>0</v>
      </c>
      <c r="F30" s="347">
        <v>0</v>
      </c>
      <c r="G30" s="203">
        <f t="shared" ref="G30:G80" si="4">E30-F30</f>
        <v>0</v>
      </c>
      <c r="H30" s="336" t="str">
        <f t="shared" ref="H30:H80" si="5">IF(AND(OR(E30=0,F30&lt;&gt;0),OR(F30=0,E30&lt;&gt;0)),IF((E30+F30+G30&lt;&gt;0),IF(AND(OR(E30&gt;0,F30&lt;0),OR(F30&gt;0,E30&lt;0)),ABS(G30/MIN(ABS(F30),ABS(E30))),10),"-"),10)</f>
        <v>-</v>
      </c>
      <c r="I30" s="463" t="str">
        <f t="shared" ref="I30:I68" si="6">IF(AND(OR((H30)&gt;5,(H30)&lt;-5),OR((G30)&gt;750,(G30)&lt;-750))," QUERY - " &amp; (D30) &amp; " 2002/03 2001/02 difference of " &amp; (G30) &amp; "k. Genuine?","")</f>
        <v/>
      </c>
      <c r="J30" s="227"/>
    </row>
    <row r="31" spans="2:19" s="16" customFormat="1">
      <c r="B31" s="179"/>
      <c r="D31" s="223" t="s">
        <v>292</v>
      </c>
      <c r="E31" s="299">
        <v>0</v>
      </c>
      <c r="F31" s="347">
        <v>0</v>
      </c>
      <c r="G31" s="203">
        <f t="shared" si="4"/>
        <v>0</v>
      </c>
      <c r="H31" s="336" t="str">
        <f t="shared" si="5"/>
        <v>-</v>
      </c>
      <c r="I31" s="463" t="str">
        <f t="shared" si="6"/>
        <v/>
      </c>
      <c r="J31" s="227"/>
    </row>
    <row r="32" spans="2:19" s="16" customFormat="1">
      <c r="B32" s="179"/>
      <c r="D32" s="223" t="s">
        <v>293</v>
      </c>
      <c r="E32" s="299">
        <v>0</v>
      </c>
      <c r="F32" s="347">
        <v>0</v>
      </c>
      <c r="G32" s="203">
        <f t="shared" si="4"/>
        <v>0</v>
      </c>
      <c r="H32" s="336" t="str">
        <f t="shared" si="5"/>
        <v>-</v>
      </c>
      <c r="I32" s="463" t="str">
        <f t="shared" si="6"/>
        <v/>
      </c>
      <c r="J32" s="227"/>
    </row>
    <row r="33" spans="2:15" s="16" customFormat="1">
      <c r="B33" s="179"/>
      <c r="D33" s="223" t="s">
        <v>294</v>
      </c>
      <c r="E33" s="299">
        <v>0</v>
      </c>
      <c r="F33" s="347">
        <v>0</v>
      </c>
      <c r="G33" s="203">
        <f t="shared" si="4"/>
        <v>0</v>
      </c>
      <c r="H33" s="336" t="str">
        <f t="shared" si="5"/>
        <v>-</v>
      </c>
      <c r="I33" s="463" t="str">
        <f t="shared" si="6"/>
        <v/>
      </c>
      <c r="J33" s="227"/>
    </row>
    <row r="34" spans="2:15" s="16" customFormat="1">
      <c r="B34" s="179"/>
      <c r="D34" s="223" t="s">
        <v>295</v>
      </c>
      <c r="E34" s="299">
        <v>0</v>
      </c>
      <c r="F34" s="347">
        <v>0</v>
      </c>
      <c r="G34" s="203">
        <f t="shared" si="4"/>
        <v>0</v>
      </c>
      <c r="H34" s="336" t="str">
        <f t="shared" si="5"/>
        <v>-</v>
      </c>
      <c r="I34" s="463" t="str">
        <f t="shared" si="6"/>
        <v/>
      </c>
      <c r="J34" s="459"/>
    </row>
    <row r="35" spans="2:15" s="16" customFormat="1">
      <c r="B35" s="179"/>
      <c r="D35" s="223" t="s">
        <v>296</v>
      </c>
      <c r="E35" s="299">
        <v>0</v>
      </c>
      <c r="F35" s="347">
        <v>0</v>
      </c>
      <c r="G35" s="203">
        <f t="shared" si="4"/>
        <v>0</v>
      </c>
      <c r="H35" s="336" t="str">
        <f t="shared" si="5"/>
        <v>-</v>
      </c>
      <c r="I35" s="463" t="str">
        <f t="shared" si="6"/>
        <v/>
      </c>
      <c r="J35" s="227"/>
    </row>
    <row r="36" spans="2:15" s="16" customFormat="1">
      <c r="B36" s="179"/>
      <c r="D36" s="223" t="s">
        <v>297</v>
      </c>
      <c r="E36" s="299">
        <v>0</v>
      </c>
      <c r="F36" s="347">
        <v>0</v>
      </c>
      <c r="G36" s="203">
        <f t="shared" si="4"/>
        <v>0</v>
      </c>
      <c r="H36" s="336" t="str">
        <f t="shared" si="5"/>
        <v>-</v>
      </c>
      <c r="I36" s="463" t="str">
        <f t="shared" si="6"/>
        <v/>
      </c>
      <c r="J36" s="227"/>
    </row>
    <row r="37" spans="2:15" s="16" customFormat="1">
      <c r="B37" s="179"/>
      <c r="D37" s="223" t="s">
        <v>298</v>
      </c>
      <c r="E37" s="299">
        <v>0</v>
      </c>
      <c r="F37" s="347">
        <v>0</v>
      </c>
      <c r="G37" s="203">
        <f t="shared" si="4"/>
        <v>0</v>
      </c>
      <c r="H37" s="336" t="str">
        <f t="shared" si="5"/>
        <v>-</v>
      </c>
      <c r="I37" s="463" t="str">
        <f t="shared" si="6"/>
        <v/>
      </c>
      <c r="J37" s="227"/>
    </row>
    <row r="38" spans="2:15" s="16" customFormat="1">
      <c r="B38" s="179"/>
      <c r="D38" s="223" t="s">
        <v>299</v>
      </c>
      <c r="E38" s="299">
        <v>0</v>
      </c>
      <c r="F38" s="347">
        <v>0</v>
      </c>
      <c r="G38" s="203">
        <f t="shared" si="4"/>
        <v>0</v>
      </c>
      <c r="H38" s="336" t="str">
        <f t="shared" si="5"/>
        <v>-</v>
      </c>
      <c r="I38" s="463" t="str">
        <f t="shared" si="6"/>
        <v/>
      </c>
      <c r="J38" s="227"/>
    </row>
    <row r="39" spans="2:15" s="16" customFormat="1">
      <c r="B39" s="179"/>
      <c r="D39" s="223" t="s">
        <v>300</v>
      </c>
      <c r="E39" s="299">
        <v>0</v>
      </c>
      <c r="F39" s="347">
        <v>0</v>
      </c>
      <c r="G39" s="203">
        <f t="shared" si="4"/>
        <v>0</v>
      </c>
      <c r="H39" s="336" t="str">
        <f t="shared" si="5"/>
        <v>-</v>
      </c>
      <c r="I39" s="463" t="str">
        <f t="shared" si="6"/>
        <v/>
      </c>
      <c r="J39" s="227"/>
    </row>
    <row r="40" spans="2:15" s="16" customFormat="1">
      <c r="B40" s="179"/>
      <c r="D40" s="223" t="s">
        <v>301</v>
      </c>
      <c r="E40" s="299">
        <v>0</v>
      </c>
      <c r="F40" s="347">
        <v>0</v>
      </c>
      <c r="G40" s="203">
        <f t="shared" si="4"/>
        <v>0</v>
      </c>
      <c r="H40" s="336" t="str">
        <f t="shared" si="5"/>
        <v>-</v>
      </c>
      <c r="I40" s="463" t="str">
        <f t="shared" si="6"/>
        <v/>
      </c>
      <c r="J40" s="227"/>
    </row>
    <row r="41" spans="2:15" s="16" customFormat="1">
      <c r="B41" s="179"/>
      <c r="D41" s="223" t="s">
        <v>302</v>
      </c>
      <c r="E41" s="299">
        <v>0</v>
      </c>
      <c r="F41" s="347">
        <v>0</v>
      </c>
      <c r="G41" s="203">
        <f t="shared" si="4"/>
        <v>0</v>
      </c>
      <c r="H41" s="336" t="str">
        <f t="shared" si="5"/>
        <v>-</v>
      </c>
      <c r="I41" s="463" t="str">
        <f t="shared" si="6"/>
        <v/>
      </c>
      <c r="J41" s="227"/>
    </row>
    <row r="42" spans="2:15" s="16" customFormat="1">
      <c r="B42" s="179"/>
      <c r="D42" s="223" t="s">
        <v>303</v>
      </c>
      <c r="E42" s="299">
        <v>0</v>
      </c>
      <c r="F42" s="347">
        <v>0</v>
      </c>
      <c r="G42" s="203">
        <f t="shared" si="4"/>
        <v>0</v>
      </c>
      <c r="H42" s="336" t="str">
        <f t="shared" si="5"/>
        <v>-</v>
      </c>
      <c r="I42" s="463" t="str">
        <f t="shared" si="6"/>
        <v/>
      </c>
      <c r="J42" s="227"/>
    </row>
    <row r="43" spans="2:15" s="16" customFormat="1">
      <c r="B43" s="179"/>
      <c r="D43" s="223" t="s">
        <v>304</v>
      </c>
      <c r="E43" s="299">
        <v>0</v>
      </c>
      <c r="F43" s="347">
        <v>0</v>
      </c>
      <c r="G43" s="203">
        <f t="shared" si="4"/>
        <v>0</v>
      </c>
      <c r="H43" s="336" t="str">
        <f t="shared" si="5"/>
        <v>-</v>
      </c>
      <c r="I43" s="463" t="str">
        <f t="shared" si="6"/>
        <v/>
      </c>
      <c r="J43" s="227"/>
    </row>
    <row r="44" spans="2:15" s="16" customFormat="1">
      <c r="B44" s="179"/>
      <c r="D44" s="223" t="s">
        <v>305</v>
      </c>
      <c r="E44" s="299">
        <v>0</v>
      </c>
      <c r="F44" s="347">
        <v>0</v>
      </c>
      <c r="G44" s="203">
        <f t="shared" si="4"/>
        <v>0</v>
      </c>
      <c r="H44" s="336" t="str">
        <f t="shared" si="5"/>
        <v>-</v>
      </c>
      <c r="I44" s="463" t="str">
        <f t="shared" si="6"/>
        <v/>
      </c>
      <c r="J44" s="227"/>
    </row>
    <row r="45" spans="2:15" s="16" customFormat="1">
      <c r="B45" s="179"/>
      <c r="D45" s="223" t="s">
        <v>306</v>
      </c>
      <c r="E45" s="299">
        <v>0</v>
      </c>
      <c r="F45" s="347">
        <v>0</v>
      </c>
      <c r="G45" s="203">
        <f t="shared" si="4"/>
        <v>0</v>
      </c>
      <c r="H45" s="336" t="str">
        <f t="shared" si="5"/>
        <v>-</v>
      </c>
      <c r="I45" s="463" t="str">
        <f t="shared" si="6"/>
        <v/>
      </c>
      <c r="J45" s="227"/>
    </row>
    <row r="46" spans="2:15" s="16" customFormat="1">
      <c r="B46" s="179"/>
      <c r="D46" s="223" t="s">
        <v>307</v>
      </c>
      <c r="E46" s="299">
        <v>0</v>
      </c>
      <c r="F46" s="347">
        <v>0</v>
      </c>
      <c r="G46" s="203">
        <f t="shared" si="4"/>
        <v>0</v>
      </c>
      <c r="H46" s="336" t="str">
        <f t="shared" si="5"/>
        <v>-</v>
      </c>
      <c r="I46" s="463" t="str">
        <f t="shared" si="6"/>
        <v/>
      </c>
      <c r="J46" s="227"/>
    </row>
    <row r="47" spans="2:15" s="16" customFormat="1">
      <c r="B47" s="179"/>
      <c r="D47" s="223" t="s">
        <v>308</v>
      </c>
      <c r="E47" s="299">
        <v>0</v>
      </c>
      <c r="F47" s="347">
        <v>0</v>
      </c>
      <c r="G47" s="203">
        <f t="shared" si="4"/>
        <v>0</v>
      </c>
      <c r="H47" s="336" t="str">
        <f t="shared" si="5"/>
        <v>-</v>
      </c>
      <c r="I47" s="463" t="str">
        <f t="shared" si="6"/>
        <v/>
      </c>
      <c r="J47" s="227"/>
      <c r="O47" s="101"/>
    </row>
    <row r="48" spans="2:15" s="16" customFormat="1">
      <c r="B48" s="179"/>
      <c r="D48" s="223" t="s">
        <v>309</v>
      </c>
      <c r="E48" s="299">
        <v>0</v>
      </c>
      <c r="F48" s="347">
        <v>0</v>
      </c>
      <c r="G48" s="203">
        <f t="shared" si="4"/>
        <v>0</v>
      </c>
      <c r="H48" s="336" t="str">
        <f t="shared" si="5"/>
        <v>-</v>
      </c>
      <c r="I48" s="463" t="str">
        <f t="shared" si="6"/>
        <v/>
      </c>
      <c r="J48" s="227"/>
      <c r="O48" s="334"/>
    </row>
    <row r="49" spans="2:15" s="16" customFormat="1">
      <c r="B49" s="179"/>
      <c r="D49" s="223" t="s">
        <v>310</v>
      </c>
      <c r="E49" s="299">
        <v>0</v>
      </c>
      <c r="F49" s="347">
        <v>0</v>
      </c>
      <c r="G49" s="203">
        <f t="shared" si="4"/>
        <v>0</v>
      </c>
      <c r="H49" s="336" t="str">
        <f t="shared" si="5"/>
        <v>-</v>
      </c>
      <c r="I49" s="463" t="str">
        <f t="shared" si="6"/>
        <v/>
      </c>
      <c r="J49" s="227"/>
      <c r="O49" s="334"/>
    </row>
    <row r="50" spans="2:15" s="16" customFormat="1">
      <c r="B50" s="179"/>
      <c r="D50" s="223" t="s">
        <v>311</v>
      </c>
      <c r="E50" s="299">
        <v>0</v>
      </c>
      <c r="F50" s="347">
        <v>0</v>
      </c>
      <c r="G50" s="203">
        <f t="shared" si="4"/>
        <v>0</v>
      </c>
      <c r="H50" s="336" t="str">
        <f t="shared" si="5"/>
        <v>-</v>
      </c>
      <c r="I50" s="463" t="str">
        <f t="shared" si="6"/>
        <v/>
      </c>
      <c r="J50" s="227"/>
    </row>
    <row r="51" spans="2:15" s="16" customFormat="1">
      <c r="B51" s="179"/>
      <c r="D51" s="223" t="s">
        <v>312</v>
      </c>
      <c r="E51" s="299">
        <v>0</v>
      </c>
      <c r="F51" s="347">
        <v>0</v>
      </c>
      <c r="G51" s="203">
        <f t="shared" si="4"/>
        <v>0</v>
      </c>
      <c r="H51" s="336" t="str">
        <f t="shared" si="5"/>
        <v>-</v>
      </c>
      <c r="I51" s="463" t="str">
        <f t="shared" si="6"/>
        <v/>
      </c>
      <c r="J51" s="227"/>
    </row>
    <row r="52" spans="2:15" s="16" customFormat="1">
      <c r="B52" s="179"/>
      <c r="D52" s="223" t="s">
        <v>313</v>
      </c>
      <c r="E52" s="299">
        <v>0</v>
      </c>
      <c r="F52" s="347">
        <v>0</v>
      </c>
      <c r="G52" s="203">
        <f t="shared" si="4"/>
        <v>0</v>
      </c>
      <c r="H52" s="336" t="str">
        <f t="shared" si="5"/>
        <v>-</v>
      </c>
      <c r="I52" s="463" t="str">
        <f t="shared" si="6"/>
        <v/>
      </c>
      <c r="J52" s="227"/>
    </row>
    <row r="53" spans="2:15" s="16" customFormat="1">
      <c r="B53" s="179"/>
      <c r="D53" s="223" t="s">
        <v>314</v>
      </c>
      <c r="E53" s="299">
        <v>0</v>
      </c>
      <c r="F53" s="347">
        <v>0</v>
      </c>
      <c r="G53" s="203">
        <f t="shared" si="4"/>
        <v>0</v>
      </c>
      <c r="H53" s="336" t="str">
        <f t="shared" si="5"/>
        <v>-</v>
      </c>
      <c r="I53" s="463" t="str">
        <f t="shared" si="6"/>
        <v/>
      </c>
      <c r="J53" s="227"/>
    </row>
    <row r="54" spans="2:15" s="16" customFormat="1">
      <c r="B54" s="179"/>
      <c r="D54" s="223" t="s">
        <v>315</v>
      </c>
      <c r="E54" s="299">
        <v>0</v>
      </c>
      <c r="F54" s="347">
        <v>0</v>
      </c>
      <c r="G54" s="203">
        <f t="shared" si="4"/>
        <v>0</v>
      </c>
      <c r="H54" s="336" t="str">
        <f t="shared" si="5"/>
        <v>-</v>
      </c>
      <c r="I54" s="463" t="str">
        <f t="shared" si="6"/>
        <v/>
      </c>
      <c r="J54" s="227"/>
    </row>
    <row r="55" spans="2:15" s="16" customFormat="1">
      <c r="B55" s="179"/>
      <c r="D55" s="223" t="s">
        <v>316</v>
      </c>
      <c r="E55" s="299">
        <v>0</v>
      </c>
      <c r="F55" s="347">
        <v>0</v>
      </c>
      <c r="G55" s="203">
        <f t="shared" si="4"/>
        <v>0</v>
      </c>
      <c r="H55" s="336" t="str">
        <f t="shared" si="5"/>
        <v>-</v>
      </c>
      <c r="I55" s="463" t="str">
        <f t="shared" si="6"/>
        <v/>
      </c>
      <c r="J55" s="227"/>
    </row>
    <row r="56" spans="2:15" s="16" customFormat="1">
      <c r="B56" s="179"/>
      <c r="D56" s="223" t="s">
        <v>317</v>
      </c>
      <c r="E56" s="299">
        <v>0</v>
      </c>
      <c r="F56" s="347">
        <v>0</v>
      </c>
      <c r="G56" s="203">
        <f t="shared" si="4"/>
        <v>0</v>
      </c>
      <c r="H56" s="336" t="str">
        <f t="shared" si="5"/>
        <v>-</v>
      </c>
      <c r="I56" s="463" t="str">
        <f t="shared" si="6"/>
        <v/>
      </c>
      <c r="J56" s="227"/>
    </row>
    <row r="57" spans="2:15" s="16" customFormat="1">
      <c r="B57" s="179"/>
      <c r="D57" s="223" t="s">
        <v>318</v>
      </c>
      <c r="E57" s="299">
        <v>0</v>
      </c>
      <c r="F57" s="347">
        <v>0</v>
      </c>
      <c r="G57" s="203">
        <f t="shared" si="4"/>
        <v>0</v>
      </c>
      <c r="H57" s="336" t="str">
        <f t="shared" si="5"/>
        <v>-</v>
      </c>
      <c r="I57" s="463" t="str">
        <f t="shared" si="6"/>
        <v/>
      </c>
      <c r="J57" s="227"/>
    </row>
    <row r="58" spans="2:15" s="16" customFormat="1">
      <c r="B58" s="179"/>
      <c r="D58" s="223" t="s">
        <v>319</v>
      </c>
      <c r="E58" s="299">
        <v>0</v>
      </c>
      <c r="F58" s="347">
        <v>0</v>
      </c>
      <c r="G58" s="203">
        <f t="shared" si="4"/>
        <v>0</v>
      </c>
      <c r="H58" s="336" t="str">
        <f t="shared" si="5"/>
        <v>-</v>
      </c>
      <c r="I58" s="463" t="str">
        <f t="shared" si="6"/>
        <v/>
      </c>
      <c r="J58" s="227"/>
    </row>
    <row r="59" spans="2:15" s="16" customFormat="1">
      <c r="B59" s="179"/>
      <c r="D59" s="223" t="s">
        <v>320</v>
      </c>
      <c r="E59" s="299">
        <v>0</v>
      </c>
      <c r="F59" s="347">
        <v>0</v>
      </c>
      <c r="G59" s="203">
        <f t="shared" si="4"/>
        <v>0</v>
      </c>
      <c r="H59" s="336" t="str">
        <f t="shared" si="5"/>
        <v>-</v>
      </c>
      <c r="I59" s="463" t="str">
        <f t="shared" si="6"/>
        <v/>
      </c>
      <c r="J59" s="227"/>
    </row>
    <row r="60" spans="2:15" s="16" customFormat="1">
      <c r="B60" s="179"/>
      <c r="D60" s="223" t="s">
        <v>321</v>
      </c>
      <c r="E60" s="299">
        <v>0</v>
      </c>
      <c r="F60" s="347">
        <v>0</v>
      </c>
      <c r="G60" s="203">
        <f t="shared" si="4"/>
        <v>0</v>
      </c>
      <c r="H60" s="336" t="str">
        <f t="shared" si="5"/>
        <v>-</v>
      </c>
      <c r="I60" s="463" t="str">
        <f t="shared" si="6"/>
        <v/>
      </c>
      <c r="J60" s="227"/>
    </row>
    <row r="61" spans="2:15" s="16" customFormat="1">
      <c r="B61" s="179"/>
      <c r="D61" s="223" t="s">
        <v>322</v>
      </c>
      <c r="E61" s="299">
        <v>0</v>
      </c>
      <c r="F61" s="347">
        <v>0</v>
      </c>
      <c r="G61" s="203">
        <f t="shared" si="4"/>
        <v>0</v>
      </c>
      <c r="H61" s="336" t="str">
        <f t="shared" si="5"/>
        <v>-</v>
      </c>
      <c r="I61" s="463" t="str">
        <f t="shared" si="6"/>
        <v/>
      </c>
      <c r="J61" s="227"/>
    </row>
    <row r="62" spans="2:15" s="16" customFormat="1">
      <c r="B62" s="179"/>
      <c r="D62" s="223" t="s">
        <v>323</v>
      </c>
      <c r="E62" s="299">
        <v>0</v>
      </c>
      <c r="F62" s="347">
        <v>0</v>
      </c>
      <c r="G62" s="203">
        <f t="shared" si="4"/>
        <v>0</v>
      </c>
      <c r="H62" s="336" t="str">
        <f t="shared" si="5"/>
        <v>-</v>
      </c>
      <c r="I62" s="463" t="str">
        <f t="shared" si="6"/>
        <v/>
      </c>
      <c r="J62" s="227"/>
    </row>
    <row r="63" spans="2:15" s="16" customFormat="1">
      <c r="B63" s="179"/>
      <c r="D63" s="223" t="s">
        <v>324</v>
      </c>
      <c r="E63" s="299">
        <v>0</v>
      </c>
      <c r="F63" s="347">
        <v>0</v>
      </c>
      <c r="G63" s="203">
        <f t="shared" si="4"/>
        <v>0</v>
      </c>
      <c r="H63" s="336" t="str">
        <f t="shared" si="5"/>
        <v>-</v>
      </c>
      <c r="I63" s="463" t="str">
        <f t="shared" si="6"/>
        <v/>
      </c>
      <c r="J63" s="227"/>
    </row>
    <row r="64" spans="2:15" s="16" customFormat="1">
      <c r="B64" s="179"/>
      <c r="D64" s="223" t="s">
        <v>325</v>
      </c>
      <c r="E64" s="299">
        <v>0</v>
      </c>
      <c r="F64" s="347">
        <v>0</v>
      </c>
      <c r="G64" s="203">
        <f t="shared" si="4"/>
        <v>0</v>
      </c>
      <c r="H64" s="336" t="str">
        <f t="shared" si="5"/>
        <v>-</v>
      </c>
      <c r="I64" s="463" t="str">
        <f t="shared" si="6"/>
        <v/>
      </c>
      <c r="J64" s="227"/>
    </row>
    <row r="65" spans="2:10" s="16" customFormat="1">
      <c r="B65" s="179"/>
      <c r="D65" s="223" t="s">
        <v>326</v>
      </c>
      <c r="E65" s="299">
        <v>0</v>
      </c>
      <c r="F65" s="347">
        <v>0</v>
      </c>
      <c r="G65" s="203">
        <f t="shared" si="4"/>
        <v>0</v>
      </c>
      <c r="H65" s="336" t="str">
        <f t="shared" si="5"/>
        <v>-</v>
      </c>
      <c r="I65" s="463" t="str">
        <f t="shared" si="6"/>
        <v/>
      </c>
      <c r="J65" s="227"/>
    </row>
    <row r="66" spans="2:10" s="16" customFormat="1">
      <c r="B66" s="179"/>
      <c r="D66" s="223" t="s">
        <v>327</v>
      </c>
      <c r="E66" s="299">
        <v>0</v>
      </c>
      <c r="F66" s="347">
        <v>0</v>
      </c>
      <c r="G66" s="203">
        <f t="shared" si="4"/>
        <v>0</v>
      </c>
      <c r="H66" s="336" t="str">
        <f t="shared" si="5"/>
        <v>-</v>
      </c>
      <c r="I66" s="463" t="str">
        <f t="shared" si="6"/>
        <v/>
      </c>
      <c r="J66" s="227"/>
    </row>
    <row r="67" spans="2:10" s="16" customFormat="1">
      <c r="B67" s="179"/>
      <c r="D67" s="223" t="s">
        <v>328</v>
      </c>
      <c r="E67" s="299">
        <v>0</v>
      </c>
      <c r="F67" s="347">
        <v>0</v>
      </c>
      <c r="G67" s="203">
        <f t="shared" si="4"/>
        <v>0</v>
      </c>
      <c r="H67" s="336" t="str">
        <f t="shared" si="5"/>
        <v>-</v>
      </c>
      <c r="I67" s="463" t="str">
        <f t="shared" si="6"/>
        <v/>
      </c>
      <c r="J67" s="227"/>
    </row>
    <row r="68" spans="2:10" s="16" customFormat="1">
      <c r="B68" s="179"/>
      <c r="D68" s="223" t="s">
        <v>329</v>
      </c>
      <c r="E68" s="299">
        <v>0</v>
      </c>
      <c r="F68" s="347">
        <v>0</v>
      </c>
      <c r="G68" s="203">
        <f t="shared" si="4"/>
        <v>0</v>
      </c>
      <c r="H68" s="336" t="str">
        <f t="shared" si="5"/>
        <v>-</v>
      </c>
      <c r="I68" s="463" t="str">
        <f t="shared" si="6"/>
        <v/>
      </c>
      <c r="J68" s="227"/>
    </row>
    <row r="69" spans="2:10" s="16" customFormat="1" ht="13.8" thickBot="1">
      <c r="B69" s="179"/>
      <c r="D69" s="223" t="s">
        <v>330</v>
      </c>
      <c r="E69" s="229">
        <f>SUM(E29:E68)</f>
        <v>0</v>
      </c>
      <c r="F69" s="230">
        <f>SUM(F29:F68)</f>
        <v>0</v>
      </c>
      <c r="G69" s="231">
        <f t="shared" si="4"/>
        <v>0</v>
      </c>
      <c r="H69" s="343" t="str">
        <f t="shared" si="5"/>
        <v>-</v>
      </c>
      <c r="I69" s="463"/>
      <c r="J69" s="227"/>
    </row>
    <row r="70" spans="2:10" s="16" customFormat="1">
      <c r="B70" s="174"/>
      <c r="C70" s="232">
        <v>2</v>
      </c>
      <c r="D70" s="233" t="s">
        <v>331</v>
      </c>
      <c r="E70" s="234"/>
      <c r="F70" s="235"/>
      <c r="G70" s="236"/>
      <c r="H70" s="336"/>
      <c r="I70" s="463"/>
      <c r="J70" s="227"/>
    </row>
    <row r="71" spans="2:10" s="16" customFormat="1">
      <c r="B71" s="179"/>
      <c r="C71" s="15"/>
      <c r="D71" s="237" t="s">
        <v>332</v>
      </c>
      <c r="E71" s="299">
        <v>0</v>
      </c>
      <c r="F71" s="347">
        <v>0</v>
      </c>
      <c r="G71" s="203">
        <f t="shared" si="4"/>
        <v>0</v>
      </c>
      <c r="H71" s="336" t="str">
        <f t="shared" si="5"/>
        <v>-</v>
      </c>
      <c r="I71" s="463" t="str">
        <f>IF(AND(OR((H71)&gt;5,(H71)&lt;-5),OR((G71)&gt;750,(G71)&lt;-750))," QUERY - " &amp; (D71) &amp; " 2002/03 2001/02 difference of " &amp; (G71) &amp; "k. Genuine?","")</f>
        <v/>
      </c>
      <c r="J71" s="227"/>
    </row>
    <row r="72" spans="2:10" s="16" customFormat="1">
      <c r="B72" s="179"/>
      <c r="D72" s="223" t="s">
        <v>333</v>
      </c>
      <c r="E72" s="299">
        <v>0</v>
      </c>
      <c r="F72" s="347">
        <v>0</v>
      </c>
      <c r="G72" s="203">
        <f t="shared" si="4"/>
        <v>0</v>
      </c>
      <c r="H72" s="336" t="str">
        <f t="shared" si="5"/>
        <v>-</v>
      </c>
      <c r="I72" s="463" t="str">
        <f>IF(AND(OR((H72)&gt;5,(H72)&lt;-5),OR((G72)&gt;750,(G72)&lt;-750))," QUERY - " &amp; (D72) &amp; " 2002/03 2001/02 difference of " &amp; (G72) &amp; "k. Genuine?","")</f>
        <v/>
      </c>
      <c r="J72" s="227"/>
    </row>
    <row r="73" spans="2:10" s="16" customFormat="1">
      <c r="B73" s="179"/>
      <c r="D73" s="223" t="s">
        <v>334</v>
      </c>
      <c r="E73" s="299">
        <v>0</v>
      </c>
      <c r="F73" s="347">
        <v>0</v>
      </c>
      <c r="G73" s="203">
        <f t="shared" si="4"/>
        <v>0</v>
      </c>
      <c r="H73" s="336" t="str">
        <f t="shared" si="5"/>
        <v>-</v>
      </c>
      <c r="I73" s="463" t="str">
        <f>IF(AND(OR((H73)&gt;5,(H73)&lt;-5),OR((G73)&gt;750,(G73)&lt;-750))," QUERY - " &amp; (D73) &amp; " 2002/03 2001/02 difference of " &amp; (G73) &amp; "k. Genuine?","")</f>
        <v/>
      </c>
      <c r="J73" s="227"/>
    </row>
    <row r="74" spans="2:10" s="16" customFormat="1" ht="13.8" thickBot="1">
      <c r="B74" s="179"/>
      <c r="D74" s="223" t="s">
        <v>335</v>
      </c>
      <c r="E74" s="229">
        <f>SUM(E71:E73)</f>
        <v>0</v>
      </c>
      <c r="F74" s="230">
        <f>SUM(F71:F73)</f>
        <v>0</v>
      </c>
      <c r="G74" s="231">
        <f t="shared" si="4"/>
        <v>0</v>
      </c>
      <c r="H74" s="343" t="str">
        <f t="shared" si="5"/>
        <v>-</v>
      </c>
      <c r="I74" s="463"/>
      <c r="J74" s="227"/>
    </row>
    <row r="75" spans="2:10" s="16" customFormat="1">
      <c r="B75" s="174"/>
      <c r="C75" s="232">
        <v>3</v>
      </c>
      <c r="D75" s="233" t="s">
        <v>336</v>
      </c>
      <c r="E75" s="234"/>
      <c r="F75" s="235"/>
      <c r="G75" s="236"/>
      <c r="H75" s="336"/>
      <c r="I75" s="463"/>
      <c r="J75" s="227"/>
    </row>
    <row r="76" spans="2:10" s="16" customFormat="1">
      <c r="B76" s="179"/>
      <c r="D76" s="223" t="s">
        <v>337</v>
      </c>
      <c r="E76" s="299">
        <v>0</v>
      </c>
      <c r="F76" s="347">
        <v>0</v>
      </c>
      <c r="G76" s="203">
        <f t="shared" si="4"/>
        <v>0</v>
      </c>
      <c r="H76" s="336" t="str">
        <f t="shared" si="5"/>
        <v>-</v>
      </c>
      <c r="I76" s="463" t="str">
        <f>IF(AND(OR((H76)&gt;5,(H76)&lt;-5),OR((G76)&gt;750,(G76)&lt;-750))," QUERY - " &amp; (D76) &amp; " 2002/03 2001/02 difference of " &amp; (G76) &amp; "k. Genuine?","")</f>
        <v/>
      </c>
      <c r="J76" s="227"/>
    </row>
    <row r="77" spans="2:10" s="16" customFormat="1">
      <c r="B77" s="179"/>
      <c r="D77" s="223" t="s">
        <v>338</v>
      </c>
      <c r="E77" s="299">
        <v>0</v>
      </c>
      <c r="F77" s="347">
        <v>0</v>
      </c>
      <c r="G77" s="203">
        <f t="shared" si="4"/>
        <v>0</v>
      </c>
      <c r="H77" s="336" t="str">
        <f t="shared" si="5"/>
        <v>-</v>
      </c>
      <c r="I77" s="463" t="str">
        <f>IF(AND(OR((H77)&gt;5,(H77)&lt;-5),OR((G77)&gt;750,(G77)&lt;-750))," QUERY - " &amp; (D77) &amp; " 2002/03 2001/02 difference of " &amp; (G77) &amp; "k. Genuine?","")</f>
        <v/>
      </c>
      <c r="J77" s="227"/>
    </row>
    <row r="78" spans="2:10" s="16" customFormat="1">
      <c r="B78" s="179"/>
      <c r="D78" s="223" t="s">
        <v>339</v>
      </c>
      <c r="E78" s="299">
        <v>0</v>
      </c>
      <c r="F78" s="347">
        <v>0</v>
      </c>
      <c r="G78" s="203">
        <f t="shared" si="4"/>
        <v>0</v>
      </c>
      <c r="H78" s="336" t="str">
        <f t="shared" si="5"/>
        <v>-</v>
      </c>
      <c r="I78" s="463" t="str">
        <f>IF(AND(OR((H78)&gt;5,(H78)&lt;-5),OR((G78)&gt;750,(G78)&lt;-750))," QUERY - " &amp; (D78) &amp; " 2002/03 2001/02 difference of " &amp; (G78) &amp; "k. Genuine?","")</f>
        <v/>
      </c>
      <c r="J78" s="227"/>
    </row>
    <row r="79" spans="2:10" s="16" customFormat="1" ht="13.8" thickBot="1">
      <c r="B79" s="179"/>
      <c r="D79" s="223" t="s">
        <v>340</v>
      </c>
      <c r="E79" s="229">
        <f>SUM(E76:E78)</f>
        <v>0</v>
      </c>
      <c r="F79" s="230">
        <f>SUM(F76:F78)</f>
        <v>0</v>
      </c>
      <c r="G79" s="231">
        <f t="shared" si="4"/>
        <v>0</v>
      </c>
      <c r="H79" s="343" t="str">
        <f t="shared" si="5"/>
        <v>-</v>
      </c>
      <c r="I79" s="463"/>
      <c r="J79" s="227"/>
    </row>
    <row r="80" spans="2:10" s="16" customFormat="1" ht="13.8" thickBot="1">
      <c r="B80" s="90"/>
      <c r="C80" s="238">
        <v>4</v>
      </c>
      <c r="D80" s="239" t="s">
        <v>341</v>
      </c>
      <c r="E80" s="240">
        <f>SUM(E69,E74,E79)</f>
        <v>0</v>
      </c>
      <c r="F80" s="241">
        <f>SUM(F79,F74,F69)</f>
        <v>0</v>
      </c>
      <c r="G80" s="242">
        <f t="shared" si="4"/>
        <v>0</v>
      </c>
      <c r="H80" s="343" t="str">
        <f t="shared" si="5"/>
        <v>-</v>
      </c>
      <c r="I80" s="228"/>
      <c r="J80" s="227"/>
    </row>
    <row r="81" spans="1:22" s="16" customFormat="1" ht="9" customHeight="1">
      <c r="C81" s="210"/>
      <c r="E81" s="334"/>
      <c r="F81" s="211"/>
      <c r="H81" s="212"/>
      <c r="I81" s="101"/>
      <c r="J81" s="335"/>
      <c r="K81" s="334"/>
      <c r="P81" s="335"/>
    </row>
    <row r="82" spans="1:22" s="16" customFormat="1" ht="9" customHeight="1">
      <c r="C82" s="210"/>
      <c r="E82" s="334"/>
      <c r="J82" s="227"/>
      <c r="K82" s="334"/>
      <c r="P82" s="227"/>
    </row>
    <row r="83" spans="1:22" s="16" customFormat="1" ht="27" customHeight="1" thickBot="1">
      <c r="B83" s="470" t="s">
        <v>473</v>
      </c>
      <c r="G83" s="223"/>
      <c r="I83" s="471" t="s">
        <v>476</v>
      </c>
      <c r="L83" s="103"/>
      <c r="M83" s="222"/>
    </row>
    <row r="84" spans="1:22" s="16" customFormat="1">
      <c r="B84" s="174"/>
      <c r="C84" s="243" t="s">
        <v>342</v>
      </c>
      <c r="D84" s="21"/>
      <c r="E84" s="182" t="s">
        <v>449</v>
      </c>
      <c r="F84" s="244" t="s">
        <v>450</v>
      </c>
      <c r="G84" s="182" t="s">
        <v>272</v>
      </c>
      <c r="H84" s="216" t="s">
        <v>436</v>
      </c>
      <c r="I84" s="182" t="s">
        <v>449</v>
      </c>
      <c r="J84" s="244" t="s">
        <v>450</v>
      </c>
      <c r="K84" s="182" t="s">
        <v>272</v>
      </c>
      <c r="L84" s="216" t="s">
        <v>436</v>
      </c>
      <c r="M84" s="182" t="s">
        <v>449</v>
      </c>
      <c r="N84" s="244" t="s">
        <v>450</v>
      </c>
      <c r="O84" s="182" t="s">
        <v>272</v>
      </c>
      <c r="P84" s="216" t="s">
        <v>436</v>
      </c>
      <c r="Q84" s="182" t="s">
        <v>449</v>
      </c>
      <c r="R84" s="244" t="s">
        <v>450</v>
      </c>
      <c r="S84" s="182" t="s">
        <v>272</v>
      </c>
      <c r="T84" s="216" t="s">
        <v>436</v>
      </c>
      <c r="U84" s="101"/>
    </row>
    <row r="85" spans="1:22" s="16" customFormat="1">
      <c r="B85" s="179"/>
      <c r="D85" s="245" t="s">
        <v>343</v>
      </c>
      <c r="E85" s="246" t="s">
        <v>184</v>
      </c>
      <c r="F85" s="247" t="s">
        <v>184</v>
      </c>
      <c r="G85" s="188" t="s">
        <v>268</v>
      </c>
      <c r="H85" s="219"/>
      <c r="I85" s="246" t="s">
        <v>269</v>
      </c>
      <c r="J85" s="247" t="s">
        <v>269</v>
      </c>
      <c r="K85" s="188" t="s">
        <v>268</v>
      </c>
      <c r="L85" s="219"/>
      <c r="M85" s="246" t="s">
        <v>155</v>
      </c>
      <c r="N85" s="247" t="s">
        <v>155</v>
      </c>
      <c r="O85" s="188" t="s">
        <v>268</v>
      </c>
      <c r="P85" s="219"/>
      <c r="Q85" s="246" t="s">
        <v>185</v>
      </c>
      <c r="R85" s="247" t="s">
        <v>185</v>
      </c>
      <c r="S85" s="188" t="s">
        <v>268</v>
      </c>
      <c r="T85" s="219"/>
      <c r="U85" s="334"/>
    </row>
    <row r="86" spans="1:22" s="16" customFormat="1">
      <c r="B86" s="179"/>
      <c r="C86" s="210"/>
      <c r="E86" s="246" t="s">
        <v>186</v>
      </c>
      <c r="F86" s="247" t="s">
        <v>186</v>
      </c>
      <c r="G86" s="188"/>
      <c r="H86" s="173"/>
      <c r="I86" s="246" t="s">
        <v>187</v>
      </c>
      <c r="J86" s="247" t="s">
        <v>187</v>
      </c>
      <c r="K86" s="188"/>
      <c r="L86" s="173"/>
      <c r="M86" s="248"/>
      <c r="N86" s="173"/>
      <c r="O86" s="188"/>
      <c r="P86" s="173"/>
      <c r="Q86" s="248"/>
      <c r="R86" s="173"/>
      <c r="S86" s="188"/>
      <c r="T86" s="173"/>
      <c r="U86" s="334"/>
    </row>
    <row r="87" spans="1:22" s="16" customFormat="1" ht="13.8" thickBot="1">
      <c r="A87" s="173"/>
      <c r="B87" s="23"/>
      <c r="C87" s="192"/>
      <c r="D87" s="25"/>
      <c r="E87" s="249" t="s">
        <v>16</v>
      </c>
      <c r="F87" s="250" t="s">
        <v>16</v>
      </c>
      <c r="G87" s="194" t="s">
        <v>16</v>
      </c>
      <c r="H87" s="196"/>
      <c r="I87" s="249" t="s">
        <v>16</v>
      </c>
      <c r="J87" s="250" t="s">
        <v>16</v>
      </c>
      <c r="K87" s="194" t="s">
        <v>16</v>
      </c>
      <c r="L87" s="196"/>
      <c r="M87" s="249" t="s">
        <v>16</v>
      </c>
      <c r="N87" s="250" t="s">
        <v>16</v>
      </c>
      <c r="O87" s="194" t="s">
        <v>16</v>
      </c>
      <c r="P87" s="196"/>
      <c r="Q87" s="249" t="s">
        <v>16</v>
      </c>
      <c r="R87" s="250" t="s">
        <v>16</v>
      </c>
      <c r="S87" s="194" t="s">
        <v>16</v>
      </c>
      <c r="T87" s="196"/>
      <c r="U87" s="335"/>
    </row>
    <row r="88" spans="1:22" s="16" customFormat="1">
      <c r="B88" s="179"/>
      <c r="C88" s="222">
        <v>1</v>
      </c>
      <c r="D88" s="223" t="s">
        <v>189</v>
      </c>
      <c r="E88" s="188"/>
      <c r="F88" s="109"/>
      <c r="G88" s="188"/>
      <c r="H88" s="173"/>
      <c r="I88" s="188"/>
      <c r="J88" s="109"/>
      <c r="K88" s="188"/>
      <c r="L88" s="173"/>
      <c r="M88" s="188"/>
      <c r="N88" s="109"/>
      <c r="O88" s="188"/>
      <c r="P88" s="173"/>
      <c r="Q88" s="188"/>
      <c r="R88" s="109"/>
      <c r="S88" s="188"/>
      <c r="T88" s="173"/>
      <c r="U88" s="335"/>
    </row>
    <row r="89" spans="1:22" s="16" customFormat="1">
      <c r="B89" s="179"/>
      <c r="D89" s="223" t="s">
        <v>193</v>
      </c>
      <c r="E89" s="188"/>
      <c r="F89" s="109"/>
      <c r="G89" s="188"/>
      <c r="H89" s="173"/>
      <c r="I89" s="188"/>
      <c r="J89" s="109"/>
      <c r="K89" s="188"/>
      <c r="L89" s="173"/>
      <c r="M89" s="188"/>
      <c r="N89" s="109"/>
      <c r="O89" s="188"/>
      <c r="P89" s="173"/>
      <c r="Q89" s="188"/>
      <c r="R89" s="109"/>
      <c r="S89" s="188"/>
      <c r="T89" s="173"/>
      <c r="U89" s="227"/>
    </row>
    <row r="90" spans="1:22" s="16" customFormat="1">
      <c r="B90" s="179"/>
      <c r="D90" s="223" t="s">
        <v>197</v>
      </c>
      <c r="E90" s="516">
        <v>0</v>
      </c>
      <c r="F90" s="251">
        <v>0</v>
      </c>
      <c r="G90" s="252">
        <f>E90-F90</f>
        <v>0</v>
      </c>
      <c r="H90" s="336" t="str">
        <f t="shared" ref="H90:H96" si="7">IF(AND(OR(E90=0,F90&lt;&gt;0),OR(F90=0,E90&lt;&gt;0)),IF((E90+F90+G90&lt;&gt;0),IF(AND(OR(E90&gt;0,F90&lt;0),OR(F90&gt;0,E90&lt;0)),ABS(G90/MIN(ABS(F90),ABS(E90))),10),"-"),10)</f>
        <v>-</v>
      </c>
      <c r="I90" s="305">
        <v>0</v>
      </c>
      <c r="J90" s="251">
        <v>0</v>
      </c>
      <c r="K90" s="252">
        <f t="shared" ref="K90:K96" si="8">I90-J90</f>
        <v>0</v>
      </c>
      <c r="L90" s="336" t="str">
        <f t="shared" ref="L90:L96" si="9">IF(AND(OR(I90=0,J90&lt;&gt;0),OR(J90=0,I90&lt;&gt;0)),IF((I90+J90+K90&lt;&gt;0),IF(AND(OR(I90&gt;0,J90&lt;0),OR(J90&gt;0,I90&lt;0)),ABS(K90/MIN(ABS(J90),ABS(I90))),10),"-"),10)</f>
        <v>-</v>
      </c>
      <c r="M90" s="305">
        <v>0</v>
      </c>
      <c r="N90" s="251">
        <v>0</v>
      </c>
      <c r="O90" s="252">
        <f>M90-N90</f>
        <v>0</v>
      </c>
      <c r="P90" s="336" t="str">
        <f t="shared" ref="P90:P96" si="10">IF(AND(OR(M90=0,N90&lt;&gt;0),OR(N90=0,M90&lt;&gt;0)),IF((M90+N90+O90&lt;&gt;0),IF(AND(OR(M90&gt;0,N90&lt;0),OR(N90&gt;0,M90&lt;0)),ABS(O90/MIN(ABS(N90),ABS(M90))),10),"-"),10)</f>
        <v>-</v>
      </c>
      <c r="Q90" s="253">
        <f t="shared" ref="Q90:R95" si="11">SUM(E90,I90,M90)</f>
        <v>0</v>
      </c>
      <c r="R90" s="254">
        <f t="shared" si="11"/>
        <v>0</v>
      </c>
      <c r="S90" s="252">
        <f>Q90-R90</f>
        <v>0</v>
      </c>
      <c r="T90" s="336" t="str">
        <f t="shared" ref="T90:T102" si="12">IF(AND(OR(Q90=0,R90&lt;&gt;0),OR(R90=0,Q90&lt;&gt;0)),IF((Q90+R90+S90&lt;&gt;0),IF(AND(OR(Q90&gt;0,R90&lt;0),OR(R90&gt;0,Q90&lt;0)),ABS(S90/MIN(ABS(R90),ABS(Q90))),10),"-"),10)</f>
        <v>-</v>
      </c>
      <c r="U90" s="468" t="str">
        <f t="shared" ref="U90:U95" si="13">IF(OR(OR(AND(OR((H90)&gt;5,(H90)&lt;-5),OR((G90)&gt;750,(G90)&lt;-750)),(AND(OR((L90)&gt;5,(L90)&lt;-5),OR((K90)&gt;750,(K90)&lt;-750))),(AND(OR((P90)&gt;5,(P90)&lt;-5),OR((O90)&gt;750,(O90)&lt;-750))))),"QUERY","")</f>
        <v/>
      </c>
      <c r="V90" s="468" t="str">
        <f t="shared" ref="V90:V95" si="14">IF(OR(OR(AND(OR((H90)&gt;5,(H90)&lt;-5),OR((G90)&gt;750,(G90)&lt;-750)),(AND(OR((L90)&gt;5,(L90)&lt;-5),OR((K90)&gt;750,(K90)&lt;-750))),(AND(OR((P90)&gt;5,(P90)&lt;-5),OR((O90)&gt;750,(O90)&lt;-750))))),"QUERY -"&amp;(D90)&amp;" 2002/03 2001/02 diff. in 'SLC/LEA/SAAS/DEL' / 'NHS/RONE/SHHD' / 'Other' values. Genuine?","")</f>
        <v/>
      </c>
    </row>
    <row r="91" spans="1:22" s="16" customFormat="1">
      <c r="B91" s="179"/>
      <c r="D91" s="223" t="s">
        <v>200</v>
      </c>
      <c r="E91" s="516">
        <v>0</v>
      </c>
      <c r="F91" s="251">
        <v>0</v>
      </c>
      <c r="G91" s="252">
        <f t="shared" ref="G91:G96" si="15">E91-F91</f>
        <v>0</v>
      </c>
      <c r="H91" s="336" t="str">
        <f t="shared" si="7"/>
        <v>-</v>
      </c>
      <c r="I91" s="305">
        <v>0</v>
      </c>
      <c r="J91" s="251">
        <v>0</v>
      </c>
      <c r="K91" s="252">
        <f t="shared" si="8"/>
        <v>0</v>
      </c>
      <c r="L91" s="336" t="str">
        <f t="shared" si="9"/>
        <v>-</v>
      </c>
      <c r="M91" s="305">
        <v>0</v>
      </c>
      <c r="N91" s="251">
        <v>0</v>
      </c>
      <c r="O91" s="252">
        <f t="shared" ref="O91:O96" si="16">M91-N91</f>
        <v>0</v>
      </c>
      <c r="P91" s="336" t="str">
        <f t="shared" si="10"/>
        <v>-</v>
      </c>
      <c r="Q91" s="253">
        <f t="shared" si="11"/>
        <v>0</v>
      </c>
      <c r="R91" s="254">
        <f t="shared" si="11"/>
        <v>0</v>
      </c>
      <c r="S91" s="252">
        <f t="shared" ref="S91:S102" si="17">Q91-R91</f>
        <v>0</v>
      </c>
      <c r="T91" s="336" t="str">
        <f t="shared" si="12"/>
        <v>-</v>
      </c>
      <c r="U91" s="468" t="str">
        <f t="shared" si="13"/>
        <v/>
      </c>
      <c r="V91" s="468" t="str">
        <f t="shared" si="14"/>
        <v/>
      </c>
    </row>
    <row r="92" spans="1:22" s="16" customFormat="1">
      <c r="B92" s="179"/>
      <c r="D92" s="223" t="s">
        <v>203</v>
      </c>
      <c r="E92" s="516">
        <v>0</v>
      </c>
      <c r="F92" s="251">
        <v>0</v>
      </c>
      <c r="G92" s="252">
        <f t="shared" si="15"/>
        <v>0</v>
      </c>
      <c r="H92" s="336" t="str">
        <f t="shared" si="7"/>
        <v>-</v>
      </c>
      <c r="I92" s="305">
        <v>0</v>
      </c>
      <c r="J92" s="251">
        <v>0</v>
      </c>
      <c r="K92" s="252">
        <f t="shared" si="8"/>
        <v>0</v>
      </c>
      <c r="L92" s="336" t="str">
        <f t="shared" si="9"/>
        <v>-</v>
      </c>
      <c r="M92" s="305">
        <v>0</v>
      </c>
      <c r="N92" s="251">
        <v>0</v>
      </c>
      <c r="O92" s="252">
        <f t="shared" si="16"/>
        <v>0</v>
      </c>
      <c r="P92" s="336" t="str">
        <f t="shared" si="10"/>
        <v>-</v>
      </c>
      <c r="Q92" s="253">
        <f t="shared" si="11"/>
        <v>0</v>
      </c>
      <c r="R92" s="254">
        <f t="shared" si="11"/>
        <v>0</v>
      </c>
      <c r="S92" s="252">
        <f t="shared" si="17"/>
        <v>0</v>
      </c>
      <c r="T92" s="336" t="str">
        <f t="shared" si="12"/>
        <v>-</v>
      </c>
      <c r="U92" s="468" t="str">
        <f t="shared" si="13"/>
        <v/>
      </c>
      <c r="V92" s="468" t="str">
        <f t="shared" si="14"/>
        <v/>
      </c>
    </row>
    <row r="93" spans="1:22" s="16" customFormat="1">
      <c r="B93" s="179"/>
      <c r="D93" s="223" t="s">
        <v>206</v>
      </c>
      <c r="E93" s="516">
        <v>0</v>
      </c>
      <c r="F93" s="251">
        <v>0</v>
      </c>
      <c r="G93" s="252">
        <f t="shared" si="15"/>
        <v>0</v>
      </c>
      <c r="H93" s="336" t="str">
        <f t="shared" si="7"/>
        <v>-</v>
      </c>
      <c r="I93" s="305">
        <v>0</v>
      </c>
      <c r="J93" s="251">
        <v>0</v>
      </c>
      <c r="K93" s="252">
        <f t="shared" si="8"/>
        <v>0</v>
      </c>
      <c r="L93" s="336" t="str">
        <f t="shared" si="9"/>
        <v>-</v>
      </c>
      <c r="M93" s="305">
        <v>0</v>
      </c>
      <c r="N93" s="251">
        <v>0</v>
      </c>
      <c r="O93" s="252">
        <f t="shared" si="16"/>
        <v>0</v>
      </c>
      <c r="P93" s="336" t="str">
        <f t="shared" si="10"/>
        <v>-</v>
      </c>
      <c r="Q93" s="253">
        <f>SUM(E93,I93,M93)</f>
        <v>0</v>
      </c>
      <c r="R93" s="254">
        <f t="shared" si="11"/>
        <v>0</v>
      </c>
      <c r="S93" s="252">
        <f t="shared" si="17"/>
        <v>0</v>
      </c>
      <c r="T93" s="336" t="str">
        <f t="shared" si="12"/>
        <v>-</v>
      </c>
      <c r="U93" s="468" t="str">
        <f t="shared" si="13"/>
        <v/>
      </c>
      <c r="V93" s="468" t="str">
        <f t="shared" si="14"/>
        <v/>
      </c>
    </row>
    <row r="94" spans="1:22" s="16" customFormat="1">
      <c r="B94" s="179"/>
      <c r="D94" s="223" t="s">
        <v>209</v>
      </c>
      <c r="E94" s="516">
        <v>0</v>
      </c>
      <c r="F94" s="251">
        <v>0</v>
      </c>
      <c r="G94" s="252">
        <f t="shared" si="15"/>
        <v>0</v>
      </c>
      <c r="H94" s="336" t="str">
        <f t="shared" si="7"/>
        <v>-</v>
      </c>
      <c r="I94" s="305">
        <v>0</v>
      </c>
      <c r="J94" s="251">
        <v>0</v>
      </c>
      <c r="K94" s="252">
        <f t="shared" si="8"/>
        <v>0</v>
      </c>
      <c r="L94" s="336" t="str">
        <f t="shared" si="9"/>
        <v>-</v>
      </c>
      <c r="M94" s="305">
        <v>0</v>
      </c>
      <c r="N94" s="251">
        <v>0</v>
      </c>
      <c r="O94" s="252">
        <f t="shared" si="16"/>
        <v>0</v>
      </c>
      <c r="P94" s="336" t="str">
        <f t="shared" si="10"/>
        <v>-</v>
      </c>
      <c r="Q94" s="253">
        <f>SUM(E94,I94,M94)</f>
        <v>0</v>
      </c>
      <c r="R94" s="254">
        <f t="shared" si="11"/>
        <v>0</v>
      </c>
      <c r="S94" s="252">
        <f t="shared" si="17"/>
        <v>0</v>
      </c>
      <c r="T94" s="336" t="str">
        <f t="shared" si="12"/>
        <v>-</v>
      </c>
      <c r="U94" s="468" t="str">
        <f t="shared" si="13"/>
        <v/>
      </c>
      <c r="V94" s="468" t="str">
        <f t="shared" si="14"/>
        <v/>
      </c>
    </row>
    <row r="95" spans="1:22" s="16" customFormat="1">
      <c r="B95" s="179"/>
      <c r="D95" s="223" t="s">
        <v>212</v>
      </c>
      <c r="E95" s="516">
        <v>0</v>
      </c>
      <c r="F95" s="251">
        <v>0</v>
      </c>
      <c r="G95" s="252">
        <f t="shared" si="15"/>
        <v>0</v>
      </c>
      <c r="H95" s="336" t="str">
        <f t="shared" si="7"/>
        <v>-</v>
      </c>
      <c r="I95" s="305">
        <v>0</v>
      </c>
      <c r="J95" s="251">
        <v>0</v>
      </c>
      <c r="K95" s="252">
        <f t="shared" si="8"/>
        <v>0</v>
      </c>
      <c r="L95" s="336" t="str">
        <f t="shared" si="9"/>
        <v>-</v>
      </c>
      <c r="M95" s="305">
        <v>0</v>
      </c>
      <c r="N95" s="251">
        <v>0</v>
      </c>
      <c r="O95" s="252">
        <f t="shared" si="16"/>
        <v>0</v>
      </c>
      <c r="P95" s="336" t="str">
        <f t="shared" si="10"/>
        <v>-</v>
      </c>
      <c r="Q95" s="253">
        <f t="shared" si="11"/>
        <v>0</v>
      </c>
      <c r="R95" s="254">
        <f t="shared" si="11"/>
        <v>0</v>
      </c>
      <c r="S95" s="252">
        <f t="shared" si="17"/>
        <v>0</v>
      </c>
      <c r="T95" s="336" t="str">
        <f t="shared" si="12"/>
        <v>-</v>
      </c>
      <c r="U95" s="468" t="str">
        <f t="shared" si="13"/>
        <v/>
      </c>
      <c r="V95" s="468" t="str">
        <f t="shared" si="14"/>
        <v/>
      </c>
    </row>
    <row r="96" spans="1:22" s="16" customFormat="1">
      <c r="B96" s="179"/>
      <c r="D96" s="223" t="s">
        <v>215</v>
      </c>
      <c r="E96" s="253">
        <f>SUM(E90:E95)</f>
        <v>0</v>
      </c>
      <c r="F96" s="254">
        <f>SUM(F90:F95)</f>
        <v>0</v>
      </c>
      <c r="G96" s="255">
        <f t="shared" si="15"/>
        <v>0</v>
      </c>
      <c r="H96" s="336" t="str">
        <f t="shared" si="7"/>
        <v>-</v>
      </c>
      <c r="I96" s="253">
        <f>SUM(I90:I95)</f>
        <v>0</v>
      </c>
      <c r="J96" s="254">
        <f>SUM(J90:J95)</f>
        <v>0</v>
      </c>
      <c r="K96" s="255">
        <f t="shared" si="8"/>
        <v>0</v>
      </c>
      <c r="L96" s="336" t="str">
        <f t="shared" si="9"/>
        <v>-</v>
      </c>
      <c r="M96" s="253">
        <f>SUM(M90:M95)</f>
        <v>0</v>
      </c>
      <c r="N96" s="254">
        <f>SUM(N90:N95)</f>
        <v>0</v>
      </c>
      <c r="O96" s="255">
        <f t="shared" si="16"/>
        <v>0</v>
      </c>
      <c r="P96" s="336" t="str">
        <f t="shared" si="10"/>
        <v>-</v>
      </c>
      <c r="Q96" s="253">
        <f>SUM(Q90:Q95)</f>
        <v>0</v>
      </c>
      <c r="R96" s="254">
        <f>SUM(R90:R95)</f>
        <v>0</v>
      </c>
      <c r="S96" s="255">
        <f t="shared" si="17"/>
        <v>0</v>
      </c>
      <c r="T96" s="336" t="str">
        <f t="shared" si="12"/>
        <v>-</v>
      </c>
      <c r="U96" s="103"/>
      <c r="V96" s="468"/>
    </row>
    <row r="97" spans="2:22" s="16" customFormat="1">
      <c r="B97" s="179"/>
      <c r="D97" s="223" t="s">
        <v>344</v>
      </c>
      <c r="E97" s="246" t="s">
        <v>345</v>
      </c>
      <c r="F97" s="247" t="s">
        <v>345</v>
      </c>
      <c r="G97" s="246" t="s">
        <v>345</v>
      </c>
      <c r="H97" s="247" t="s">
        <v>345</v>
      </c>
      <c r="I97" s="246" t="s">
        <v>345</v>
      </c>
      <c r="J97" s="247" t="s">
        <v>345</v>
      </c>
      <c r="K97" s="246" t="s">
        <v>345</v>
      </c>
      <c r="L97" s="247" t="s">
        <v>345</v>
      </c>
      <c r="M97" s="246" t="s">
        <v>345</v>
      </c>
      <c r="N97" s="247" t="s">
        <v>345</v>
      </c>
      <c r="O97" s="246" t="s">
        <v>345</v>
      </c>
      <c r="P97" s="247" t="s">
        <v>345</v>
      </c>
      <c r="Q97" s="348">
        <v>0</v>
      </c>
      <c r="R97" s="349">
        <v>0</v>
      </c>
      <c r="S97" s="252">
        <f t="shared" si="17"/>
        <v>0</v>
      </c>
      <c r="T97" s="336" t="str">
        <f t="shared" si="12"/>
        <v>-</v>
      </c>
      <c r="U97" s="468" t="str">
        <f>IF(AND(OR((T97)&gt;5,(T97)&lt;-5),OR((S97)&gt;750,(S97)&lt;-750)),"QUERY","")</f>
        <v/>
      </c>
      <c r="V97" s="468" t="str">
        <f>IF(AND(OR((T97)&gt;5,(T97)&lt;-5),OR((S97)&gt;750,(S97)&lt;-750)),"QUERY -     " &amp; (D97) &amp; " 2002/03 2001/02 TOTAL difference of " &amp; (S97) &amp;"k. Genuine?","")</f>
        <v/>
      </c>
    </row>
    <row r="98" spans="2:22" s="16" customFormat="1" ht="13.8" thickBot="1">
      <c r="B98" s="179"/>
      <c r="D98" s="223" t="s">
        <v>346</v>
      </c>
      <c r="E98" s="246" t="s">
        <v>345</v>
      </c>
      <c r="F98" s="247" t="s">
        <v>345</v>
      </c>
      <c r="G98" s="246" t="s">
        <v>345</v>
      </c>
      <c r="H98" s="247" t="s">
        <v>345</v>
      </c>
      <c r="I98" s="246" t="s">
        <v>345</v>
      </c>
      <c r="J98" s="247" t="s">
        <v>345</v>
      </c>
      <c r="K98" s="246" t="s">
        <v>345</v>
      </c>
      <c r="L98" s="247" t="s">
        <v>345</v>
      </c>
      <c r="M98" s="246" t="s">
        <v>345</v>
      </c>
      <c r="N98" s="247" t="s">
        <v>345</v>
      </c>
      <c r="O98" s="246" t="s">
        <v>345</v>
      </c>
      <c r="P98" s="247" t="s">
        <v>345</v>
      </c>
      <c r="Q98" s="253">
        <f>Q96+Q97</f>
        <v>0</v>
      </c>
      <c r="R98" s="254">
        <f>R96+R97</f>
        <v>0</v>
      </c>
      <c r="S98" s="255">
        <f t="shared" si="17"/>
        <v>0</v>
      </c>
      <c r="T98" s="336" t="str">
        <f t="shared" si="12"/>
        <v>-</v>
      </c>
      <c r="U98" s="103"/>
      <c r="V98" s="468"/>
    </row>
    <row r="99" spans="2:22" s="16" customFormat="1" ht="13.8" thickBot="1">
      <c r="B99" s="174"/>
      <c r="C99" s="232">
        <v>2</v>
      </c>
      <c r="D99" s="233" t="s">
        <v>347</v>
      </c>
      <c r="E99" s="256" t="s">
        <v>345</v>
      </c>
      <c r="F99" s="257" t="s">
        <v>345</v>
      </c>
      <c r="G99" s="256" t="s">
        <v>345</v>
      </c>
      <c r="H99" s="257" t="s">
        <v>345</v>
      </c>
      <c r="I99" s="256" t="s">
        <v>345</v>
      </c>
      <c r="J99" s="257" t="s">
        <v>345</v>
      </c>
      <c r="K99" s="256" t="s">
        <v>345</v>
      </c>
      <c r="L99" s="257" t="s">
        <v>345</v>
      </c>
      <c r="M99" s="256" t="s">
        <v>345</v>
      </c>
      <c r="N99" s="257" t="s">
        <v>345</v>
      </c>
      <c r="O99" s="256" t="s">
        <v>345</v>
      </c>
      <c r="P99" s="257" t="s">
        <v>345</v>
      </c>
      <c r="Q99" s="350">
        <v>0</v>
      </c>
      <c r="R99" s="352">
        <v>0</v>
      </c>
      <c r="S99" s="258">
        <f t="shared" si="17"/>
        <v>0</v>
      </c>
      <c r="T99" s="342" t="str">
        <f t="shared" si="12"/>
        <v>-</v>
      </c>
      <c r="U99" s="468" t="str">
        <f>IF(AND(OR((T99)&gt;5,(T99)&lt;-5),OR((S99)&gt;750,(S99)&lt;-750)),"QUERY","")</f>
        <v/>
      </c>
      <c r="V99" s="468" t="str">
        <f>IF(AND(OR((T99)&gt;5,(T99)&lt;-5),OR((S99)&gt;750,(S99)&lt;-750)),"QUERY - " &amp; (D99) &amp; " 2002/03 2001/02 TOTAL difference of " &amp; (S99) &amp;"k. Genuine?","")</f>
        <v/>
      </c>
    </row>
    <row r="100" spans="2:22" s="16" customFormat="1" ht="13.8" thickBot="1">
      <c r="B100" s="90"/>
      <c r="C100" s="238">
        <v>3</v>
      </c>
      <c r="D100" s="239" t="s">
        <v>348</v>
      </c>
      <c r="E100" s="259" t="s">
        <v>345</v>
      </c>
      <c r="F100" s="260" t="s">
        <v>345</v>
      </c>
      <c r="G100" s="259" t="s">
        <v>345</v>
      </c>
      <c r="H100" s="260" t="s">
        <v>345</v>
      </c>
      <c r="I100" s="259" t="s">
        <v>345</v>
      </c>
      <c r="J100" s="260" t="s">
        <v>345</v>
      </c>
      <c r="K100" s="259" t="s">
        <v>345</v>
      </c>
      <c r="L100" s="260" t="s">
        <v>345</v>
      </c>
      <c r="M100" s="259" t="s">
        <v>345</v>
      </c>
      <c r="N100" s="260" t="s">
        <v>345</v>
      </c>
      <c r="O100" s="259" t="s">
        <v>345</v>
      </c>
      <c r="P100" s="260" t="s">
        <v>345</v>
      </c>
      <c r="Q100" s="351">
        <v>0</v>
      </c>
      <c r="R100" s="353">
        <v>0</v>
      </c>
      <c r="S100" s="258">
        <f t="shared" si="17"/>
        <v>0</v>
      </c>
      <c r="T100" s="342" t="str">
        <f t="shared" si="12"/>
        <v>-</v>
      </c>
      <c r="U100" s="468" t="str">
        <f>IF(AND(OR((T100)&gt;5,(T100)&lt;-5),OR((S100)&gt;750,(S100)&lt;-750)),"QUERY","")</f>
        <v/>
      </c>
      <c r="V100" s="468" t="str">
        <f>IF(AND(OR((T100)&gt;5,(T100)&lt;-5),OR((S100)&gt;750,(S100)&lt;-750)),"QUERY - " &amp; (D100) &amp; " 2002/03 2001/02 TOTAL difference of " &amp; (S100) &amp;"k. Genuine?","")</f>
        <v/>
      </c>
    </row>
    <row r="101" spans="2:22" s="16" customFormat="1" ht="13.8" thickBot="1">
      <c r="B101" s="179"/>
      <c r="C101" s="222">
        <v>4</v>
      </c>
      <c r="D101" s="223" t="s">
        <v>349</v>
      </c>
      <c r="E101" s="246" t="s">
        <v>345</v>
      </c>
      <c r="F101" s="247" t="s">
        <v>345</v>
      </c>
      <c r="G101" s="246" t="s">
        <v>345</v>
      </c>
      <c r="H101" s="247" t="s">
        <v>345</v>
      </c>
      <c r="I101" s="246" t="s">
        <v>345</v>
      </c>
      <c r="J101" s="247" t="s">
        <v>345</v>
      </c>
      <c r="K101" s="246" t="s">
        <v>345</v>
      </c>
      <c r="L101" s="247" t="s">
        <v>345</v>
      </c>
      <c r="M101" s="246" t="s">
        <v>345</v>
      </c>
      <c r="N101" s="247" t="s">
        <v>345</v>
      </c>
      <c r="O101" s="246" t="s">
        <v>345</v>
      </c>
      <c r="P101" s="247" t="s">
        <v>345</v>
      </c>
      <c r="Q101" s="348">
        <v>0</v>
      </c>
      <c r="R101" s="349">
        <v>0</v>
      </c>
      <c r="S101" s="258">
        <f t="shared" si="17"/>
        <v>0</v>
      </c>
      <c r="T101" s="342" t="str">
        <f t="shared" si="12"/>
        <v>-</v>
      </c>
      <c r="U101" s="468" t="str">
        <f>IF(AND(OR((T101)&gt;5,(T101)&lt;-5),OR((S101)&gt;750,(S101)&lt;-750)),"QUERY","")</f>
        <v/>
      </c>
      <c r="V101" s="468" t="str">
        <f>IF(AND(OR((T101)&gt;5,(T101)&lt;-5),OR((S101)&gt;750,(S101)&lt;-750)),"QUERY - " &amp; (D101) &amp; " 2002/03 2001/02 TOTAL difference of " &amp; (S101) &amp;"k. Genuine?","")</f>
        <v/>
      </c>
    </row>
    <row r="102" spans="2:22" s="16" customFormat="1" ht="13.8" thickBot="1">
      <c r="B102" s="90"/>
      <c r="C102" s="238">
        <v>5</v>
      </c>
      <c r="D102" s="239" t="s">
        <v>350</v>
      </c>
      <c r="E102" s="259" t="s">
        <v>345</v>
      </c>
      <c r="F102" s="260" t="s">
        <v>345</v>
      </c>
      <c r="G102" s="259" t="s">
        <v>345</v>
      </c>
      <c r="H102" s="260" t="s">
        <v>345</v>
      </c>
      <c r="I102" s="259" t="s">
        <v>345</v>
      </c>
      <c r="J102" s="260" t="s">
        <v>345</v>
      </c>
      <c r="K102" s="259" t="s">
        <v>345</v>
      </c>
      <c r="L102" s="260" t="s">
        <v>345</v>
      </c>
      <c r="M102" s="259" t="s">
        <v>345</v>
      </c>
      <c r="N102" s="260" t="s">
        <v>345</v>
      </c>
      <c r="O102" s="259" t="s">
        <v>345</v>
      </c>
      <c r="P102" s="260" t="s">
        <v>345</v>
      </c>
      <c r="Q102" s="261">
        <f>SUM(Q98:Q101)</f>
        <v>0</v>
      </c>
      <c r="R102" s="261">
        <f>SUM(R98:R101)</f>
        <v>0</v>
      </c>
      <c r="S102" s="262">
        <f t="shared" si="17"/>
        <v>0</v>
      </c>
      <c r="T102" s="342" t="str">
        <f t="shared" si="12"/>
        <v>-</v>
      </c>
      <c r="U102" s="103"/>
    </row>
    <row r="103" spans="2:22" s="16" customFormat="1">
      <c r="C103" s="210"/>
      <c r="H103" s="263"/>
      <c r="L103" s="103"/>
    </row>
    <row r="104" spans="2:22" s="16" customFormat="1" ht="28.5" customHeight="1" thickBot="1">
      <c r="B104" s="470" t="s">
        <v>472</v>
      </c>
      <c r="C104" s="210"/>
      <c r="I104" s="472" t="s">
        <v>477</v>
      </c>
      <c r="L104" s="103"/>
    </row>
    <row r="105" spans="2:22" s="16" customFormat="1">
      <c r="B105" s="174"/>
      <c r="C105" s="175" t="s">
        <v>216</v>
      </c>
      <c r="D105" s="21"/>
      <c r="E105" s="182" t="s">
        <v>449</v>
      </c>
      <c r="F105" s="244" t="s">
        <v>450</v>
      </c>
      <c r="G105" s="182" t="s">
        <v>272</v>
      </c>
      <c r="H105" s="216" t="s">
        <v>436</v>
      </c>
      <c r="I105" s="227"/>
      <c r="L105" s="103"/>
      <c r="M105" s="264"/>
    </row>
    <row r="106" spans="2:22" s="16" customFormat="1">
      <c r="B106" s="179"/>
      <c r="C106" s="180"/>
      <c r="D106" s="15"/>
      <c r="E106" s="248"/>
      <c r="G106" s="188" t="s">
        <v>268</v>
      </c>
      <c r="H106" s="219"/>
      <c r="L106" s="103"/>
      <c r="M106" s="264"/>
    </row>
    <row r="107" spans="2:22" s="16" customFormat="1" ht="13.8" thickBot="1">
      <c r="B107" s="23"/>
      <c r="C107" s="192"/>
      <c r="D107" s="25"/>
      <c r="E107" s="194" t="s">
        <v>16</v>
      </c>
      <c r="F107" s="265" t="s">
        <v>16</v>
      </c>
      <c r="G107" s="194" t="s">
        <v>16</v>
      </c>
      <c r="H107" s="196"/>
      <c r="I107" s="334"/>
      <c r="L107" s="103"/>
      <c r="M107" s="264"/>
    </row>
    <row r="108" spans="2:22" s="16" customFormat="1">
      <c r="B108" s="179"/>
      <c r="C108" s="15">
        <v>1</v>
      </c>
      <c r="D108" s="15" t="s">
        <v>351</v>
      </c>
      <c r="E108" s="188"/>
      <c r="F108" s="211"/>
      <c r="G108" s="303"/>
      <c r="H108" s="268"/>
      <c r="I108" s="335"/>
      <c r="L108" s="103"/>
      <c r="M108" s="264"/>
    </row>
    <row r="109" spans="2:22" s="16" customFormat="1">
      <c r="B109" s="179"/>
      <c r="C109" s="15"/>
      <c r="D109" s="15" t="s">
        <v>217</v>
      </c>
      <c r="E109" s="248"/>
      <c r="F109" s="15"/>
      <c r="G109" s="248"/>
      <c r="H109" s="268"/>
      <c r="I109" s="335"/>
      <c r="L109" s="103"/>
      <c r="M109" s="264"/>
    </row>
    <row r="110" spans="2:22" s="16" customFormat="1">
      <c r="B110" s="179"/>
      <c r="C110" s="15"/>
      <c r="D110" s="15" t="s">
        <v>352</v>
      </c>
      <c r="E110" s="516">
        <v>0</v>
      </c>
      <c r="F110" s="308">
        <v>0</v>
      </c>
      <c r="G110" s="202">
        <f>E110-F110</f>
        <v>0</v>
      </c>
      <c r="H110" s="336" t="str">
        <f t="shared" ref="H110:H155" si="18">IF(AND(OR(E110=0,F110&lt;&gt;0),OR(F110=0,E110&lt;&gt;0)),IF((E110+F110+G110&lt;&gt;0),IF(AND(OR(E110&gt;0,F110&lt;0),OR(F110&gt;0,E110&lt;0)),ABS(G110/MIN(ABS(F110),ABS(E110))),10),"-"),10)</f>
        <v>-</v>
      </c>
      <c r="I110" s="463" t="str">
        <f>IF(AND(OR((H110)&gt;5,(H110)&lt;-5),OR((G110)&gt;750,(G110)&lt;-750))," QUERY -" &amp; (D110) &amp; " 2002/03 2001/02 difference of " &amp; (G110) &amp; "k. Genuine?","")</f>
        <v/>
      </c>
      <c r="L110" s="103"/>
      <c r="M110" s="264"/>
    </row>
    <row r="111" spans="2:22" s="16" customFormat="1">
      <c r="B111" s="179"/>
      <c r="C111" s="15"/>
      <c r="D111" s="15" t="s">
        <v>218</v>
      </c>
      <c r="E111" s="516">
        <v>0</v>
      </c>
      <c r="F111" s="308">
        <v>0</v>
      </c>
      <c r="G111" s="202">
        <f t="shared" ref="G111:G155" si="19">E111-F111</f>
        <v>0</v>
      </c>
      <c r="H111" s="336" t="str">
        <f t="shared" si="18"/>
        <v>-</v>
      </c>
      <c r="I111" s="463" t="str">
        <f>IF(AND(OR((H111)&gt;5,(H111)&lt;-5),OR((G111)&gt;750,(G111)&lt;-750))," QUERY -" &amp; (D111) &amp; " 2002/03 2001/02 difference of " &amp; (G111) &amp; "k. Genuine?","")</f>
        <v/>
      </c>
      <c r="L111" s="103"/>
      <c r="M111" s="264"/>
    </row>
    <row r="112" spans="2:22" s="16" customFormat="1">
      <c r="B112" s="179"/>
      <c r="C112" s="15"/>
      <c r="D112" s="15" t="s">
        <v>353</v>
      </c>
      <c r="E112" s="516">
        <v>0</v>
      </c>
      <c r="F112" s="308">
        <v>0</v>
      </c>
      <c r="G112" s="202">
        <f t="shared" si="19"/>
        <v>0</v>
      </c>
      <c r="H112" s="336" t="str">
        <f t="shared" si="18"/>
        <v>-</v>
      </c>
      <c r="I112" s="463" t="str">
        <f>IF(AND(OR((H112)&gt;5,(H112)&lt;-5),OR((G112)&gt;750,(G112)&lt;-750))," QUERY -" &amp; (D112) &amp; " 2002/03 2001/02 difference of " &amp; (G112) &amp; "k. Genuine?","")</f>
        <v/>
      </c>
      <c r="L112" s="103"/>
      <c r="M112" s="264"/>
    </row>
    <row r="113" spans="1:13" s="16" customFormat="1">
      <c r="B113" s="179"/>
      <c r="C113" s="15"/>
      <c r="D113" s="15" t="s">
        <v>354</v>
      </c>
      <c r="E113" s="516">
        <v>0</v>
      </c>
      <c r="F113" s="308">
        <v>0</v>
      </c>
      <c r="G113" s="202">
        <f t="shared" si="19"/>
        <v>0</v>
      </c>
      <c r="H113" s="336" t="str">
        <f t="shared" si="18"/>
        <v>-</v>
      </c>
      <c r="I113" s="463" t="str">
        <f>IF(AND(OR((H113)&gt;5,(H113)&lt;-5),OR((G113)&gt;750,(G113)&lt;-750))," QUERY -" &amp; (D113) &amp; " 2002/03 2001/02 difference of " &amp; (G113) &amp; "k. Genuine?","")</f>
        <v/>
      </c>
      <c r="L113" s="103"/>
      <c r="M113" s="264"/>
    </row>
    <row r="114" spans="1:13" s="16" customFormat="1">
      <c r="B114" s="179"/>
      <c r="C114" s="15"/>
      <c r="D114" s="15" t="s">
        <v>355</v>
      </c>
      <c r="E114" s="516">
        <v>0</v>
      </c>
      <c r="F114" s="308">
        <v>0</v>
      </c>
      <c r="G114" s="202">
        <f t="shared" si="19"/>
        <v>0</v>
      </c>
      <c r="H114" s="336" t="str">
        <f t="shared" si="18"/>
        <v>-</v>
      </c>
      <c r="I114" s="463" t="str">
        <f>IF(AND(OR((H114)&gt;5,(H114)&lt;-5),OR((G114)&gt;750,(G114)&lt;-750))," QUERY -" &amp; (D114) &amp; " 2002/03 2001/02 difference of " &amp; (G114) &amp; "k. Genuine?","")</f>
        <v/>
      </c>
      <c r="L114" s="103"/>
      <c r="M114" s="264"/>
    </row>
    <row r="115" spans="1:13" s="16" customFormat="1">
      <c r="B115" s="179"/>
      <c r="C115" s="15"/>
      <c r="D115" s="15" t="s">
        <v>356</v>
      </c>
      <c r="E115" s="516">
        <v>0</v>
      </c>
      <c r="F115" s="308">
        <v>0</v>
      </c>
      <c r="G115" s="202">
        <f t="shared" si="19"/>
        <v>0</v>
      </c>
      <c r="H115" s="336" t="str">
        <f t="shared" si="18"/>
        <v>-</v>
      </c>
      <c r="I115" s="463" t="str">
        <f>IF(AND(OR((H115)&gt;5,(H115)&lt;-5),OR((G115)&gt;750,(G115)&lt;-750))," QUERY - " &amp; (D115) &amp; " 2002/03 2001/02 difference of " &amp; (G115) &amp; "k. Genuine?","")</f>
        <v/>
      </c>
      <c r="L115" s="103"/>
      <c r="M115" s="264"/>
    </row>
    <row r="116" spans="1:13" s="16" customFormat="1" ht="13.8" thickBot="1">
      <c r="B116" s="23"/>
      <c r="C116" s="25"/>
      <c r="D116" s="25" t="s">
        <v>357</v>
      </c>
      <c r="E116" s="302">
        <f>SUM(E110:E115)</f>
        <v>0</v>
      </c>
      <c r="F116" s="272">
        <f>SUM(F110:F115)</f>
        <v>0</v>
      </c>
      <c r="G116" s="205">
        <f t="shared" si="19"/>
        <v>0</v>
      </c>
      <c r="H116" s="343" t="str">
        <f t="shared" si="18"/>
        <v>-</v>
      </c>
      <c r="I116" s="463"/>
      <c r="L116" s="103"/>
      <c r="M116" s="264"/>
    </row>
    <row r="117" spans="1:13" s="16" customFormat="1">
      <c r="B117" s="179"/>
      <c r="C117" s="15">
        <v>2</v>
      </c>
      <c r="D117" s="15" t="s">
        <v>358</v>
      </c>
      <c r="E117" s="202"/>
      <c r="F117" s="5"/>
      <c r="G117" s="202"/>
      <c r="H117" s="336"/>
      <c r="I117" s="463"/>
      <c r="L117" s="103"/>
      <c r="M117" s="264"/>
    </row>
    <row r="118" spans="1:13" s="16" customFormat="1" ht="13.8" thickBot="1">
      <c r="A118" s="173"/>
      <c r="B118" s="23"/>
      <c r="C118" s="25"/>
      <c r="D118" s="25" t="s">
        <v>350</v>
      </c>
      <c r="E118" s="354">
        <v>0</v>
      </c>
      <c r="F118" s="355">
        <v>0</v>
      </c>
      <c r="G118" s="304">
        <f t="shared" si="19"/>
        <v>0</v>
      </c>
      <c r="H118" s="343" t="str">
        <f t="shared" si="18"/>
        <v>-</v>
      </c>
      <c r="I118" s="463" t="str">
        <f>IF(AND(OR((H118)&gt;5,(H118)&lt;-5),OR((G118)&gt;750,(G118)&lt;-750))," QUERY - " &amp; (D118) &amp; " 2002/03 2001/02 difference of " &amp; (G118) &amp; "k. Genuine?","")</f>
        <v/>
      </c>
      <c r="L118" s="103"/>
      <c r="M118" s="264"/>
    </row>
    <row r="119" spans="1:13" s="16" customFormat="1">
      <c r="B119" s="179"/>
      <c r="C119" s="15">
        <v>3</v>
      </c>
      <c r="D119" s="15" t="s">
        <v>359</v>
      </c>
      <c r="E119" s="202"/>
      <c r="F119" s="5"/>
      <c r="G119" s="202"/>
      <c r="H119" s="336"/>
      <c r="I119" s="463" t="str">
        <f t="shared" ref="I119:I153" si="20">IF(AND(OR((H119)&gt;5,(H119)&lt;-5),OR((G119)&gt;750,(G119)&lt;-750))," QUERY - " &amp; (D119) &amp; " 2002/03 2001/02 difference of " &amp; (G119) &amp; "k. Genuine?","")</f>
        <v/>
      </c>
      <c r="L119" s="103"/>
      <c r="M119" s="264"/>
    </row>
    <row r="120" spans="1:13" s="16" customFormat="1">
      <c r="B120" s="179"/>
      <c r="C120" s="15"/>
      <c r="D120" s="15" t="s">
        <v>360</v>
      </c>
      <c r="E120" s="279">
        <v>0</v>
      </c>
      <c r="F120" s="308">
        <v>0</v>
      </c>
      <c r="G120" s="202">
        <f t="shared" si="19"/>
        <v>0</v>
      </c>
      <c r="H120" s="336" t="str">
        <f t="shared" si="18"/>
        <v>-</v>
      </c>
      <c r="I120" s="463" t="str">
        <f t="shared" si="20"/>
        <v/>
      </c>
      <c r="L120" s="103"/>
      <c r="M120" s="264"/>
    </row>
    <row r="121" spans="1:13" s="16" customFormat="1">
      <c r="B121" s="179"/>
      <c r="C121" s="15"/>
      <c r="D121" s="15" t="s">
        <v>361</v>
      </c>
      <c r="E121" s="279">
        <v>0</v>
      </c>
      <c r="F121" s="308">
        <v>0</v>
      </c>
      <c r="G121" s="202">
        <f t="shared" si="19"/>
        <v>0</v>
      </c>
      <c r="H121" s="336" t="str">
        <f t="shared" si="18"/>
        <v>-</v>
      </c>
      <c r="I121" s="463" t="str">
        <f t="shared" si="20"/>
        <v/>
      </c>
      <c r="L121" s="103"/>
      <c r="M121" s="264"/>
    </row>
    <row r="122" spans="1:13" s="16" customFormat="1">
      <c r="B122" s="179"/>
      <c r="C122" s="15"/>
      <c r="D122" s="15" t="s">
        <v>362</v>
      </c>
      <c r="E122" s="279">
        <v>0</v>
      </c>
      <c r="F122" s="308">
        <v>0</v>
      </c>
      <c r="G122" s="202">
        <f t="shared" si="19"/>
        <v>0</v>
      </c>
      <c r="H122" s="336" t="str">
        <f t="shared" si="18"/>
        <v>-</v>
      </c>
      <c r="I122" s="463" t="str">
        <f t="shared" si="20"/>
        <v/>
      </c>
      <c r="L122" s="103"/>
      <c r="M122" s="264"/>
    </row>
    <row r="123" spans="1:13" s="16" customFormat="1">
      <c r="B123" s="179"/>
      <c r="C123" s="15"/>
      <c r="D123" s="15" t="s">
        <v>363</v>
      </c>
      <c r="E123" s="279">
        <v>0</v>
      </c>
      <c r="F123" s="308">
        <v>0</v>
      </c>
      <c r="G123" s="202">
        <f t="shared" si="19"/>
        <v>0</v>
      </c>
      <c r="H123" s="336" t="str">
        <f t="shared" si="18"/>
        <v>-</v>
      </c>
      <c r="I123" s="463" t="str">
        <f t="shared" si="20"/>
        <v/>
      </c>
      <c r="L123" s="103"/>
      <c r="M123" s="264"/>
    </row>
    <row r="124" spans="1:13" s="16" customFormat="1">
      <c r="B124" s="179"/>
      <c r="C124" s="15"/>
      <c r="D124" s="15" t="s">
        <v>221</v>
      </c>
      <c r="E124" s="279">
        <v>0</v>
      </c>
      <c r="F124" s="308">
        <v>0</v>
      </c>
      <c r="G124" s="202">
        <f t="shared" si="19"/>
        <v>0</v>
      </c>
      <c r="H124" s="336" t="str">
        <f t="shared" si="18"/>
        <v>-</v>
      </c>
      <c r="I124" s="463" t="str">
        <f t="shared" si="20"/>
        <v/>
      </c>
      <c r="L124" s="103"/>
      <c r="M124" s="264"/>
    </row>
    <row r="125" spans="1:13" s="16" customFormat="1">
      <c r="B125" s="179"/>
      <c r="C125" s="15"/>
      <c r="D125" s="15" t="s">
        <v>223</v>
      </c>
      <c r="E125" s="279">
        <v>0</v>
      </c>
      <c r="F125" s="308">
        <v>0</v>
      </c>
      <c r="G125" s="202">
        <f t="shared" si="19"/>
        <v>0</v>
      </c>
      <c r="H125" s="336" t="str">
        <f t="shared" si="18"/>
        <v>-</v>
      </c>
      <c r="I125" s="463" t="str">
        <f t="shared" si="20"/>
        <v/>
      </c>
      <c r="L125" s="103"/>
      <c r="M125" s="211"/>
    </row>
    <row r="126" spans="1:13" s="16" customFormat="1">
      <c r="B126" s="179"/>
      <c r="C126" s="15"/>
      <c r="D126" s="15" t="s">
        <v>364</v>
      </c>
      <c r="E126" s="279">
        <v>0</v>
      </c>
      <c r="F126" s="308">
        <v>0</v>
      </c>
      <c r="G126" s="202">
        <f t="shared" si="19"/>
        <v>0</v>
      </c>
      <c r="H126" s="336" t="str">
        <f t="shared" si="18"/>
        <v>-</v>
      </c>
      <c r="I126" s="463" t="str">
        <f t="shared" si="20"/>
        <v/>
      </c>
      <c r="L126" s="103"/>
      <c r="M126" s="264"/>
    </row>
    <row r="127" spans="1:13" s="16" customFormat="1">
      <c r="B127" s="179"/>
      <c r="C127" s="15"/>
      <c r="D127" s="15" t="s">
        <v>365</v>
      </c>
      <c r="E127" s="279">
        <v>0</v>
      </c>
      <c r="F127" s="308">
        <v>0</v>
      </c>
      <c r="G127" s="202">
        <f t="shared" si="19"/>
        <v>0</v>
      </c>
      <c r="H127" s="336" t="str">
        <f t="shared" si="18"/>
        <v>-</v>
      </c>
      <c r="I127" s="463" t="str">
        <f t="shared" si="20"/>
        <v/>
      </c>
      <c r="L127" s="103"/>
      <c r="M127" s="264"/>
    </row>
    <row r="128" spans="1:13" s="16" customFormat="1">
      <c r="B128" s="179"/>
      <c r="C128" s="15"/>
      <c r="D128" s="15" t="s">
        <v>366</v>
      </c>
      <c r="E128" s="279">
        <v>0</v>
      </c>
      <c r="F128" s="308">
        <v>0</v>
      </c>
      <c r="G128" s="202">
        <f t="shared" si="19"/>
        <v>0</v>
      </c>
      <c r="H128" s="336" t="str">
        <f t="shared" si="18"/>
        <v>-</v>
      </c>
      <c r="I128" s="463" t="str">
        <f t="shared" si="20"/>
        <v/>
      </c>
      <c r="L128" s="103"/>
      <c r="M128" s="264"/>
    </row>
    <row r="129" spans="2:13" s="16" customFormat="1" ht="13.8" thickBot="1">
      <c r="B129" s="23"/>
      <c r="C129" s="25"/>
      <c r="D129" s="25" t="s">
        <v>341</v>
      </c>
      <c r="E129" s="302">
        <f>SUM(E120:E128)</f>
        <v>0</v>
      </c>
      <c r="F129" s="272">
        <f>SUM(F120:F128)</f>
        <v>0</v>
      </c>
      <c r="G129" s="205">
        <f t="shared" si="19"/>
        <v>0</v>
      </c>
      <c r="H129" s="343" t="str">
        <f t="shared" si="18"/>
        <v>-</v>
      </c>
      <c r="I129" s="463"/>
      <c r="L129" s="103"/>
      <c r="M129" s="264"/>
    </row>
    <row r="130" spans="2:13" s="16" customFormat="1">
      <c r="B130" s="179"/>
      <c r="C130" s="15">
        <v>4</v>
      </c>
      <c r="D130" s="15" t="s">
        <v>367</v>
      </c>
      <c r="E130" s="202"/>
      <c r="F130" s="5"/>
      <c r="G130" s="202"/>
      <c r="H130" s="336"/>
      <c r="I130" s="463"/>
      <c r="L130" s="103"/>
      <c r="M130" s="211"/>
    </row>
    <row r="131" spans="2:13" s="16" customFormat="1">
      <c r="B131" s="179"/>
      <c r="C131" s="15"/>
      <c r="D131" s="15" t="s">
        <v>368</v>
      </c>
      <c r="E131" s="202"/>
      <c r="F131" s="5"/>
      <c r="G131" s="202"/>
      <c r="H131" s="336"/>
      <c r="I131" s="463"/>
      <c r="L131" s="103"/>
      <c r="M131" s="264"/>
    </row>
    <row r="132" spans="2:13" s="16" customFormat="1">
      <c r="B132" s="179"/>
      <c r="C132" s="15"/>
      <c r="D132" s="15" t="s">
        <v>369</v>
      </c>
      <c r="E132" s="279">
        <v>0</v>
      </c>
      <c r="F132" s="308">
        <v>0</v>
      </c>
      <c r="G132" s="202">
        <f t="shared" si="19"/>
        <v>0</v>
      </c>
      <c r="H132" s="336" t="str">
        <f t="shared" si="18"/>
        <v>-</v>
      </c>
      <c r="I132" s="463" t="str">
        <f t="shared" si="20"/>
        <v/>
      </c>
      <c r="L132" s="103"/>
      <c r="M132" s="264"/>
    </row>
    <row r="133" spans="2:13" s="16" customFormat="1">
      <c r="B133" s="179"/>
      <c r="C133" s="15"/>
      <c r="D133" s="15" t="s">
        <v>370</v>
      </c>
      <c r="E133" s="279">
        <v>0</v>
      </c>
      <c r="F133" s="308">
        <v>0</v>
      </c>
      <c r="G133" s="202">
        <f t="shared" si="19"/>
        <v>0</v>
      </c>
      <c r="H133" s="336" t="str">
        <f t="shared" si="18"/>
        <v>-</v>
      </c>
      <c r="I133" s="463" t="str">
        <f t="shared" si="20"/>
        <v/>
      </c>
      <c r="L133" s="103"/>
      <c r="M133" s="264"/>
    </row>
    <row r="134" spans="2:13" s="16" customFormat="1">
      <c r="B134" s="179"/>
      <c r="C134" s="15"/>
      <c r="D134" s="15" t="s">
        <v>371</v>
      </c>
      <c r="E134" s="279">
        <v>0</v>
      </c>
      <c r="F134" s="308">
        <v>0</v>
      </c>
      <c r="G134" s="202">
        <f t="shared" si="19"/>
        <v>0</v>
      </c>
      <c r="H134" s="336" t="str">
        <f t="shared" si="18"/>
        <v>-</v>
      </c>
      <c r="I134" s="463" t="str">
        <f t="shared" si="20"/>
        <v/>
      </c>
      <c r="L134" s="103"/>
      <c r="M134" s="264"/>
    </row>
    <row r="135" spans="2:13" s="16" customFormat="1">
      <c r="B135" s="179"/>
      <c r="C135" s="15"/>
      <c r="D135" s="15" t="s">
        <v>372</v>
      </c>
      <c r="E135" s="279">
        <v>0</v>
      </c>
      <c r="F135" s="308">
        <v>0</v>
      </c>
      <c r="G135" s="202">
        <f t="shared" si="19"/>
        <v>0</v>
      </c>
      <c r="H135" s="336" t="str">
        <f t="shared" si="18"/>
        <v>-</v>
      </c>
      <c r="I135" s="463" t="str">
        <f t="shared" si="20"/>
        <v/>
      </c>
      <c r="L135" s="103"/>
      <c r="M135" s="264"/>
    </row>
    <row r="136" spans="2:13" s="16" customFormat="1">
      <c r="B136" s="179"/>
      <c r="C136" s="15"/>
      <c r="D136" s="15" t="s">
        <v>373</v>
      </c>
      <c r="E136" s="279">
        <v>0</v>
      </c>
      <c r="F136" s="308">
        <v>0</v>
      </c>
      <c r="G136" s="202">
        <f t="shared" si="19"/>
        <v>0</v>
      </c>
      <c r="H136" s="336" t="str">
        <f t="shared" si="18"/>
        <v>-</v>
      </c>
      <c r="I136" s="463" t="str">
        <f t="shared" si="20"/>
        <v/>
      </c>
      <c r="L136" s="103"/>
      <c r="M136" s="211"/>
    </row>
    <row r="137" spans="2:13" s="16" customFormat="1">
      <c r="B137" s="179"/>
      <c r="C137" s="15"/>
      <c r="D137" s="15" t="s">
        <v>374</v>
      </c>
      <c r="E137" s="279">
        <v>0</v>
      </c>
      <c r="F137" s="308">
        <v>0</v>
      </c>
      <c r="G137" s="202">
        <f t="shared" si="19"/>
        <v>0</v>
      </c>
      <c r="H137" s="336" t="str">
        <f t="shared" si="18"/>
        <v>-</v>
      </c>
      <c r="I137" s="463" t="str">
        <f t="shared" si="20"/>
        <v/>
      </c>
      <c r="L137" s="103"/>
      <c r="M137" s="264"/>
    </row>
    <row r="138" spans="2:13" s="16" customFormat="1">
      <c r="B138" s="179"/>
      <c r="C138" s="15"/>
      <c r="D138" s="15" t="s">
        <v>375</v>
      </c>
      <c r="E138" s="279">
        <v>0</v>
      </c>
      <c r="F138" s="308">
        <v>0</v>
      </c>
      <c r="G138" s="202">
        <f t="shared" si="19"/>
        <v>0</v>
      </c>
      <c r="H138" s="336" t="str">
        <f t="shared" si="18"/>
        <v>-</v>
      </c>
      <c r="I138" s="463" t="str">
        <f t="shared" si="20"/>
        <v/>
      </c>
      <c r="L138" s="103"/>
    </row>
    <row r="139" spans="2:13" s="16" customFormat="1">
      <c r="B139" s="179"/>
      <c r="C139" s="15"/>
      <c r="D139" s="15" t="s">
        <v>376</v>
      </c>
      <c r="E139" s="279">
        <v>0</v>
      </c>
      <c r="F139" s="308">
        <v>0</v>
      </c>
      <c r="G139" s="202">
        <f t="shared" si="19"/>
        <v>0</v>
      </c>
      <c r="H139" s="336" t="str">
        <f t="shared" si="18"/>
        <v>-</v>
      </c>
      <c r="I139" s="463" t="str">
        <f t="shared" si="20"/>
        <v/>
      </c>
      <c r="L139" s="103"/>
    </row>
    <row r="140" spans="2:13" s="16" customFormat="1">
      <c r="B140" s="179"/>
      <c r="C140" s="15"/>
      <c r="D140" s="15" t="s">
        <v>377</v>
      </c>
      <c r="E140" s="279">
        <v>0</v>
      </c>
      <c r="F140" s="308">
        <v>0</v>
      </c>
      <c r="G140" s="202">
        <f t="shared" si="19"/>
        <v>0</v>
      </c>
      <c r="H140" s="336" t="str">
        <f t="shared" si="18"/>
        <v>-</v>
      </c>
      <c r="I140" s="463" t="str">
        <f t="shared" si="20"/>
        <v/>
      </c>
      <c r="L140" s="103"/>
    </row>
    <row r="141" spans="2:13" s="16" customFormat="1">
      <c r="B141" s="179"/>
      <c r="C141" s="15"/>
      <c r="D141" s="15" t="s">
        <v>378</v>
      </c>
      <c r="E141" s="279">
        <v>0</v>
      </c>
      <c r="F141" s="308">
        <v>0</v>
      </c>
      <c r="G141" s="202">
        <f t="shared" si="19"/>
        <v>0</v>
      </c>
      <c r="H141" s="336" t="str">
        <f t="shared" si="18"/>
        <v>-</v>
      </c>
      <c r="I141" s="463" t="str">
        <f t="shared" si="20"/>
        <v/>
      </c>
      <c r="L141" s="103"/>
    </row>
    <row r="142" spans="2:13" s="16" customFormat="1">
      <c r="B142" s="179"/>
      <c r="C142" s="15"/>
      <c r="D142" s="15" t="s">
        <v>379</v>
      </c>
      <c r="E142" s="279">
        <v>0</v>
      </c>
      <c r="F142" s="308">
        <v>0</v>
      </c>
      <c r="G142" s="202">
        <f t="shared" si="19"/>
        <v>0</v>
      </c>
      <c r="H142" s="336" t="str">
        <f t="shared" si="18"/>
        <v>-</v>
      </c>
      <c r="I142" s="463" t="str">
        <f t="shared" si="20"/>
        <v/>
      </c>
      <c r="L142" s="103"/>
    </row>
    <row r="143" spans="2:13" s="16" customFormat="1">
      <c r="B143" s="179"/>
      <c r="C143" s="15"/>
      <c r="D143" s="15" t="s">
        <v>380</v>
      </c>
      <c r="E143" s="279">
        <v>0</v>
      </c>
      <c r="F143" s="308">
        <v>0</v>
      </c>
      <c r="G143" s="202">
        <f t="shared" si="19"/>
        <v>0</v>
      </c>
      <c r="H143" s="336" t="str">
        <f t="shared" si="18"/>
        <v>-</v>
      </c>
      <c r="I143" s="463" t="str">
        <f t="shared" si="20"/>
        <v/>
      </c>
      <c r="L143" s="103"/>
    </row>
    <row r="144" spans="2:13" s="16" customFormat="1">
      <c r="B144" s="179"/>
      <c r="C144" s="15"/>
      <c r="D144" s="15" t="s">
        <v>381</v>
      </c>
      <c r="E144" s="279">
        <v>0</v>
      </c>
      <c r="F144" s="308">
        <v>0</v>
      </c>
      <c r="G144" s="202">
        <f t="shared" si="19"/>
        <v>0</v>
      </c>
      <c r="H144" s="336" t="str">
        <f t="shared" si="18"/>
        <v>-</v>
      </c>
      <c r="I144" s="463" t="str">
        <f t="shared" si="20"/>
        <v/>
      </c>
      <c r="L144" s="103"/>
    </row>
    <row r="145" spans="2:28" s="16" customFormat="1">
      <c r="B145" s="179"/>
      <c r="C145" s="15"/>
      <c r="D145" s="15" t="s">
        <v>382</v>
      </c>
      <c r="E145" s="279">
        <v>0</v>
      </c>
      <c r="F145" s="308">
        <v>0</v>
      </c>
      <c r="G145" s="202">
        <f t="shared" si="19"/>
        <v>0</v>
      </c>
      <c r="H145" s="336" t="str">
        <f t="shared" si="18"/>
        <v>-</v>
      </c>
      <c r="I145" s="463" t="str">
        <f>IF(AND(OR((H145)&gt;5,(H145)&lt;-5),OR((G145)&gt;750,(G145)&lt;-750))," QUERY - " &amp; (D145) &amp; " 2002/03 2001/02 difference of " &amp; (G145) &amp; "k. Genuine?","")</f>
        <v/>
      </c>
      <c r="L145" s="103"/>
    </row>
    <row r="146" spans="2:28" s="16" customFormat="1">
      <c r="B146" s="179"/>
      <c r="C146" s="15"/>
      <c r="D146" s="15" t="s">
        <v>383</v>
      </c>
      <c r="E146" s="279">
        <v>0</v>
      </c>
      <c r="F146" s="308">
        <v>0</v>
      </c>
      <c r="G146" s="202">
        <f t="shared" si="19"/>
        <v>0</v>
      </c>
      <c r="H146" s="336" t="str">
        <f t="shared" si="18"/>
        <v>-</v>
      </c>
      <c r="I146" s="463" t="str">
        <f t="shared" si="20"/>
        <v/>
      </c>
      <c r="L146" s="103"/>
    </row>
    <row r="147" spans="2:28" s="16" customFormat="1" ht="13.8" thickBot="1">
      <c r="B147" s="23"/>
      <c r="C147" s="25"/>
      <c r="D147" s="25" t="s">
        <v>384</v>
      </c>
      <c r="E147" s="302">
        <f>SUM(E140:E146)</f>
        <v>0</v>
      </c>
      <c r="F147" s="272">
        <f>SUM(F140:F146)</f>
        <v>0</v>
      </c>
      <c r="G147" s="205">
        <f>E147-F147</f>
        <v>0</v>
      </c>
      <c r="H147" s="343" t="str">
        <f t="shared" si="18"/>
        <v>-</v>
      </c>
      <c r="I147" s="463"/>
      <c r="L147" s="103"/>
    </row>
    <row r="148" spans="2:28" s="16" customFormat="1">
      <c r="B148" s="179"/>
      <c r="C148" s="15">
        <v>5</v>
      </c>
      <c r="D148" s="15" t="s">
        <v>385</v>
      </c>
      <c r="E148" s="202"/>
      <c r="F148" s="5"/>
      <c r="G148" s="202"/>
      <c r="H148" s="336"/>
      <c r="I148" s="463"/>
      <c r="L148" s="103"/>
    </row>
    <row r="149" spans="2:28" s="16" customFormat="1">
      <c r="B149" s="179"/>
      <c r="C149" s="15"/>
      <c r="D149" s="15" t="s">
        <v>386</v>
      </c>
      <c r="E149" s="279">
        <v>0</v>
      </c>
      <c r="F149" s="308">
        <v>0</v>
      </c>
      <c r="G149" s="202">
        <f t="shared" si="19"/>
        <v>0</v>
      </c>
      <c r="H149" s="336" t="str">
        <f t="shared" si="18"/>
        <v>-</v>
      </c>
      <c r="I149" s="463" t="str">
        <f t="shared" si="20"/>
        <v/>
      </c>
      <c r="L149" s="103"/>
    </row>
    <row r="150" spans="2:28" s="16" customFormat="1">
      <c r="B150" s="179"/>
      <c r="C150" s="15"/>
      <c r="D150" s="15" t="s">
        <v>387</v>
      </c>
      <c r="E150" s="279">
        <v>0</v>
      </c>
      <c r="F150" s="308">
        <v>0</v>
      </c>
      <c r="G150" s="202">
        <f t="shared" si="19"/>
        <v>0</v>
      </c>
      <c r="H150" s="336" t="str">
        <f t="shared" si="18"/>
        <v>-</v>
      </c>
      <c r="I150" s="463" t="str">
        <f t="shared" si="20"/>
        <v/>
      </c>
      <c r="L150" s="103"/>
    </row>
    <row r="151" spans="2:28" s="16" customFormat="1">
      <c r="B151" s="179"/>
      <c r="C151" s="15"/>
      <c r="D151" s="15" t="s">
        <v>388</v>
      </c>
      <c r="E151" s="279">
        <v>0</v>
      </c>
      <c r="F151" s="308">
        <v>0</v>
      </c>
      <c r="G151" s="202">
        <f t="shared" si="19"/>
        <v>0</v>
      </c>
      <c r="H151" s="336" t="str">
        <f t="shared" si="18"/>
        <v>-</v>
      </c>
      <c r="I151" s="463" t="str">
        <f t="shared" si="20"/>
        <v/>
      </c>
      <c r="L151" s="103"/>
    </row>
    <row r="152" spans="2:28" s="16" customFormat="1">
      <c r="B152" s="179"/>
      <c r="C152" s="15"/>
      <c r="D152" s="15" t="s">
        <v>389</v>
      </c>
      <c r="E152" s="279">
        <v>0</v>
      </c>
      <c r="F152" s="308">
        <v>0</v>
      </c>
      <c r="G152" s="202">
        <f t="shared" si="19"/>
        <v>0</v>
      </c>
      <c r="H152" s="336" t="str">
        <f t="shared" si="18"/>
        <v>-</v>
      </c>
      <c r="I152" s="463" t="str">
        <f t="shared" si="20"/>
        <v/>
      </c>
      <c r="L152" s="103"/>
    </row>
    <row r="153" spans="2:28" s="16" customFormat="1">
      <c r="B153" s="179"/>
      <c r="C153" s="15"/>
      <c r="D153" s="15" t="s">
        <v>390</v>
      </c>
      <c r="E153" s="279">
        <v>0</v>
      </c>
      <c r="F153" s="308">
        <v>0</v>
      </c>
      <c r="G153" s="202">
        <f t="shared" si="19"/>
        <v>0</v>
      </c>
      <c r="H153" s="336" t="str">
        <f t="shared" si="18"/>
        <v>-</v>
      </c>
      <c r="I153" s="463" t="str">
        <f t="shared" si="20"/>
        <v/>
      </c>
      <c r="L153" s="103"/>
    </row>
    <row r="154" spans="2:28" s="16" customFormat="1" ht="13.8" thickBot="1">
      <c r="B154" s="23"/>
      <c r="C154" s="25"/>
      <c r="D154" s="25" t="s">
        <v>391</v>
      </c>
      <c r="E154" s="302">
        <f>SUM(E149:E153)</f>
        <v>0</v>
      </c>
      <c r="F154" s="272">
        <f>SUM(F149:F153)</f>
        <v>0</v>
      </c>
      <c r="G154" s="205">
        <f t="shared" si="19"/>
        <v>0</v>
      </c>
      <c r="H154" s="343" t="str">
        <f t="shared" si="18"/>
        <v>-</v>
      </c>
      <c r="I154" s="463"/>
      <c r="L154" s="103"/>
    </row>
    <row r="155" spans="2:28" s="16" customFormat="1" ht="13.8" thickBot="1">
      <c r="B155" s="23"/>
      <c r="C155" s="25">
        <v>6</v>
      </c>
      <c r="D155" s="25" t="s">
        <v>280</v>
      </c>
      <c r="E155" s="302">
        <f>SUM(E116,E118,E129,E147,E154)</f>
        <v>0</v>
      </c>
      <c r="F155" s="272">
        <f>SUM(F154,F147,F129,F118,F116)</f>
        <v>0</v>
      </c>
      <c r="G155" s="205">
        <f t="shared" si="19"/>
        <v>0</v>
      </c>
      <c r="H155" s="343" t="str">
        <f t="shared" si="18"/>
        <v>-</v>
      </c>
      <c r="I155" s="463"/>
      <c r="L155" s="103"/>
    </row>
    <row r="156" spans="2:28" s="16" customFormat="1">
      <c r="C156" s="210"/>
      <c r="E156" s="211"/>
      <c r="F156" s="211"/>
      <c r="H156" s="263"/>
      <c r="L156" s="103"/>
    </row>
    <row r="157" spans="2:28" s="16" customFormat="1" ht="28.5" customHeight="1" thickBot="1">
      <c r="B157" s="520" t="s">
        <v>471</v>
      </c>
      <c r="C157" s="520"/>
      <c r="D157" s="520"/>
      <c r="E157" s="520"/>
      <c r="F157" s="520"/>
      <c r="G157" s="520"/>
      <c r="H157" s="520"/>
      <c r="I157" s="520"/>
      <c r="J157" s="520"/>
      <c r="K157" s="472" t="s">
        <v>478</v>
      </c>
      <c r="L157" s="103"/>
    </row>
    <row r="158" spans="2:28" s="16" customFormat="1">
      <c r="B158" s="174"/>
      <c r="C158" s="243" t="s">
        <v>148</v>
      </c>
      <c r="D158" s="21"/>
      <c r="E158" s="214" t="s">
        <v>449</v>
      </c>
      <c r="F158" s="273" t="s">
        <v>451</v>
      </c>
      <c r="G158" s="214" t="s">
        <v>272</v>
      </c>
      <c r="H158" s="183" t="s">
        <v>436</v>
      </c>
      <c r="I158" s="214" t="s">
        <v>449</v>
      </c>
      <c r="J158" s="273" t="s">
        <v>451</v>
      </c>
      <c r="K158" s="214" t="s">
        <v>272</v>
      </c>
      <c r="L158" s="183" t="s">
        <v>436</v>
      </c>
      <c r="M158" s="214" t="s">
        <v>449</v>
      </c>
      <c r="N158" s="273" t="s">
        <v>451</v>
      </c>
      <c r="O158" s="214" t="s">
        <v>272</v>
      </c>
      <c r="P158" s="183" t="s">
        <v>436</v>
      </c>
      <c r="Q158" s="214" t="s">
        <v>449</v>
      </c>
      <c r="R158" s="273" t="s">
        <v>451</v>
      </c>
      <c r="S158" s="214" t="s">
        <v>272</v>
      </c>
      <c r="T158" s="183" t="s">
        <v>436</v>
      </c>
      <c r="X158" s="15"/>
      <c r="Y158" s="59"/>
      <c r="Z158" s="59"/>
      <c r="AA158" s="59"/>
      <c r="AB158" s="197"/>
    </row>
    <row r="159" spans="2:28" s="16" customFormat="1">
      <c r="B159" s="179"/>
      <c r="C159" s="15"/>
      <c r="D159" s="15"/>
      <c r="E159" s="267">
        <v>1</v>
      </c>
      <c r="F159" s="274">
        <v>1</v>
      </c>
      <c r="G159" s="266" t="s">
        <v>268</v>
      </c>
      <c r="H159" s="189"/>
      <c r="I159" s="267">
        <v>2</v>
      </c>
      <c r="J159" s="274">
        <v>2</v>
      </c>
      <c r="K159" s="266" t="s">
        <v>268</v>
      </c>
      <c r="L159" s="189"/>
      <c r="M159" s="278">
        <v>4</v>
      </c>
      <c r="N159" s="274">
        <v>4</v>
      </c>
      <c r="O159" s="266" t="s">
        <v>268</v>
      </c>
      <c r="P159" s="189"/>
      <c r="Q159" s="267">
        <v>6</v>
      </c>
      <c r="R159" s="274">
        <v>6</v>
      </c>
      <c r="S159" s="266" t="s">
        <v>268</v>
      </c>
      <c r="T159" s="189"/>
      <c r="X159" s="15"/>
      <c r="Y159" s="278"/>
      <c r="Z159" s="278"/>
      <c r="AA159" s="306"/>
      <c r="AB159" s="212"/>
    </row>
    <row r="160" spans="2:28" s="16" customFormat="1">
      <c r="B160" s="179"/>
      <c r="C160" s="15"/>
      <c r="D160" s="15"/>
      <c r="E160" s="217" t="s">
        <v>392</v>
      </c>
      <c r="F160" s="275" t="s">
        <v>392</v>
      </c>
      <c r="G160" s="266"/>
      <c r="H160" s="276"/>
      <c r="I160" s="217" t="s">
        <v>392</v>
      </c>
      <c r="J160" s="275" t="s">
        <v>392</v>
      </c>
      <c r="K160" s="266"/>
      <c r="L160" s="276"/>
      <c r="M160" s="307" t="s">
        <v>155</v>
      </c>
      <c r="N160" s="275" t="s">
        <v>155</v>
      </c>
      <c r="O160" s="266"/>
      <c r="P160" s="276"/>
      <c r="Q160" s="217" t="s">
        <v>393</v>
      </c>
      <c r="R160" s="275" t="s">
        <v>393</v>
      </c>
      <c r="S160" s="266"/>
      <c r="T160" s="276"/>
      <c r="X160" s="15"/>
      <c r="Y160" s="307"/>
      <c r="Z160" s="307"/>
      <c r="AA160" s="306"/>
      <c r="AB160" s="15"/>
    </row>
    <row r="161" spans="2:28" s="16" customFormat="1">
      <c r="B161" s="179"/>
      <c r="C161" s="15"/>
      <c r="D161" s="15"/>
      <c r="E161" s="217" t="s">
        <v>394</v>
      </c>
      <c r="F161" s="275" t="s">
        <v>394</v>
      </c>
      <c r="G161" s="266" t="s">
        <v>16</v>
      </c>
      <c r="H161" s="189"/>
      <c r="I161" s="217" t="s">
        <v>394</v>
      </c>
      <c r="J161" s="275" t="s">
        <v>394</v>
      </c>
      <c r="K161" s="266" t="s">
        <v>16</v>
      </c>
      <c r="L161" s="189"/>
      <c r="M161" s="307" t="s">
        <v>395</v>
      </c>
      <c r="N161" s="275" t="s">
        <v>395</v>
      </c>
      <c r="O161" s="266" t="s">
        <v>16</v>
      </c>
      <c r="P161" s="189"/>
      <c r="Q161" s="217" t="s">
        <v>396</v>
      </c>
      <c r="R161" s="275" t="s">
        <v>396</v>
      </c>
      <c r="S161" s="266" t="s">
        <v>16</v>
      </c>
      <c r="T161" s="189"/>
      <c r="X161" s="15"/>
      <c r="Y161" s="307"/>
      <c r="Z161" s="307"/>
      <c r="AA161" s="306"/>
      <c r="AB161" s="212"/>
    </row>
    <row r="162" spans="2:28" s="16" customFormat="1">
      <c r="B162" s="179"/>
      <c r="C162" s="15"/>
      <c r="D162" s="237" t="s">
        <v>397</v>
      </c>
      <c r="E162" s="217" t="s">
        <v>398</v>
      </c>
      <c r="F162" s="275" t="s">
        <v>398</v>
      </c>
      <c r="G162" s="217"/>
      <c r="H162" s="275"/>
      <c r="I162" s="217" t="s">
        <v>155</v>
      </c>
      <c r="J162" s="275" t="s">
        <v>155</v>
      </c>
      <c r="K162" s="217"/>
      <c r="L162" s="275"/>
      <c r="M162" s="307" t="s">
        <v>399</v>
      </c>
      <c r="N162" s="275" t="s">
        <v>399</v>
      </c>
      <c r="O162" s="217"/>
      <c r="P162" s="275"/>
      <c r="Q162" s="179"/>
      <c r="R162" s="276"/>
      <c r="S162" s="179"/>
      <c r="T162" s="276"/>
      <c r="X162" s="15"/>
      <c r="Y162" s="15"/>
      <c r="Z162" s="15"/>
      <c r="AA162" s="15"/>
      <c r="AB162" s="15"/>
    </row>
    <row r="163" spans="2:28" s="16" customFormat="1" ht="13.8" thickBot="1">
      <c r="B163" s="23"/>
      <c r="C163" s="25"/>
      <c r="D163" s="25"/>
      <c r="E163" s="220" t="s">
        <v>16</v>
      </c>
      <c r="F163" s="277" t="s">
        <v>16</v>
      </c>
      <c r="G163" s="220"/>
      <c r="H163" s="277"/>
      <c r="I163" s="220" t="s">
        <v>16</v>
      </c>
      <c r="J163" s="277" t="s">
        <v>16</v>
      </c>
      <c r="K163" s="220"/>
      <c r="L163" s="277"/>
      <c r="M163" s="314" t="s">
        <v>16</v>
      </c>
      <c r="N163" s="277" t="s">
        <v>16</v>
      </c>
      <c r="O163" s="220"/>
      <c r="P163" s="277"/>
      <c r="Q163" s="220" t="s">
        <v>16</v>
      </c>
      <c r="R163" s="277" t="s">
        <v>16</v>
      </c>
      <c r="S163" s="220"/>
      <c r="T163" s="277"/>
      <c r="X163" s="15"/>
      <c r="Y163" s="307"/>
      <c r="Z163" s="307"/>
      <c r="AA163" s="307"/>
      <c r="AB163" s="307"/>
    </row>
    <row r="164" spans="2:28" s="16" customFormat="1">
      <c r="B164" s="179"/>
      <c r="C164" s="278">
        <v>1</v>
      </c>
      <c r="D164" s="237" t="s">
        <v>400</v>
      </c>
      <c r="E164" s="179"/>
      <c r="F164" s="276"/>
      <c r="G164" s="179"/>
      <c r="H164" s="344"/>
      <c r="I164" s="179"/>
      <c r="J164" s="276"/>
      <c r="K164" s="267"/>
      <c r="L164" s="274"/>
      <c r="M164" s="15"/>
      <c r="N164" s="276"/>
      <c r="O164" s="179"/>
      <c r="P164" s="276"/>
      <c r="Q164" s="179"/>
      <c r="R164" s="276"/>
      <c r="S164" s="179"/>
      <c r="T164" s="276"/>
      <c r="X164" s="15"/>
      <c r="Y164" s="15"/>
      <c r="Z164" s="15"/>
      <c r="AA164" s="15"/>
      <c r="AB164" s="15"/>
    </row>
    <row r="165" spans="2:28" s="16" customFormat="1">
      <c r="B165" s="179"/>
      <c r="C165" s="15"/>
      <c r="D165" s="237" t="s">
        <v>401</v>
      </c>
      <c r="E165" s="279">
        <v>0</v>
      </c>
      <c r="F165" s="280">
        <v>0</v>
      </c>
      <c r="G165" s="356">
        <f>E165-F165</f>
        <v>0</v>
      </c>
      <c r="H165" s="358" t="str">
        <f>IF(AND(OR(E165=0,F165&lt;&gt;0),OR(F165=0,E165&lt;&gt;0)),IF((E165+F165+G165&lt;&gt;0),IF(AND(OR(E165&gt;0,F165&lt;0),OR(F165&gt;0,E165&lt;0)),ABS(G165/MIN(ABS(F165),ABS(E165))),20),"-"),20)</f>
        <v>-</v>
      </c>
      <c r="I165" s="279">
        <v>0</v>
      </c>
      <c r="J165" s="280">
        <v>0</v>
      </c>
      <c r="K165" s="356">
        <f>I165-J165</f>
        <v>0</v>
      </c>
      <c r="L165" s="358" t="str">
        <f>IF(AND(OR(I165=0,J165&lt;&gt;0),OR(J165=0,I165&lt;&gt;0)),IF((I165+J165+K165&lt;&gt;0),IF(AND(OR(I165&gt;0,J165&lt;0),OR(J165&gt;0,I165&lt;0)),ABS(K165/MIN(ABS(J165),ABS(I165))),20),"-"),20)</f>
        <v>-</v>
      </c>
      <c r="M165" s="280">
        <v>0</v>
      </c>
      <c r="N165" s="280">
        <v>0</v>
      </c>
      <c r="O165" s="356">
        <f>M165-N165</f>
        <v>0</v>
      </c>
      <c r="P165" s="358" t="str">
        <f>IF(AND(OR(M165=0,N165&lt;&gt;0),OR(N165=0,M165&lt;&gt;0)),IF((M165+N165+O165&lt;&gt;0),IF(AND(OR(M165&gt;0,N165&lt;0),OR(N165&gt;0,M165&lt;0)),ABS(O165/MIN(ABS(N165),ABS(M165))),20),"-"),20)</f>
        <v>-</v>
      </c>
      <c r="Q165" s="224" t="s">
        <v>402</v>
      </c>
      <c r="R165" s="281" t="s">
        <v>402</v>
      </c>
      <c r="S165" s="224" t="s">
        <v>402</v>
      </c>
      <c r="T165" s="281" t="s">
        <v>402</v>
      </c>
      <c r="U165" s="468" t="str">
        <f>IF(OR(OR(AND(OR((H165)&gt;10,(H165)&lt;-10),OR((G165)&gt;750,(G165)&lt;-750)),(AND(OR((L165)&gt;10,(L165)&lt;-10),OR((K165)&gt;750,(K165)&lt;-750))),(AND(OR((P165)&gt;10,(P165)&lt;-10),OR((O165)&gt;750,(O165)&lt;-750))))),"QUERY","")</f>
        <v/>
      </c>
      <c r="V165" s="468" t="str">
        <f>IF(OR(OR(AND(OR((H165)&gt;10,(H165)&lt;-10),OR((G165)&gt;750,(G165)&lt;-750)),(AND(OR((L165)&gt;10,(L165)&lt;-10),OR((K165)&gt;750,(K165)&lt;-750))),(AND(OR((P165)&gt;10,(P165)&lt;-10),OR((O165)&gt;750,(O165)&lt;-750))))),"QUERY - " &amp; (D165) &amp; " 2002/03 2001/02 difference in Acc. Staff Costs / Other Staff Costs / Other Op. Expenses","")</f>
        <v/>
      </c>
      <c r="X165" s="15"/>
      <c r="Y165" s="308"/>
      <c r="Z165" s="308"/>
      <c r="AA165" s="309"/>
      <c r="AB165" s="310"/>
    </row>
    <row r="166" spans="2:28" s="16" customFormat="1">
      <c r="B166" s="179"/>
      <c r="C166" s="15"/>
      <c r="D166" s="237" t="s">
        <v>403</v>
      </c>
      <c r="E166" s="279">
        <v>0</v>
      </c>
      <c r="F166" s="280">
        <v>0</v>
      </c>
      <c r="G166" s="356">
        <f t="shared" ref="G166:G205" si="21">E166-F166</f>
        <v>0</v>
      </c>
      <c r="H166" s="358" t="str">
        <f t="shared" ref="H166:H215" si="22">IF(AND(OR(E166=0,F166&lt;&gt;0),OR(F166=0,E166&lt;&gt;0)),IF((E166+F166+G166&lt;&gt;0),IF(AND(OR(E166&gt;0,F166&lt;0),OR(F166&gt;0,E166&lt;0)),ABS(G166/MIN(ABS(F166),ABS(E166))),20),"-"),20)</f>
        <v>-</v>
      </c>
      <c r="I166" s="279">
        <v>0</v>
      </c>
      <c r="J166" s="280">
        <v>0</v>
      </c>
      <c r="K166" s="356">
        <f t="shared" ref="K166:K205" si="23">I166-J166</f>
        <v>0</v>
      </c>
      <c r="L166" s="358" t="str">
        <f t="shared" ref="L166:L215" si="24">IF(AND(OR(I166=0,J166&lt;&gt;0),OR(J166=0,I166&lt;&gt;0)),IF((I166+J166+K166&lt;&gt;0),IF(AND(OR(I166&gt;0,J166&lt;0),OR(J166&gt;0,I166&lt;0)),ABS(K166/MIN(ABS(J166),ABS(I166))),20),"-"),20)</f>
        <v>-</v>
      </c>
      <c r="M166" s="280">
        <v>0</v>
      </c>
      <c r="N166" s="280">
        <v>0</v>
      </c>
      <c r="O166" s="356">
        <f t="shared" ref="O166:O221" si="25">M166-N166</f>
        <v>0</v>
      </c>
      <c r="P166" s="358" t="str">
        <f t="shared" ref="P166:P229" si="26">IF(AND(OR(M166=0,N166&lt;&gt;0),OR(N166=0,M166&lt;&gt;0)),IF((M166+N166+O166&lt;&gt;0),IF(AND(OR(M166&gt;0,N166&lt;0),OR(N166&gt;0,M166&lt;0)),ABS(O166/MIN(ABS(N166),ABS(M166))),20),"-"),20)</f>
        <v>-</v>
      </c>
      <c r="Q166" s="224" t="s">
        <v>402</v>
      </c>
      <c r="R166" s="281" t="s">
        <v>402</v>
      </c>
      <c r="S166" s="224" t="s">
        <v>402</v>
      </c>
      <c r="T166" s="281" t="s">
        <v>402</v>
      </c>
      <c r="U166" s="468" t="str">
        <f>IF(OR(OR(AND(OR((H166)&gt;10,(H166)&lt;-10),OR((G166)&gt;750,(G166)&lt;-750)),(AND(OR((L166)&gt;10,(L166)&lt;-10),OR((K166)&gt;750,(K166)&lt;-750))),(AND(OR((P166)&gt;10,(P166)&lt;-10),OR((O166)&gt;750,(O166)&lt;-750))))),"QUERY","")</f>
        <v/>
      </c>
      <c r="V166" s="468" t="str">
        <f t="shared" ref="V166:V204" si="27">IF(OR(OR(AND(OR((H166)&gt;10,(H166)&lt;-10),OR((G166)&gt;750,(G166)&lt;-750)),(AND(OR((L166)&gt;10,(L166)&lt;-10),OR((K166)&gt;750,(K166)&lt;-750))),(AND(OR((P166)&gt;10,(P166)&lt;-10),OR((O166)&gt;750,(O166)&lt;-750))))),"QUERY - " &amp; (D166) &amp; " 2002/03 2001/02 difference in Acc. Staff Costs / Other Staff Costs / Other Op. Expenses","")</f>
        <v/>
      </c>
      <c r="X166" s="15"/>
      <c r="Y166" s="308"/>
      <c r="Z166" s="308"/>
      <c r="AA166" s="309"/>
      <c r="AB166" s="310"/>
    </row>
    <row r="167" spans="2:28" s="16" customFormat="1">
      <c r="B167" s="179"/>
      <c r="C167" s="15"/>
      <c r="D167" s="237" t="s">
        <v>404</v>
      </c>
      <c r="E167" s="279">
        <v>0</v>
      </c>
      <c r="F167" s="280">
        <v>0</v>
      </c>
      <c r="G167" s="356">
        <f t="shared" si="21"/>
        <v>0</v>
      </c>
      <c r="H167" s="358" t="str">
        <f t="shared" si="22"/>
        <v>-</v>
      </c>
      <c r="I167" s="279">
        <v>0</v>
      </c>
      <c r="J167" s="280">
        <v>0</v>
      </c>
      <c r="K167" s="356">
        <f t="shared" si="23"/>
        <v>0</v>
      </c>
      <c r="L167" s="358" t="str">
        <f t="shared" si="24"/>
        <v>-</v>
      </c>
      <c r="M167" s="280">
        <v>0</v>
      </c>
      <c r="N167" s="280">
        <v>0</v>
      </c>
      <c r="O167" s="356">
        <f t="shared" si="25"/>
        <v>0</v>
      </c>
      <c r="P167" s="358" t="str">
        <f t="shared" si="26"/>
        <v>-</v>
      </c>
      <c r="Q167" s="224" t="s">
        <v>402</v>
      </c>
      <c r="R167" s="281" t="s">
        <v>402</v>
      </c>
      <c r="S167" s="224" t="s">
        <v>402</v>
      </c>
      <c r="T167" s="281" t="s">
        <v>402</v>
      </c>
      <c r="U167" s="468" t="str">
        <f t="shared" ref="U167:U230" si="28">IF(OR(OR(AND(OR((H167)&gt;10,(H167)&lt;-10),OR((G167)&gt;750,(G167)&lt;-750)),(AND(OR((L167)&gt;10,(L167)&lt;-10),OR((K167)&gt;750,(K167)&lt;-750))),(AND(OR((P167)&gt;10,(P167)&lt;-10),OR((O167)&gt;750,(O167)&lt;-750))))),"QUERY","")</f>
        <v/>
      </c>
      <c r="V167" s="468" t="str">
        <f t="shared" si="27"/>
        <v/>
      </c>
      <c r="X167" s="15"/>
      <c r="Y167" s="308"/>
      <c r="Z167" s="308"/>
      <c r="AA167" s="309"/>
      <c r="AB167" s="310"/>
    </row>
    <row r="168" spans="2:28" s="16" customFormat="1">
      <c r="B168" s="179"/>
      <c r="C168" s="15"/>
      <c r="D168" s="237" t="s">
        <v>405</v>
      </c>
      <c r="E168" s="279">
        <v>0</v>
      </c>
      <c r="F168" s="280">
        <v>0</v>
      </c>
      <c r="G168" s="356">
        <f t="shared" si="21"/>
        <v>0</v>
      </c>
      <c r="H168" s="358" t="str">
        <f t="shared" si="22"/>
        <v>-</v>
      </c>
      <c r="I168" s="279">
        <v>0</v>
      </c>
      <c r="J168" s="280">
        <v>0</v>
      </c>
      <c r="K168" s="356">
        <f t="shared" si="23"/>
        <v>0</v>
      </c>
      <c r="L168" s="358" t="str">
        <f t="shared" si="24"/>
        <v>-</v>
      </c>
      <c r="M168" s="280">
        <v>0</v>
      </c>
      <c r="N168" s="280">
        <v>0</v>
      </c>
      <c r="O168" s="356">
        <f t="shared" si="25"/>
        <v>0</v>
      </c>
      <c r="P168" s="358" t="str">
        <f t="shared" si="26"/>
        <v>-</v>
      </c>
      <c r="Q168" s="224" t="s">
        <v>402</v>
      </c>
      <c r="R168" s="281" t="s">
        <v>402</v>
      </c>
      <c r="S168" s="224" t="s">
        <v>402</v>
      </c>
      <c r="T168" s="281" t="s">
        <v>402</v>
      </c>
      <c r="U168" s="468" t="str">
        <f t="shared" si="28"/>
        <v/>
      </c>
      <c r="V168" s="468" t="str">
        <f t="shared" si="27"/>
        <v/>
      </c>
      <c r="X168" s="15"/>
      <c r="Y168" s="308"/>
      <c r="Z168" s="308"/>
      <c r="AA168" s="309"/>
      <c r="AB168" s="310"/>
    </row>
    <row r="169" spans="2:28" s="16" customFormat="1">
      <c r="B169" s="179"/>
      <c r="C169" s="15"/>
      <c r="D169" s="237" t="s">
        <v>406</v>
      </c>
      <c r="E169" s="279">
        <v>0</v>
      </c>
      <c r="F169" s="280">
        <v>0</v>
      </c>
      <c r="G169" s="356">
        <f t="shared" si="21"/>
        <v>0</v>
      </c>
      <c r="H169" s="358" t="str">
        <f t="shared" si="22"/>
        <v>-</v>
      </c>
      <c r="I169" s="279">
        <v>0</v>
      </c>
      <c r="J169" s="280">
        <v>0</v>
      </c>
      <c r="K169" s="356">
        <f t="shared" si="23"/>
        <v>0</v>
      </c>
      <c r="L169" s="358" t="str">
        <f t="shared" si="24"/>
        <v>-</v>
      </c>
      <c r="M169" s="280">
        <v>0</v>
      </c>
      <c r="N169" s="280">
        <v>0</v>
      </c>
      <c r="O169" s="356">
        <f t="shared" si="25"/>
        <v>0</v>
      </c>
      <c r="P169" s="358" t="str">
        <f t="shared" si="26"/>
        <v>-</v>
      </c>
      <c r="Q169" s="224" t="s">
        <v>402</v>
      </c>
      <c r="R169" s="281" t="s">
        <v>402</v>
      </c>
      <c r="S169" s="224" t="s">
        <v>402</v>
      </c>
      <c r="T169" s="281" t="s">
        <v>402</v>
      </c>
      <c r="U169" s="468" t="str">
        <f t="shared" si="28"/>
        <v/>
      </c>
      <c r="V169" s="468" t="str">
        <f t="shared" si="27"/>
        <v/>
      </c>
      <c r="X169" s="15"/>
      <c r="Y169" s="308"/>
      <c r="Z169" s="308"/>
      <c r="AA169" s="309"/>
      <c r="AB169" s="310"/>
    </row>
    <row r="170" spans="2:28" s="16" customFormat="1">
      <c r="B170" s="179"/>
      <c r="C170" s="15"/>
      <c r="D170" s="237" t="s">
        <v>407</v>
      </c>
      <c r="E170" s="279">
        <v>0</v>
      </c>
      <c r="F170" s="280">
        <v>0</v>
      </c>
      <c r="G170" s="356">
        <f t="shared" si="21"/>
        <v>0</v>
      </c>
      <c r="H170" s="358" t="str">
        <f t="shared" si="22"/>
        <v>-</v>
      </c>
      <c r="I170" s="279">
        <v>0</v>
      </c>
      <c r="J170" s="280">
        <v>0</v>
      </c>
      <c r="K170" s="356">
        <f t="shared" si="23"/>
        <v>0</v>
      </c>
      <c r="L170" s="358" t="str">
        <f t="shared" si="24"/>
        <v>-</v>
      </c>
      <c r="M170" s="280">
        <v>0</v>
      </c>
      <c r="N170" s="280">
        <v>0</v>
      </c>
      <c r="O170" s="356">
        <f t="shared" si="25"/>
        <v>0</v>
      </c>
      <c r="P170" s="358" t="str">
        <f t="shared" si="26"/>
        <v>-</v>
      </c>
      <c r="Q170" s="224" t="s">
        <v>402</v>
      </c>
      <c r="R170" s="281" t="s">
        <v>402</v>
      </c>
      <c r="S170" s="224" t="s">
        <v>402</v>
      </c>
      <c r="T170" s="281" t="s">
        <v>402</v>
      </c>
      <c r="U170" s="468" t="str">
        <f t="shared" si="28"/>
        <v/>
      </c>
      <c r="V170" s="468" t="str">
        <f t="shared" si="27"/>
        <v/>
      </c>
      <c r="X170" s="15"/>
      <c r="Y170" s="308"/>
      <c r="Z170" s="308"/>
      <c r="AA170" s="309"/>
      <c r="AB170" s="310"/>
    </row>
    <row r="171" spans="2:28" s="16" customFormat="1">
      <c r="B171" s="179"/>
      <c r="C171" s="15"/>
      <c r="D171" s="237" t="s">
        <v>408</v>
      </c>
      <c r="E171" s="279">
        <v>0</v>
      </c>
      <c r="F171" s="280">
        <v>0</v>
      </c>
      <c r="G171" s="356">
        <f t="shared" si="21"/>
        <v>0</v>
      </c>
      <c r="H171" s="358" t="str">
        <f t="shared" si="22"/>
        <v>-</v>
      </c>
      <c r="I171" s="279">
        <v>0</v>
      </c>
      <c r="J171" s="280">
        <v>0</v>
      </c>
      <c r="K171" s="356">
        <f t="shared" si="23"/>
        <v>0</v>
      </c>
      <c r="L171" s="358" t="str">
        <f t="shared" si="24"/>
        <v>-</v>
      </c>
      <c r="M171" s="280">
        <v>0</v>
      </c>
      <c r="N171" s="280">
        <v>0</v>
      </c>
      <c r="O171" s="356">
        <f t="shared" si="25"/>
        <v>0</v>
      </c>
      <c r="P171" s="358" t="str">
        <f t="shared" si="26"/>
        <v>-</v>
      </c>
      <c r="Q171" s="224" t="s">
        <v>402</v>
      </c>
      <c r="R171" s="281" t="s">
        <v>402</v>
      </c>
      <c r="S171" s="224" t="s">
        <v>402</v>
      </c>
      <c r="T171" s="281" t="s">
        <v>402</v>
      </c>
      <c r="U171" s="468" t="str">
        <f t="shared" si="28"/>
        <v/>
      </c>
      <c r="V171" s="468" t="str">
        <f t="shared" si="27"/>
        <v/>
      </c>
      <c r="X171" s="15"/>
      <c r="Y171" s="308"/>
      <c r="Z171" s="308"/>
      <c r="AA171" s="309"/>
      <c r="AB171" s="310"/>
    </row>
    <row r="172" spans="2:28" s="16" customFormat="1">
      <c r="B172" s="179"/>
      <c r="C172" s="15"/>
      <c r="D172" s="237" t="s">
        <v>409</v>
      </c>
      <c r="E172" s="279">
        <v>0</v>
      </c>
      <c r="F172" s="280">
        <v>0</v>
      </c>
      <c r="G172" s="356">
        <f t="shared" si="21"/>
        <v>0</v>
      </c>
      <c r="H172" s="358" t="str">
        <f t="shared" si="22"/>
        <v>-</v>
      </c>
      <c r="I172" s="279">
        <v>0</v>
      </c>
      <c r="J172" s="280">
        <v>0</v>
      </c>
      <c r="K172" s="356">
        <f t="shared" si="23"/>
        <v>0</v>
      </c>
      <c r="L172" s="358" t="str">
        <f t="shared" si="24"/>
        <v>-</v>
      </c>
      <c r="M172" s="280">
        <v>0</v>
      </c>
      <c r="N172" s="280">
        <v>0</v>
      </c>
      <c r="O172" s="356">
        <f t="shared" si="25"/>
        <v>0</v>
      </c>
      <c r="P172" s="358" t="str">
        <f t="shared" si="26"/>
        <v>-</v>
      </c>
      <c r="Q172" s="224" t="s">
        <v>402</v>
      </c>
      <c r="R172" s="281" t="s">
        <v>402</v>
      </c>
      <c r="S172" s="224" t="s">
        <v>402</v>
      </c>
      <c r="T172" s="281" t="s">
        <v>402</v>
      </c>
      <c r="U172" s="468" t="str">
        <f t="shared" si="28"/>
        <v/>
      </c>
      <c r="V172" s="468" t="str">
        <f t="shared" si="27"/>
        <v/>
      </c>
      <c r="X172" s="15"/>
      <c r="Y172" s="308"/>
      <c r="Z172" s="308"/>
      <c r="AA172" s="309"/>
      <c r="AB172" s="310"/>
    </row>
    <row r="173" spans="2:28" s="16" customFormat="1">
      <c r="B173" s="179"/>
      <c r="C173" s="15"/>
      <c r="D173" s="237" t="s">
        <v>410</v>
      </c>
      <c r="E173" s="279">
        <v>0</v>
      </c>
      <c r="F173" s="280">
        <v>0</v>
      </c>
      <c r="G173" s="356">
        <f t="shared" si="21"/>
        <v>0</v>
      </c>
      <c r="H173" s="358" t="str">
        <f t="shared" si="22"/>
        <v>-</v>
      </c>
      <c r="I173" s="279">
        <v>0</v>
      </c>
      <c r="J173" s="280">
        <v>0</v>
      </c>
      <c r="K173" s="356">
        <f t="shared" si="23"/>
        <v>0</v>
      </c>
      <c r="L173" s="358" t="str">
        <f t="shared" si="24"/>
        <v>-</v>
      </c>
      <c r="M173" s="280">
        <v>0</v>
      </c>
      <c r="N173" s="280">
        <v>0</v>
      </c>
      <c r="O173" s="356">
        <f t="shared" si="25"/>
        <v>0</v>
      </c>
      <c r="P173" s="358" t="str">
        <f t="shared" si="26"/>
        <v>-</v>
      </c>
      <c r="Q173" s="224" t="s">
        <v>402</v>
      </c>
      <c r="R173" s="281" t="s">
        <v>402</v>
      </c>
      <c r="S173" s="224" t="s">
        <v>402</v>
      </c>
      <c r="T173" s="281" t="s">
        <v>402</v>
      </c>
      <c r="U173" s="468" t="str">
        <f t="shared" si="28"/>
        <v/>
      </c>
      <c r="V173" s="468" t="str">
        <f t="shared" si="27"/>
        <v/>
      </c>
      <c r="X173" s="15"/>
      <c r="Y173" s="308"/>
      <c r="Z173" s="308"/>
      <c r="AA173" s="309"/>
      <c r="AB173" s="310"/>
    </row>
    <row r="174" spans="2:28" s="16" customFormat="1">
      <c r="B174" s="179"/>
      <c r="C174" s="15"/>
      <c r="D174" s="237" t="s">
        <v>299</v>
      </c>
      <c r="E174" s="279">
        <v>0</v>
      </c>
      <c r="F174" s="280">
        <v>0</v>
      </c>
      <c r="G174" s="356">
        <f t="shared" si="21"/>
        <v>0</v>
      </c>
      <c r="H174" s="358" t="str">
        <f t="shared" si="22"/>
        <v>-</v>
      </c>
      <c r="I174" s="279">
        <v>0</v>
      </c>
      <c r="J174" s="280">
        <v>0</v>
      </c>
      <c r="K174" s="356">
        <f t="shared" si="23"/>
        <v>0</v>
      </c>
      <c r="L174" s="358" t="str">
        <f t="shared" si="24"/>
        <v>-</v>
      </c>
      <c r="M174" s="280">
        <v>0</v>
      </c>
      <c r="N174" s="280">
        <v>0</v>
      </c>
      <c r="O174" s="356">
        <f t="shared" si="25"/>
        <v>0</v>
      </c>
      <c r="P174" s="358" t="str">
        <f t="shared" si="26"/>
        <v>-</v>
      </c>
      <c r="Q174" s="224" t="s">
        <v>402</v>
      </c>
      <c r="R174" s="281" t="s">
        <v>402</v>
      </c>
      <c r="S174" s="224" t="s">
        <v>402</v>
      </c>
      <c r="T174" s="281" t="s">
        <v>402</v>
      </c>
      <c r="U174" s="468" t="str">
        <f t="shared" si="28"/>
        <v/>
      </c>
      <c r="V174" s="468" t="str">
        <f t="shared" si="27"/>
        <v/>
      </c>
      <c r="X174" s="15"/>
      <c r="Y174" s="308"/>
      <c r="Z174" s="308"/>
      <c r="AA174" s="309"/>
      <c r="AB174" s="310"/>
    </row>
    <row r="175" spans="2:28" s="16" customFormat="1">
      <c r="B175" s="179"/>
      <c r="C175" s="15"/>
      <c r="D175" s="237" t="s">
        <v>300</v>
      </c>
      <c r="E175" s="279">
        <v>0</v>
      </c>
      <c r="F175" s="280">
        <v>0</v>
      </c>
      <c r="G175" s="356">
        <f t="shared" si="21"/>
        <v>0</v>
      </c>
      <c r="H175" s="358" t="str">
        <f t="shared" si="22"/>
        <v>-</v>
      </c>
      <c r="I175" s="279">
        <v>0</v>
      </c>
      <c r="J175" s="280">
        <v>0</v>
      </c>
      <c r="K175" s="356">
        <f t="shared" si="23"/>
        <v>0</v>
      </c>
      <c r="L175" s="358" t="str">
        <f t="shared" si="24"/>
        <v>-</v>
      </c>
      <c r="M175" s="280">
        <v>0</v>
      </c>
      <c r="N175" s="280">
        <v>0</v>
      </c>
      <c r="O175" s="356">
        <f t="shared" si="25"/>
        <v>0</v>
      </c>
      <c r="P175" s="358" t="str">
        <f t="shared" si="26"/>
        <v>-</v>
      </c>
      <c r="Q175" s="224" t="s">
        <v>402</v>
      </c>
      <c r="R175" s="281" t="s">
        <v>402</v>
      </c>
      <c r="S175" s="224" t="s">
        <v>402</v>
      </c>
      <c r="T175" s="281" t="s">
        <v>402</v>
      </c>
      <c r="U175" s="468" t="str">
        <f t="shared" si="28"/>
        <v/>
      </c>
      <c r="V175" s="468" t="str">
        <f t="shared" si="27"/>
        <v/>
      </c>
      <c r="X175" s="15"/>
      <c r="Y175" s="308"/>
      <c r="Z175" s="308"/>
      <c r="AA175" s="309"/>
      <c r="AB175" s="310"/>
    </row>
    <row r="176" spans="2:28" s="16" customFormat="1">
      <c r="B176" s="179"/>
      <c r="C176" s="15"/>
      <c r="D176" s="237" t="s">
        <v>301</v>
      </c>
      <c r="E176" s="279">
        <v>0</v>
      </c>
      <c r="F176" s="280">
        <v>0</v>
      </c>
      <c r="G176" s="356">
        <f t="shared" si="21"/>
        <v>0</v>
      </c>
      <c r="H176" s="358" t="str">
        <f t="shared" si="22"/>
        <v>-</v>
      </c>
      <c r="I176" s="279">
        <v>0</v>
      </c>
      <c r="J176" s="280">
        <v>0</v>
      </c>
      <c r="K176" s="356">
        <f t="shared" si="23"/>
        <v>0</v>
      </c>
      <c r="L176" s="358" t="str">
        <f t="shared" si="24"/>
        <v>-</v>
      </c>
      <c r="M176" s="280">
        <v>0</v>
      </c>
      <c r="N176" s="280">
        <v>0</v>
      </c>
      <c r="O176" s="356">
        <f t="shared" si="25"/>
        <v>0</v>
      </c>
      <c r="P176" s="358" t="str">
        <f t="shared" si="26"/>
        <v>-</v>
      </c>
      <c r="Q176" s="224" t="s">
        <v>402</v>
      </c>
      <c r="R176" s="281" t="s">
        <v>402</v>
      </c>
      <c r="S176" s="224" t="s">
        <v>402</v>
      </c>
      <c r="T176" s="281" t="s">
        <v>402</v>
      </c>
      <c r="U176" s="468" t="str">
        <f t="shared" si="28"/>
        <v/>
      </c>
      <c r="V176" s="468" t="str">
        <f t="shared" si="27"/>
        <v/>
      </c>
      <c r="X176" s="15"/>
      <c r="Y176" s="308"/>
      <c r="Z176" s="308"/>
      <c r="AA176" s="309"/>
      <c r="AB176" s="310"/>
    </row>
    <row r="177" spans="2:28" s="16" customFormat="1">
      <c r="B177" s="179"/>
      <c r="C177" s="15"/>
      <c r="D177" s="237" t="s">
        <v>302</v>
      </c>
      <c r="E177" s="279">
        <v>0</v>
      </c>
      <c r="F177" s="280">
        <v>0</v>
      </c>
      <c r="G177" s="356">
        <f t="shared" si="21"/>
        <v>0</v>
      </c>
      <c r="H177" s="358" t="str">
        <f t="shared" si="22"/>
        <v>-</v>
      </c>
      <c r="I177" s="279">
        <v>0</v>
      </c>
      <c r="J177" s="280">
        <v>0</v>
      </c>
      <c r="K177" s="356">
        <f t="shared" si="23"/>
        <v>0</v>
      </c>
      <c r="L177" s="358" t="str">
        <f t="shared" si="24"/>
        <v>-</v>
      </c>
      <c r="M177" s="280">
        <v>0</v>
      </c>
      <c r="N177" s="280">
        <v>0</v>
      </c>
      <c r="O177" s="356">
        <f t="shared" si="25"/>
        <v>0</v>
      </c>
      <c r="P177" s="358" t="str">
        <f t="shared" si="26"/>
        <v>-</v>
      </c>
      <c r="Q177" s="224" t="s">
        <v>402</v>
      </c>
      <c r="R177" s="281" t="s">
        <v>402</v>
      </c>
      <c r="S177" s="224" t="s">
        <v>402</v>
      </c>
      <c r="T177" s="281" t="s">
        <v>402</v>
      </c>
      <c r="U177" s="468" t="str">
        <f t="shared" si="28"/>
        <v/>
      </c>
      <c r="V177" s="468" t="str">
        <f t="shared" si="27"/>
        <v/>
      </c>
      <c r="X177" s="15"/>
      <c r="Y177" s="308"/>
      <c r="Z177" s="308"/>
      <c r="AA177" s="309"/>
      <c r="AB177" s="310"/>
    </row>
    <row r="178" spans="2:28" s="16" customFormat="1">
      <c r="B178" s="179"/>
      <c r="C178" s="15"/>
      <c r="D178" s="237" t="s">
        <v>303</v>
      </c>
      <c r="E178" s="279">
        <v>0</v>
      </c>
      <c r="F178" s="280">
        <v>0</v>
      </c>
      <c r="G178" s="356">
        <f t="shared" si="21"/>
        <v>0</v>
      </c>
      <c r="H178" s="358" t="str">
        <f t="shared" si="22"/>
        <v>-</v>
      </c>
      <c r="I178" s="279">
        <v>0</v>
      </c>
      <c r="J178" s="280">
        <v>0</v>
      </c>
      <c r="K178" s="356">
        <f t="shared" si="23"/>
        <v>0</v>
      </c>
      <c r="L178" s="358" t="str">
        <f t="shared" si="24"/>
        <v>-</v>
      </c>
      <c r="M178" s="280">
        <v>0</v>
      </c>
      <c r="N178" s="280">
        <v>0</v>
      </c>
      <c r="O178" s="356">
        <f t="shared" si="25"/>
        <v>0</v>
      </c>
      <c r="P178" s="358" t="str">
        <f t="shared" si="26"/>
        <v>-</v>
      </c>
      <c r="Q178" s="224" t="s">
        <v>402</v>
      </c>
      <c r="R178" s="281" t="s">
        <v>402</v>
      </c>
      <c r="S178" s="224" t="s">
        <v>402</v>
      </c>
      <c r="T178" s="281" t="s">
        <v>402</v>
      </c>
      <c r="U178" s="468" t="str">
        <f t="shared" si="28"/>
        <v/>
      </c>
      <c r="V178" s="468" t="str">
        <f t="shared" si="27"/>
        <v/>
      </c>
      <c r="X178" s="15"/>
      <c r="Y178" s="308"/>
      <c r="Z178" s="308"/>
      <c r="AA178" s="309"/>
      <c r="AB178" s="310"/>
    </row>
    <row r="179" spans="2:28" s="16" customFormat="1">
      <c r="B179" s="179"/>
      <c r="C179" s="15"/>
      <c r="D179" s="237" t="s">
        <v>304</v>
      </c>
      <c r="E179" s="279">
        <v>0</v>
      </c>
      <c r="F179" s="280">
        <v>0</v>
      </c>
      <c r="G179" s="356">
        <f t="shared" si="21"/>
        <v>0</v>
      </c>
      <c r="H179" s="358" t="str">
        <f t="shared" si="22"/>
        <v>-</v>
      </c>
      <c r="I179" s="279">
        <v>0</v>
      </c>
      <c r="J179" s="280">
        <v>0</v>
      </c>
      <c r="K179" s="356">
        <f t="shared" si="23"/>
        <v>0</v>
      </c>
      <c r="L179" s="358" t="str">
        <f t="shared" si="24"/>
        <v>-</v>
      </c>
      <c r="M179" s="280">
        <v>0</v>
      </c>
      <c r="N179" s="280">
        <v>0</v>
      </c>
      <c r="O179" s="356">
        <f t="shared" si="25"/>
        <v>0</v>
      </c>
      <c r="P179" s="358" t="str">
        <f t="shared" si="26"/>
        <v>-</v>
      </c>
      <c r="Q179" s="224" t="s">
        <v>402</v>
      </c>
      <c r="R179" s="281" t="s">
        <v>402</v>
      </c>
      <c r="S179" s="224" t="s">
        <v>402</v>
      </c>
      <c r="T179" s="281" t="s">
        <v>402</v>
      </c>
      <c r="U179" s="468" t="str">
        <f t="shared" si="28"/>
        <v/>
      </c>
      <c r="V179" s="468" t="str">
        <f t="shared" si="27"/>
        <v/>
      </c>
      <c r="X179" s="15"/>
      <c r="Y179" s="308"/>
      <c r="Z179" s="308"/>
      <c r="AA179" s="309"/>
      <c r="AB179" s="310"/>
    </row>
    <row r="180" spans="2:28" s="16" customFormat="1">
      <c r="B180" s="179"/>
      <c r="C180" s="15"/>
      <c r="D180" s="237" t="s">
        <v>305</v>
      </c>
      <c r="E180" s="279">
        <v>0</v>
      </c>
      <c r="F180" s="280">
        <v>0</v>
      </c>
      <c r="G180" s="356">
        <f t="shared" si="21"/>
        <v>0</v>
      </c>
      <c r="H180" s="358" t="str">
        <f t="shared" si="22"/>
        <v>-</v>
      </c>
      <c r="I180" s="279">
        <v>0</v>
      </c>
      <c r="J180" s="280">
        <v>0</v>
      </c>
      <c r="K180" s="356">
        <f t="shared" si="23"/>
        <v>0</v>
      </c>
      <c r="L180" s="358" t="str">
        <f t="shared" si="24"/>
        <v>-</v>
      </c>
      <c r="M180" s="280">
        <v>0</v>
      </c>
      <c r="N180" s="280">
        <v>0</v>
      </c>
      <c r="O180" s="356">
        <f t="shared" si="25"/>
        <v>0</v>
      </c>
      <c r="P180" s="358" t="str">
        <f t="shared" si="26"/>
        <v>-</v>
      </c>
      <c r="Q180" s="224" t="s">
        <v>402</v>
      </c>
      <c r="R180" s="281" t="s">
        <v>402</v>
      </c>
      <c r="S180" s="224" t="s">
        <v>402</v>
      </c>
      <c r="T180" s="281" t="s">
        <v>402</v>
      </c>
      <c r="U180" s="468" t="str">
        <f t="shared" si="28"/>
        <v/>
      </c>
      <c r="V180" s="468" t="str">
        <f t="shared" si="27"/>
        <v/>
      </c>
      <c r="X180" s="15"/>
      <c r="Y180" s="308"/>
      <c r="Z180" s="308"/>
      <c r="AA180" s="309"/>
      <c r="AB180" s="310"/>
    </row>
    <row r="181" spans="2:28" s="16" customFormat="1">
      <c r="B181" s="179"/>
      <c r="C181" s="15"/>
      <c r="D181" s="237" t="s">
        <v>306</v>
      </c>
      <c r="E181" s="279">
        <v>0</v>
      </c>
      <c r="F181" s="280">
        <v>0</v>
      </c>
      <c r="G181" s="356">
        <f t="shared" si="21"/>
        <v>0</v>
      </c>
      <c r="H181" s="358" t="str">
        <f t="shared" si="22"/>
        <v>-</v>
      </c>
      <c r="I181" s="279">
        <v>0</v>
      </c>
      <c r="J181" s="280">
        <v>0</v>
      </c>
      <c r="K181" s="356">
        <f t="shared" si="23"/>
        <v>0</v>
      </c>
      <c r="L181" s="358" t="str">
        <f t="shared" si="24"/>
        <v>-</v>
      </c>
      <c r="M181" s="280">
        <v>0</v>
      </c>
      <c r="N181" s="280">
        <v>0</v>
      </c>
      <c r="O181" s="356">
        <f t="shared" si="25"/>
        <v>0</v>
      </c>
      <c r="P181" s="358" t="str">
        <f t="shared" si="26"/>
        <v>-</v>
      </c>
      <c r="Q181" s="224" t="s">
        <v>402</v>
      </c>
      <c r="R181" s="281" t="s">
        <v>402</v>
      </c>
      <c r="S181" s="224" t="s">
        <v>402</v>
      </c>
      <c r="T181" s="281" t="s">
        <v>402</v>
      </c>
      <c r="U181" s="468" t="str">
        <f t="shared" si="28"/>
        <v/>
      </c>
      <c r="V181" s="468" t="str">
        <f t="shared" si="27"/>
        <v/>
      </c>
      <c r="X181" s="15"/>
      <c r="Y181" s="308"/>
      <c r="Z181" s="308"/>
      <c r="AA181" s="309"/>
      <c r="AB181" s="310"/>
    </row>
    <row r="182" spans="2:28" s="16" customFormat="1">
      <c r="B182" s="179"/>
      <c r="C182" s="15"/>
      <c r="D182" s="237" t="s">
        <v>307</v>
      </c>
      <c r="E182" s="279">
        <v>0</v>
      </c>
      <c r="F182" s="280">
        <v>0</v>
      </c>
      <c r="G182" s="356">
        <f t="shared" si="21"/>
        <v>0</v>
      </c>
      <c r="H182" s="358" t="str">
        <f t="shared" si="22"/>
        <v>-</v>
      </c>
      <c r="I182" s="279">
        <v>0</v>
      </c>
      <c r="J182" s="280">
        <v>0</v>
      </c>
      <c r="K182" s="356">
        <f t="shared" si="23"/>
        <v>0</v>
      </c>
      <c r="L182" s="358" t="str">
        <f t="shared" si="24"/>
        <v>-</v>
      </c>
      <c r="M182" s="280">
        <v>0</v>
      </c>
      <c r="N182" s="280">
        <v>0</v>
      </c>
      <c r="O182" s="356">
        <f t="shared" si="25"/>
        <v>0</v>
      </c>
      <c r="P182" s="358" t="str">
        <f t="shared" si="26"/>
        <v>-</v>
      </c>
      <c r="Q182" s="224" t="s">
        <v>402</v>
      </c>
      <c r="R182" s="281" t="s">
        <v>402</v>
      </c>
      <c r="S182" s="224" t="s">
        <v>402</v>
      </c>
      <c r="T182" s="281" t="s">
        <v>402</v>
      </c>
      <c r="U182" s="468" t="str">
        <f t="shared" si="28"/>
        <v/>
      </c>
      <c r="V182" s="468" t="str">
        <f t="shared" si="27"/>
        <v/>
      </c>
      <c r="X182" s="15"/>
      <c r="Y182" s="308"/>
      <c r="Z182" s="308"/>
      <c r="AA182" s="309"/>
      <c r="AB182" s="310"/>
    </row>
    <row r="183" spans="2:28" s="16" customFormat="1">
      <c r="B183" s="179"/>
      <c r="C183" s="15"/>
      <c r="D183" s="237" t="s">
        <v>308</v>
      </c>
      <c r="E183" s="279">
        <v>0</v>
      </c>
      <c r="F183" s="280">
        <v>0</v>
      </c>
      <c r="G183" s="356">
        <f t="shared" si="21"/>
        <v>0</v>
      </c>
      <c r="H183" s="358" t="str">
        <f t="shared" si="22"/>
        <v>-</v>
      </c>
      <c r="I183" s="279">
        <v>0</v>
      </c>
      <c r="J183" s="280">
        <v>0</v>
      </c>
      <c r="K183" s="356">
        <f t="shared" si="23"/>
        <v>0</v>
      </c>
      <c r="L183" s="358" t="str">
        <f t="shared" si="24"/>
        <v>-</v>
      </c>
      <c r="M183" s="280">
        <v>0</v>
      </c>
      <c r="N183" s="280">
        <v>0</v>
      </c>
      <c r="O183" s="356">
        <f t="shared" si="25"/>
        <v>0</v>
      </c>
      <c r="P183" s="358" t="str">
        <f t="shared" si="26"/>
        <v>-</v>
      </c>
      <c r="Q183" s="224" t="s">
        <v>402</v>
      </c>
      <c r="R183" s="281" t="s">
        <v>402</v>
      </c>
      <c r="S183" s="224" t="s">
        <v>402</v>
      </c>
      <c r="T183" s="281" t="s">
        <v>402</v>
      </c>
      <c r="U183" s="468" t="str">
        <f t="shared" si="28"/>
        <v/>
      </c>
      <c r="V183" s="468" t="str">
        <f t="shared" si="27"/>
        <v/>
      </c>
      <c r="X183" s="15"/>
      <c r="Y183" s="308"/>
      <c r="Z183" s="308"/>
      <c r="AA183" s="309"/>
      <c r="AB183" s="310"/>
    </row>
    <row r="184" spans="2:28" s="16" customFormat="1">
      <c r="B184" s="179"/>
      <c r="C184" s="15"/>
      <c r="D184" s="237" t="s">
        <v>309</v>
      </c>
      <c r="E184" s="279">
        <v>0</v>
      </c>
      <c r="F184" s="280">
        <v>0</v>
      </c>
      <c r="G184" s="356">
        <f t="shared" si="21"/>
        <v>0</v>
      </c>
      <c r="H184" s="358" t="str">
        <f t="shared" si="22"/>
        <v>-</v>
      </c>
      <c r="I184" s="279">
        <v>0</v>
      </c>
      <c r="J184" s="280">
        <v>0</v>
      </c>
      <c r="K184" s="356">
        <f t="shared" si="23"/>
        <v>0</v>
      </c>
      <c r="L184" s="358" t="str">
        <f t="shared" si="24"/>
        <v>-</v>
      </c>
      <c r="M184" s="280">
        <v>0</v>
      </c>
      <c r="N184" s="280">
        <v>0</v>
      </c>
      <c r="O184" s="356">
        <f t="shared" si="25"/>
        <v>0</v>
      </c>
      <c r="P184" s="358" t="str">
        <f t="shared" si="26"/>
        <v>-</v>
      </c>
      <c r="Q184" s="224" t="s">
        <v>402</v>
      </c>
      <c r="R184" s="281" t="s">
        <v>402</v>
      </c>
      <c r="S184" s="224" t="s">
        <v>402</v>
      </c>
      <c r="T184" s="281" t="s">
        <v>402</v>
      </c>
      <c r="U184" s="468" t="str">
        <f t="shared" si="28"/>
        <v/>
      </c>
      <c r="V184" s="468" t="str">
        <f t="shared" si="27"/>
        <v/>
      </c>
      <c r="X184" s="15"/>
      <c r="Y184" s="308"/>
      <c r="Z184" s="308"/>
      <c r="AA184" s="309"/>
      <c r="AB184" s="310"/>
    </row>
    <row r="185" spans="2:28" s="16" customFormat="1">
      <c r="B185" s="179"/>
      <c r="C185" s="15"/>
      <c r="D185" s="237" t="s">
        <v>310</v>
      </c>
      <c r="E185" s="279">
        <v>0</v>
      </c>
      <c r="F185" s="280">
        <v>0</v>
      </c>
      <c r="G185" s="356">
        <f t="shared" si="21"/>
        <v>0</v>
      </c>
      <c r="H185" s="358" t="str">
        <f t="shared" si="22"/>
        <v>-</v>
      </c>
      <c r="I185" s="279">
        <v>0</v>
      </c>
      <c r="J185" s="280">
        <v>0</v>
      </c>
      <c r="K185" s="356">
        <f t="shared" si="23"/>
        <v>0</v>
      </c>
      <c r="L185" s="358" t="str">
        <f t="shared" si="24"/>
        <v>-</v>
      </c>
      <c r="M185" s="280">
        <v>0</v>
      </c>
      <c r="N185" s="280">
        <v>0</v>
      </c>
      <c r="O185" s="356">
        <f t="shared" si="25"/>
        <v>0</v>
      </c>
      <c r="P185" s="358" t="str">
        <f t="shared" si="26"/>
        <v>-</v>
      </c>
      <c r="Q185" s="224" t="s">
        <v>402</v>
      </c>
      <c r="R185" s="281" t="s">
        <v>402</v>
      </c>
      <c r="S185" s="224" t="s">
        <v>402</v>
      </c>
      <c r="T185" s="281" t="s">
        <v>402</v>
      </c>
      <c r="U185" s="468" t="str">
        <f t="shared" si="28"/>
        <v/>
      </c>
      <c r="V185" s="468" t="str">
        <f t="shared" si="27"/>
        <v/>
      </c>
      <c r="X185" s="15"/>
      <c r="Y185" s="308"/>
      <c r="Z185" s="308"/>
      <c r="AA185" s="309"/>
      <c r="AB185" s="310"/>
    </row>
    <row r="186" spans="2:28" s="16" customFormat="1">
      <c r="B186" s="179"/>
      <c r="C186" s="15"/>
      <c r="D186" s="237" t="s">
        <v>311</v>
      </c>
      <c r="E186" s="279">
        <v>0</v>
      </c>
      <c r="F186" s="280">
        <v>0</v>
      </c>
      <c r="G186" s="356">
        <f t="shared" si="21"/>
        <v>0</v>
      </c>
      <c r="H186" s="358" t="str">
        <f t="shared" si="22"/>
        <v>-</v>
      </c>
      <c r="I186" s="279">
        <v>0</v>
      </c>
      <c r="J186" s="280">
        <v>0</v>
      </c>
      <c r="K186" s="356">
        <f t="shared" si="23"/>
        <v>0</v>
      </c>
      <c r="L186" s="358" t="str">
        <f t="shared" si="24"/>
        <v>-</v>
      </c>
      <c r="M186" s="280">
        <v>0</v>
      </c>
      <c r="N186" s="280">
        <v>0</v>
      </c>
      <c r="O186" s="356">
        <f t="shared" si="25"/>
        <v>0</v>
      </c>
      <c r="P186" s="358" t="str">
        <f t="shared" si="26"/>
        <v>-</v>
      </c>
      <c r="Q186" s="224" t="s">
        <v>402</v>
      </c>
      <c r="R186" s="281" t="s">
        <v>402</v>
      </c>
      <c r="S186" s="224" t="s">
        <v>402</v>
      </c>
      <c r="T186" s="281" t="s">
        <v>402</v>
      </c>
      <c r="U186" s="468" t="str">
        <f t="shared" si="28"/>
        <v/>
      </c>
      <c r="V186" s="468" t="str">
        <f t="shared" si="27"/>
        <v/>
      </c>
      <c r="X186" s="15"/>
      <c r="Y186" s="308"/>
      <c r="Z186" s="308"/>
      <c r="AA186" s="309"/>
      <c r="AB186" s="310"/>
    </row>
    <row r="187" spans="2:28" s="16" customFormat="1">
      <c r="B187" s="179"/>
      <c r="C187" s="15"/>
      <c r="D187" s="237" t="s">
        <v>312</v>
      </c>
      <c r="E187" s="279">
        <v>0</v>
      </c>
      <c r="F187" s="280">
        <v>0</v>
      </c>
      <c r="G187" s="356">
        <f t="shared" si="21"/>
        <v>0</v>
      </c>
      <c r="H187" s="358" t="str">
        <f t="shared" si="22"/>
        <v>-</v>
      </c>
      <c r="I187" s="279">
        <v>0</v>
      </c>
      <c r="J187" s="280">
        <v>0</v>
      </c>
      <c r="K187" s="356">
        <f t="shared" si="23"/>
        <v>0</v>
      </c>
      <c r="L187" s="358" t="str">
        <f t="shared" si="24"/>
        <v>-</v>
      </c>
      <c r="M187" s="280">
        <v>0</v>
      </c>
      <c r="N187" s="280">
        <v>0</v>
      </c>
      <c r="O187" s="356">
        <f t="shared" si="25"/>
        <v>0</v>
      </c>
      <c r="P187" s="358" t="str">
        <f t="shared" si="26"/>
        <v>-</v>
      </c>
      <c r="Q187" s="224" t="s">
        <v>402</v>
      </c>
      <c r="R187" s="281" t="s">
        <v>402</v>
      </c>
      <c r="S187" s="224" t="s">
        <v>402</v>
      </c>
      <c r="T187" s="281" t="s">
        <v>402</v>
      </c>
      <c r="U187" s="468" t="str">
        <f t="shared" si="28"/>
        <v/>
      </c>
      <c r="V187" s="468" t="str">
        <f t="shared" si="27"/>
        <v/>
      </c>
      <c r="X187" s="15"/>
      <c r="Y187" s="308"/>
      <c r="Z187" s="308"/>
      <c r="AA187" s="309"/>
      <c r="AB187" s="310"/>
    </row>
    <row r="188" spans="2:28" s="16" customFormat="1">
      <c r="B188" s="179"/>
      <c r="C188" s="15"/>
      <c r="D188" s="237" t="s">
        <v>313</v>
      </c>
      <c r="E188" s="279">
        <v>0</v>
      </c>
      <c r="F188" s="280">
        <v>0</v>
      </c>
      <c r="G188" s="356">
        <f t="shared" si="21"/>
        <v>0</v>
      </c>
      <c r="H188" s="358" t="str">
        <f t="shared" si="22"/>
        <v>-</v>
      </c>
      <c r="I188" s="279">
        <v>0</v>
      </c>
      <c r="J188" s="280">
        <v>0</v>
      </c>
      <c r="K188" s="356">
        <f t="shared" si="23"/>
        <v>0</v>
      </c>
      <c r="L188" s="358" t="str">
        <f t="shared" si="24"/>
        <v>-</v>
      </c>
      <c r="M188" s="280">
        <v>0</v>
      </c>
      <c r="N188" s="280">
        <v>0</v>
      </c>
      <c r="O188" s="356">
        <f t="shared" si="25"/>
        <v>0</v>
      </c>
      <c r="P188" s="358" t="str">
        <f t="shared" si="26"/>
        <v>-</v>
      </c>
      <c r="Q188" s="224" t="s">
        <v>402</v>
      </c>
      <c r="R188" s="281" t="s">
        <v>402</v>
      </c>
      <c r="S188" s="224" t="s">
        <v>402</v>
      </c>
      <c r="T188" s="281" t="s">
        <v>402</v>
      </c>
      <c r="U188" s="468" t="str">
        <f t="shared" si="28"/>
        <v/>
      </c>
      <c r="V188" s="468" t="str">
        <f t="shared" si="27"/>
        <v/>
      </c>
      <c r="X188" s="15"/>
      <c r="Y188" s="308"/>
      <c r="Z188" s="308"/>
      <c r="AA188" s="309"/>
      <c r="AB188" s="310"/>
    </row>
    <row r="189" spans="2:28" s="16" customFormat="1">
      <c r="B189" s="179"/>
      <c r="C189" s="15"/>
      <c r="D189" s="237" t="s">
        <v>314</v>
      </c>
      <c r="E189" s="279">
        <v>0</v>
      </c>
      <c r="F189" s="280">
        <v>0</v>
      </c>
      <c r="G189" s="356">
        <f t="shared" si="21"/>
        <v>0</v>
      </c>
      <c r="H189" s="358" t="str">
        <f t="shared" si="22"/>
        <v>-</v>
      </c>
      <c r="I189" s="279">
        <v>0</v>
      </c>
      <c r="J189" s="280">
        <v>0</v>
      </c>
      <c r="K189" s="356">
        <f t="shared" si="23"/>
        <v>0</v>
      </c>
      <c r="L189" s="358" t="str">
        <f t="shared" si="24"/>
        <v>-</v>
      </c>
      <c r="M189" s="280">
        <v>0</v>
      </c>
      <c r="N189" s="280">
        <v>0</v>
      </c>
      <c r="O189" s="356">
        <f t="shared" si="25"/>
        <v>0</v>
      </c>
      <c r="P189" s="358" t="str">
        <f t="shared" si="26"/>
        <v>-</v>
      </c>
      <c r="Q189" s="224" t="s">
        <v>402</v>
      </c>
      <c r="R189" s="281" t="s">
        <v>402</v>
      </c>
      <c r="S189" s="224" t="s">
        <v>402</v>
      </c>
      <c r="T189" s="281" t="s">
        <v>402</v>
      </c>
      <c r="U189" s="468" t="str">
        <f t="shared" si="28"/>
        <v/>
      </c>
      <c r="V189" s="468" t="str">
        <f t="shared" si="27"/>
        <v/>
      </c>
      <c r="X189" s="15"/>
      <c r="Y189" s="308"/>
      <c r="Z189" s="308"/>
      <c r="AA189" s="309"/>
      <c r="AB189" s="310"/>
    </row>
    <row r="190" spans="2:28" s="16" customFormat="1">
      <c r="B190" s="179"/>
      <c r="C190" s="15"/>
      <c r="D190" s="237" t="s">
        <v>315</v>
      </c>
      <c r="E190" s="279">
        <v>0</v>
      </c>
      <c r="F190" s="280">
        <v>0</v>
      </c>
      <c r="G190" s="356">
        <f t="shared" si="21"/>
        <v>0</v>
      </c>
      <c r="H190" s="358" t="str">
        <f t="shared" si="22"/>
        <v>-</v>
      </c>
      <c r="I190" s="279">
        <v>0</v>
      </c>
      <c r="J190" s="280">
        <v>0</v>
      </c>
      <c r="K190" s="356">
        <f t="shared" si="23"/>
        <v>0</v>
      </c>
      <c r="L190" s="358" t="str">
        <f t="shared" si="24"/>
        <v>-</v>
      </c>
      <c r="M190" s="280">
        <v>0</v>
      </c>
      <c r="N190" s="280">
        <v>0</v>
      </c>
      <c r="O190" s="356">
        <f t="shared" si="25"/>
        <v>0</v>
      </c>
      <c r="P190" s="358" t="str">
        <f t="shared" si="26"/>
        <v>-</v>
      </c>
      <c r="Q190" s="224" t="s">
        <v>402</v>
      </c>
      <c r="R190" s="281" t="s">
        <v>402</v>
      </c>
      <c r="S190" s="224" t="s">
        <v>402</v>
      </c>
      <c r="T190" s="281" t="s">
        <v>402</v>
      </c>
      <c r="U190" s="468" t="str">
        <f t="shared" si="28"/>
        <v/>
      </c>
      <c r="V190" s="468" t="str">
        <f t="shared" si="27"/>
        <v/>
      </c>
      <c r="X190" s="15"/>
      <c r="Y190" s="308"/>
      <c r="Z190" s="308"/>
      <c r="AA190" s="309"/>
      <c r="AB190" s="310"/>
    </row>
    <row r="191" spans="2:28" s="16" customFormat="1">
      <c r="B191" s="179"/>
      <c r="C191" s="15"/>
      <c r="D191" s="237" t="s">
        <v>316</v>
      </c>
      <c r="E191" s="279">
        <v>0</v>
      </c>
      <c r="F191" s="280">
        <v>0</v>
      </c>
      <c r="G191" s="356">
        <f t="shared" si="21"/>
        <v>0</v>
      </c>
      <c r="H191" s="358" t="str">
        <f t="shared" si="22"/>
        <v>-</v>
      </c>
      <c r="I191" s="279">
        <v>0</v>
      </c>
      <c r="J191" s="280">
        <v>0</v>
      </c>
      <c r="K191" s="356">
        <f t="shared" si="23"/>
        <v>0</v>
      </c>
      <c r="L191" s="358" t="str">
        <f t="shared" si="24"/>
        <v>-</v>
      </c>
      <c r="M191" s="280">
        <v>0</v>
      </c>
      <c r="N191" s="280">
        <v>0</v>
      </c>
      <c r="O191" s="356">
        <f t="shared" si="25"/>
        <v>0</v>
      </c>
      <c r="P191" s="358" t="str">
        <f t="shared" si="26"/>
        <v>-</v>
      </c>
      <c r="Q191" s="224" t="s">
        <v>402</v>
      </c>
      <c r="R191" s="281" t="s">
        <v>402</v>
      </c>
      <c r="S191" s="224" t="s">
        <v>402</v>
      </c>
      <c r="T191" s="281" t="s">
        <v>402</v>
      </c>
      <c r="U191" s="468" t="str">
        <f t="shared" si="28"/>
        <v/>
      </c>
      <c r="V191" s="468" t="str">
        <f t="shared" si="27"/>
        <v/>
      </c>
      <c r="X191" s="15"/>
      <c r="Y191" s="308"/>
      <c r="Z191" s="308"/>
      <c r="AA191" s="309"/>
      <c r="AB191" s="310"/>
    </row>
    <row r="192" spans="2:28" s="16" customFormat="1">
      <c r="B192" s="179"/>
      <c r="C192" s="15"/>
      <c r="D192" s="237" t="s">
        <v>317</v>
      </c>
      <c r="E192" s="279">
        <v>0</v>
      </c>
      <c r="F192" s="280">
        <v>0</v>
      </c>
      <c r="G192" s="356">
        <f t="shared" si="21"/>
        <v>0</v>
      </c>
      <c r="H192" s="358" t="str">
        <f t="shared" si="22"/>
        <v>-</v>
      </c>
      <c r="I192" s="279">
        <v>0</v>
      </c>
      <c r="J192" s="280">
        <v>0</v>
      </c>
      <c r="K192" s="356">
        <f t="shared" si="23"/>
        <v>0</v>
      </c>
      <c r="L192" s="358" t="str">
        <f t="shared" si="24"/>
        <v>-</v>
      </c>
      <c r="M192" s="280">
        <v>0</v>
      </c>
      <c r="N192" s="280">
        <v>0</v>
      </c>
      <c r="O192" s="356">
        <f t="shared" si="25"/>
        <v>0</v>
      </c>
      <c r="P192" s="358" t="str">
        <f t="shared" si="26"/>
        <v>-</v>
      </c>
      <c r="Q192" s="224" t="s">
        <v>402</v>
      </c>
      <c r="R192" s="281" t="s">
        <v>402</v>
      </c>
      <c r="S192" s="224" t="s">
        <v>402</v>
      </c>
      <c r="T192" s="281" t="s">
        <v>402</v>
      </c>
      <c r="U192" s="468" t="str">
        <f t="shared" si="28"/>
        <v/>
      </c>
      <c r="V192" s="468" t="str">
        <f t="shared" si="27"/>
        <v/>
      </c>
      <c r="X192" s="15"/>
      <c r="Y192" s="308"/>
      <c r="Z192" s="308"/>
      <c r="AA192" s="309"/>
      <c r="AB192" s="310"/>
    </row>
    <row r="193" spans="2:28" s="16" customFormat="1">
      <c r="B193" s="179"/>
      <c r="C193" s="15"/>
      <c r="D193" s="237" t="s">
        <v>318</v>
      </c>
      <c r="E193" s="279">
        <v>0</v>
      </c>
      <c r="F193" s="280">
        <v>0</v>
      </c>
      <c r="G193" s="356">
        <f t="shared" si="21"/>
        <v>0</v>
      </c>
      <c r="H193" s="358" t="str">
        <f t="shared" si="22"/>
        <v>-</v>
      </c>
      <c r="I193" s="279">
        <v>0</v>
      </c>
      <c r="J193" s="280">
        <v>0</v>
      </c>
      <c r="K193" s="356">
        <f t="shared" si="23"/>
        <v>0</v>
      </c>
      <c r="L193" s="358" t="str">
        <f t="shared" si="24"/>
        <v>-</v>
      </c>
      <c r="M193" s="280">
        <v>0</v>
      </c>
      <c r="N193" s="280">
        <v>0</v>
      </c>
      <c r="O193" s="356">
        <f t="shared" si="25"/>
        <v>0</v>
      </c>
      <c r="P193" s="358" t="str">
        <f t="shared" si="26"/>
        <v>-</v>
      </c>
      <c r="Q193" s="224" t="s">
        <v>402</v>
      </c>
      <c r="R193" s="281" t="s">
        <v>402</v>
      </c>
      <c r="S193" s="224" t="s">
        <v>402</v>
      </c>
      <c r="T193" s="281" t="s">
        <v>402</v>
      </c>
      <c r="U193" s="468" t="str">
        <f t="shared" si="28"/>
        <v/>
      </c>
      <c r="V193" s="468" t="str">
        <f t="shared" si="27"/>
        <v/>
      </c>
      <c r="X193" s="15"/>
      <c r="Y193" s="308"/>
      <c r="Z193" s="308"/>
      <c r="AA193" s="309"/>
      <c r="AB193" s="310"/>
    </row>
    <row r="194" spans="2:28" s="16" customFormat="1">
      <c r="B194" s="179"/>
      <c r="C194" s="15"/>
      <c r="D194" s="237" t="s">
        <v>319</v>
      </c>
      <c r="E194" s="279">
        <v>0</v>
      </c>
      <c r="F194" s="280">
        <v>0</v>
      </c>
      <c r="G194" s="356">
        <f t="shared" si="21"/>
        <v>0</v>
      </c>
      <c r="H194" s="358" t="str">
        <f t="shared" si="22"/>
        <v>-</v>
      </c>
      <c r="I194" s="279">
        <v>0</v>
      </c>
      <c r="J194" s="280">
        <v>0</v>
      </c>
      <c r="K194" s="356">
        <f t="shared" si="23"/>
        <v>0</v>
      </c>
      <c r="L194" s="358" t="str">
        <f t="shared" si="24"/>
        <v>-</v>
      </c>
      <c r="M194" s="280">
        <v>0</v>
      </c>
      <c r="N194" s="280">
        <v>0</v>
      </c>
      <c r="O194" s="356">
        <f t="shared" si="25"/>
        <v>0</v>
      </c>
      <c r="P194" s="358" t="str">
        <f t="shared" si="26"/>
        <v>-</v>
      </c>
      <c r="Q194" s="224" t="s">
        <v>402</v>
      </c>
      <c r="R194" s="281" t="s">
        <v>402</v>
      </c>
      <c r="S194" s="224" t="s">
        <v>402</v>
      </c>
      <c r="T194" s="281" t="s">
        <v>402</v>
      </c>
      <c r="U194" s="468" t="str">
        <f t="shared" si="28"/>
        <v/>
      </c>
      <c r="V194" s="468" t="str">
        <f t="shared" si="27"/>
        <v/>
      </c>
      <c r="X194" s="15"/>
      <c r="Y194" s="308"/>
      <c r="Z194" s="308"/>
      <c r="AA194" s="309"/>
      <c r="AB194" s="310"/>
    </row>
    <row r="195" spans="2:28" s="16" customFormat="1">
      <c r="B195" s="179"/>
      <c r="C195" s="15"/>
      <c r="D195" s="237" t="s">
        <v>320</v>
      </c>
      <c r="E195" s="279">
        <v>0</v>
      </c>
      <c r="F195" s="280">
        <v>0</v>
      </c>
      <c r="G195" s="356">
        <f t="shared" si="21"/>
        <v>0</v>
      </c>
      <c r="H195" s="358" t="str">
        <f t="shared" si="22"/>
        <v>-</v>
      </c>
      <c r="I195" s="279">
        <v>0</v>
      </c>
      <c r="J195" s="280">
        <v>0</v>
      </c>
      <c r="K195" s="356">
        <f t="shared" si="23"/>
        <v>0</v>
      </c>
      <c r="L195" s="358" t="str">
        <f t="shared" si="24"/>
        <v>-</v>
      </c>
      <c r="M195" s="280">
        <v>0</v>
      </c>
      <c r="N195" s="280">
        <v>0</v>
      </c>
      <c r="O195" s="356">
        <f t="shared" si="25"/>
        <v>0</v>
      </c>
      <c r="P195" s="358" t="str">
        <f t="shared" si="26"/>
        <v>-</v>
      </c>
      <c r="Q195" s="224" t="s">
        <v>402</v>
      </c>
      <c r="R195" s="281" t="s">
        <v>402</v>
      </c>
      <c r="S195" s="224" t="s">
        <v>402</v>
      </c>
      <c r="T195" s="281" t="s">
        <v>402</v>
      </c>
      <c r="U195" s="468" t="str">
        <f t="shared" si="28"/>
        <v/>
      </c>
      <c r="V195" s="468" t="str">
        <f t="shared" si="27"/>
        <v/>
      </c>
      <c r="X195" s="15"/>
      <c r="Y195" s="308"/>
      <c r="Z195" s="308"/>
      <c r="AA195" s="309"/>
      <c r="AB195" s="310"/>
    </row>
    <row r="196" spans="2:28" s="16" customFormat="1">
      <c r="B196" s="179"/>
      <c r="C196" s="15"/>
      <c r="D196" s="237" t="s">
        <v>321</v>
      </c>
      <c r="E196" s="279">
        <v>0</v>
      </c>
      <c r="F196" s="280">
        <v>0</v>
      </c>
      <c r="G196" s="356">
        <f t="shared" si="21"/>
        <v>0</v>
      </c>
      <c r="H196" s="358" t="str">
        <f t="shared" si="22"/>
        <v>-</v>
      </c>
      <c r="I196" s="279">
        <v>0</v>
      </c>
      <c r="J196" s="280">
        <v>0</v>
      </c>
      <c r="K196" s="356">
        <f t="shared" si="23"/>
        <v>0</v>
      </c>
      <c r="L196" s="358" t="str">
        <f t="shared" si="24"/>
        <v>-</v>
      </c>
      <c r="M196" s="280">
        <v>0</v>
      </c>
      <c r="N196" s="280">
        <v>0</v>
      </c>
      <c r="O196" s="356">
        <f t="shared" si="25"/>
        <v>0</v>
      </c>
      <c r="P196" s="358" t="str">
        <f t="shared" si="26"/>
        <v>-</v>
      </c>
      <c r="Q196" s="224" t="s">
        <v>402</v>
      </c>
      <c r="R196" s="281" t="s">
        <v>402</v>
      </c>
      <c r="S196" s="224" t="s">
        <v>402</v>
      </c>
      <c r="T196" s="281" t="s">
        <v>402</v>
      </c>
      <c r="U196" s="468" t="str">
        <f t="shared" si="28"/>
        <v/>
      </c>
      <c r="V196" s="468" t="str">
        <f t="shared" si="27"/>
        <v/>
      </c>
      <c r="X196" s="15"/>
      <c r="Y196" s="308"/>
      <c r="Z196" s="308"/>
      <c r="AA196" s="309"/>
      <c r="AB196" s="310"/>
    </row>
    <row r="197" spans="2:28" s="16" customFormat="1">
      <c r="B197" s="179"/>
      <c r="C197" s="15"/>
      <c r="D197" s="237" t="s">
        <v>322</v>
      </c>
      <c r="E197" s="279">
        <v>0</v>
      </c>
      <c r="F197" s="280">
        <v>0</v>
      </c>
      <c r="G197" s="356">
        <f t="shared" si="21"/>
        <v>0</v>
      </c>
      <c r="H197" s="358" t="str">
        <f t="shared" si="22"/>
        <v>-</v>
      </c>
      <c r="I197" s="279">
        <v>0</v>
      </c>
      <c r="J197" s="280">
        <v>0</v>
      </c>
      <c r="K197" s="356">
        <f t="shared" si="23"/>
        <v>0</v>
      </c>
      <c r="L197" s="358" t="str">
        <f t="shared" si="24"/>
        <v>-</v>
      </c>
      <c r="M197" s="280">
        <v>0</v>
      </c>
      <c r="N197" s="280">
        <v>0</v>
      </c>
      <c r="O197" s="356">
        <f t="shared" si="25"/>
        <v>0</v>
      </c>
      <c r="P197" s="358" t="str">
        <f t="shared" si="26"/>
        <v>-</v>
      </c>
      <c r="Q197" s="224" t="s">
        <v>402</v>
      </c>
      <c r="R197" s="281" t="s">
        <v>402</v>
      </c>
      <c r="S197" s="224" t="s">
        <v>402</v>
      </c>
      <c r="T197" s="281" t="s">
        <v>402</v>
      </c>
      <c r="U197" s="468" t="str">
        <f t="shared" si="28"/>
        <v/>
      </c>
      <c r="V197" s="468" t="str">
        <f t="shared" si="27"/>
        <v/>
      </c>
      <c r="X197" s="15"/>
      <c r="Y197" s="308"/>
      <c r="Z197" s="308"/>
      <c r="AA197" s="309"/>
      <c r="AB197" s="310"/>
    </row>
    <row r="198" spans="2:28" s="16" customFormat="1">
      <c r="B198" s="179"/>
      <c r="C198" s="15"/>
      <c r="D198" s="237" t="s">
        <v>323</v>
      </c>
      <c r="E198" s="279">
        <v>0</v>
      </c>
      <c r="F198" s="280">
        <v>0</v>
      </c>
      <c r="G198" s="356">
        <f t="shared" si="21"/>
        <v>0</v>
      </c>
      <c r="H198" s="358" t="str">
        <f t="shared" si="22"/>
        <v>-</v>
      </c>
      <c r="I198" s="279">
        <v>0</v>
      </c>
      <c r="J198" s="280">
        <v>0</v>
      </c>
      <c r="K198" s="356">
        <f t="shared" si="23"/>
        <v>0</v>
      </c>
      <c r="L198" s="358" t="str">
        <f t="shared" si="24"/>
        <v>-</v>
      </c>
      <c r="M198" s="280">
        <v>0</v>
      </c>
      <c r="N198" s="280">
        <v>0</v>
      </c>
      <c r="O198" s="356">
        <f t="shared" si="25"/>
        <v>0</v>
      </c>
      <c r="P198" s="358" t="str">
        <f t="shared" si="26"/>
        <v>-</v>
      </c>
      <c r="Q198" s="224" t="s">
        <v>402</v>
      </c>
      <c r="R198" s="281" t="s">
        <v>402</v>
      </c>
      <c r="S198" s="224" t="s">
        <v>402</v>
      </c>
      <c r="T198" s="281" t="s">
        <v>402</v>
      </c>
      <c r="U198" s="468" t="str">
        <f t="shared" si="28"/>
        <v/>
      </c>
      <c r="V198" s="468" t="str">
        <f t="shared" si="27"/>
        <v/>
      </c>
      <c r="X198" s="15"/>
      <c r="Y198" s="308"/>
      <c r="Z198" s="308"/>
      <c r="AA198" s="309"/>
      <c r="AB198" s="310"/>
    </row>
    <row r="199" spans="2:28" s="16" customFormat="1">
      <c r="B199" s="179"/>
      <c r="C199" s="15"/>
      <c r="D199" s="237" t="s">
        <v>324</v>
      </c>
      <c r="E199" s="279">
        <v>0</v>
      </c>
      <c r="F199" s="280">
        <v>0</v>
      </c>
      <c r="G199" s="356">
        <f t="shared" si="21"/>
        <v>0</v>
      </c>
      <c r="H199" s="358" t="str">
        <f t="shared" si="22"/>
        <v>-</v>
      </c>
      <c r="I199" s="279">
        <v>0</v>
      </c>
      <c r="J199" s="280">
        <v>0</v>
      </c>
      <c r="K199" s="356">
        <f t="shared" si="23"/>
        <v>0</v>
      </c>
      <c r="L199" s="358" t="str">
        <f t="shared" si="24"/>
        <v>-</v>
      </c>
      <c r="M199" s="280">
        <v>0</v>
      </c>
      <c r="N199" s="280">
        <v>0</v>
      </c>
      <c r="O199" s="356">
        <f t="shared" si="25"/>
        <v>0</v>
      </c>
      <c r="P199" s="358" t="str">
        <f t="shared" si="26"/>
        <v>-</v>
      </c>
      <c r="Q199" s="224" t="s">
        <v>402</v>
      </c>
      <c r="R199" s="281" t="s">
        <v>402</v>
      </c>
      <c r="S199" s="224" t="s">
        <v>402</v>
      </c>
      <c r="T199" s="281" t="s">
        <v>402</v>
      </c>
      <c r="U199" s="468" t="str">
        <f t="shared" si="28"/>
        <v/>
      </c>
      <c r="V199" s="468" t="str">
        <f t="shared" si="27"/>
        <v/>
      </c>
      <c r="X199" s="15"/>
      <c r="Y199" s="308"/>
      <c r="Z199" s="308"/>
      <c r="AA199" s="309"/>
      <c r="AB199" s="310"/>
    </row>
    <row r="200" spans="2:28" s="16" customFormat="1">
      <c r="B200" s="179"/>
      <c r="C200" s="15"/>
      <c r="D200" s="237" t="s">
        <v>325</v>
      </c>
      <c r="E200" s="279">
        <v>0</v>
      </c>
      <c r="F200" s="280">
        <v>0</v>
      </c>
      <c r="G200" s="356">
        <f t="shared" si="21"/>
        <v>0</v>
      </c>
      <c r="H200" s="358" t="str">
        <f t="shared" si="22"/>
        <v>-</v>
      </c>
      <c r="I200" s="279">
        <v>0</v>
      </c>
      <c r="J200" s="280">
        <v>0</v>
      </c>
      <c r="K200" s="356">
        <f t="shared" si="23"/>
        <v>0</v>
      </c>
      <c r="L200" s="358" t="str">
        <f t="shared" si="24"/>
        <v>-</v>
      </c>
      <c r="M200" s="280">
        <v>0</v>
      </c>
      <c r="N200" s="280">
        <v>0</v>
      </c>
      <c r="O200" s="356">
        <f t="shared" si="25"/>
        <v>0</v>
      </c>
      <c r="P200" s="358" t="str">
        <f t="shared" si="26"/>
        <v>-</v>
      </c>
      <c r="Q200" s="224" t="s">
        <v>402</v>
      </c>
      <c r="R200" s="281" t="s">
        <v>402</v>
      </c>
      <c r="S200" s="224" t="s">
        <v>402</v>
      </c>
      <c r="T200" s="281" t="s">
        <v>402</v>
      </c>
      <c r="U200" s="468" t="str">
        <f t="shared" si="28"/>
        <v/>
      </c>
      <c r="V200" s="468" t="str">
        <f t="shared" si="27"/>
        <v/>
      </c>
      <c r="X200" s="15"/>
      <c r="Y200" s="308"/>
      <c r="Z200" s="308"/>
      <c r="AA200" s="309"/>
      <c r="AB200" s="310"/>
    </row>
    <row r="201" spans="2:28" s="16" customFormat="1">
      <c r="B201" s="179"/>
      <c r="C201" s="15"/>
      <c r="D201" s="237" t="s">
        <v>326</v>
      </c>
      <c r="E201" s="279">
        <v>0</v>
      </c>
      <c r="F201" s="280">
        <v>0</v>
      </c>
      <c r="G201" s="356">
        <f t="shared" si="21"/>
        <v>0</v>
      </c>
      <c r="H201" s="358" t="str">
        <f t="shared" si="22"/>
        <v>-</v>
      </c>
      <c r="I201" s="279">
        <v>0</v>
      </c>
      <c r="J201" s="280">
        <v>0</v>
      </c>
      <c r="K201" s="356">
        <f t="shared" si="23"/>
        <v>0</v>
      </c>
      <c r="L201" s="358" t="str">
        <f t="shared" si="24"/>
        <v>-</v>
      </c>
      <c r="M201" s="280">
        <v>0</v>
      </c>
      <c r="N201" s="280">
        <v>0</v>
      </c>
      <c r="O201" s="356">
        <f t="shared" si="25"/>
        <v>0</v>
      </c>
      <c r="P201" s="358" t="str">
        <f t="shared" si="26"/>
        <v>-</v>
      </c>
      <c r="Q201" s="224" t="s">
        <v>402</v>
      </c>
      <c r="R201" s="281" t="s">
        <v>402</v>
      </c>
      <c r="S201" s="224" t="s">
        <v>402</v>
      </c>
      <c r="T201" s="281" t="s">
        <v>402</v>
      </c>
      <c r="U201" s="468" t="str">
        <f t="shared" si="28"/>
        <v/>
      </c>
      <c r="V201" s="468" t="str">
        <f t="shared" si="27"/>
        <v/>
      </c>
      <c r="X201" s="15"/>
      <c r="Y201" s="308"/>
      <c r="Z201" s="308"/>
      <c r="AA201" s="309"/>
      <c r="AB201" s="310"/>
    </row>
    <row r="202" spans="2:28" s="16" customFormat="1">
      <c r="B202" s="179"/>
      <c r="C202" s="15"/>
      <c r="D202" s="237" t="s">
        <v>327</v>
      </c>
      <c r="E202" s="279">
        <v>0</v>
      </c>
      <c r="F202" s="280">
        <v>0</v>
      </c>
      <c r="G202" s="356">
        <f t="shared" si="21"/>
        <v>0</v>
      </c>
      <c r="H202" s="358" t="str">
        <f t="shared" si="22"/>
        <v>-</v>
      </c>
      <c r="I202" s="279">
        <v>0</v>
      </c>
      <c r="J202" s="280">
        <v>0</v>
      </c>
      <c r="K202" s="356">
        <f t="shared" si="23"/>
        <v>0</v>
      </c>
      <c r="L202" s="358" t="str">
        <f t="shared" si="24"/>
        <v>-</v>
      </c>
      <c r="M202" s="280">
        <v>0</v>
      </c>
      <c r="N202" s="280">
        <v>0</v>
      </c>
      <c r="O202" s="356">
        <f t="shared" si="25"/>
        <v>0</v>
      </c>
      <c r="P202" s="358" t="str">
        <f t="shared" si="26"/>
        <v>-</v>
      </c>
      <c r="Q202" s="224" t="s">
        <v>402</v>
      </c>
      <c r="R202" s="281" t="s">
        <v>402</v>
      </c>
      <c r="S202" s="224" t="s">
        <v>402</v>
      </c>
      <c r="T202" s="281" t="s">
        <v>402</v>
      </c>
      <c r="U202" s="468" t="str">
        <f t="shared" si="28"/>
        <v/>
      </c>
      <c r="V202" s="468" t="str">
        <f t="shared" si="27"/>
        <v/>
      </c>
      <c r="X202" s="15"/>
      <c r="Y202" s="308"/>
      <c r="Z202" s="308"/>
      <c r="AA202" s="309"/>
      <c r="AB202" s="310"/>
    </row>
    <row r="203" spans="2:28" s="16" customFormat="1">
      <c r="B203" s="179"/>
      <c r="C203" s="15"/>
      <c r="D203" s="237" t="s">
        <v>328</v>
      </c>
      <c r="E203" s="279">
        <v>0</v>
      </c>
      <c r="F203" s="280">
        <v>0</v>
      </c>
      <c r="G203" s="356">
        <f t="shared" si="21"/>
        <v>0</v>
      </c>
      <c r="H203" s="358" t="str">
        <f t="shared" si="22"/>
        <v>-</v>
      </c>
      <c r="I203" s="279">
        <v>0</v>
      </c>
      <c r="J203" s="280">
        <v>0</v>
      </c>
      <c r="K203" s="356">
        <f t="shared" si="23"/>
        <v>0</v>
      </c>
      <c r="L203" s="358" t="str">
        <f t="shared" si="24"/>
        <v>-</v>
      </c>
      <c r="M203" s="280">
        <v>0</v>
      </c>
      <c r="N203" s="280">
        <v>0</v>
      </c>
      <c r="O203" s="356">
        <f t="shared" si="25"/>
        <v>0</v>
      </c>
      <c r="P203" s="358" t="str">
        <f t="shared" si="26"/>
        <v>-</v>
      </c>
      <c r="Q203" s="224" t="s">
        <v>402</v>
      </c>
      <c r="R203" s="281" t="s">
        <v>402</v>
      </c>
      <c r="S203" s="224" t="s">
        <v>402</v>
      </c>
      <c r="T203" s="281" t="s">
        <v>402</v>
      </c>
      <c r="U203" s="468" t="str">
        <f t="shared" si="28"/>
        <v/>
      </c>
      <c r="V203" s="468" t="str">
        <f t="shared" si="27"/>
        <v/>
      </c>
      <c r="X203" s="15"/>
      <c r="Y203" s="308"/>
      <c r="Z203" s="308"/>
      <c r="AA203" s="309"/>
      <c r="AB203" s="310"/>
    </row>
    <row r="204" spans="2:28" s="16" customFormat="1">
      <c r="B204" s="179"/>
      <c r="C204" s="15"/>
      <c r="D204" s="237" t="s">
        <v>329</v>
      </c>
      <c r="E204" s="279">
        <v>0</v>
      </c>
      <c r="F204" s="280">
        <v>0</v>
      </c>
      <c r="G204" s="356">
        <f t="shared" si="21"/>
        <v>0</v>
      </c>
      <c r="H204" s="358" t="str">
        <f t="shared" si="22"/>
        <v>-</v>
      </c>
      <c r="I204" s="279">
        <v>0</v>
      </c>
      <c r="J204" s="280">
        <v>0</v>
      </c>
      <c r="K204" s="356">
        <f t="shared" si="23"/>
        <v>0</v>
      </c>
      <c r="L204" s="358" t="str">
        <f t="shared" si="24"/>
        <v>-</v>
      </c>
      <c r="M204" s="280">
        <v>0</v>
      </c>
      <c r="N204" s="280">
        <v>0</v>
      </c>
      <c r="O204" s="356">
        <f t="shared" si="25"/>
        <v>0</v>
      </c>
      <c r="P204" s="358" t="str">
        <f t="shared" si="26"/>
        <v>-</v>
      </c>
      <c r="Q204" s="224" t="s">
        <v>402</v>
      </c>
      <c r="R204" s="281" t="s">
        <v>402</v>
      </c>
      <c r="S204" s="224" t="s">
        <v>402</v>
      </c>
      <c r="T204" s="281" t="s">
        <v>402</v>
      </c>
      <c r="U204" s="468" t="str">
        <f t="shared" si="28"/>
        <v/>
      </c>
      <c r="V204" s="468" t="str">
        <f t="shared" si="27"/>
        <v/>
      </c>
      <c r="X204" s="15"/>
      <c r="Y204" s="308"/>
      <c r="Z204" s="308"/>
      <c r="AA204" s="309"/>
      <c r="AB204" s="310"/>
    </row>
    <row r="205" spans="2:28" s="16" customFormat="1" ht="13.8" thickBot="1">
      <c r="B205" s="23"/>
      <c r="C205" s="25"/>
      <c r="D205" s="282" t="s">
        <v>330</v>
      </c>
      <c r="E205" s="283">
        <f>SUM(E165:E204)</f>
        <v>0</v>
      </c>
      <c r="F205" s="284">
        <f>SUM(F165:F204)</f>
        <v>0</v>
      </c>
      <c r="G205" s="359">
        <f t="shared" si="21"/>
        <v>0</v>
      </c>
      <c r="H205" s="360" t="str">
        <f t="shared" si="22"/>
        <v>-</v>
      </c>
      <c r="I205" s="285">
        <f>SUM(I165:I204)</f>
        <v>0</v>
      </c>
      <c r="J205" s="286">
        <f>SUM(J165:J204)</f>
        <v>0</v>
      </c>
      <c r="K205" s="359">
        <f t="shared" si="23"/>
        <v>0</v>
      </c>
      <c r="L205" s="360" t="str">
        <f t="shared" si="24"/>
        <v>-</v>
      </c>
      <c r="M205" s="315">
        <f>SUM(M165:M204)</f>
        <v>0</v>
      </c>
      <c r="N205" s="286">
        <f>SUM(N165:N204)</f>
        <v>0</v>
      </c>
      <c r="O205" s="359">
        <f t="shared" si="25"/>
        <v>0</v>
      </c>
      <c r="P205" s="360" t="str">
        <f t="shared" si="26"/>
        <v>-</v>
      </c>
      <c r="Q205" s="287" t="s">
        <v>402</v>
      </c>
      <c r="R205" s="288" t="s">
        <v>402</v>
      </c>
      <c r="S205" s="287" t="s">
        <v>402</v>
      </c>
      <c r="T205" s="288" t="s">
        <v>402</v>
      </c>
      <c r="U205" s="468"/>
      <c r="V205" s="468"/>
      <c r="X205" s="15"/>
      <c r="Y205" s="311"/>
      <c r="Z205" s="311"/>
      <c r="AA205" s="312"/>
      <c r="AB205" s="310"/>
    </row>
    <row r="206" spans="2:28" s="16" customFormat="1">
      <c r="B206" s="179"/>
      <c r="C206" s="278">
        <v>2</v>
      </c>
      <c r="D206" s="237" t="s">
        <v>331</v>
      </c>
      <c r="E206" s="269"/>
      <c r="F206" s="289"/>
      <c r="G206" s="356"/>
      <c r="H206" s="358"/>
      <c r="I206" s="269"/>
      <c r="J206" s="289"/>
      <c r="K206" s="356"/>
      <c r="L206" s="358"/>
      <c r="M206" s="270"/>
      <c r="N206" s="289"/>
      <c r="O206" s="356"/>
      <c r="P206" s="358"/>
      <c r="Q206" s="356"/>
      <c r="R206" s="357"/>
      <c r="S206" s="356"/>
      <c r="T206" s="357"/>
      <c r="U206" s="468"/>
      <c r="V206" s="468"/>
      <c r="X206" s="15"/>
      <c r="Y206" s="270"/>
      <c r="Z206" s="270"/>
      <c r="AA206" s="309"/>
      <c r="AB206" s="310"/>
    </row>
    <row r="207" spans="2:28" s="16" customFormat="1">
      <c r="B207" s="179"/>
      <c r="C207" s="15"/>
      <c r="D207" s="237" t="s">
        <v>411</v>
      </c>
      <c r="E207" s="279">
        <v>0</v>
      </c>
      <c r="F207" s="292">
        <v>0</v>
      </c>
      <c r="G207" s="356">
        <f>E207-F207</f>
        <v>0</v>
      </c>
      <c r="H207" s="358" t="str">
        <f t="shared" si="22"/>
        <v>-</v>
      </c>
      <c r="I207" s="291">
        <v>0</v>
      </c>
      <c r="J207" s="292">
        <v>0</v>
      </c>
      <c r="K207" s="356">
        <f>I207-J207</f>
        <v>0</v>
      </c>
      <c r="L207" s="358" t="str">
        <f t="shared" si="24"/>
        <v>-</v>
      </c>
      <c r="M207" s="308">
        <v>0</v>
      </c>
      <c r="N207" s="292">
        <v>0</v>
      </c>
      <c r="O207" s="356">
        <f t="shared" si="25"/>
        <v>0</v>
      </c>
      <c r="P207" s="358" t="str">
        <f t="shared" si="26"/>
        <v>-</v>
      </c>
      <c r="Q207" s="224" t="s">
        <v>402</v>
      </c>
      <c r="R207" s="281" t="s">
        <v>402</v>
      </c>
      <c r="S207" s="224" t="s">
        <v>402</v>
      </c>
      <c r="T207" s="281" t="s">
        <v>402</v>
      </c>
      <c r="U207" s="468" t="str">
        <f t="shared" si="28"/>
        <v/>
      </c>
      <c r="V207" s="468" t="str">
        <f>IF(OR(OR(AND(OR((H207)&gt;10,(H207)&lt;-10),OR((G207)&gt;750,(G207)&lt;-750)),(AND(OR((L207)&gt;10,(L207)&lt;-10),OR((K207)&gt;750,(K207)&lt;-750))),(AND(OR((P207)&gt;10,(P207)&lt;-10),OR((O207)&gt;750,(O207)&lt;-750))))),"QUERY - " &amp; (D207) &amp; " 2002/03 2001/02 difference in Acc. Staff Costs / Other Staff Costs / Other Op. Expenses","")</f>
        <v/>
      </c>
      <c r="X207" s="15"/>
      <c r="Y207" s="313"/>
      <c r="Z207" s="313"/>
      <c r="AA207" s="309"/>
      <c r="AB207" s="310"/>
    </row>
    <row r="208" spans="2:28" s="16" customFormat="1">
      <c r="B208" s="179"/>
      <c r="C208" s="15"/>
      <c r="D208" s="237" t="s">
        <v>412</v>
      </c>
      <c r="E208" s="279">
        <v>0</v>
      </c>
      <c r="F208" s="292">
        <v>0</v>
      </c>
      <c r="G208" s="356">
        <f t="shared" ref="G208:G215" si="29">E208-F208</f>
        <v>0</v>
      </c>
      <c r="H208" s="358" t="str">
        <f t="shared" si="22"/>
        <v>-</v>
      </c>
      <c r="I208" s="291">
        <v>0</v>
      </c>
      <c r="J208" s="292">
        <v>0</v>
      </c>
      <c r="K208" s="356">
        <f t="shared" ref="K208:K215" si="30">I208-J208</f>
        <v>0</v>
      </c>
      <c r="L208" s="358" t="str">
        <f t="shared" si="24"/>
        <v>-</v>
      </c>
      <c r="M208" s="308">
        <v>0</v>
      </c>
      <c r="N208" s="292">
        <v>0</v>
      </c>
      <c r="O208" s="356">
        <f t="shared" si="25"/>
        <v>0</v>
      </c>
      <c r="P208" s="358" t="str">
        <f t="shared" si="26"/>
        <v>-</v>
      </c>
      <c r="Q208" s="224" t="s">
        <v>402</v>
      </c>
      <c r="R208" s="281" t="s">
        <v>402</v>
      </c>
      <c r="S208" s="224" t="s">
        <v>402</v>
      </c>
      <c r="T208" s="281" t="s">
        <v>402</v>
      </c>
      <c r="U208" s="468" t="str">
        <f t="shared" si="28"/>
        <v/>
      </c>
      <c r="V208" s="468" t="str">
        <f>IF(OR(OR(AND(OR((H208)&gt;10,(H208)&lt;-10),OR((G208)&gt;750,(G208)&lt;-750)),(AND(OR((L208)&gt;10,(L208)&lt;-10),OR((K208)&gt;750,(K208)&lt;-750))),(AND(OR((P208)&gt;10,(P208)&lt;-10),OR((O208)&gt;750,(O208)&lt;-750))))),"QUERY - " &amp; (D208) &amp; " 2002/03 2001/02 difference in Acc. Staff Costs / Other Staff Costs / Other Op. Expenses","")</f>
        <v/>
      </c>
      <c r="X208" s="15"/>
      <c r="Y208" s="313"/>
      <c r="Z208" s="313"/>
      <c r="AA208" s="309"/>
      <c r="AB208" s="310"/>
    </row>
    <row r="209" spans="2:28" s="16" customFormat="1">
      <c r="B209" s="179"/>
      <c r="C209" s="15"/>
      <c r="D209" s="237" t="s">
        <v>413</v>
      </c>
      <c r="E209" s="279">
        <v>0</v>
      </c>
      <c r="F209" s="292">
        <v>0</v>
      </c>
      <c r="G209" s="356">
        <f t="shared" si="29"/>
        <v>0</v>
      </c>
      <c r="H209" s="358" t="str">
        <f t="shared" si="22"/>
        <v>-</v>
      </c>
      <c r="I209" s="291">
        <v>0</v>
      </c>
      <c r="J209" s="292">
        <v>0</v>
      </c>
      <c r="K209" s="356">
        <f t="shared" si="30"/>
        <v>0</v>
      </c>
      <c r="L209" s="358" t="str">
        <f t="shared" si="24"/>
        <v>-</v>
      </c>
      <c r="M209" s="308">
        <v>0</v>
      </c>
      <c r="N209" s="292">
        <v>0</v>
      </c>
      <c r="O209" s="356">
        <f t="shared" si="25"/>
        <v>0</v>
      </c>
      <c r="P209" s="358" t="str">
        <f t="shared" si="26"/>
        <v>-</v>
      </c>
      <c r="Q209" s="224" t="s">
        <v>402</v>
      </c>
      <c r="R209" s="281" t="s">
        <v>402</v>
      </c>
      <c r="S209" s="224" t="s">
        <v>402</v>
      </c>
      <c r="T209" s="281" t="s">
        <v>402</v>
      </c>
      <c r="U209" s="468" t="str">
        <f t="shared" si="28"/>
        <v/>
      </c>
      <c r="V209" s="468" t="str">
        <f>IF(OR(OR(AND(OR((H209)&gt;10,(H209)&lt;-10),OR((G209)&gt;750,(G209)&lt;-750)),(AND(OR((L209)&gt;10,(L209)&lt;-10),OR((K209)&gt;750,(K209)&lt;-750))),(AND(OR((P209)&gt;10,(P209)&lt;-10),OR((O209)&gt;750,(O209)&lt;-750))))),"QUERY - " &amp; (D209) &amp; " 2002/03 2001/02 difference in Acc. Staff Costs / Other Staff Costs / Other Op. Expenses","")</f>
        <v/>
      </c>
      <c r="X209" s="15"/>
      <c r="Y209" s="313"/>
      <c r="Z209" s="313"/>
      <c r="AA209" s="309"/>
      <c r="AB209" s="310"/>
    </row>
    <row r="210" spans="2:28" s="16" customFormat="1" ht="13.8" thickBot="1">
      <c r="B210" s="23"/>
      <c r="C210" s="25"/>
      <c r="D210" s="282" t="s">
        <v>335</v>
      </c>
      <c r="E210" s="285">
        <f>SUM(E207:E209)</f>
        <v>0</v>
      </c>
      <c r="F210" s="286">
        <f>SUM(F207:F209)</f>
        <v>0</v>
      </c>
      <c r="G210" s="359">
        <f t="shared" si="29"/>
        <v>0</v>
      </c>
      <c r="H210" s="360" t="str">
        <f t="shared" si="22"/>
        <v>-</v>
      </c>
      <c r="I210" s="285">
        <f>SUM(I207:I209)</f>
        <v>0</v>
      </c>
      <c r="J210" s="286">
        <f>SUM(J207:J209)</f>
        <v>0</v>
      </c>
      <c r="K210" s="359">
        <f t="shared" si="30"/>
        <v>0</v>
      </c>
      <c r="L210" s="360" t="str">
        <f t="shared" si="24"/>
        <v>-</v>
      </c>
      <c r="M210" s="315">
        <f>SUM(M207:M209)</f>
        <v>0</v>
      </c>
      <c r="N210" s="286">
        <f>SUM(N207:N209)</f>
        <v>0</v>
      </c>
      <c r="O210" s="359">
        <f t="shared" si="25"/>
        <v>0</v>
      </c>
      <c r="P210" s="360" t="str">
        <f t="shared" si="26"/>
        <v>-</v>
      </c>
      <c r="Q210" s="287" t="s">
        <v>402</v>
      </c>
      <c r="R210" s="288" t="s">
        <v>402</v>
      </c>
      <c r="S210" s="287" t="s">
        <v>402</v>
      </c>
      <c r="T210" s="288" t="s">
        <v>402</v>
      </c>
      <c r="U210" s="468"/>
      <c r="V210" s="468"/>
      <c r="X210" s="15"/>
      <c r="Y210" s="311"/>
      <c r="Z210" s="311"/>
      <c r="AA210" s="312"/>
      <c r="AB210" s="310"/>
    </row>
    <row r="211" spans="2:28" s="16" customFormat="1">
      <c r="B211" s="179"/>
      <c r="C211" s="278">
        <v>3</v>
      </c>
      <c r="D211" s="237" t="s">
        <v>336</v>
      </c>
      <c r="E211" s="293"/>
      <c r="F211" s="294"/>
      <c r="G211" s="356"/>
      <c r="H211" s="358"/>
      <c r="I211" s="293"/>
      <c r="J211" s="294"/>
      <c r="K211" s="356"/>
      <c r="L211" s="358"/>
      <c r="M211" s="313"/>
      <c r="N211" s="294"/>
      <c r="O211" s="356"/>
      <c r="P211" s="358"/>
      <c r="Q211" s="356"/>
      <c r="R211" s="357"/>
      <c r="S211" s="356"/>
      <c r="T211" s="357"/>
      <c r="U211" s="468"/>
      <c r="V211" s="468" t="str">
        <f>IF(OR(OR(AND(OR((H211)&gt;10,(H211)&lt;-10),OR((G211)&gt;750,(G211)&lt;-750)),(AND(OR((L211)&gt;10,(L211)&lt;-10),OR((K211)&gt;750,(K211)&lt;-750))),(AND(OR((P211)&gt;10,(P211)&lt;-10),OR((O211)&gt;750,(O211)&lt;-750))))),"QUERY - " &amp; (D211) &amp; " 2002/03 2001/02 difference in Acc. Staff Costs / Other Staff Costs / Other Op. Expenses / Int. Payable. Genuine?","")</f>
        <v/>
      </c>
      <c r="X211" s="15"/>
      <c r="Y211" s="313"/>
      <c r="Z211" s="313"/>
      <c r="AA211" s="309"/>
      <c r="AB211" s="310"/>
    </row>
    <row r="212" spans="2:28" s="16" customFormat="1">
      <c r="B212" s="179"/>
      <c r="C212" s="15"/>
      <c r="D212" s="237" t="s">
        <v>414</v>
      </c>
      <c r="E212" s="279">
        <v>0</v>
      </c>
      <c r="F212" s="292">
        <v>0</v>
      </c>
      <c r="G212" s="356">
        <f t="shared" si="29"/>
        <v>0</v>
      </c>
      <c r="H212" s="358" t="str">
        <f t="shared" si="22"/>
        <v>-</v>
      </c>
      <c r="I212" s="291">
        <v>0</v>
      </c>
      <c r="J212" s="292">
        <v>0</v>
      </c>
      <c r="K212" s="356">
        <f t="shared" si="30"/>
        <v>0</v>
      </c>
      <c r="L212" s="358" t="str">
        <f t="shared" si="24"/>
        <v>-</v>
      </c>
      <c r="M212" s="308">
        <v>0</v>
      </c>
      <c r="N212" s="292">
        <v>0</v>
      </c>
      <c r="O212" s="356">
        <f t="shared" si="25"/>
        <v>0</v>
      </c>
      <c r="P212" s="358" t="str">
        <f t="shared" si="26"/>
        <v>-</v>
      </c>
      <c r="Q212" s="224" t="s">
        <v>402</v>
      </c>
      <c r="R212" s="281" t="s">
        <v>402</v>
      </c>
      <c r="S212" s="224" t="s">
        <v>402</v>
      </c>
      <c r="T212" s="281" t="s">
        <v>402</v>
      </c>
      <c r="U212" s="468" t="str">
        <f t="shared" si="28"/>
        <v/>
      </c>
      <c r="V212" s="468" t="str">
        <f>IF(OR(OR(AND(OR((H212)&gt;10,(H212)&lt;-10),OR((G212)&gt;750,(G212)&lt;-750)),(AND(OR((L212)&gt;10,(L212)&lt;-10),OR((K212)&gt;750,(K212)&lt;-750))),(AND(OR((P212)&gt;10,(P212)&lt;-10),OR((O212)&gt;750,(O212)&lt;-750))))),"QUERY - " &amp; (D212) &amp; " 2002/03 2001/02 difference in Acc. Staff Costs / Other Staff Costs / Other Op. Expenses","")</f>
        <v/>
      </c>
      <c r="X212" s="15"/>
      <c r="Y212" s="313"/>
      <c r="Z212" s="313"/>
      <c r="AA212" s="309"/>
      <c r="AB212" s="310"/>
    </row>
    <row r="213" spans="2:28" s="16" customFormat="1">
      <c r="B213" s="179"/>
      <c r="C213" s="15"/>
      <c r="D213" s="237" t="s">
        <v>415</v>
      </c>
      <c r="E213" s="279">
        <v>0</v>
      </c>
      <c r="F213" s="292">
        <v>0</v>
      </c>
      <c r="G213" s="356">
        <f t="shared" si="29"/>
        <v>0</v>
      </c>
      <c r="H213" s="358" t="str">
        <f t="shared" si="22"/>
        <v>-</v>
      </c>
      <c r="I213" s="291">
        <v>0</v>
      </c>
      <c r="J213" s="292">
        <v>0</v>
      </c>
      <c r="K213" s="356">
        <f t="shared" si="30"/>
        <v>0</v>
      </c>
      <c r="L213" s="358" t="str">
        <f t="shared" si="24"/>
        <v>-</v>
      </c>
      <c r="M213" s="308">
        <v>0</v>
      </c>
      <c r="N213" s="292">
        <v>0</v>
      </c>
      <c r="O213" s="356">
        <f t="shared" si="25"/>
        <v>0</v>
      </c>
      <c r="P213" s="358" t="str">
        <f t="shared" si="26"/>
        <v>-</v>
      </c>
      <c r="Q213" s="224" t="s">
        <v>402</v>
      </c>
      <c r="R213" s="281" t="s">
        <v>402</v>
      </c>
      <c r="S213" s="224" t="s">
        <v>402</v>
      </c>
      <c r="T213" s="281" t="s">
        <v>402</v>
      </c>
      <c r="U213" s="468" t="str">
        <f t="shared" si="28"/>
        <v/>
      </c>
      <c r="V213" s="468" t="str">
        <f>IF(OR(OR(AND(OR((H213)&gt;10,(H213)&lt;-10),OR((G213)&gt;750,(G213)&lt;-750)),(AND(OR((L213)&gt;10,(L213)&lt;-10),OR((K213)&gt;750,(K213)&lt;-750))),(AND(OR((P213)&gt;10,(P213)&lt;-10),OR((O213)&gt;750,(O213)&lt;-750))))),"QUERY - " &amp; (D213) &amp; " 2002/03 2001/02 difference in Acc. Staff Costs / Other Staff Costs / Other Op. Expenses","")</f>
        <v/>
      </c>
      <c r="X213" s="15"/>
      <c r="Y213" s="313"/>
      <c r="Z213" s="313"/>
      <c r="AA213" s="309"/>
      <c r="AB213" s="310"/>
    </row>
    <row r="214" spans="2:28" s="16" customFormat="1">
      <c r="B214" s="179"/>
      <c r="C214" s="15"/>
      <c r="D214" s="237" t="s">
        <v>416</v>
      </c>
      <c r="E214" s="279">
        <v>0</v>
      </c>
      <c r="F214" s="292">
        <v>0</v>
      </c>
      <c r="G214" s="356">
        <f t="shared" si="29"/>
        <v>0</v>
      </c>
      <c r="H214" s="358" t="str">
        <f t="shared" si="22"/>
        <v>-</v>
      </c>
      <c r="I214" s="291">
        <v>0</v>
      </c>
      <c r="J214" s="292">
        <v>0</v>
      </c>
      <c r="K214" s="356">
        <f t="shared" si="30"/>
        <v>0</v>
      </c>
      <c r="L214" s="358" t="str">
        <f t="shared" si="24"/>
        <v>-</v>
      </c>
      <c r="M214" s="308">
        <v>0</v>
      </c>
      <c r="N214" s="292">
        <v>0</v>
      </c>
      <c r="O214" s="356">
        <f t="shared" si="25"/>
        <v>0</v>
      </c>
      <c r="P214" s="358" t="str">
        <f t="shared" si="26"/>
        <v>-</v>
      </c>
      <c r="Q214" s="224" t="s">
        <v>402</v>
      </c>
      <c r="R214" s="281" t="s">
        <v>402</v>
      </c>
      <c r="S214" s="224" t="s">
        <v>402</v>
      </c>
      <c r="T214" s="281" t="s">
        <v>402</v>
      </c>
      <c r="U214" s="468" t="str">
        <f t="shared" si="28"/>
        <v/>
      </c>
      <c r="V214" s="468" t="str">
        <f>IF(OR(OR(AND(OR((H214)&gt;10,(H214)&lt;-10),OR((G214)&gt;750,(G214)&lt;-750)),(AND(OR((L214)&gt;10,(L214)&lt;-10),OR((K214)&gt;750,(K214)&lt;-750))),(AND(OR((P214)&gt;10,(P214)&lt;-10),OR((O214)&gt;750,(O214)&lt;-750))))),"QUERY - " &amp; (D214) &amp; " 2002/03 2001/02 difference in Acc. Staff Costs / Other Staff Costs / Other Op. Expenses","")</f>
        <v/>
      </c>
      <c r="X214" s="15"/>
      <c r="Y214" s="313"/>
      <c r="Z214" s="313"/>
      <c r="AA214" s="309"/>
      <c r="AB214" s="310"/>
    </row>
    <row r="215" spans="2:28" s="16" customFormat="1" ht="13.8" thickBot="1">
      <c r="B215" s="23"/>
      <c r="C215" s="25"/>
      <c r="D215" s="282" t="s">
        <v>340</v>
      </c>
      <c r="E215" s="285">
        <f>SUM(E212:E214)</f>
        <v>0</v>
      </c>
      <c r="F215" s="286">
        <f>SUM(F212:F214)</f>
        <v>0</v>
      </c>
      <c r="G215" s="359">
        <f t="shared" si="29"/>
        <v>0</v>
      </c>
      <c r="H215" s="360" t="str">
        <f t="shared" si="22"/>
        <v>-</v>
      </c>
      <c r="I215" s="285">
        <f>SUM(I212:I214)</f>
        <v>0</v>
      </c>
      <c r="J215" s="286">
        <f>SUM(J212:J214)</f>
        <v>0</v>
      </c>
      <c r="K215" s="359">
        <f t="shared" si="30"/>
        <v>0</v>
      </c>
      <c r="L215" s="360" t="str">
        <f t="shared" si="24"/>
        <v>-</v>
      </c>
      <c r="M215" s="315">
        <f>SUM(M212:M214)</f>
        <v>0</v>
      </c>
      <c r="N215" s="286">
        <f>SUM(N212:N214)</f>
        <v>0</v>
      </c>
      <c r="O215" s="359">
        <f t="shared" si="25"/>
        <v>0</v>
      </c>
      <c r="P215" s="360" t="str">
        <f t="shared" si="26"/>
        <v>-</v>
      </c>
      <c r="Q215" s="287" t="s">
        <v>402</v>
      </c>
      <c r="R215" s="288" t="s">
        <v>402</v>
      </c>
      <c r="S215" s="287" t="s">
        <v>402</v>
      </c>
      <c r="T215" s="288" t="s">
        <v>402</v>
      </c>
      <c r="U215" s="468"/>
      <c r="V215" s="468"/>
      <c r="X215" s="15"/>
      <c r="Y215" s="311"/>
      <c r="Z215" s="311"/>
      <c r="AA215" s="312"/>
      <c r="AB215" s="310"/>
    </row>
    <row r="216" spans="2:28" s="16" customFormat="1">
      <c r="B216" s="179"/>
      <c r="C216" s="278">
        <v>4</v>
      </c>
      <c r="D216" s="237" t="s">
        <v>417</v>
      </c>
      <c r="E216" s="356"/>
      <c r="F216" s="357"/>
      <c r="G216" s="356"/>
      <c r="H216" s="357"/>
      <c r="I216" s="356"/>
      <c r="J216" s="357"/>
      <c r="K216" s="356"/>
      <c r="L216" s="357"/>
      <c r="M216" s="270"/>
      <c r="N216" s="289"/>
      <c r="O216" s="356"/>
      <c r="P216" s="358"/>
      <c r="Q216" s="356"/>
      <c r="R216" s="357"/>
      <c r="S216" s="356"/>
      <c r="T216" s="357"/>
      <c r="U216" s="468"/>
      <c r="V216" s="468" t="str">
        <f>IF(OR(OR(AND(OR((H216)&gt;10,(H216)&lt;-10),OR((G216)&gt;750,(G216)&lt;-750)),(AND(OR((L216)&gt;10,(L216)&lt;-10),OR((K216)&gt;750,(K216)&lt;-750))),(AND(OR((P216)&gt;10,(P216)&lt;-10),OR((O216)&gt;750,(O216)&lt;-750))))),"QUERY - " &amp; (D216) &amp; " 2002/03 2001/02 difference in Acc. Staff Costs / Other Staff Costs / Other Op. Expenses / Int. Payable. Genuine?","")</f>
        <v/>
      </c>
      <c r="X216" s="15"/>
      <c r="Y216" s="270"/>
      <c r="Z216" s="270"/>
      <c r="AA216" s="309"/>
      <c r="AB216" s="310"/>
    </row>
    <row r="217" spans="2:28" s="16" customFormat="1">
      <c r="B217" s="179"/>
      <c r="C217" s="15"/>
      <c r="D217" s="237" t="s">
        <v>418</v>
      </c>
      <c r="E217" s="224" t="s">
        <v>402</v>
      </c>
      <c r="F217" s="281" t="s">
        <v>402</v>
      </c>
      <c r="G217" s="224" t="s">
        <v>402</v>
      </c>
      <c r="H217" s="281" t="s">
        <v>402</v>
      </c>
      <c r="I217" s="224" t="s">
        <v>402</v>
      </c>
      <c r="J217" s="281" t="s">
        <v>402</v>
      </c>
      <c r="K217" s="224" t="s">
        <v>402</v>
      </c>
      <c r="L217" s="281" t="s">
        <v>402</v>
      </c>
      <c r="M217" s="279">
        <v>0</v>
      </c>
      <c r="N217" s="292">
        <v>0</v>
      </c>
      <c r="O217" s="356">
        <f t="shared" si="25"/>
        <v>0</v>
      </c>
      <c r="P217" s="358" t="str">
        <f t="shared" si="26"/>
        <v>-</v>
      </c>
      <c r="Q217" s="224" t="s">
        <v>402</v>
      </c>
      <c r="R217" s="281" t="s">
        <v>402</v>
      </c>
      <c r="S217" s="224" t="s">
        <v>402</v>
      </c>
      <c r="T217" s="281" t="s">
        <v>402</v>
      </c>
      <c r="U217" s="468" t="str">
        <f>IF(AND(OR((P217)&gt;10,(P217)&lt;-10),OR((O217)&gt;750,(O217)&lt;-750)),"QUERY","")</f>
        <v/>
      </c>
      <c r="V217" s="468" t="str">
        <f>IF(AND(OR((P217)&gt;10,(P217)&lt;-10),OR((O217)&gt;750,(O217)&lt;-750)),"QUERY - " &amp; (D217) &amp; " 2002/03 2001/02 difference in Other Op. Expenses","")</f>
        <v/>
      </c>
      <c r="X217" s="15"/>
      <c r="Y217" s="313"/>
      <c r="Z217" s="313"/>
      <c r="AA217" s="309"/>
      <c r="AB217" s="310"/>
    </row>
    <row r="218" spans="2:28" s="16" customFormat="1">
      <c r="B218" s="179"/>
      <c r="C218" s="15"/>
      <c r="D218" s="237" t="s">
        <v>419</v>
      </c>
      <c r="E218" s="224" t="s">
        <v>402</v>
      </c>
      <c r="F218" s="281" t="s">
        <v>402</v>
      </c>
      <c r="G218" s="224" t="s">
        <v>402</v>
      </c>
      <c r="H218" s="281" t="s">
        <v>402</v>
      </c>
      <c r="I218" s="224" t="s">
        <v>402</v>
      </c>
      <c r="J218" s="281" t="s">
        <v>402</v>
      </c>
      <c r="K218" s="224" t="s">
        <v>402</v>
      </c>
      <c r="L218" s="281" t="s">
        <v>402</v>
      </c>
      <c r="M218" s="279">
        <v>0</v>
      </c>
      <c r="N218" s="292">
        <v>0</v>
      </c>
      <c r="O218" s="356">
        <f t="shared" si="25"/>
        <v>0</v>
      </c>
      <c r="P218" s="358" t="str">
        <f t="shared" si="26"/>
        <v>-</v>
      </c>
      <c r="Q218" s="224" t="s">
        <v>402</v>
      </c>
      <c r="R218" s="281" t="s">
        <v>402</v>
      </c>
      <c r="S218" s="224" t="s">
        <v>402</v>
      </c>
      <c r="T218" s="281" t="s">
        <v>402</v>
      </c>
      <c r="U218" s="468" t="str">
        <f>IF(AND(OR((P218)&gt;10,(P218)&lt;-10),OR((O218)&gt;750,(O218)&lt;-750)),"QUERY","")</f>
        <v/>
      </c>
      <c r="V218" s="468" t="str">
        <f>IF(AND(OR((P218)&gt;10,(P218)&lt;-10),OR((O218)&gt;750,(O218)&lt;-750)),"QUERY - " &amp; (D218) &amp; " 2002/03 2001/02 difference in Other Op. Expenses","")</f>
        <v/>
      </c>
      <c r="X218" s="15"/>
      <c r="Y218" s="313"/>
      <c r="Z218" s="313"/>
      <c r="AA218" s="309"/>
      <c r="AB218" s="310"/>
    </row>
    <row r="219" spans="2:28" s="16" customFormat="1">
      <c r="B219" s="179"/>
      <c r="C219" s="15"/>
      <c r="D219" s="237" t="s">
        <v>420</v>
      </c>
      <c r="E219" s="224" t="s">
        <v>402</v>
      </c>
      <c r="F219" s="281" t="s">
        <v>402</v>
      </c>
      <c r="G219" s="224" t="s">
        <v>402</v>
      </c>
      <c r="H219" s="281" t="s">
        <v>402</v>
      </c>
      <c r="I219" s="279">
        <v>0</v>
      </c>
      <c r="J219" s="292">
        <v>0</v>
      </c>
      <c r="K219" s="356">
        <f>I219-J219</f>
        <v>0</v>
      </c>
      <c r="L219" s="358" t="str">
        <f>IF(AND(OR(I219=0,J219&lt;&gt;0),OR(J219=0,I219&lt;&gt;0)),IF((I219+J219+K219&lt;&gt;0),IF(AND(OR(I219&gt;0,J219&lt;0),OR(J219&gt;0,I219&lt;0)),ABS(K219/MIN(ABS(J219),ABS(I219))),20),"-"),20)</f>
        <v>-</v>
      </c>
      <c r="M219" s="308">
        <v>0</v>
      </c>
      <c r="N219" s="292">
        <v>0</v>
      </c>
      <c r="O219" s="356">
        <f t="shared" si="25"/>
        <v>0</v>
      </c>
      <c r="P219" s="358" t="str">
        <f t="shared" si="26"/>
        <v>-</v>
      </c>
      <c r="Q219" s="224" t="s">
        <v>402</v>
      </c>
      <c r="R219" s="281" t="s">
        <v>402</v>
      </c>
      <c r="S219" s="224" t="s">
        <v>402</v>
      </c>
      <c r="T219" s="281" t="s">
        <v>402</v>
      </c>
      <c r="U219" s="468" t="str">
        <f>IF(AND(OR((AND(OR((L219)&gt;10,(L219)&lt;-10),OR((K219)&gt;750,(K219)&lt;-750))),(AND(OR((P219)&gt;10,(P219)&lt;-10),OR((O219)&gt;750,(O219)&lt;-750))))),"QUERY","")</f>
        <v/>
      </c>
      <c r="V219" s="468" t="str">
        <f>IF(AND(OR((AND(OR((L219)&gt;10,(L219)&lt;-10),OR((K219)&gt;750,(K219)&lt;-750))),(AND(OR((P219)&gt;10,(P219)&lt;-10),OR((O219)&gt;750,(O219)&lt;-750))))),"QUERY - " &amp; (D219) &amp; " 2002/03 2001/02 difference in Other Staff Costs / Other Op. Expenses / Int. Payable","")</f>
        <v/>
      </c>
      <c r="X219" s="15"/>
      <c r="Y219" s="313"/>
      <c r="Z219" s="313"/>
      <c r="AA219" s="309"/>
      <c r="AB219" s="310"/>
    </row>
    <row r="220" spans="2:28" s="16" customFormat="1">
      <c r="B220" s="179"/>
      <c r="C220" s="15"/>
      <c r="D220" s="237" t="s">
        <v>421</v>
      </c>
      <c r="E220" s="224" t="s">
        <v>402</v>
      </c>
      <c r="F220" s="281" t="s">
        <v>402</v>
      </c>
      <c r="G220" s="224" t="s">
        <v>402</v>
      </c>
      <c r="H220" s="281" t="s">
        <v>402</v>
      </c>
      <c r="I220" s="279">
        <v>0</v>
      </c>
      <c r="J220" s="292">
        <v>0</v>
      </c>
      <c r="K220" s="356">
        <f>I220-J220</f>
        <v>0</v>
      </c>
      <c r="L220" s="358" t="str">
        <f>IF(AND(OR(I220=0,J220&lt;&gt;0),OR(J220=0,I220&lt;&gt;0)),IF((I220+J220+K220&lt;&gt;0),IF(AND(OR(I220&gt;0,J220&lt;0),OR(J220&gt;0,I220&lt;0)),ABS(K220/MIN(ABS(J220),ABS(I220))),20),"-"),20)</f>
        <v>-</v>
      </c>
      <c r="M220" s="308">
        <v>0</v>
      </c>
      <c r="N220" s="292">
        <v>0</v>
      </c>
      <c r="O220" s="356">
        <f t="shared" si="25"/>
        <v>0</v>
      </c>
      <c r="P220" s="358" t="str">
        <f t="shared" si="26"/>
        <v>-</v>
      </c>
      <c r="Q220" s="224" t="s">
        <v>402</v>
      </c>
      <c r="R220" s="281" t="s">
        <v>402</v>
      </c>
      <c r="S220" s="224" t="s">
        <v>402</v>
      </c>
      <c r="T220" s="281" t="s">
        <v>402</v>
      </c>
      <c r="U220" s="468" t="str">
        <f>IF(AND(OR((AND(OR((L220)&gt;10,(L220)&lt;-10),OR((K220)&gt;750,(K220)&lt;-750))),(AND(OR((P220)&gt;10,(P220)&lt;-10),OR((O220)&gt;750,(O220)&lt;-750))))),"QUERY","")</f>
        <v/>
      </c>
      <c r="V220" s="468" t="str">
        <f>IF(AND(OR((AND(OR((L220)&gt;10,(L220)&lt;-10),OR((K220)&gt;750,(K220)&lt;-750))),(AND(OR((P220)&gt;10,(P220)&lt;-10),OR((O220)&gt;750,(O220)&lt;-750))))),"QUERY - " &amp; (D220) &amp; " 2002/03 2001/02 difference in Other Staff Costs / Other Op. Expenses / Int. Payable","")</f>
        <v/>
      </c>
      <c r="X220" s="15"/>
      <c r="Y220" s="313"/>
      <c r="Z220" s="313"/>
      <c r="AA220" s="309"/>
      <c r="AB220" s="310"/>
    </row>
    <row r="221" spans="2:28" s="16" customFormat="1">
      <c r="B221" s="179"/>
      <c r="C221" s="15"/>
      <c r="D221" s="237" t="s">
        <v>422</v>
      </c>
      <c r="E221" s="224" t="s">
        <v>402</v>
      </c>
      <c r="F221" s="281" t="s">
        <v>402</v>
      </c>
      <c r="G221" s="224" t="s">
        <v>402</v>
      </c>
      <c r="H221" s="281" t="s">
        <v>402</v>
      </c>
      <c r="I221" s="224" t="s">
        <v>402</v>
      </c>
      <c r="J221" s="281" t="s">
        <v>402</v>
      </c>
      <c r="K221" s="224" t="s">
        <v>402</v>
      </c>
      <c r="L221" s="281" t="s">
        <v>402</v>
      </c>
      <c r="M221" s="279">
        <v>0</v>
      </c>
      <c r="N221" s="292">
        <v>0</v>
      </c>
      <c r="O221" s="356">
        <f t="shared" si="25"/>
        <v>0</v>
      </c>
      <c r="P221" s="358" t="str">
        <f t="shared" si="26"/>
        <v>-</v>
      </c>
      <c r="Q221" s="224" t="s">
        <v>402</v>
      </c>
      <c r="R221" s="281" t="s">
        <v>402</v>
      </c>
      <c r="S221" s="224" t="s">
        <v>402</v>
      </c>
      <c r="T221" s="281" t="s">
        <v>402</v>
      </c>
      <c r="U221" s="468" t="str">
        <f>IF(AND(OR((P221)&gt;10,(P221)&lt;-10),OR((O221)&gt;750,(O221)&lt;-750)),"QUERY","")</f>
        <v/>
      </c>
      <c r="V221" s="468" t="str">
        <f>IF(AND(OR((P221)&gt;10,(P221)&lt;-10),OR((O221)&gt;750,(O221)&lt;-750)),"QUERY - " &amp; (D221) &amp; " 2002/03 2001/02 difference in Other Op. Expenses","")</f>
        <v/>
      </c>
      <c r="X221" s="15"/>
      <c r="Y221" s="313"/>
      <c r="Z221" s="313"/>
      <c r="AA221" s="309"/>
      <c r="AB221" s="310"/>
    </row>
    <row r="222" spans="2:28" s="16" customFormat="1">
      <c r="B222" s="179"/>
      <c r="C222" s="15"/>
      <c r="D222" s="237" t="s">
        <v>423</v>
      </c>
      <c r="E222" s="224" t="s">
        <v>402</v>
      </c>
      <c r="F222" s="281" t="s">
        <v>402</v>
      </c>
      <c r="G222" s="224" t="s">
        <v>402</v>
      </c>
      <c r="H222" s="281" t="s">
        <v>402</v>
      </c>
      <c r="I222" s="224" t="s">
        <v>402</v>
      </c>
      <c r="J222" s="281" t="s">
        <v>402</v>
      </c>
      <c r="K222" s="224" t="s">
        <v>402</v>
      </c>
      <c r="L222" s="281" t="s">
        <v>402</v>
      </c>
      <c r="M222" s="316" t="s">
        <v>402</v>
      </c>
      <c r="N222" s="281" t="s">
        <v>402</v>
      </c>
      <c r="O222" s="224" t="s">
        <v>402</v>
      </c>
      <c r="P222" s="281" t="s">
        <v>402</v>
      </c>
      <c r="Q222" s="224" t="s">
        <v>402</v>
      </c>
      <c r="R222" s="281" t="s">
        <v>402</v>
      </c>
      <c r="S222" s="224" t="s">
        <v>402</v>
      </c>
      <c r="T222" s="281" t="s">
        <v>402</v>
      </c>
      <c r="U222" s="468"/>
      <c r="V222" s="468"/>
      <c r="X222" s="15"/>
      <c r="Y222" s="313"/>
      <c r="Z222" s="313"/>
      <c r="AA222" s="309"/>
      <c r="AB222" s="310"/>
    </row>
    <row r="223" spans="2:28" s="16" customFormat="1">
      <c r="B223" s="179"/>
      <c r="C223" s="15"/>
      <c r="D223" s="237" t="s">
        <v>424</v>
      </c>
      <c r="E223" s="224" t="s">
        <v>402</v>
      </c>
      <c r="F223" s="281" t="s">
        <v>402</v>
      </c>
      <c r="G223" s="224" t="s">
        <v>402</v>
      </c>
      <c r="H223" s="281" t="s">
        <v>402</v>
      </c>
      <c r="I223" s="279">
        <v>0</v>
      </c>
      <c r="J223" s="292">
        <v>0</v>
      </c>
      <c r="K223" s="356">
        <f>I223-J223</f>
        <v>0</v>
      </c>
      <c r="L223" s="358" t="str">
        <f t="shared" ref="L223:L240" si="31">IF(AND(OR(I223=0,J223&lt;&gt;0),OR(J223=0,I223&lt;&gt;0)),IF((I223+J223+K223&lt;&gt;0),IF(AND(OR(I223&gt;0,J223&lt;0),OR(J223&gt;0,I223&lt;0)),ABS(K223/MIN(ABS(J223),ABS(I223))),20),"-"),20)</f>
        <v>-</v>
      </c>
      <c r="M223" s="279">
        <v>0</v>
      </c>
      <c r="N223" s="292">
        <v>0</v>
      </c>
      <c r="O223" s="356">
        <f>M223-N223</f>
        <v>0</v>
      </c>
      <c r="P223" s="358" t="str">
        <f t="shared" si="26"/>
        <v>-</v>
      </c>
      <c r="Q223" s="291">
        <v>0</v>
      </c>
      <c r="R223" s="292">
        <v>0</v>
      </c>
      <c r="S223" s="356">
        <f>Q223-R223</f>
        <v>0</v>
      </c>
      <c r="T223" s="358" t="str">
        <f>IF(AND(OR(Q223=0,R223&lt;&gt;0),OR(R223=0,Q223&lt;&gt;0)),IF((Q223+R223+S223&lt;&gt;0),IF(AND(OR(Q223&gt;0,R223&lt;0),OR(R223&gt;0,Q223&lt;0)),ABS(S223/MIN(ABS(R223),ABS(Q223))),20),"-"),20)</f>
        <v>-</v>
      </c>
      <c r="U223" s="468" t="str">
        <f>IF(OR(OR(AND(OR((T223)&gt;10,(T223)&lt;-10),OR((S223)&gt;750,(S223)&lt;-750)),(AND(OR((L223)&gt;10,(L223)&lt;-10),OR((K223)&gt;750,(K223)&lt;-750))),(AND(OR((P223)&gt;10,(P223)&lt;-10),OR((O223)&gt;750,(O223)&lt;-750))))),"QUERY","")</f>
        <v/>
      </c>
      <c r="V223" s="468" t="str">
        <f>IF(OR(OR(AND(OR((T223)&gt;10,(T223)&lt;-10),OR((S223)&gt;750,(S223)&lt;-750)),(AND(OR((L223)&gt;10,(L223)&lt;-10),OR((K223)&gt;750,(K223)&lt;-750))),(AND(OR((P223)&gt;10,(P223)&lt;-10),OR((O223)&gt;750,(O223)&lt;-750))))),"QUERY - " &amp; (D223) &amp; " 2002/03 2001/02 difference in Other Staff Costs / Other Op. Expenses / Int. Payable","")</f>
        <v/>
      </c>
      <c r="X223" s="15"/>
      <c r="Y223" s="313"/>
      <c r="Z223" s="313"/>
      <c r="AA223" s="309"/>
      <c r="AB223" s="310"/>
    </row>
    <row r="224" spans="2:28" s="16" customFormat="1" ht="13.8" thickBot="1">
      <c r="B224" s="23"/>
      <c r="C224" s="25"/>
      <c r="D224" s="282" t="s">
        <v>425</v>
      </c>
      <c r="E224" s="287" t="s">
        <v>402</v>
      </c>
      <c r="F224" s="288" t="s">
        <v>402</v>
      </c>
      <c r="G224" s="287" t="s">
        <v>402</v>
      </c>
      <c r="H224" s="288" t="s">
        <v>402</v>
      </c>
      <c r="I224" s="285">
        <f>SUM(I223,I219:I220)</f>
        <v>0</v>
      </c>
      <c r="J224" s="286">
        <f>SUM(J223,J219:J220)</f>
        <v>0</v>
      </c>
      <c r="K224" s="359">
        <f>I224-J224</f>
        <v>0</v>
      </c>
      <c r="L224" s="360" t="str">
        <f t="shared" si="31"/>
        <v>-</v>
      </c>
      <c r="M224" s="315">
        <f>SUM(M223,M217:M221)</f>
        <v>0</v>
      </c>
      <c r="N224" s="286">
        <f>SUM(N223,N217:N221)</f>
        <v>0</v>
      </c>
      <c r="O224" s="359">
        <f t="shared" ref="O224:O240" si="32">M224-N224</f>
        <v>0</v>
      </c>
      <c r="P224" s="360" t="str">
        <f t="shared" si="26"/>
        <v>-</v>
      </c>
      <c r="Q224" s="285">
        <f>SUM(Q223)</f>
        <v>0</v>
      </c>
      <c r="R224" s="286">
        <f>SUM(R223)</f>
        <v>0</v>
      </c>
      <c r="S224" s="359">
        <f>Q224-R224</f>
        <v>0</v>
      </c>
      <c r="T224" s="360" t="str">
        <f>IF(AND(OR(Q224=0,R224&lt;&gt;0),OR(R224=0,Q224&lt;&gt;0)),IF((Q224+R224+S224&lt;&gt;0),IF(AND(OR(Q224&gt;0,R224&lt;0),OR(R224&gt;0,Q224&lt;0)),ABS(S224/MIN(ABS(R224),ABS(Q224))),20),"-"),20)</f>
        <v>-</v>
      </c>
      <c r="U224" s="468"/>
      <c r="V224" s="468"/>
      <c r="X224" s="15"/>
      <c r="Y224" s="311"/>
      <c r="Z224" s="311"/>
      <c r="AA224" s="312"/>
      <c r="AB224" s="310"/>
    </row>
    <row r="225" spans="2:28" s="16" customFormat="1" ht="13.8" thickBot="1">
      <c r="B225" s="90"/>
      <c r="C225" s="238">
        <v>5</v>
      </c>
      <c r="D225" s="239" t="s">
        <v>426</v>
      </c>
      <c r="E225" s="295" t="s">
        <v>402</v>
      </c>
      <c r="F225" s="296" t="s">
        <v>402</v>
      </c>
      <c r="G225" s="295" t="s">
        <v>402</v>
      </c>
      <c r="H225" s="296" t="s">
        <v>402</v>
      </c>
      <c r="I225" s="297">
        <v>0</v>
      </c>
      <c r="J225" s="298">
        <v>0</v>
      </c>
      <c r="K225" s="361">
        <f>I225-J225</f>
        <v>0</v>
      </c>
      <c r="L225" s="360" t="str">
        <f t="shared" si="31"/>
        <v>-</v>
      </c>
      <c r="M225" s="317">
        <v>0</v>
      </c>
      <c r="N225" s="298">
        <v>0</v>
      </c>
      <c r="O225" s="361">
        <f t="shared" si="32"/>
        <v>0</v>
      </c>
      <c r="P225" s="360" t="str">
        <f t="shared" si="26"/>
        <v>-</v>
      </c>
      <c r="Q225" s="517">
        <v>0</v>
      </c>
      <c r="R225" s="298">
        <v>0</v>
      </c>
      <c r="S225" s="361">
        <f>Q225-R225</f>
        <v>0</v>
      </c>
      <c r="T225" s="360" t="str">
        <f>IF(AND(OR(Q225=0,R225&lt;&gt;0),OR(R225=0,Q225&lt;&gt;0)),IF((Q225+R225+S225&lt;&gt;0),IF(AND(OR(Q225&gt;0,R225&lt;0),OR(R225&gt;0,Q225&lt;0)),ABS(S225/MIN(ABS(R225),ABS(Q225))),20),"-"),20)</f>
        <v>-</v>
      </c>
      <c r="U225" s="468" t="str">
        <f>IF(OR(OR(AND(OR((T225)&gt;10,(T225)&lt;-10),OR((S225)&gt;750,(S225)&lt;-750)),(AND(OR((L225)&gt;10,(L225)&lt;-10),OR((K225)&gt;750,(K225)&lt;-750))),(AND(OR((P225)&gt;10,(P225)&lt;-10),OR((O225)&gt;750,(O225)&lt;-750))))),"QUERY","")</f>
        <v/>
      </c>
      <c r="V225" s="468" t="str">
        <f>IF(OR(OR(AND(OR((T225)&gt;10,(T225)&lt;-10),OR((S225)&gt;750,(S225)&lt;-750)),(AND(OR((L225)&gt;10,(L225)&lt;-10),OR((K225)&gt;750,(K225)&lt;-750))),(AND(OR((P225)&gt;10,(P225)&lt;-10),OR((O225)&gt;750,(O225)&lt;-750))))),"QUERY - " &amp; (D225) &amp; "2002/03 2001/02 difference in Other Staff Costs / Other Op. Expenses / Int. Payabe","")</f>
        <v/>
      </c>
      <c r="X225" s="15"/>
      <c r="Y225" s="308"/>
      <c r="Z225" s="308"/>
      <c r="AA225" s="309"/>
      <c r="AB225" s="310"/>
    </row>
    <row r="226" spans="2:28" s="16" customFormat="1">
      <c r="B226" s="179"/>
      <c r="C226" s="278">
        <v>6</v>
      </c>
      <c r="D226" s="237" t="s">
        <v>359</v>
      </c>
      <c r="E226" s="271"/>
      <c r="F226" s="290"/>
      <c r="G226" s="356"/>
      <c r="H226" s="357"/>
      <c r="I226" s="269"/>
      <c r="J226" s="289"/>
      <c r="K226" s="356"/>
      <c r="L226" s="358"/>
      <c r="M226" s="270"/>
      <c r="N226" s="289"/>
      <c r="O226" s="356"/>
      <c r="P226" s="358"/>
      <c r="Q226" s="356"/>
      <c r="R226" s="357"/>
      <c r="S226" s="356"/>
      <c r="T226" s="357"/>
      <c r="U226" s="468" t="str">
        <f t="shared" si="28"/>
        <v/>
      </c>
      <c r="V226" s="468" t="str">
        <f>IF(OR(OR(AND(OR((H226)&gt;10,(H226)&lt;-10),OR((G226)&gt;750,(G226)&lt;-750)),(AND(OR((L226)&gt;10,(L226)&lt;-10),OR((K226)&gt;750,(K226)&lt;-750))),(AND(OR((P226)&gt;10,(P226)&lt;-10),OR((O226)&gt;750,(O226)&lt;-750))))),"QUERY - " &amp; (D226) &amp; " 2002/03 2001/02 difference in Acc. Staff Costs / Other Staff Costs / Other Op. Expenses / Int. Payable. Genuine?","")</f>
        <v/>
      </c>
      <c r="X226" s="15"/>
      <c r="Y226" s="270"/>
      <c r="Z226" s="270"/>
      <c r="AA226" s="309"/>
      <c r="AB226" s="310"/>
    </row>
    <row r="227" spans="2:28" s="16" customFormat="1">
      <c r="B227" s="179"/>
      <c r="C227" s="15"/>
      <c r="D227" s="237" t="s">
        <v>360</v>
      </c>
      <c r="E227" s="279">
        <v>0</v>
      </c>
      <c r="F227" s="292">
        <v>0</v>
      </c>
      <c r="G227" s="356">
        <f>E227-F227</f>
        <v>0</v>
      </c>
      <c r="H227" s="358" t="str">
        <f t="shared" ref="H227:H240" si="33">IF(AND(OR(E227=0,F227&lt;&gt;0),OR(F227=0,E227&lt;&gt;0)),IF((E227+F227+G227&lt;&gt;0),IF(AND(OR(E227&gt;0,F227&lt;0),OR(F227&gt;0,E227&lt;0)),ABS(G227/MIN(ABS(F227),ABS(E227))),20),"-"),20)</f>
        <v>-</v>
      </c>
      <c r="I227" s="291">
        <v>0</v>
      </c>
      <c r="J227" s="292">
        <v>0</v>
      </c>
      <c r="K227" s="356">
        <f>I227-J227</f>
        <v>0</v>
      </c>
      <c r="L227" s="358" t="str">
        <f t="shared" si="31"/>
        <v>-</v>
      </c>
      <c r="M227" s="308">
        <v>0</v>
      </c>
      <c r="N227" s="292">
        <v>0</v>
      </c>
      <c r="O227" s="356">
        <f t="shared" si="32"/>
        <v>0</v>
      </c>
      <c r="P227" s="358" t="str">
        <f t="shared" si="26"/>
        <v>-</v>
      </c>
      <c r="Q227" s="224" t="s">
        <v>402</v>
      </c>
      <c r="R227" s="281" t="s">
        <v>402</v>
      </c>
      <c r="S227" s="224" t="s">
        <v>402</v>
      </c>
      <c r="T227" s="281" t="s">
        <v>402</v>
      </c>
      <c r="U227" s="468" t="str">
        <f>IF(OR(OR(AND(OR((H227)&gt;10,(H227)&lt;-10),OR((G227)&gt;750,(G227)&lt;-750)),(AND(OR((L227)&gt;10,(L227)&lt;-10),OR((K227)&gt;750,(K227)&lt;-750))),(AND(OR((P227)&gt;10,(P227)&lt;-10),OR((O227)&gt;750,(O227)&lt;-750))))),"QUERY","")</f>
        <v/>
      </c>
      <c r="V227" s="468" t="str">
        <f t="shared" ref="V227:V234" si="34">IF(OR(OR(AND(OR((H227)&gt;10,(H227)&lt;-10),OR((G227)&gt;750,(G227)&lt;-750)),(AND(OR((L227)&gt;10,(L227)&lt;-10),OR((K227)&gt;750,(K227)&lt;-750))),(AND(OR((P227)&gt;10,(P227)&lt;-10),OR((O227)&gt;750,(O227)&lt;-750))))),"QUERY - " &amp; (D227) &amp; " 2002/03 2001/02 difference in Acc. Staff Costs / Other Staff Costs / Other Op. Expenses","")</f>
        <v/>
      </c>
      <c r="X227" s="15"/>
      <c r="Y227" s="313"/>
      <c r="Z227" s="313"/>
      <c r="AA227" s="309"/>
      <c r="AB227" s="310"/>
    </row>
    <row r="228" spans="2:28" s="16" customFormat="1">
      <c r="B228" s="179"/>
      <c r="C228" s="15"/>
      <c r="D228" s="237" t="s">
        <v>427</v>
      </c>
      <c r="E228" s="279">
        <v>0</v>
      </c>
      <c r="F228" s="292">
        <v>0</v>
      </c>
      <c r="G228" s="356">
        <f t="shared" ref="G228:G240" si="35">E228-F228</f>
        <v>0</v>
      </c>
      <c r="H228" s="358" t="str">
        <f t="shared" si="33"/>
        <v>-</v>
      </c>
      <c r="I228" s="291">
        <v>0</v>
      </c>
      <c r="J228" s="292">
        <v>0</v>
      </c>
      <c r="K228" s="356">
        <f t="shared" ref="K228:K240" si="36">I228-J228</f>
        <v>0</v>
      </c>
      <c r="L228" s="358" t="str">
        <f t="shared" si="31"/>
        <v>-</v>
      </c>
      <c r="M228" s="308">
        <v>0</v>
      </c>
      <c r="N228" s="292">
        <v>0</v>
      </c>
      <c r="O228" s="356">
        <f t="shared" si="32"/>
        <v>0</v>
      </c>
      <c r="P228" s="358" t="str">
        <f t="shared" si="26"/>
        <v>-</v>
      </c>
      <c r="Q228" s="224" t="s">
        <v>402</v>
      </c>
      <c r="R228" s="281" t="s">
        <v>402</v>
      </c>
      <c r="S228" s="224" t="s">
        <v>402</v>
      </c>
      <c r="T228" s="281" t="s">
        <v>402</v>
      </c>
      <c r="U228" s="468" t="str">
        <f t="shared" si="28"/>
        <v/>
      </c>
      <c r="V228" s="468" t="str">
        <f t="shared" si="34"/>
        <v/>
      </c>
      <c r="X228" s="15"/>
      <c r="Y228" s="313"/>
      <c r="Z228" s="313"/>
      <c r="AA228" s="309"/>
      <c r="AB228" s="310"/>
    </row>
    <row r="229" spans="2:28" s="16" customFormat="1">
      <c r="B229" s="179"/>
      <c r="C229" s="15"/>
      <c r="D229" s="237" t="s">
        <v>428</v>
      </c>
      <c r="E229" s="279">
        <v>0</v>
      </c>
      <c r="F229" s="292">
        <v>0</v>
      </c>
      <c r="G229" s="356">
        <f t="shared" si="35"/>
        <v>0</v>
      </c>
      <c r="H229" s="358" t="str">
        <f t="shared" si="33"/>
        <v>-</v>
      </c>
      <c r="I229" s="291">
        <v>0</v>
      </c>
      <c r="J229" s="292">
        <v>0</v>
      </c>
      <c r="K229" s="356">
        <f t="shared" si="36"/>
        <v>0</v>
      </c>
      <c r="L229" s="358" t="str">
        <f t="shared" si="31"/>
        <v>-</v>
      </c>
      <c r="M229" s="308">
        <v>0</v>
      </c>
      <c r="N229" s="292">
        <v>0</v>
      </c>
      <c r="O229" s="356">
        <f t="shared" si="32"/>
        <v>0</v>
      </c>
      <c r="P229" s="358" t="str">
        <f t="shared" si="26"/>
        <v>-</v>
      </c>
      <c r="Q229" s="224" t="s">
        <v>402</v>
      </c>
      <c r="R229" s="281" t="s">
        <v>402</v>
      </c>
      <c r="S229" s="224" t="s">
        <v>402</v>
      </c>
      <c r="T229" s="281" t="s">
        <v>402</v>
      </c>
      <c r="U229" s="468" t="str">
        <f t="shared" si="28"/>
        <v/>
      </c>
      <c r="V229" s="468" t="str">
        <f t="shared" si="34"/>
        <v/>
      </c>
      <c r="X229" s="15"/>
      <c r="Y229" s="313"/>
      <c r="Z229" s="313"/>
      <c r="AA229" s="309"/>
      <c r="AB229" s="310"/>
    </row>
    <row r="230" spans="2:28" s="16" customFormat="1">
      <c r="B230" s="179"/>
      <c r="C230" s="15"/>
      <c r="D230" s="237" t="s">
        <v>363</v>
      </c>
      <c r="E230" s="279">
        <v>0</v>
      </c>
      <c r="F230" s="292">
        <v>0</v>
      </c>
      <c r="G230" s="356">
        <f t="shared" si="35"/>
        <v>0</v>
      </c>
      <c r="H230" s="358" t="str">
        <f t="shared" si="33"/>
        <v>-</v>
      </c>
      <c r="I230" s="291">
        <v>0</v>
      </c>
      <c r="J230" s="292">
        <v>0</v>
      </c>
      <c r="K230" s="356">
        <f t="shared" si="36"/>
        <v>0</v>
      </c>
      <c r="L230" s="358" t="str">
        <f t="shared" si="31"/>
        <v>-</v>
      </c>
      <c r="M230" s="308">
        <v>0</v>
      </c>
      <c r="N230" s="292">
        <v>0</v>
      </c>
      <c r="O230" s="356">
        <f t="shared" si="32"/>
        <v>0</v>
      </c>
      <c r="P230" s="358" t="str">
        <f t="shared" ref="P230:P240" si="37">IF(AND(OR(M230=0,N230&lt;&gt;0),OR(N230=0,M230&lt;&gt;0)),IF((M230+N230+O230&lt;&gt;0),IF(AND(OR(M230&gt;0,N230&lt;0),OR(N230&gt;0,M230&lt;0)),ABS(O230/MIN(ABS(N230),ABS(M230))),20),"-"),20)</f>
        <v>-</v>
      </c>
      <c r="Q230" s="224" t="s">
        <v>402</v>
      </c>
      <c r="R230" s="281" t="s">
        <v>402</v>
      </c>
      <c r="S230" s="224" t="s">
        <v>402</v>
      </c>
      <c r="T230" s="281" t="s">
        <v>402</v>
      </c>
      <c r="U230" s="468" t="str">
        <f t="shared" si="28"/>
        <v/>
      </c>
      <c r="V230" s="468" t="str">
        <f t="shared" si="34"/>
        <v/>
      </c>
      <c r="X230" s="15"/>
      <c r="Y230" s="313"/>
      <c r="Z230" s="313"/>
      <c r="AA230" s="309"/>
      <c r="AB230" s="310"/>
    </row>
    <row r="231" spans="2:28" s="16" customFormat="1">
      <c r="B231" s="179"/>
      <c r="C231" s="15"/>
      <c r="D231" s="237" t="s">
        <v>429</v>
      </c>
      <c r="E231" s="279">
        <v>0</v>
      </c>
      <c r="F231" s="292">
        <v>0</v>
      </c>
      <c r="G231" s="356">
        <f t="shared" si="35"/>
        <v>0</v>
      </c>
      <c r="H231" s="358" t="str">
        <f t="shared" si="33"/>
        <v>-</v>
      </c>
      <c r="I231" s="291">
        <v>0</v>
      </c>
      <c r="J231" s="292">
        <v>0</v>
      </c>
      <c r="K231" s="356">
        <f t="shared" si="36"/>
        <v>0</v>
      </c>
      <c r="L231" s="358" t="str">
        <f t="shared" si="31"/>
        <v>-</v>
      </c>
      <c r="M231" s="308">
        <v>0</v>
      </c>
      <c r="N231" s="292">
        <v>0</v>
      </c>
      <c r="O231" s="356">
        <f t="shared" si="32"/>
        <v>0</v>
      </c>
      <c r="P231" s="358" t="str">
        <f t="shared" si="37"/>
        <v>-</v>
      </c>
      <c r="Q231" s="224" t="s">
        <v>402</v>
      </c>
      <c r="R231" s="281" t="s">
        <v>402</v>
      </c>
      <c r="S231" s="224" t="s">
        <v>402</v>
      </c>
      <c r="T231" s="281" t="s">
        <v>402</v>
      </c>
      <c r="U231" s="468" t="str">
        <f>IF(OR(OR(AND(OR((H231)&gt;10,(H231)&lt;-10),OR((G231)&gt;750,(G231)&lt;-750)),(AND(OR((L231)&gt;10,(L231)&lt;-10),OR((K231)&gt;750,(K231)&lt;-750))),(AND(OR((P231)&gt;10,(P231)&lt;-10),OR((O231)&gt;750,(O231)&lt;-750))))),"QUERY","")</f>
        <v/>
      </c>
      <c r="V231" s="468" t="str">
        <f t="shared" si="34"/>
        <v/>
      </c>
      <c r="X231" s="15"/>
      <c r="Y231" s="313"/>
      <c r="Z231" s="313"/>
      <c r="AA231" s="309"/>
      <c r="AB231" s="310"/>
    </row>
    <row r="232" spans="2:28" s="16" customFormat="1">
      <c r="B232" s="179"/>
      <c r="C232" s="15"/>
      <c r="D232" s="237" t="s">
        <v>364</v>
      </c>
      <c r="E232" s="279">
        <v>0</v>
      </c>
      <c r="F232" s="292">
        <v>0</v>
      </c>
      <c r="G232" s="356">
        <f t="shared" si="35"/>
        <v>0</v>
      </c>
      <c r="H232" s="358" t="str">
        <f t="shared" si="33"/>
        <v>-</v>
      </c>
      <c r="I232" s="291">
        <v>0</v>
      </c>
      <c r="J232" s="292">
        <v>0</v>
      </c>
      <c r="K232" s="356">
        <f t="shared" si="36"/>
        <v>0</v>
      </c>
      <c r="L232" s="358" t="str">
        <f t="shared" si="31"/>
        <v>-</v>
      </c>
      <c r="M232" s="308">
        <v>0</v>
      </c>
      <c r="N232" s="292">
        <v>0</v>
      </c>
      <c r="O232" s="356">
        <f t="shared" si="32"/>
        <v>0</v>
      </c>
      <c r="P232" s="358" t="str">
        <f t="shared" si="37"/>
        <v>-</v>
      </c>
      <c r="Q232" s="224" t="s">
        <v>402</v>
      </c>
      <c r="R232" s="281" t="s">
        <v>402</v>
      </c>
      <c r="S232" s="224" t="s">
        <v>402</v>
      </c>
      <c r="T232" s="281" t="s">
        <v>402</v>
      </c>
      <c r="U232" s="468" t="str">
        <f>IF(OR(OR(AND(OR((H232)&gt;10,(H232)&lt;-10),OR((G232)&gt;750,(G232)&lt;-750)),(AND(OR((L232)&gt;10,(L232)&lt;-10),OR((K232)&gt;750,(K232)&lt;-750))),(AND(OR((P232)&gt;10,(P232)&lt;-10),OR((O232)&gt;750,(O232)&lt;-750))))),"QUERY","")</f>
        <v/>
      </c>
      <c r="V232" s="468" t="str">
        <f t="shared" si="34"/>
        <v/>
      </c>
      <c r="X232" s="15"/>
      <c r="Y232" s="313"/>
      <c r="Z232" s="313"/>
      <c r="AA232" s="309"/>
      <c r="AB232" s="310"/>
    </row>
    <row r="233" spans="2:28" s="16" customFormat="1">
      <c r="B233" s="179"/>
      <c r="C233" s="15"/>
      <c r="D233" s="237" t="s">
        <v>365</v>
      </c>
      <c r="E233" s="279">
        <v>0</v>
      </c>
      <c r="F233" s="292">
        <v>0</v>
      </c>
      <c r="G233" s="356">
        <f t="shared" si="35"/>
        <v>0</v>
      </c>
      <c r="H233" s="358" t="str">
        <f t="shared" si="33"/>
        <v>-</v>
      </c>
      <c r="I233" s="291">
        <v>0</v>
      </c>
      <c r="J233" s="292">
        <v>0</v>
      </c>
      <c r="K233" s="356">
        <f t="shared" si="36"/>
        <v>0</v>
      </c>
      <c r="L233" s="358" t="str">
        <f t="shared" si="31"/>
        <v>-</v>
      </c>
      <c r="M233" s="308">
        <v>0</v>
      </c>
      <c r="N233" s="292">
        <v>0</v>
      </c>
      <c r="O233" s="356">
        <f t="shared" si="32"/>
        <v>0</v>
      </c>
      <c r="P233" s="358" t="str">
        <f t="shared" si="37"/>
        <v>-</v>
      </c>
      <c r="Q233" s="224" t="s">
        <v>402</v>
      </c>
      <c r="R233" s="281" t="s">
        <v>402</v>
      </c>
      <c r="S233" s="224" t="s">
        <v>402</v>
      </c>
      <c r="T233" s="281" t="s">
        <v>402</v>
      </c>
      <c r="U233" s="468" t="str">
        <f>IF(OR(OR(AND(OR((H233)&gt;10,(H233)&lt;-10),OR((G233)&gt;750,(G233)&lt;-750)),(AND(OR((L233)&gt;10,(L233)&lt;-10),OR((K233)&gt;750,(K233)&lt;-750))),(AND(OR((P233)&gt;10,(P233)&lt;-10),OR((O233)&gt;750,(O233)&lt;-750))))),"QUERY","")</f>
        <v/>
      </c>
      <c r="V233" s="468" t="str">
        <f t="shared" si="34"/>
        <v/>
      </c>
      <c r="X233" s="15"/>
      <c r="Y233" s="313"/>
      <c r="Z233" s="313"/>
      <c r="AA233" s="309"/>
      <c r="AB233" s="310"/>
    </row>
    <row r="234" spans="2:28" s="16" customFormat="1">
      <c r="B234" s="179"/>
      <c r="C234" s="15"/>
      <c r="D234" s="237" t="s">
        <v>366</v>
      </c>
      <c r="E234" s="279">
        <v>0</v>
      </c>
      <c r="F234" s="292">
        <v>0</v>
      </c>
      <c r="G234" s="356">
        <f t="shared" si="35"/>
        <v>0</v>
      </c>
      <c r="H234" s="358" t="str">
        <f t="shared" si="33"/>
        <v>-</v>
      </c>
      <c r="I234" s="291">
        <v>0</v>
      </c>
      <c r="J234" s="292">
        <v>0</v>
      </c>
      <c r="K234" s="356">
        <f t="shared" si="36"/>
        <v>0</v>
      </c>
      <c r="L234" s="358" t="str">
        <f t="shared" si="31"/>
        <v>-</v>
      </c>
      <c r="M234" s="308">
        <v>0</v>
      </c>
      <c r="N234" s="292">
        <v>0</v>
      </c>
      <c r="O234" s="356">
        <f t="shared" si="32"/>
        <v>0</v>
      </c>
      <c r="P234" s="358" t="str">
        <f t="shared" si="37"/>
        <v>-</v>
      </c>
      <c r="Q234" s="224" t="s">
        <v>402</v>
      </c>
      <c r="R234" s="281" t="s">
        <v>402</v>
      </c>
      <c r="S234" s="224" t="s">
        <v>402</v>
      </c>
      <c r="T234" s="281" t="s">
        <v>402</v>
      </c>
      <c r="U234" s="468" t="str">
        <f>IF(OR(OR(AND(OR((H234)&gt;10,(H234)&lt;-10),OR((G234)&gt;750,(G234)&lt;-750)),(AND(OR((L234)&gt;10,(L234)&lt;-10),OR((K234)&gt;750,(K234)&lt;-750))),(AND(OR((P234)&gt;10,(P234)&lt;-10),OR((O234)&gt;750,(O234)&lt;-750))))),"QUERY","")</f>
        <v/>
      </c>
      <c r="V234" s="468" t="str">
        <f t="shared" si="34"/>
        <v/>
      </c>
      <c r="X234" s="15"/>
      <c r="Y234" s="313"/>
      <c r="Z234" s="313"/>
      <c r="AA234" s="309"/>
      <c r="AB234" s="310"/>
    </row>
    <row r="235" spans="2:28" s="16" customFormat="1" ht="13.8" thickBot="1">
      <c r="B235" s="23"/>
      <c r="C235" s="25"/>
      <c r="D235" s="282" t="s">
        <v>341</v>
      </c>
      <c r="E235" s="285">
        <f>SUM(E227:E234)</f>
        <v>0</v>
      </c>
      <c r="F235" s="286">
        <f>SUM(F227:F234)</f>
        <v>0</v>
      </c>
      <c r="G235" s="359">
        <f t="shared" si="35"/>
        <v>0</v>
      </c>
      <c r="H235" s="360" t="str">
        <f t="shared" si="33"/>
        <v>-</v>
      </c>
      <c r="I235" s="285">
        <f>SUM(I227:I234)</f>
        <v>0</v>
      </c>
      <c r="J235" s="286">
        <f>SUM(J227:J234)</f>
        <v>0</v>
      </c>
      <c r="K235" s="359">
        <f t="shared" si="36"/>
        <v>0</v>
      </c>
      <c r="L235" s="360" t="str">
        <f t="shared" si="31"/>
        <v>-</v>
      </c>
      <c r="M235" s="315">
        <f>SUM(M227:M234)</f>
        <v>0</v>
      </c>
      <c r="N235" s="286">
        <f>SUM(N227:N234)</f>
        <v>0</v>
      </c>
      <c r="O235" s="359">
        <f t="shared" si="32"/>
        <v>0</v>
      </c>
      <c r="P235" s="360" t="str">
        <f t="shared" si="37"/>
        <v>-</v>
      </c>
      <c r="Q235" s="287" t="s">
        <v>402</v>
      </c>
      <c r="R235" s="288" t="s">
        <v>402</v>
      </c>
      <c r="S235" s="287" t="s">
        <v>402</v>
      </c>
      <c r="T235" s="288" t="s">
        <v>402</v>
      </c>
      <c r="U235" s="468"/>
      <c r="V235" s="468"/>
      <c r="X235" s="15"/>
      <c r="Y235" s="311"/>
      <c r="Z235" s="311"/>
      <c r="AA235" s="312"/>
      <c r="AB235" s="310"/>
    </row>
    <row r="236" spans="2:28" s="16" customFormat="1">
      <c r="B236" s="179"/>
      <c r="C236" s="278">
        <v>7</v>
      </c>
      <c r="D236" s="237" t="s">
        <v>430</v>
      </c>
      <c r="E236" s="269"/>
      <c r="F236" s="289"/>
      <c r="G236" s="356"/>
      <c r="H236" s="358"/>
      <c r="I236" s="269"/>
      <c r="J236" s="289"/>
      <c r="K236" s="356"/>
      <c r="L236" s="358"/>
      <c r="M236" s="270"/>
      <c r="N236" s="289"/>
      <c r="O236" s="356"/>
      <c r="P236" s="358"/>
      <c r="Q236" s="271"/>
      <c r="R236" s="290"/>
      <c r="S236" s="356"/>
      <c r="T236" s="357"/>
      <c r="U236" s="468"/>
      <c r="V236" s="468" t="str">
        <f>IF(OR(OR(AND(OR((H236)&gt;10,(H236)&lt;-10),OR((G236)&gt;750,(G236)&lt;-750)),(AND(OR((L236)&gt;10,(L236)&lt;-10),OR((K236)&gt;750,(K236)&lt;-750))),(AND(OR((P236)&gt;10,(P236)&lt;-10),OR((O236)&gt;750,(O236)&lt;-750))))),"QUERY - " &amp; (D236) &amp; " 2002/03 2001/02 difference in Acc. Staff Costs / Other Staff Costs / Other Op. Expenses / Int. Payable. Genuine?","")</f>
        <v/>
      </c>
      <c r="X236" s="15"/>
      <c r="Y236" s="313"/>
      <c r="Z236" s="313"/>
      <c r="AA236" s="309"/>
      <c r="AB236" s="310"/>
    </row>
    <row r="237" spans="2:28" s="16" customFormat="1">
      <c r="B237" s="179"/>
      <c r="C237" s="15"/>
      <c r="D237" s="237" t="s">
        <v>368</v>
      </c>
      <c r="E237" s="279">
        <v>0</v>
      </c>
      <c r="F237" s="292">
        <v>0</v>
      </c>
      <c r="G237" s="356">
        <f t="shared" si="35"/>
        <v>0</v>
      </c>
      <c r="H237" s="358" t="str">
        <f t="shared" si="33"/>
        <v>-</v>
      </c>
      <c r="I237" s="291">
        <v>0</v>
      </c>
      <c r="J237" s="292">
        <v>0</v>
      </c>
      <c r="K237" s="356">
        <f t="shared" si="36"/>
        <v>0</v>
      </c>
      <c r="L237" s="358" t="str">
        <f t="shared" si="31"/>
        <v>-</v>
      </c>
      <c r="M237" s="308">
        <v>0</v>
      </c>
      <c r="N237" s="292">
        <v>0</v>
      </c>
      <c r="O237" s="356">
        <f t="shared" si="32"/>
        <v>0</v>
      </c>
      <c r="P237" s="358" t="str">
        <f t="shared" si="37"/>
        <v>-</v>
      </c>
      <c r="Q237" s="299">
        <v>0</v>
      </c>
      <c r="R237" s="300">
        <v>0</v>
      </c>
      <c r="S237" s="224">
        <f>Q237-R237</f>
        <v>0</v>
      </c>
      <c r="T237" s="358" t="str">
        <f>IF(AND(OR(Q237=0,R237&lt;&gt;0),OR(R237=0,Q237&lt;&gt;0)),IF((Q237+R237+S237&lt;&gt;0),IF(AND(OR(Q237&gt;0,R237&lt;0),OR(R237&gt;0,Q237&lt;0)),ABS(S237/MIN(ABS(R237),ABS(Q237))),20),"-"),20)</f>
        <v>-</v>
      </c>
      <c r="U237" s="468" t="str">
        <f>IF(OR(OR(OR(AND(OR((H237)&gt;10,(H237)&lt;-10),OR((G237)&gt;750,(G237)&lt;-750)),(AND(OR((L237)&gt;10,(L237)&lt;-10),OR((K237)&gt;750,(K237)&lt;-750))),(AND(OR((P237)&gt;10,(P237)&lt;-10),OR((O237)&gt;750,(O237)&lt;-750)))),(AND(OR((T237)&gt;10,(T237)&lt;-10),OR((S237)&gt;750,(S237)&lt;-750))))),"QUERY","")</f>
        <v/>
      </c>
      <c r="V237" s="468" t="str">
        <f>IF(OR(OR(OR(AND(OR((H237)&gt;10,(H237)&lt;-10),OR((G237)&gt;750,(G237)&lt;-750)),(AND(OR((L237)&gt;10,(L237)&lt;-10),OR((K237)&gt;750,(K237)&lt;-750))),(AND(OR((P237)&gt;10,(P237)&lt;-10),OR((O237)&gt;750,(O237)&lt;-750)))),(AND(OR((T237)&gt;10,(T237)&lt;-10),OR((S237)&gt;750,(S237)&lt;-750))))),"QUERY - " &amp; (D237) &amp; " 2002/03 2001/02 difference in Acc. Staff Costs / Other Staff Costs / Other Op. Expenses / Int. Payable","")</f>
        <v/>
      </c>
      <c r="X237" s="15"/>
      <c r="Y237" s="313"/>
      <c r="Z237" s="313"/>
      <c r="AA237" s="309"/>
      <c r="AB237" s="310"/>
    </row>
    <row r="238" spans="2:28" s="16" customFormat="1">
      <c r="B238" s="179"/>
      <c r="C238" s="15"/>
      <c r="D238" s="237" t="s">
        <v>431</v>
      </c>
      <c r="E238" s="279">
        <v>0</v>
      </c>
      <c r="F238" s="292">
        <v>0</v>
      </c>
      <c r="G238" s="356">
        <f t="shared" si="35"/>
        <v>0</v>
      </c>
      <c r="H238" s="358" t="str">
        <f t="shared" si="33"/>
        <v>-</v>
      </c>
      <c r="I238" s="291">
        <v>0</v>
      </c>
      <c r="J238" s="292">
        <v>0</v>
      </c>
      <c r="K238" s="356">
        <f t="shared" si="36"/>
        <v>0</v>
      </c>
      <c r="L238" s="358" t="str">
        <f t="shared" si="31"/>
        <v>-</v>
      </c>
      <c r="M238" s="308">
        <v>0</v>
      </c>
      <c r="N238" s="292">
        <v>0</v>
      </c>
      <c r="O238" s="356">
        <f t="shared" si="32"/>
        <v>0</v>
      </c>
      <c r="P238" s="358" t="str">
        <f t="shared" si="37"/>
        <v>-</v>
      </c>
      <c r="Q238" s="291">
        <v>0</v>
      </c>
      <c r="R238" s="292">
        <v>0</v>
      </c>
      <c r="S238" s="224">
        <f>Q238-R238</f>
        <v>0</v>
      </c>
      <c r="T238" s="358" t="str">
        <f>IF(AND(OR(Q238=0,R238&lt;&gt;0),OR(R238=0,Q238&lt;&gt;0)),IF((Q238+R238+S238&lt;&gt;0),IF(AND(OR(Q238&gt;0,R238&lt;0),OR(R238&gt;0,Q238&lt;0)),ABS(S238/MIN(ABS(R238),ABS(Q238))),20),"-"),20)</f>
        <v>-</v>
      </c>
      <c r="U238" s="468" t="str">
        <f>IF(OR(OR(OR(AND(OR((H238)&gt;10,(H238)&lt;-10),OR((G238)&gt;750,(G238)&lt;-750)),(AND(OR((L238)&gt;10,(L238)&lt;-10),OR((K238)&gt;750,(K238)&lt;-750))),(AND(OR((P238)&gt;10,(P238)&lt;-10),OR((O238)&gt;750,(O238)&lt;-750)))),(AND(OR((T238)&gt;10,(T238)&lt;-10),OR((S238)&gt;750,(S238)&lt;-750))))),"QUERY","")</f>
        <v/>
      </c>
      <c r="V238" s="468" t="str">
        <f>IF(OR(OR(OR(AND(OR((H238)&gt;10,(H238)&lt;-10),OR((G238)&gt;750,(G238)&lt;-750)),(AND(OR((L238)&gt;10,(L238)&lt;-10),OR((K238)&gt;750,(K238)&lt;-750))),(AND(OR((P238)&gt;10,(P238)&lt;-10),OR((O238)&gt;750,(O238)&lt;-750)))),(AND(OR((T238)&gt;10,(T238)&lt;-10),OR((S238)&gt;750,(S238)&lt;-750))))),"QUERY - " &amp; (D238) &amp; " 2002/03 2001/02 difference in Acc. Staff Costs / Other Staff Costs / Other Op. Expenses / Int. Payable","")</f>
        <v/>
      </c>
      <c r="X238" s="15"/>
      <c r="Y238" s="313"/>
      <c r="Z238" s="313"/>
      <c r="AA238" s="309"/>
      <c r="AB238" s="310"/>
    </row>
    <row r="239" spans="2:28" s="16" customFormat="1" ht="13.8" thickBot="1">
      <c r="B239" s="23"/>
      <c r="C239" s="25"/>
      <c r="D239" s="282" t="s">
        <v>432</v>
      </c>
      <c r="E239" s="285">
        <f>SUM(E237:E238)</f>
        <v>0</v>
      </c>
      <c r="F239" s="286">
        <f>SUM(F237:F238)</f>
        <v>0</v>
      </c>
      <c r="G239" s="359">
        <f t="shared" si="35"/>
        <v>0</v>
      </c>
      <c r="H239" s="360" t="str">
        <f t="shared" si="33"/>
        <v>-</v>
      </c>
      <c r="I239" s="285">
        <f>SUM(I237:I238)</f>
        <v>0</v>
      </c>
      <c r="J239" s="286">
        <f>SUM(J237:J238)</f>
        <v>0</v>
      </c>
      <c r="K239" s="359">
        <f t="shared" si="36"/>
        <v>0</v>
      </c>
      <c r="L239" s="360" t="str">
        <f t="shared" si="31"/>
        <v>-</v>
      </c>
      <c r="M239" s="315">
        <f>SUM(M237:M238)</f>
        <v>0</v>
      </c>
      <c r="N239" s="286">
        <f>SUM(N237:N238)</f>
        <v>0</v>
      </c>
      <c r="O239" s="359">
        <f t="shared" si="32"/>
        <v>0</v>
      </c>
      <c r="P239" s="360" t="str">
        <f t="shared" si="37"/>
        <v>-</v>
      </c>
      <c r="Q239" s="285">
        <f>SUM(Q237:Q238)</f>
        <v>0</v>
      </c>
      <c r="R239" s="286">
        <f>SUM(R237:R238)</f>
        <v>0</v>
      </c>
      <c r="S239" s="362">
        <f>Q239-R239</f>
        <v>0</v>
      </c>
      <c r="T239" s="360" t="str">
        <f>IF(AND(OR(Q239=0,R239&lt;&gt;0),OR(R239=0,Q239&lt;&gt;0)),IF((Q239+R239+S239&lt;&gt;0),IF(AND(OR(Q239&gt;0,R239&lt;0),OR(R239&gt;0,Q239&lt;0)),ABS(S239/MIN(ABS(R239),ABS(Q239))),20),"-"),20)</f>
        <v>-</v>
      </c>
      <c r="U239" s="468"/>
      <c r="V239" s="468"/>
      <c r="X239" s="15"/>
      <c r="Y239" s="311"/>
      <c r="Z239" s="311"/>
      <c r="AA239" s="312"/>
      <c r="AB239" s="310"/>
    </row>
    <row r="240" spans="2:28" s="16" customFormat="1" ht="13.8" thickBot="1">
      <c r="B240" s="23"/>
      <c r="C240" s="301">
        <v>8</v>
      </c>
      <c r="D240" s="282" t="s">
        <v>285</v>
      </c>
      <c r="E240" s="285">
        <f>SUM(E205,E210,E215,E235,E239)</f>
        <v>0</v>
      </c>
      <c r="F240" s="286">
        <f>SUM(F239,F235,F215,F210,F205)</f>
        <v>0</v>
      </c>
      <c r="G240" s="359">
        <f t="shared" si="35"/>
        <v>0</v>
      </c>
      <c r="H240" s="360" t="str">
        <f t="shared" si="33"/>
        <v>-</v>
      </c>
      <c r="I240" s="285">
        <f>SUM(I205,I210,I215,I224,I225,I235,I239)</f>
        <v>0</v>
      </c>
      <c r="J240" s="286">
        <f>SUM(J205,J210,J215,J224,J225,J235,J239)</f>
        <v>0</v>
      </c>
      <c r="K240" s="359">
        <f t="shared" si="36"/>
        <v>0</v>
      </c>
      <c r="L240" s="360" t="str">
        <f t="shared" si="31"/>
        <v>-</v>
      </c>
      <c r="M240" s="315">
        <f>SUM(M205,M210,M215,M224,M225,M235,M239)</f>
        <v>0</v>
      </c>
      <c r="N240" s="286">
        <f>SUM(N205,N210,N215,N224,N225,N235,N239)</f>
        <v>0</v>
      </c>
      <c r="O240" s="359">
        <f t="shared" si="32"/>
        <v>0</v>
      </c>
      <c r="P240" s="360" t="str">
        <f t="shared" si="37"/>
        <v>-</v>
      </c>
      <c r="Q240" s="285">
        <f>SUM(Q224,Q225,Q239)</f>
        <v>0</v>
      </c>
      <c r="R240" s="286">
        <f>SUM(R224,R225,R239)</f>
        <v>0</v>
      </c>
      <c r="S240" s="362">
        <f>Q240-R240</f>
        <v>0</v>
      </c>
      <c r="T240" s="360" t="str">
        <f>IF(AND(OR(Q240=0,R240&lt;&gt;0),OR(R240=0,Q240&lt;&gt;0)),IF((Q240+R240+S240&lt;&gt;0),IF(AND(OR(Q240&gt;0,R240&lt;0),OR(R240&gt;0,Q240&lt;0)),ABS(S240/MIN(ABS(R240),ABS(Q240))),20),"-"),20)</f>
        <v>-</v>
      </c>
      <c r="U240" s="469"/>
      <c r="X240" s="15"/>
      <c r="Y240" s="311"/>
      <c r="Z240" s="311"/>
      <c r="AA240" s="312"/>
      <c r="AB240" s="310"/>
    </row>
    <row r="241" spans="1:4" s="16" customFormat="1"/>
    <row r="242" spans="1:4">
      <c r="A242" s="335"/>
    </row>
    <row r="243" spans="1:4">
      <c r="A243" s="227"/>
    </row>
    <row r="245" spans="1:4">
      <c r="B245" s="60"/>
    </row>
    <row r="246" spans="1:4">
      <c r="B246" s="335"/>
    </row>
    <row r="247" spans="1:4">
      <c r="D247" s="463"/>
    </row>
    <row r="248" spans="1:4">
      <c r="D248" s="463"/>
    </row>
    <row r="249" spans="1:4">
      <c r="D249" s="463"/>
    </row>
    <row r="250" spans="1:4">
      <c r="D250" s="463"/>
    </row>
    <row r="251" spans="1:4">
      <c r="D251" s="463"/>
    </row>
    <row r="252" spans="1:4">
      <c r="D252" s="463"/>
    </row>
    <row r="253" spans="1:4">
      <c r="D253" s="463"/>
    </row>
    <row r="254" spans="1:4">
      <c r="D254" s="463"/>
    </row>
    <row r="255" spans="1:4">
      <c r="D255" s="463"/>
    </row>
    <row r="256" spans="1:4">
      <c r="D256" s="463"/>
    </row>
    <row r="257" spans="2:4">
      <c r="D257" s="463"/>
    </row>
    <row r="258" spans="2:4">
      <c r="B258" s="463"/>
    </row>
  </sheetData>
  <mergeCells count="2">
    <mergeCell ref="E6:F6"/>
    <mergeCell ref="B157:J157"/>
  </mergeCells>
  <phoneticPr fontId="0" type="noConversion"/>
  <conditionalFormatting sqref="E19:E20">
    <cfRule type="expression" dxfId="41" priority="1" stopIfTrue="1">
      <formula>AND(OR((K19)&gt;2,(K19)&lt;-2),OR((J19)&gt;750,(J19)&lt;-750))</formula>
    </cfRule>
  </conditionalFormatting>
  <conditionalFormatting sqref="I18:I21 I12:I15">
    <cfRule type="expression" dxfId="40" priority="2" stopIfTrue="1">
      <formula>AND(OR((K12)&gt;2,(K12)&lt;-2),OR((J12)&gt;750,(J12)&lt;-750))</formula>
    </cfRule>
  </conditionalFormatting>
  <conditionalFormatting sqref="E120:E128 E132:E146 Q99:Q101 E118 I90:I95 M90:M95 Q97 E149:E153">
    <cfRule type="expression" dxfId="39" priority="3" stopIfTrue="1">
      <formula>AND(OR((H90)&gt;5,(H90)&lt;-5),OR((G90)&gt;750,(G90)&lt;-750))</formula>
    </cfRule>
  </conditionalFormatting>
  <conditionalFormatting sqref="F29:F68 F71:F73 F76:F78 F90:F95 J90:J95 N90:N95 R97 R99:R101 F110:F115 F118 F120:F128 F132:F146 F149:F153">
    <cfRule type="expression" dxfId="38" priority="4" stopIfTrue="1">
      <formula>AND(OR((H29)&gt;5,(H29)&lt;-5),OR((G29)&gt;750,(G29)&lt;-750))</formula>
    </cfRule>
  </conditionalFormatting>
  <conditionalFormatting sqref="Q237:Q238 M212:M214 Q223 M237:M238 M227:M234 I165:I204 I207:I209 I212:I214 M225 M219:M220 I225 I227:I234 I237:I238 M165:M204 M207:M209">
    <cfRule type="expression" dxfId="37" priority="5" stopIfTrue="1">
      <formula>AND(OR((L165)&gt;10,(L165)&lt;-10),OR((K165)&gt;750,(K165)&lt;-750))</formula>
    </cfRule>
  </conditionalFormatting>
  <conditionalFormatting sqref="F165:F204 F207:F209 F212:F214 F227:F234 F237:F238 J165:J204 J207:J209 J212:J214 J219:J220 J223 J225 J227:J234 J237:J238 N165:N204 N207:N209 N212:N214 N217:N221 N223 N225 N227:N234 N237:N238 R223 R225 R237:R238">
    <cfRule type="expression" dxfId="36" priority="6" stopIfTrue="1">
      <formula>AND(OR((H165)&gt;10,(H165)&lt;-10),OR((G165)&gt;750,(G165)&lt;-750))</formula>
    </cfRule>
  </conditionalFormatting>
  <conditionalFormatting sqref="I11 F11:F15 F18:F21">
    <cfRule type="expression" dxfId="35" priority="7" stopIfTrue="1">
      <formula>AND(OR((H11)&gt;2,(H11)&lt;-2),OR((G11)&gt;750,(G11)&lt;-750))</formula>
    </cfRule>
  </conditionalFormatting>
  <conditionalFormatting sqref="M217:M218 Q225 E207:E209 E212:E214 E227:E234 E237:E238 I223 I219:I220 M221 M223 E165:E204">
    <cfRule type="expression" dxfId="34" priority="8" stopIfTrue="1">
      <formula>AND(OR((H165)&gt;10,(H165)&lt;-10),OR((G165)&gt;750,(G165)&lt;-750))</formula>
    </cfRule>
  </conditionalFormatting>
  <conditionalFormatting sqref="E11:E15 E18 E21 E29:E68 E71:E73 E76:E78 E90:E95 E110:E115">
    <cfRule type="expression" dxfId="33" priority="9" stopIfTrue="1">
      <formula>AND(OR((K11)&gt;2,(K11)&lt;-2),OR((J11)&gt;750,(J11)&lt;-750))</formula>
    </cfRule>
  </conditionalFormatting>
  <pageMargins left="0.17" right="0.19" top="0.35" bottom="0.28999999999999998" header="0.25" footer="0.19"/>
  <pageSetup paperSize="9" scale="43" fitToHeight="0" orientation="landscape" r:id="rId1"/>
  <headerFooter alignWithMargins="0">
    <oddFooter>&amp;R&amp;A</oddFooter>
  </headerFooter>
  <rowBreaks count="2" manualBreakCount="2">
    <brk id="82" max="20" man="1"/>
    <brk id="156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zoomScale="70" workbookViewId="0">
      <selection activeCell="A2" sqref="A2"/>
    </sheetView>
  </sheetViews>
  <sheetFormatPr defaultColWidth="9.109375" defaultRowHeight="13.2"/>
  <cols>
    <col min="1" max="1" width="6.44140625" style="131" customWidth="1"/>
    <col min="2" max="2" width="82.5546875" style="131" bestFit="1" customWidth="1"/>
    <col min="3" max="3" width="61.6640625" style="131" bestFit="1" customWidth="1"/>
    <col min="4" max="4" width="93" style="131" customWidth="1"/>
    <col min="5" max="16384" width="9.109375" style="131"/>
  </cols>
  <sheetData>
    <row r="1" spans="1:4" ht="30.75" customHeight="1" thickBot="1">
      <c r="A1" s="365" t="s">
        <v>495</v>
      </c>
      <c r="B1" s="129"/>
      <c r="C1" s="129"/>
      <c r="D1" s="130"/>
    </row>
    <row r="2" spans="1:4" ht="14.4" thickBot="1">
      <c r="A2" s="132" t="s">
        <v>46</v>
      </c>
      <c r="B2" s="133"/>
      <c r="C2" s="168" t="s">
        <v>47</v>
      </c>
      <c r="D2" s="134"/>
    </row>
    <row r="3" spans="1:4" ht="29.25" customHeight="1">
      <c r="A3" s="163">
        <v>1</v>
      </c>
      <c r="B3" s="135" t="s">
        <v>21</v>
      </c>
      <c r="C3" s="169" t="s">
        <v>48</v>
      </c>
      <c r="D3" s="136" t="s">
        <v>226</v>
      </c>
    </row>
    <row r="4" spans="1:4" ht="29.25" customHeight="1">
      <c r="A4" s="164">
        <v>2</v>
      </c>
      <c r="B4" s="137" t="s">
        <v>22</v>
      </c>
      <c r="C4" s="170" t="s">
        <v>118</v>
      </c>
      <c r="D4" s="138" t="s">
        <v>227</v>
      </c>
    </row>
    <row r="5" spans="1:4" ht="29.25" customHeight="1">
      <c r="A5" s="164">
        <v>3</v>
      </c>
      <c r="B5" s="139" t="s">
        <v>23</v>
      </c>
      <c r="C5" s="170" t="s">
        <v>49</v>
      </c>
      <c r="D5" s="138" t="s">
        <v>228</v>
      </c>
    </row>
    <row r="6" spans="1:4" ht="39" customHeight="1">
      <c r="A6" s="164">
        <v>4</v>
      </c>
      <c r="B6" s="137" t="s">
        <v>24</v>
      </c>
      <c r="C6" s="171" t="s">
        <v>246</v>
      </c>
      <c r="D6" s="138" t="s">
        <v>229</v>
      </c>
    </row>
    <row r="7" spans="1:4" ht="29.25" customHeight="1">
      <c r="A7" s="164">
        <v>5</v>
      </c>
      <c r="B7" s="137" t="s">
        <v>25</v>
      </c>
      <c r="C7" s="170" t="s">
        <v>119</v>
      </c>
      <c r="D7" s="142" t="s">
        <v>247</v>
      </c>
    </row>
    <row r="8" spans="1:4" ht="29.25" customHeight="1">
      <c r="A8" s="164">
        <v>6</v>
      </c>
      <c r="B8" s="137" t="s">
        <v>50</v>
      </c>
      <c r="C8" s="170" t="s">
        <v>120</v>
      </c>
      <c r="D8" s="142" t="s">
        <v>248</v>
      </c>
    </row>
    <row r="9" spans="1:4" ht="29.25" customHeight="1">
      <c r="A9" s="164">
        <v>7</v>
      </c>
      <c r="B9" s="140" t="s">
        <v>27</v>
      </c>
      <c r="C9" s="170" t="s">
        <v>121</v>
      </c>
      <c r="D9" s="142" t="s">
        <v>249</v>
      </c>
    </row>
    <row r="10" spans="1:4" ht="29.25" customHeight="1">
      <c r="A10" s="164">
        <v>8</v>
      </c>
      <c r="B10" s="140" t="s">
        <v>28</v>
      </c>
      <c r="C10" s="170" t="s">
        <v>122</v>
      </c>
      <c r="D10" s="142" t="s">
        <v>230</v>
      </c>
    </row>
    <row r="11" spans="1:4" ht="29.25" customHeight="1">
      <c r="A11" s="164">
        <v>9</v>
      </c>
      <c r="B11" s="137" t="s">
        <v>29</v>
      </c>
      <c r="C11" s="170" t="s">
        <v>135</v>
      </c>
      <c r="D11" s="142" t="s">
        <v>231</v>
      </c>
    </row>
    <row r="12" spans="1:4" ht="29.25" customHeight="1">
      <c r="A12" s="165" t="s">
        <v>30</v>
      </c>
      <c r="B12" s="140" t="s">
        <v>31</v>
      </c>
      <c r="C12" s="170" t="s">
        <v>136</v>
      </c>
      <c r="D12" s="142" t="s">
        <v>232</v>
      </c>
    </row>
    <row r="13" spans="1:4" ht="29.25" customHeight="1">
      <c r="A13" s="165" t="s">
        <v>32</v>
      </c>
      <c r="B13" s="140" t="s">
        <v>51</v>
      </c>
      <c r="C13" s="170" t="s">
        <v>137</v>
      </c>
      <c r="D13" s="142" t="s">
        <v>233</v>
      </c>
    </row>
    <row r="14" spans="1:4" ht="29.25" customHeight="1">
      <c r="A14" s="165" t="s">
        <v>33</v>
      </c>
      <c r="B14" s="140" t="s">
        <v>52</v>
      </c>
      <c r="C14" s="170" t="s">
        <v>138</v>
      </c>
      <c r="D14" s="142" t="s">
        <v>234</v>
      </c>
    </row>
    <row r="15" spans="1:4" ht="29.25" customHeight="1">
      <c r="A15" s="164">
        <v>12</v>
      </c>
      <c r="B15" s="140" t="s">
        <v>34</v>
      </c>
      <c r="C15" s="170" t="s">
        <v>123</v>
      </c>
      <c r="D15" s="138" t="s">
        <v>235</v>
      </c>
    </row>
    <row r="16" spans="1:4" ht="29.25" customHeight="1">
      <c r="A16" s="164">
        <v>13</v>
      </c>
      <c r="B16" s="140" t="s">
        <v>35</v>
      </c>
      <c r="C16" s="170" t="s">
        <v>124</v>
      </c>
      <c r="D16" s="138" t="s">
        <v>236</v>
      </c>
    </row>
    <row r="17" spans="1:4" ht="29.25" customHeight="1">
      <c r="A17" s="164">
        <v>14</v>
      </c>
      <c r="B17" s="140" t="s">
        <v>36</v>
      </c>
      <c r="C17" s="171" t="s">
        <v>250</v>
      </c>
      <c r="D17" s="138" t="s">
        <v>237</v>
      </c>
    </row>
    <row r="18" spans="1:4" ht="29.25" customHeight="1">
      <c r="A18" s="164">
        <v>15</v>
      </c>
      <c r="B18" s="140" t="s">
        <v>37</v>
      </c>
      <c r="C18" s="170" t="s">
        <v>125</v>
      </c>
      <c r="D18" s="138" t="s">
        <v>238</v>
      </c>
    </row>
    <row r="19" spans="1:4" ht="29.25" customHeight="1">
      <c r="A19" s="164">
        <v>16</v>
      </c>
      <c r="B19" s="140" t="s">
        <v>38</v>
      </c>
      <c r="C19" s="170" t="s">
        <v>126</v>
      </c>
      <c r="D19" s="138" t="s">
        <v>239</v>
      </c>
    </row>
    <row r="20" spans="1:4" ht="29.25" customHeight="1">
      <c r="A20" s="164">
        <v>17</v>
      </c>
      <c r="B20" s="140" t="s">
        <v>39</v>
      </c>
      <c r="C20" s="170" t="s">
        <v>127</v>
      </c>
      <c r="D20" s="138" t="s">
        <v>241</v>
      </c>
    </row>
    <row r="21" spans="1:4" ht="29.25" customHeight="1">
      <c r="A21" s="164">
        <v>18</v>
      </c>
      <c r="B21" s="140" t="s">
        <v>40</v>
      </c>
      <c r="C21" s="170" t="s">
        <v>128</v>
      </c>
      <c r="D21" s="142" t="s">
        <v>240</v>
      </c>
    </row>
    <row r="22" spans="1:4" ht="29.25" customHeight="1">
      <c r="A22" s="164">
        <v>19</v>
      </c>
      <c r="B22" s="140" t="s">
        <v>41</v>
      </c>
      <c r="C22" s="170" t="s">
        <v>129</v>
      </c>
      <c r="D22" s="138" t="s">
        <v>242</v>
      </c>
    </row>
    <row r="23" spans="1:4" ht="34.200000000000003">
      <c r="A23" s="164">
        <v>20</v>
      </c>
      <c r="B23" s="140" t="s">
        <v>42</v>
      </c>
      <c r="C23" s="171" t="s">
        <v>251</v>
      </c>
      <c r="D23" s="142" t="s">
        <v>243</v>
      </c>
    </row>
    <row r="24" spans="1:4" ht="29.25" customHeight="1">
      <c r="A24" s="164">
        <v>21</v>
      </c>
      <c r="B24" s="140" t="s">
        <v>43</v>
      </c>
      <c r="C24" s="170" t="s">
        <v>130</v>
      </c>
      <c r="D24" s="138" t="s">
        <v>245</v>
      </c>
    </row>
    <row r="25" spans="1:4" ht="29.25" customHeight="1">
      <c r="A25" s="164">
        <v>22</v>
      </c>
      <c r="B25" s="140" t="s">
        <v>44</v>
      </c>
      <c r="C25" s="170" t="s">
        <v>131</v>
      </c>
      <c r="D25" s="138" t="s">
        <v>244</v>
      </c>
    </row>
    <row r="26" spans="1:4" ht="22.8">
      <c r="A26" s="166">
        <v>23</v>
      </c>
      <c r="B26" s="146" t="s">
        <v>45</v>
      </c>
      <c r="C26" s="172" t="s">
        <v>252</v>
      </c>
      <c r="D26" s="144" t="s">
        <v>254</v>
      </c>
    </row>
    <row r="27" spans="1:4" ht="29.25" customHeight="1" thickBot="1">
      <c r="A27" s="167"/>
      <c r="B27" s="141"/>
      <c r="C27" s="167"/>
      <c r="D27" s="145" t="s">
        <v>253</v>
      </c>
    </row>
  </sheetData>
  <phoneticPr fontId="0" type="noConversion"/>
  <pageMargins left="0.75" right="0.75" top="1" bottom="1" header="0.5" footer="0.5"/>
  <pageSetup paperSize="9" scale="54" orientation="landscape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showGridLines="0" zoomScale="80" workbookViewId="0">
      <selection activeCell="A13" sqref="A13:L13"/>
    </sheetView>
  </sheetViews>
  <sheetFormatPr defaultColWidth="9.109375" defaultRowHeight="12"/>
  <cols>
    <col min="1" max="1" width="3.33203125" style="127" customWidth="1"/>
    <col min="2" max="2" width="8.33203125" style="127" customWidth="1"/>
    <col min="3" max="3" width="46.88671875" style="127" customWidth="1"/>
    <col min="4" max="4" width="8.88671875" style="127" customWidth="1"/>
    <col min="5" max="5" width="13.109375" style="127" customWidth="1"/>
    <col min="6" max="12" width="12.5546875" style="127" customWidth="1"/>
    <col min="13" max="13" width="9.109375" style="127"/>
    <col min="14" max="14" width="9.109375" style="496"/>
    <col min="15" max="16384" width="9.109375" style="127"/>
  </cols>
  <sheetData>
    <row r="1" spans="1:14" s="57" customFormat="1" ht="17.399999999999999">
      <c r="A1" s="366" t="s">
        <v>456</v>
      </c>
      <c r="B1" s="3"/>
      <c r="C1" s="3"/>
      <c r="D1" s="3"/>
      <c r="E1" s="3"/>
      <c r="F1" s="3"/>
      <c r="G1" s="3"/>
      <c r="H1" s="3"/>
      <c r="I1" s="3"/>
      <c r="J1" s="367"/>
      <c r="N1" s="486"/>
    </row>
    <row r="2" spans="1:14" s="373" customFormat="1" ht="18" customHeight="1">
      <c r="A2" s="368" t="s">
        <v>12</v>
      </c>
      <c r="B2" s="369"/>
      <c r="C2" s="370"/>
      <c r="D2" s="371"/>
      <c r="E2" s="369"/>
      <c r="F2" s="369"/>
      <c r="G2" s="369"/>
      <c r="H2" s="369"/>
      <c r="I2" s="369"/>
      <c r="J2" s="372"/>
      <c r="N2" s="487"/>
    </row>
    <row r="3" spans="1:14" s="373" customFormat="1" ht="12.6" thickBot="1">
      <c r="A3" s="374" t="s">
        <v>466</v>
      </c>
      <c r="B3" s="375"/>
      <c r="C3" s="375"/>
      <c r="D3" s="376"/>
      <c r="E3" s="375"/>
      <c r="F3" s="375"/>
      <c r="G3" s="375"/>
      <c r="H3" s="375"/>
      <c r="I3" s="375"/>
      <c r="J3" s="377"/>
      <c r="N3" s="487"/>
    </row>
    <row r="4" spans="1:14" s="373" customFormat="1" ht="7.5" customHeight="1">
      <c r="N4" s="487"/>
    </row>
    <row r="5" spans="1:14" s="378" customFormat="1" ht="10.199999999999999">
      <c r="A5" s="521" t="s">
        <v>458</v>
      </c>
      <c r="B5" s="521"/>
      <c r="C5" s="521"/>
      <c r="D5" s="521"/>
      <c r="E5" s="521"/>
      <c r="F5" s="521"/>
      <c r="G5" s="521"/>
      <c r="H5" s="521"/>
      <c r="I5" s="521"/>
      <c r="J5" s="521"/>
      <c r="K5" s="521"/>
      <c r="L5" s="521"/>
      <c r="N5" s="488"/>
    </row>
    <row r="6" spans="1:14" s="378" customFormat="1" ht="6" customHeight="1" thickBot="1">
      <c r="B6" s="379"/>
      <c r="C6" s="379"/>
      <c r="D6" s="379"/>
      <c r="N6" s="488"/>
    </row>
    <row r="7" spans="1:14" s="378" customFormat="1" ht="10.8" thickBot="1">
      <c r="B7" s="380"/>
      <c r="C7" s="381"/>
      <c r="D7" s="381"/>
      <c r="E7" s="382" t="s">
        <v>144</v>
      </c>
      <c r="F7" s="383"/>
      <c r="N7" s="488"/>
    </row>
    <row r="8" spans="1:14" s="378" customFormat="1" ht="10.199999999999999">
      <c r="B8" s="384" t="s">
        <v>145</v>
      </c>
      <c r="C8" s="156"/>
      <c r="D8" s="385"/>
      <c r="E8" s="386"/>
      <c r="F8" s="383"/>
      <c r="G8" s="387" t="str">
        <f>IF(AND(OR(E9=0,E11&gt;0),OR(E11=0,E9&gt;0)),"","QUERY")</f>
        <v/>
      </c>
      <c r="N8" s="488"/>
    </row>
    <row r="9" spans="1:14" s="378" customFormat="1" ht="10.8" thickBot="1">
      <c r="B9" s="388"/>
      <c r="C9" s="389" t="s">
        <v>146</v>
      </c>
      <c r="D9" s="390" t="s">
        <v>147</v>
      </c>
      <c r="E9" s="391">
        <v>70000</v>
      </c>
      <c r="F9" s="392"/>
      <c r="G9" s="393" t="str">
        <f>IF(OR(E11=0,E9&gt;0),"","Table 6, but no Table 4 'Total Research Grants and Contracts Expenditure'")</f>
        <v/>
      </c>
      <c r="N9" s="488"/>
    </row>
    <row r="10" spans="1:14" s="378" customFormat="1" ht="10.199999999999999">
      <c r="B10" s="394" t="s">
        <v>148</v>
      </c>
      <c r="C10" s="156"/>
      <c r="D10" s="385"/>
      <c r="E10" s="386"/>
      <c r="F10" s="395"/>
      <c r="N10" s="488"/>
    </row>
    <row r="11" spans="1:14" s="378" customFormat="1" ht="10.8" thickBot="1">
      <c r="A11" s="387"/>
      <c r="B11" s="396"/>
      <c r="C11" s="389" t="s">
        <v>146</v>
      </c>
      <c r="D11" s="390" t="s">
        <v>149</v>
      </c>
      <c r="E11" s="391">
        <v>57000</v>
      </c>
      <c r="F11" s="392"/>
      <c r="G11" s="393" t="str">
        <f>IF(OR(E9=0,E11&gt;0),"","Table 4, but no Table 6 'Total Research Grants and Contracts Expenditure'")</f>
        <v/>
      </c>
      <c r="N11" s="489" t="str">
        <f>IF(AND(OR(E9=0,E11&gt;0),OR(E11=0,E9&gt;0)),"","Item 1 query - see 'Check_Document_2' sheet for details")</f>
        <v/>
      </c>
    </row>
    <row r="12" spans="1:14" s="378" customFormat="1" ht="10.199999999999999">
      <c r="C12" s="397"/>
      <c r="D12" s="397"/>
      <c r="N12" s="488"/>
    </row>
    <row r="13" spans="1:14" s="378" customFormat="1" ht="10.199999999999999">
      <c r="A13" s="522" t="s">
        <v>459</v>
      </c>
      <c r="B13" s="522"/>
      <c r="C13" s="522"/>
      <c r="D13" s="522"/>
      <c r="E13" s="522"/>
      <c r="F13" s="522"/>
      <c r="G13" s="522"/>
      <c r="H13" s="522"/>
      <c r="I13" s="522"/>
      <c r="J13" s="522"/>
      <c r="K13" s="522"/>
      <c r="L13" s="522"/>
      <c r="N13" s="488"/>
    </row>
    <row r="14" spans="1:14" s="378" customFormat="1" ht="5.25" customHeight="1" thickBot="1">
      <c r="N14" s="488"/>
    </row>
    <row r="15" spans="1:14" s="378" customFormat="1" ht="10.199999999999999">
      <c r="A15" s="399"/>
      <c r="B15" s="400"/>
      <c r="C15" s="401"/>
      <c r="D15" s="401"/>
      <c r="E15" s="402" t="s">
        <v>150</v>
      </c>
      <c r="F15" s="402" t="s">
        <v>151</v>
      </c>
      <c r="G15" s="402" t="s">
        <v>152</v>
      </c>
      <c r="H15" s="402" t="s">
        <v>153</v>
      </c>
      <c r="I15" s="402" t="s">
        <v>154</v>
      </c>
      <c r="J15" s="402" t="s">
        <v>154</v>
      </c>
      <c r="K15" s="402" t="s">
        <v>155</v>
      </c>
      <c r="L15" s="402" t="s">
        <v>155</v>
      </c>
      <c r="N15" s="488"/>
    </row>
    <row r="16" spans="1:14" s="378" customFormat="1" ht="10.199999999999999">
      <c r="B16" s="394"/>
      <c r="C16" s="156"/>
      <c r="D16" s="156"/>
      <c r="E16" s="403" t="s">
        <v>156</v>
      </c>
      <c r="F16" s="403" t="s">
        <v>157</v>
      </c>
      <c r="G16" s="403" t="s">
        <v>158</v>
      </c>
      <c r="H16" s="403" t="s">
        <v>159</v>
      </c>
      <c r="I16" s="403" t="s">
        <v>160</v>
      </c>
      <c r="J16" s="403" t="s">
        <v>161</v>
      </c>
      <c r="K16" s="403" t="s">
        <v>162</v>
      </c>
      <c r="L16" s="403" t="s">
        <v>163</v>
      </c>
      <c r="N16" s="488"/>
    </row>
    <row r="17" spans="1:14" s="378" customFormat="1" ht="10.199999999999999">
      <c r="B17" s="384"/>
      <c r="C17" s="156"/>
      <c r="D17" s="156"/>
      <c r="E17" s="403" t="s">
        <v>164</v>
      </c>
      <c r="F17" s="404"/>
      <c r="G17" s="403" t="s">
        <v>165</v>
      </c>
      <c r="H17" s="403" t="s">
        <v>166</v>
      </c>
      <c r="I17" s="404"/>
      <c r="J17" s="404"/>
      <c r="K17" s="404"/>
      <c r="L17" s="404"/>
      <c r="N17" s="488"/>
    </row>
    <row r="18" spans="1:14" s="156" customFormat="1" ht="10.8" thickBot="1">
      <c r="B18" s="396"/>
      <c r="C18" s="405"/>
      <c r="D18" s="405"/>
      <c r="E18" s="406" t="s">
        <v>16</v>
      </c>
      <c r="F18" s="406" t="s">
        <v>16</v>
      </c>
      <c r="G18" s="406" t="s">
        <v>16</v>
      </c>
      <c r="H18" s="406" t="s">
        <v>16</v>
      </c>
      <c r="I18" s="406" t="s">
        <v>16</v>
      </c>
      <c r="J18" s="406" t="s">
        <v>16</v>
      </c>
      <c r="K18" s="406" t="s">
        <v>16</v>
      </c>
      <c r="L18" s="406" t="s">
        <v>16</v>
      </c>
      <c r="N18" s="490"/>
    </row>
    <row r="19" spans="1:14" s="378" customFormat="1" ht="10.199999999999999">
      <c r="B19" s="384" t="s">
        <v>145</v>
      </c>
      <c r="C19" s="156"/>
      <c r="D19" s="156"/>
      <c r="E19" s="386" t="s">
        <v>167</v>
      </c>
      <c r="F19" s="386" t="s">
        <v>168</v>
      </c>
      <c r="G19" s="386" t="s">
        <v>169</v>
      </c>
      <c r="H19" s="386" t="s">
        <v>170</v>
      </c>
      <c r="I19" s="386" t="s">
        <v>171</v>
      </c>
      <c r="J19" s="386" t="s">
        <v>172</v>
      </c>
      <c r="K19" s="386" t="s">
        <v>173</v>
      </c>
      <c r="L19" s="386" t="s">
        <v>174</v>
      </c>
      <c r="N19" s="488"/>
    </row>
    <row r="20" spans="1:14" s="378" customFormat="1" ht="10.8" thickBot="1">
      <c r="B20" s="396"/>
      <c r="C20" s="389" t="s">
        <v>175</v>
      </c>
      <c r="D20" s="389"/>
      <c r="E20" s="407">
        <v>30000</v>
      </c>
      <c r="F20" s="407">
        <v>0</v>
      </c>
      <c r="G20" s="407">
        <v>0</v>
      </c>
      <c r="H20" s="407">
        <v>0</v>
      </c>
      <c r="I20" s="407">
        <v>20000</v>
      </c>
      <c r="J20" s="407">
        <v>0</v>
      </c>
      <c r="K20" s="407">
        <v>0</v>
      </c>
      <c r="L20" s="407">
        <v>0</v>
      </c>
      <c r="N20" s="488"/>
    </row>
    <row r="21" spans="1:14" s="378" customFormat="1" ht="10.199999999999999">
      <c r="B21" s="394" t="s">
        <v>148</v>
      </c>
      <c r="C21" s="156"/>
      <c r="D21" s="156"/>
      <c r="E21" s="386" t="s">
        <v>176</v>
      </c>
      <c r="F21" s="386" t="s">
        <v>177</v>
      </c>
      <c r="G21" s="386" t="s">
        <v>178</v>
      </c>
      <c r="H21" s="386" t="s">
        <v>179</v>
      </c>
      <c r="I21" s="386" t="s">
        <v>180</v>
      </c>
      <c r="J21" s="386" t="s">
        <v>181</v>
      </c>
      <c r="K21" s="386" t="s">
        <v>182</v>
      </c>
      <c r="L21" s="386" t="s">
        <v>183</v>
      </c>
      <c r="N21" s="488"/>
    </row>
    <row r="22" spans="1:14" s="378" customFormat="1" ht="10.8" thickBot="1">
      <c r="B22" s="396"/>
      <c r="C22" s="389" t="s">
        <v>175</v>
      </c>
      <c r="D22" s="389"/>
      <c r="E22" s="391">
        <v>30000</v>
      </c>
      <c r="F22" s="391">
        <v>0</v>
      </c>
      <c r="G22" s="391">
        <v>0</v>
      </c>
      <c r="H22" s="391">
        <v>0</v>
      </c>
      <c r="I22" s="391">
        <v>40000</v>
      </c>
      <c r="J22" s="391">
        <v>0</v>
      </c>
      <c r="K22" s="391">
        <v>0</v>
      </c>
      <c r="L22" s="391">
        <v>0</v>
      </c>
      <c r="N22" s="488"/>
    </row>
    <row r="23" spans="1:14" s="378" customFormat="1" ht="6" customHeight="1">
      <c r="N23" s="488"/>
    </row>
    <row r="24" spans="1:14" s="378" customFormat="1" ht="10.199999999999999">
      <c r="E24" s="408" t="str">
        <f>IF(AND(OR(E20=0,E22&gt;0),OR(E22=0,E20&gt;0)),"","QUERY")</f>
        <v/>
      </c>
      <c r="F24" s="408" t="str">
        <f t="shared" ref="F24:L24" si="0">IF(AND(OR(F20=0,F22&gt;0),OR(F22=0,F20&gt;0)),"","QUERY")</f>
        <v/>
      </c>
      <c r="G24" s="408" t="str">
        <f t="shared" si="0"/>
        <v/>
      </c>
      <c r="H24" s="408" t="str">
        <f t="shared" si="0"/>
        <v/>
      </c>
      <c r="I24" s="408" t="str">
        <f t="shared" si="0"/>
        <v/>
      </c>
      <c r="J24" s="408" t="str">
        <f t="shared" si="0"/>
        <v/>
      </c>
      <c r="K24" s="408" t="str">
        <f t="shared" si="0"/>
        <v/>
      </c>
      <c r="L24" s="408" t="str">
        <f t="shared" si="0"/>
        <v/>
      </c>
      <c r="N24" s="491"/>
    </row>
    <row r="25" spans="1:14" s="378" customFormat="1" ht="10.199999999999999">
      <c r="E25" s="484" t="str">
        <f>IF(AND(OR(E20=0,E22&gt;0),OR(E22=0,E20&gt;0)),"",1)</f>
        <v/>
      </c>
      <c r="F25" s="484" t="str">
        <f t="shared" ref="F25:K25" si="1">IF(AND(OR(F20=0,F22&gt;0),OR(F22=0,F20&gt;0)),"",1)</f>
        <v/>
      </c>
      <c r="G25" s="484" t="str">
        <f t="shared" si="1"/>
        <v/>
      </c>
      <c r="H25" s="484" t="str">
        <f t="shared" si="1"/>
        <v/>
      </c>
      <c r="I25" s="484" t="str">
        <f t="shared" si="1"/>
        <v/>
      </c>
      <c r="J25" s="484" t="str">
        <f t="shared" si="1"/>
        <v/>
      </c>
      <c r="K25" s="484" t="str">
        <f t="shared" si="1"/>
        <v/>
      </c>
      <c r="L25" s="484" t="str">
        <f>IF(AND(OR(L20=0,L22&gt;0),OR(L22=0,L20&gt;0)),"",1)</f>
        <v/>
      </c>
      <c r="M25" s="481"/>
      <c r="N25" s="489" t="str">
        <f>IF(SUM(E25:L25)&gt;0,"Item 2 query - see 'Check_Document_2' sheet for details","")</f>
        <v/>
      </c>
    </row>
    <row r="26" spans="1:14" s="378" customFormat="1" ht="10.199999999999999">
      <c r="A26" s="387" t="s">
        <v>460</v>
      </c>
      <c r="N26" s="488"/>
    </row>
    <row r="27" spans="1:14" s="378" customFormat="1" ht="6" customHeight="1"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N27" s="488"/>
    </row>
    <row r="28" spans="1:14" s="378" customFormat="1" ht="10.199999999999999">
      <c r="A28" s="387" t="s">
        <v>461</v>
      </c>
      <c r="B28" s="409"/>
      <c r="C28" s="409"/>
      <c r="D28" s="409"/>
      <c r="N28" s="488"/>
    </row>
    <row r="29" spans="1:14" s="378" customFormat="1" ht="6" customHeight="1" thickBot="1">
      <c r="N29" s="488"/>
    </row>
    <row r="30" spans="1:14" s="378" customFormat="1" ht="10.199999999999999">
      <c r="B30" s="155"/>
      <c r="C30" s="410"/>
      <c r="D30" s="410"/>
      <c r="E30" s="402" t="s">
        <v>184</v>
      </c>
      <c r="F30" s="402" t="s">
        <v>269</v>
      </c>
      <c r="G30" s="402" t="s">
        <v>155</v>
      </c>
      <c r="H30" s="402" t="s">
        <v>185</v>
      </c>
      <c r="N30" s="488"/>
    </row>
    <row r="31" spans="1:14" s="378" customFormat="1" ht="10.199999999999999">
      <c r="B31" s="394"/>
      <c r="C31" s="156"/>
      <c r="D31" s="156"/>
      <c r="E31" s="403" t="s">
        <v>186</v>
      </c>
      <c r="F31" s="403" t="s">
        <v>187</v>
      </c>
      <c r="G31" s="404"/>
      <c r="H31" s="404"/>
      <c r="N31" s="488"/>
    </row>
    <row r="32" spans="1:14" s="378" customFormat="1" ht="10.8" thickBot="1">
      <c r="B32" s="396"/>
      <c r="C32" s="405"/>
      <c r="D32" s="405"/>
      <c r="E32" s="406" t="s">
        <v>16</v>
      </c>
      <c r="F32" s="406" t="s">
        <v>16</v>
      </c>
      <c r="G32" s="406" t="s">
        <v>16</v>
      </c>
      <c r="H32" s="406" t="s">
        <v>16</v>
      </c>
      <c r="N32" s="488"/>
    </row>
    <row r="33" spans="1:15" s="378" customFormat="1" ht="10.199999999999999">
      <c r="B33" s="384" t="s">
        <v>188</v>
      </c>
      <c r="C33" s="156"/>
      <c r="D33" s="156"/>
      <c r="E33" s="411"/>
      <c r="F33" s="411"/>
      <c r="G33" s="411"/>
      <c r="H33" s="411"/>
      <c r="N33" s="488"/>
    </row>
    <row r="34" spans="1:15" s="378" customFormat="1" ht="10.199999999999999">
      <c r="B34" s="394"/>
      <c r="C34" s="412" t="s">
        <v>189</v>
      </c>
      <c r="D34" s="412"/>
      <c r="E34" s="386" t="s">
        <v>190</v>
      </c>
      <c r="F34" s="386" t="s">
        <v>191</v>
      </c>
      <c r="G34" s="386" t="s">
        <v>192</v>
      </c>
      <c r="H34" s="411"/>
      <c r="N34" s="488"/>
    </row>
    <row r="35" spans="1:15" s="378" customFormat="1" ht="10.199999999999999">
      <c r="B35" s="394"/>
      <c r="C35" s="412" t="s">
        <v>193</v>
      </c>
      <c r="D35" s="412"/>
      <c r="E35" s="411"/>
      <c r="F35" s="411"/>
      <c r="G35" s="411"/>
      <c r="H35" s="411"/>
      <c r="J35" s="392" t="s">
        <v>194</v>
      </c>
      <c r="K35" s="392" t="s">
        <v>195</v>
      </c>
      <c r="L35" s="392" t="s">
        <v>196</v>
      </c>
      <c r="M35" s="156"/>
      <c r="N35" s="490"/>
      <c r="O35" s="156"/>
    </row>
    <row r="36" spans="1:15" s="378" customFormat="1" ht="10.199999999999999">
      <c r="B36" s="394"/>
      <c r="C36" s="412" t="s">
        <v>197</v>
      </c>
      <c r="D36" s="128" t="s">
        <v>198</v>
      </c>
      <c r="E36" s="413">
        <v>0</v>
      </c>
      <c r="F36" s="413">
        <v>0</v>
      </c>
      <c r="G36" s="413">
        <v>0</v>
      </c>
      <c r="H36" s="414">
        <f t="shared" ref="H36:H41" si="2">SUM(E36:G36)</f>
        <v>0</v>
      </c>
      <c r="I36" s="415" t="s">
        <v>199</v>
      </c>
      <c r="J36" s="416" t="str">
        <f>(IF(OR(E36=0,SUM(E37:E41,F36:F41,G36:G41)&gt;0),"","QUERY"))</f>
        <v/>
      </c>
      <c r="K36" s="417" t="str">
        <f>(IF(OR(F36=0,SUM(E36:E41,F37:F41,G36:G41)&gt;0),"","QUERY"))</f>
        <v/>
      </c>
      <c r="L36" s="418" t="str">
        <f>(IF(OR(G36=0,SUM(E36:E41,F36:F41,G37:G41)&gt;0),"","QUERY"))</f>
        <v/>
      </c>
      <c r="M36" s="483" t="str">
        <f>(IF(OR(H36=0,SUM(H37:H41,I36:I41,J36:J41)&gt;0),"",1))</f>
        <v/>
      </c>
      <c r="N36" s="492"/>
      <c r="O36" s="482"/>
    </row>
    <row r="37" spans="1:15" s="378" customFormat="1" ht="10.199999999999999">
      <c r="B37" s="394"/>
      <c r="C37" s="412" t="s">
        <v>200</v>
      </c>
      <c r="D37" s="128" t="s">
        <v>201</v>
      </c>
      <c r="E37" s="413">
        <v>0</v>
      </c>
      <c r="F37" s="413">
        <v>0</v>
      </c>
      <c r="G37" s="413">
        <v>0</v>
      </c>
      <c r="H37" s="414">
        <f t="shared" si="2"/>
        <v>0</v>
      </c>
      <c r="I37" s="415" t="s">
        <v>202</v>
      </c>
      <c r="J37" s="419" t="str">
        <f>(IF(OR(E37=0,SUM(E36,E38:E41,F36:F41,G36:G41)&gt;0),"","QUERY"))</f>
        <v/>
      </c>
      <c r="K37" s="420" t="str">
        <f>(IF(OR(F37=0,SUM(E36:E41,F36,F38:F41,G36:G41)&gt;0),"","QUERY"))</f>
        <v/>
      </c>
      <c r="L37" s="421" t="str">
        <f>(IF(OR(G37=0,SUM(E36:E41,F36:F41,G36,G38:G41)&gt;0),"","QUERY"))</f>
        <v/>
      </c>
      <c r="M37" s="483" t="str">
        <f>(IF(OR(H37=0,SUM(H36,H38:H41,I36:I41,J36:J41)&gt;0),"",1))</f>
        <v/>
      </c>
      <c r="N37" s="492"/>
      <c r="O37" s="482"/>
    </row>
    <row r="38" spans="1:15" s="378" customFormat="1" ht="10.199999999999999">
      <c r="B38" s="394"/>
      <c r="C38" s="412" t="s">
        <v>203</v>
      </c>
      <c r="D38" s="128" t="s">
        <v>204</v>
      </c>
      <c r="E38" s="413">
        <v>0</v>
      </c>
      <c r="F38" s="413">
        <v>0</v>
      </c>
      <c r="G38" s="413">
        <v>0</v>
      </c>
      <c r="H38" s="414">
        <f t="shared" si="2"/>
        <v>0</v>
      </c>
      <c r="I38" s="415" t="s">
        <v>205</v>
      </c>
      <c r="J38" s="419" t="str">
        <f>(IF(OR(E38=0,SUM(E36:E37,E39:E41,F36:F41,G36:G41)&gt;0),"","QUERY"))</f>
        <v/>
      </c>
      <c r="K38" s="420" t="str">
        <f>(IF(OR(F38=0,SUM(E36:E41,F36:F37,F39:F41,G36:G41)&gt;0),"","QUERY"))</f>
        <v/>
      </c>
      <c r="L38" s="421" t="str">
        <f>(IF(OR(G38=0,SUM(E36:E41,F36:F41,G36:G37,G39:G41)&gt;0),"","QUERY"))</f>
        <v/>
      </c>
      <c r="M38" s="483" t="str">
        <f>(IF(OR(H38=0,SUM(H36:H37,H39:H41,I36:I41,J36:J41)&gt;0),"",1))</f>
        <v/>
      </c>
      <c r="N38" s="492"/>
      <c r="O38" s="482"/>
    </row>
    <row r="39" spans="1:15" s="378" customFormat="1" ht="10.199999999999999">
      <c r="B39" s="394"/>
      <c r="C39" s="412" t="s">
        <v>206</v>
      </c>
      <c r="D39" s="128" t="s">
        <v>207</v>
      </c>
      <c r="E39" s="413">
        <v>0</v>
      </c>
      <c r="F39" s="413">
        <v>0</v>
      </c>
      <c r="G39" s="413">
        <v>0</v>
      </c>
      <c r="H39" s="414">
        <f t="shared" si="2"/>
        <v>0</v>
      </c>
      <c r="I39" s="415" t="s">
        <v>208</v>
      </c>
      <c r="J39" s="419" t="str">
        <f>(IF(OR(E39=0,SUM(E36:E38,E40:E41,F36:F41,G36:G41)&gt;0),"","QUERY"))</f>
        <v/>
      </c>
      <c r="K39" s="420" t="str">
        <f>(IF(OR(F39=0,SUM(E36:E41,F36:F38,F40:F41,G36:G41)&gt;0),"","QUERY"))</f>
        <v/>
      </c>
      <c r="L39" s="421" t="str">
        <f>(IF(OR(G39=0,SUM(E36:E41,F36:F41,G36:G38,G40:G41)&gt;0),"","QUERY"))</f>
        <v/>
      </c>
      <c r="M39" s="483" t="str">
        <f>(IF(OR(H39=0,SUM(H36:H38,H40:H41,I36:I41,J36:J41)&gt;0),"",1))</f>
        <v/>
      </c>
      <c r="N39" s="492"/>
      <c r="O39" s="482"/>
    </row>
    <row r="40" spans="1:15" s="378" customFormat="1" ht="10.199999999999999">
      <c r="B40" s="394"/>
      <c r="C40" s="412" t="s">
        <v>209</v>
      </c>
      <c r="D40" s="128" t="s">
        <v>210</v>
      </c>
      <c r="E40" s="422">
        <v>0</v>
      </c>
      <c r="F40" s="413">
        <v>0</v>
      </c>
      <c r="G40" s="413">
        <v>0</v>
      </c>
      <c r="H40" s="414">
        <f t="shared" si="2"/>
        <v>0</v>
      </c>
      <c r="I40" s="415" t="s">
        <v>211</v>
      </c>
      <c r="J40" s="419" t="str">
        <f>(IF(OR(E40=0,SUM(E36:E39,E41,F36:F41,G36:G41)&gt;0),"","QUERY"))</f>
        <v/>
      </c>
      <c r="K40" s="420" t="str">
        <f>(IF(OR(F40=0,SUM(E36:E41,F36:F39,F41,G36:G41)&gt;0),"","QUERY"))</f>
        <v/>
      </c>
      <c r="L40" s="421" t="str">
        <f>(IF(OR(G40=0,SUM(E36:E41,F36:F41,G36:G39,G41)&gt;0),"","QUERY"))</f>
        <v/>
      </c>
      <c r="M40" s="483" t="str">
        <f>(IF(OR(H40=0,SUM(H36:H39,H41,I36:I41,J36:J41)&gt;0),"",1))</f>
        <v/>
      </c>
      <c r="N40" s="492"/>
      <c r="O40" s="482"/>
    </row>
    <row r="41" spans="1:15" s="378" customFormat="1" ht="10.8" thickBot="1">
      <c r="B41" s="394"/>
      <c r="C41" s="412" t="s">
        <v>212</v>
      </c>
      <c r="D41" s="128" t="s">
        <v>213</v>
      </c>
      <c r="E41" s="413">
        <v>0</v>
      </c>
      <c r="F41" s="413">
        <v>0</v>
      </c>
      <c r="G41" s="413">
        <v>0</v>
      </c>
      <c r="H41" s="414">
        <f t="shared" si="2"/>
        <v>0</v>
      </c>
      <c r="I41" s="415" t="s">
        <v>214</v>
      </c>
      <c r="J41" s="423" t="str">
        <f>(IF(OR(E41=0,SUM(E36:E40,F36:F41,G36:G41)&gt;0),"","QUERY"))</f>
        <v/>
      </c>
      <c r="K41" s="424" t="str">
        <f>(IF(OR(F41=0,SUM(E36:E41,F36:F40,G36:G41)&gt;0),"","QUERY"))</f>
        <v/>
      </c>
      <c r="L41" s="425" t="str">
        <f>(IF(OR(G41=0,SUM(E36:E41,F36:F41,G36:G40)&gt;0),"","QUERY"))</f>
        <v/>
      </c>
      <c r="M41" s="483" t="str">
        <f>(IF(OR(H41=0,SUM(H36:H40,I36:I41,J36:J41)&gt;0),"",1))</f>
        <v/>
      </c>
      <c r="N41" s="493" t="str">
        <f>IF(SUM(M36:M41)&gt;0,"Item 3a query - see 'Check_Document_2' sheet for details","")</f>
        <v/>
      </c>
      <c r="O41" s="482"/>
    </row>
    <row r="42" spans="1:15" s="378" customFormat="1" ht="10.8" thickBot="1">
      <c r="B42" s="426"/>
      <c r="C42" s="427" t="s">
        <v>215</v>
      </c>
      <c r="D42" s="428"/>
      <c r="E42" s="429">
        <f>SUM(E36:E41)</f>
        <v>0</v>
      </c>
      <c r="F42" s="430">
        <f>SUM(F36:F41)</f>
        <v>0</v>
      </c>
      <c r="G42" s="430">
        <f>SUM(G36:G41)</f>
        <v>0</v>
      </c>
      <c r="H42" s="430">
        <f>SUM(H36:H41)</f>
        <v>0</v>
      </c>
      <c r="I42" s="392"/>
      <c r="J42" s="387" t="str">
        <f>IF(E42&gt;0,"","      QUERY - Total 'SLC/LEAs/SAAS/DEL' is £0")</f>
        <v xml:space="preserve">      QUERY - Total 'SLC/LEAs/SAAS/DEL' is £0</v>
      </c>
      <c r="M42" s="480"/>
      <c r="N42" s="488"/>
    </row>
    <row r="43" spans="1:15" s="378" customFormat="1" ht="10.199999999999999">
      <c r="E43" s="128"/>
      <c r="F43" s="128"/>
      <c r="G43" s="128"/>
      <c r="H43" s="128"/>
      <c r="N43" s="494" t="str">
        <f>IF(E42&gt;0,"","Item 3b query - see 'Check_Document_2' sheet for details")</f>
        <v>Item 3b query - see 'Check_Document_2' sheet for details</v>
      </c>
    </row>
    <row r="44" spans="1:15" s="378" customFormat="1" ht="10.199999999999999">
      <c r="A44" s="387" t="s">
        <v>482</v>
      </c>
      <c r="N44" s="488"/>
    </row>
    <row r="45" spans="1:15" s="378" customFormat="1" ht="6" customHeight="1" thickBot="1">
      <c r="N45" s="488"/>
    </row>
    <row r="46" spans="1:15" s="378" customFormat="1" ht="10.8" thickBot="1">
      <c r="B46" s="426"/>
      <c r="C46" s="381"/>
      <c r="D46" s="381"/>
      <c r="E46" s="431" t="s">
        <v>16</v>
      </c>
      <c r="N46" s="488"/>
    </row>
    <row r="47" spans="1:15" s="378" customFormat="1" ht="10.199999999999999">
      <c r="B47" s="384" t="s">
        <v>216</v>
      </c>
      <c r="C47" s="156"/>
      <c r="D47" s="156"/>
      <c r="E47" s="411"/>
      <c r="N47" s="488"/>
    </row>
    <row r="48" spans="1:15" s="378" customFormat="1" ht="10.199999999999999">
      <c r="B48" s="394"/>
      <c r="C48" s="412" t="s">
        <v>217</v>
      </c>
      <c r="D48" s="412"/>
      <c r="E48" s="386"/>
      <c r="N48" s="488"/>
    </row>
    <row r="49" spans="1:14" s="378" customFormat="1" ht="10.8" thickBot="1">
      <c r="B49" s="396"/>
      <c r="C49" s="432" t="s">
        <v>218</v>
      </c>
      <c r="D49" s="390" t="s">
        <v>219</v>
      </c>
      <c r="E49" s="407">
        <v>0</v>
      </c>
      <c r="F49" s="392"/>
      <c r="G49" s="387" t="str">
        <f>IF(E49&lt;&gt;0,"","QUERY - 'Recurrent (R)' is £0")</f>
        <v>QUERY - 'Recurrent (R)' is £0</v>
      </c>
      <c r="N49" s="491" t="str">
        <f>IF(E49&lt;&gt;0,"","Item 4a query - see 'Check_Document_2' sheet for details")</f>
        <v>Item 4a query - see 'Check_Document_2' sheet for details</v>
      </c>
    </row>
    <row r="50" spans="1:14" s="378" customFormat="1" ht="10.199999999999999">
      <c r="B50" s="156"/>
      <c r="C50" s="412"/>
      <c r="D50" s="412"/>
      <c r="E50" s="156"/>
      <c r="F50" s="392"/>
      <c r="N50" s="488"/>
    </row>
    <row r="51" spans="1:14" s="378" customFormat="1" ht="10.199999999999999">
      <c r="A51" s="387" t="s">
        <v>462</v>
      </c>
      <c r="N51" s="488"/>
    </row>
    <row r="52" spans="1:14" s="378" customFormat="1" ht="6" customHeight="1" thickBot="1">
      <c r="A52" s="156"/>
      <c r="B52" s="156"/>
      <c r="C52" s="412"/>
      <c r="D52" s="412"/>
      <c r="E52" s="156"/>
      <c r="F52" s="433"/>
      <c r="N52" s="488"/>
    </row>
    <row r="53" spans="1:14" s="378" customFormat="1" ht="10.8" thickBot="1">
      <c r="B53" s="426"/>
      <c r="C53" s="381"/>
      <c r="D53" s="381"/>
      <c r="E53" s="431" t="s">
        <v>16</v>
      </c>
      <c r="F53" s="392"/>
      <c r="N53" s="488"/>
    </row>
    <row r="54" spans="1:14" s="378" customFormat="1" ht="10.199999999999999">
      <c r="B54" s="384" t="s">
        <v>216</v>
      </c>
      <c r="C54" s="412"/>
      <c r="D54" s="412"/>
      <c r="E54" s="411"/>
      <c r="F54" s="392"/>
      <c r="N54" s="488"/>
    </row>
    <row r="55" spans="1:14" s="378" customFormat="1" ht="10.199999999999999">
      <c r="B55" s="394"/>
      <c r="C55" s="412" t="s">
        <v>220</v>
      </c>
      <c r="D55" s="412"/>
      <c r="E55" s="411"/>
      <c r="N55" s="488"/>
    </row>
    <row r="56" spans="1:14" s="378" customFormat="1" ht="10.199999999999999">
      <c r="B56" s="394"/>
      <c r="C56" s="412" t="s">
        <v>221</v>
      </c>
      <c r="D56" s="128" t="s">
        <v>222</v>
      </c>
      <c r="E56" s="434">
        <v>0</v>
      </c>
      <c r="F56" s="392"/>
      <c r="G56" s="387" t="str">
        <f>IF(AND(E57&gt;0,E56=0),"QUERY - 'Other EU govt. bodies funding, but EC Grants' £0","")</f>
        <v/>
      </c>
      <c r="M56" s="485" t="str">
        <f>IF(AND(E57&gt;0,E56=0),1,"")</f>
        <v/>
      </c>
      <c r="N56" s="491"/>
    </row>
    <row r="57" spans="1:14" s="378" customFormat="1" ht="10.8" thickBot="1">
      <c r="B57" s="396"/>
      <c r="C57" s="432" t="s">
        <v>223</v>
      </c>
      <c r="D57" s="143" t="s">
        <v>224</v>
      </c>
      <c r="E57" s="407">
        <v>0</v>
      </c>
      <c r="F57" s="392"/>
      <c r="G57" s="387" t="str">
        <f>IF(AND(E57&gt;500,E56=0),"QUERY - More than £500,000 from 'EU govt. bodies' but 'EC grants' £0","")</f>
        <v/>
      </c>
      <c r="M57" s="485" t="str">
        <f>IF(AND(E57&gt;500,E56=0),1,"")</f>
        <v/>
      </c>
      <c r="N57" s="491" t="str">
        <f>IF(SUM(M56:M57)&gt;0,"Item 4b query - see 'Check_Document_2' sheet for details","")</f>
        <v/>
      </c>
    </row>
    <row r="58" spans="1:14" s="378" customFormat="1" ht="10.199999999999999">
      <c r="F58" s="392"/>
      <c r="N58" s="488"/>
    </row>
    <row r="59" spans="1:14" s="373" customFormat="1">
      <c r="A59" s="435" t="s">
        <v>463</v>
      </c>
      <c r="N59" s="487"/>
    </row>
    <row r="60" spans="1:14" s="373" customFormat="1" ht="5.25" customHeight="1" thickBot="1">
      <c r="N60" s="487"/>
    </row>
    <row r="61" spans="1:14" s="373" customFormat="1" ht="11.4">
      <c r="B61" s="436"/>
      <c r="C61" s="437"/>
      <c r="D61" s="438"/>
      <c r="E61" s="158" t="s">
        <v>260</v>
      </c>
      <c r="N61" s="487"/>
    </row>
    <row r="62" spans="1:14" s="373" customFormat="1" ht="11.4">
      <c r="B62" s="439"/>
      <c r="C62" s="369"/>
      <c r="D62" s="372"/>
      <c r="E62" s="159" t="s">
        <v>261</v>
      </c>
      <c r="N62" s="487"/>
    </row>
    <row r="63" spans="1:14" s="373" customFormat="1" thickBot="1">
      <c r="B63" s="440"/>
      <c r="C63" s="375"/>
      <c r="D63" s="377"/>
      <c r="E63" s="160" t="s">
        <v>16</v>
      </c>
      <c r="N63" s="487"/>
    </row>
    <row r="64" spans="1:14" s="373" customFormat="1" ht="11.4">
      <c r="B64" s="155" t="s">
        <v>225</v>
      </c>
      <c r="C64" s="437"/>
      <c r="D64" s="438"/>
      <c r="E64" s="153"/>
      <c r="N64" s="487"/>
    </row>
    <row r="65" spans="2:14" s="373" customFormat="1" ht="11.4">
      <c r="B65" s="439"/>
      <c r="C65" s="156" t="s">
        <v>256</v>
      </c>
      <c r="D65" s="372"/>
      <c r="E65" s="154"/>
      <c r="N65" s="487"/>
    </row>
    <row r="66" spans="2:14" s="373" customFormat="1" ht="11.4">
      <c r="B66" s="439"/>
      <c r="C66" s="156" t="s">
        <v>257</v>
      </c>
      <c r="D66" s="161" t="s">
        <v>262</v>
      </c>
      <c r="E66" s="157">
        <v>0</v>
      </c>
      <c r="N66" s="487"/>
    </row>
    <row r="67" spans="2:14" s="373" customFormat="1" ht="11.4">
      <c r="B67" s="439"/>
      <c r="C67" s="156" t="s">
        <v>258</v>
      </c>
      <c r="D67" s="161" t="s">
        <v>263</v>
      </c>
      <c r="E67" s="157">
        <v>0</v>
      </c>
      <c r="N67" s="487"/>
    </row>
    <row r="68" spans="2:14" s="373" customFormat="1" thickBot="1">
      <c r="B68" s="439"/>
      <c r="C68" s="156" t="s">
        <v>259</v>
      </c>
      <c r="D68" s="161" t="s">
        <v>264</v>
      </c>
      <c r="E68" s="441">
        <v>0</v>
      </c>
      <c r="N68" s="487"/>
    </row>
    <row r="69" spans="2:14" s="373" customFormat="1" thickBot="1">
      <c r="B69" s="442"/>
      <c r="C69" s="443" t="s">
        <v>56</v>
      </c>
      <c r="D69" s="444"/>
      <c r="E69" s="445">
        <f>SUM(E66:E68)</f>
        <v>0</v>
      </c>
      <c r="G69" s="387" t="str">
        <f>IF(E69=0,"","QUERY - 'Residencies &amp; Catering' 'FC Funding' is not £0. Genuine?")</f>
        <v/>
      </c>
      <c r="N69" s="495" t="str">
        <f>IF(E69=0,"","Item 5 query - see 'Check_document_2' sheet for details")</f>
        <v/>
      </c>
    </row>
  </sheetData>
  <mergeCells count="2">
    <mergeCell ref="A5:L5"/>
    <mergeCell ref="A13:L13"/>
  </mergeCells>
  <phoneticPr fontId="0" type="noConversion"/>
  <conditionalFormatting sqref="E36">
    <cfRule type="expression" dxfId="32" priority="1" stopIfTrue="1">
      <formula>$J$36="QUERY"</formula>
    </cfRule>
  </conditionalFormatting>
  <conditionalFormatting sqref="E37">
    <cfRule type="expression" dxfId="31" priority="2" stopIfTrue="1">
      <formula>$J$37="QUERY"</formula>
    </cfRule>
  </conditionalFormatting>
  <conditionalFormatting sqref="E38">
    <cfRule type="expression" dxfId="30" priority="3" stopIfTrue="1">
      <formula>$J$38="QUERY"</formula>
    </cfRule>
  </conditionalFormatting>
  <conditionalFormatting sqref="E39">
    <cfRule type="expression" dxfId="29" priority="4" stopIfTrue="1">
      <formula>$J$39="QUERY"</formula>
    </cfRule>
  </conditionalFormatting>
  <conditionalFormatting sqref="E40">
    <cfRule type="expression" dxfId="28" priority="5" stopIfTrue="1">
      <formula>$J$40="QUERY"</formula>
    </cfRule>
  </conditionalFormatting>
  <conditionalFormatting sqref="E41">
    <cfRule type="expression" dxfId="27" priority="6" stopIfTrue="1">
      <formula>$J$41="QUERY"</formula>
    </cfRule>
  </conditionalFormatting>
  <conditionalFormatting sqref="F36">
    <cfRule type="expression" dxfId="26" priority="7" stopIfTrue="1">
      <formula>$K$36="QUERY"</formula>
    </cfRule>
  </conditionalFormatting>
  <conditionalFormatting sqref="F38">
    <cfRule type="expression" dxfId="25" priority="8" stopIfTrue="1">
      <formula>$K$38="QUERY"</formula>
    </cfRule>
  </conditionalFormatting>
  <conditionalFormatting sqref="F37">
    <cfRule type="expression" dxfId="24" priority="9" stopIfTrue="1">
      <formula>$K$37="QUERY"</formula>
    </cfRule>
  </conditionalFormatting>
  <conditionalFormatting sqref="F39">
    <cfRule type="expression" dxfId="23" priority="10" stopIfTrue="1">
      <formula>$K$39="QUERY"</formula>
    </cfRule>
  </conditionalFormatting>
  <conditionalFormatting sqref="F40">
    <cfRule type="expression" dxfId="22" priority="11" stopIfTrue="1">
      <formula>$K$40="QUERY"</formula>
    </cfRule>
  </conditionalFormatting>
  <conditionalFormatting sqref="F41">
    <cfRule type="expression" dxfId="21" priority="12" stopIfTrue="1">
      <formula>$K$41="QUERY"</formula>
    </cfRule>
  </conditionalFormatting>
  <conditionalFormatting sqref="G36">
    <cfRule type="expression" dxfId="20" priority="13" stopIfTrue="1">
      <formula>$L$36="QUERY"</formula>
    </cfRule>
  </conditionalFormatting>
  <conditionalFormatting sqref="G37">
    <cfRule type="expression" dxfId="19" priority="14" stopIfTrue="1">
      <formula>$L$37="QUERY"</formula>
    </cfRule>
  </conditionalFormatting>
  <conditionalFormatting sqref="G38">
    <cfRule type="expression" dxfId="18" priority="15" stopIfTrue="1">
      <formula>$L$38="QUERY"</formula>
    </cfRule>
  </conditionalFormatting>
  <conditionalFormatting sqref="G39">
    <cfRule type="expression" dxfId="17" priority="16" stopIfTrue="1">
      <formula>$L$39="QUERY"</formula>
    </cfRule>
  </conditionalFormatting>
  <conditionalFormatting sqref="G40">
    <cfRule type="expression" dxfId="16" priority="17" stopIfTrue="1">
      <formula>$L$40="QUERY"</formula>
    </cfRule>
  </conditionalFormatting>
  <conditionalFormatting sqref="G41">
    <cfRule type="expression" dxfId="15" priority="18" stopIfTrue="1">
      <formula>$L$41="QUERY"</formula>
    </cfRule>
  </conditionalFormatting>
  <conditionalFormatting sqref="E11">
    <cfRule type="expression" dxfId="14" priority="19" stopIfTrue="1">
      <formula>$G$11="Table 4, but no Table 6 'Total Research Grants and Contracts Expenditure'"</formula>
    </cfRule>
  </conditionalFormatting>
  <conditionalFormatting sqref="E20 E22">
    <cfRule type="expression" dxfId="13" priority="20" stopIfTrue="1">
      <formula>$E$24="QUERY"</formula>
    </cfRule>
  </conditionalFormatting>
  <conditionalFormatting sqref="F20 F22">
    <cfRule type="expression" dxfId="12" priority="21" stopIfTrue="1">
      <formula>$F$24="QUERY"</formula>
    </cfRule>
  </conditionalFormatting>
  <conditionalFormatting sqref="G20 G22">
    <cfRule type="expression" dxfId="11" priority="22" stopIfTrue="1">
      <formula>$G$24="QUERY"</formula>
    </cfRule>
  </conditionalFormatting>
  <conditionalFormatting sqref="H20 H22">
    <cfRule type="expression" dxfId="10" priority="23" stopIfTrue="1">
      <formula>$H$24="QUERY"</formula>
    </cfRule>
  </conditionalFormatting>
  <conditionalFormatting sqref="I20 I22">
    <cfRule type="expression" dxfId="9" priority="24" stopIfTrue="1">
      <formula>$I$24="QUERY"</formula>
    </cfRule>
  </conditionalFormatting>
  <conditionalFormatting sqref="J20 J22">
    <cfRule type="expression" dxfId="8" priority="25" stopIfTrue="1">
      <formula>$J$24="QUERY"</formula>
    </cfRule>
  </conditionalFormatting>
  <conditionalFormatting sqref="K20 K22">
    <cfRule type="expression" dxfId="7" priority="26" stopIfTrue="1">
      <formula>$K$24="QUERY"</formula>
    </cfRule>
  </conditionalFormatting>
  <conditionalFormatting sqref="L20 L22">
    <cfRule type="expression" dxfId="6" priority="27" stopIfTrue="1">
      <formula>$L$24="QUERY"</formula>
    </cfRule>
  </conditionalFormatting>
  <conditionalFormatting sqref="E9">
    <cfRule type="expression" dxfId="5" priority="28" stopIfTrue="1">
      <formula>$G$9="Table 6, but no Table 4 'Total Research Grants and Contracts Expenditure'"</formula>
    </cfRule>
  </conditionalFormatting>
  <conditionalFormatting sqref="E42">
    <cfRule type="expression" dxfId="4" priority="29" stopIfTrue="1">
      <formula>$J$42="      QUERY - Total 'SLC/LEAs/SAAS/DEL' is £0"</formula>
    </cfRule>
  </conditionalFormatting>
  <conditionalFormatting sqref="E56">
    <cfRule type="expression" dxfId="3" priority="30" stopIfTrue="1">
      <formula>$G$56="QUERY - 'Other EU govt. bodies funding, but EC Grants' £0"</formula>
    </cfRule>
  </conditionalFormatting>
  <conditionalFormatting sqref="E57">
    <cfRule type="expression" dxfId="2" priority="31" stopIfTrue="1">
      <formula>$G$57="QUERY - More than £500,000 from 'EU govt. bodies' but 'EC grants' £0"</formula>
    </cfRule>
  </conditionalFormatting>
  <conditionalFormatting sqref="E69">
    <cfRule type="cellIs" dxfId="1" priority="32" stopIfTrue="1" operator="notEqual">
      <formula>0</formula>
    </cfRule>
  </conditionalFormatting>
  <conditionalFormatting sqref="E49">
    <cfRule type="expression" dxfId="0" priority="33" stopIfTrue="1">
      <formula>$G$49="QUERY - 'Recurrent (R)' is £0"</formula>
    </cfRule>
  </conditionalFormatting>
  <pageMargins left="0.73" right="0.66" top="0.39370078740157483" bottom="0" header="0" footer="0"/>
  <pageSetup paperSize="9" scale="73" orientation="landscape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zoomScale="75" workbookViewId="0">
      <selection activeCell="O8" sqref="O8"/>
    </sheetView>
  </sheetViews>
  <sheetFormatPr defaultColWidth="9.109375" defaultRowHeight="13.2"/>
  <cols>
    <col min="1" max="1" width="3.6640625" style="16" customWidth="1"/>
    <col min="2" max="2" width="38.88671875" style="16" customWidth="1"/>
    <col min="3" max="5" width="12" style="16" customWidth="1"/>
    <col min="6" max="6" width="3" style="16" customWidth="1"/>
    <col min="7" max="8" width="12" style="16" customWidth="1"/>
    <col min="9" max="9" width="13.44140625" style="16" customWidth="1"/>
    <col min="10" max="10" width="12.6640625" style="16" customWidth="1"/>
    <col min="11" max="11" width="2.88671875" style="16" customWidth="1"/>
    <col min="12" max="12" width="20.88671875" style="16" customWidth="1"/>
    <col min="13" max="14" width="13.33203125" style="16" customWidth="1"/>
    <col min="15" max="15" width="12.88671875" style="16" customWidth="1"/>
    <col min="16" max="16" width="36.5546875" style="16" bestFit="1" customWidth="1"/>
    <col min="17" max="17" width="10.5546875" style="16" customWidth="1"/>
    <col min="18" max="18" width="5.109375" style="16" customWidth="1"/>
    <col min="19" max="19" width="3.44140625" style="16" customWidth="1"/>
    <col min="20" max="16384" width="9.109375" style="16"/>
  </cols>
  <sheetData>
    <row r="1" spans="1:16" ht="20.399999999999999">
      <c r="A1" s="453" t="s">
        <v>457</v>
      </c>
      <c r="B1" s="21"/>
      <c r="C1" s="21"/>
      <c r="D1" s="454"/>
      <c r="E1" s="454"/>
      <c r="F1" s="454"/>
      <c r="G1" s="454"/>
      <c r="H1" s="454"/>
      <c r="I1" s="455"/>
      <c r="J1" s="52"/>
      <c r="K1" s="52"/>
      <c r="L1" s="52"/>
      <c r="M1" s="52"/>
      <c r="N1" s="52"/>
    </row>
    <row r="2" spans="1:16">
      <c r="A2" s="179"/>
      <c r="B2" s="449" t="s">
        <v>12</v>
      </c>
      <c r="C2" s="451"/>
      <c r="D2" s="448"/>
      <c r="E2" s="97"/>
      <c r="F2" s="97"/>
      <c r="G2" s="5"/>
      <c r="H2" s="15"/>
      <c r="I2" s="173"/>
    </row>
    <row r="3" spans="1:16" ht="13.8" thickBot="1">
      <c r="A3" s="23"/>
      <c r="B3" s="456" t="s">
        <v>466</v>
      </c>
      <c r="C3" s="457"/>
      <c r="D3" s="458"/>
      <c r="E3" s="25"/>
      <c r="F3" s="25"/>
      <c r="G3" s="25"/>
      <c r="H3" s="25"/>
      <c r="I3" s="51"/>
    </row>
    <row r="4" spans="1:16" ht="13.5" customHeight="1" thickBot="1">
      <c r="B4" s="450"/>
      <c r="C4" s="452"/>
      <c r="D4" s="334"/>
      <c r="E4" s="15"/>
      <c r="F4" s="15"/>
      <c r="G4" s="15"/>
    </row>
    <row r="5" spans="1:16" ht="24.75" customHeight="1">
      <c r="A5" s="53"/>
      <c r="B5" s="53"/>
      <c r="C5" s="54" t="s">
        <v>483</v>
      </c>
      <c r="D5" s="55"/>
      <c r="E5" s="55"/>
      <c r="F5" s="55"/>
      <c r="G5" s="55"/>
      <c r="H5" s="56"/>
      <c r="I5" s="54" t="s">
        <v>53</v>
      </c>
      <c r="J5" s="55"/>
      <c r="K5" s="55"/>
      <c r="L5" s="56"/>
      <c r="M5" s="525" t="s">
        <v>484</v>
      </c>
      <c r="N5" s="526"/>
      <c r="O5" s="527"/>
    </row>
    <row r="6" spans="1:16" s="498" customFormat="1" ht="26.4">
      <c r="B6" s="58"/>
      <c r="C6" s="499" t="s">
        <v>54</v>
      </c>
      <c r="D6" s="500" t="s">
        <v>55</v>
      </c>
      <c r="E6" s="500" t="s">
        <v>56</v>
      </c>
      <c r="F6" s="500"/>
      <c r="G6" s="500" t="s">
        <v>57</v>
      </c>
      <c r="H6" s="501" t="s">
        <v>57</v>
      </c>
      <c r="I6" s="523" t="s">
        <v>485</v>
      </c>
      <c r="J6" s="524"/>
      <c r="K6" s="502"/>
      <c r="L6" s="501" t="s">
        <v>486</v>
      </c>
      <c r="M6" s="499" t="s">
        <v>58</v>
      </c>
      <c r="N6" s="501" t="s">
        <v>59</v>
      </c>
      <c r="O6" s="506" t="s">
        <v>490</v>
      </c>
      <c r="P6" s="511"/>
    </row>
    <row r="7" spans="1:16" ht="13.8" thickBot="1">
      <c r="A7" s="60" t="s">
        <v>60</v>
      </c>
      <c r="B7" s="15"/>
      <c r="C7" s="61" t="s">
        <v>61</v>
      </c>
      <c r="D7" s="62" t="s">
        <v>61</v>
      </c>
      <c r="E7" s="63" t="s">
        <v>61</v>
      </c>
      <c r="F7" s="63"/>
      <c r="G7" s="63" t="s">
        <v>62</v>
      </c>
      <c r="H7" s="64" t="s">
        <v>63</v>
      </c>
      <c r="I7" s="65" t="s">
        <v>63</v>
      </c>
      <c r="J7" s="66" t="s">
        <v>61</v>
      </c>
      <c r="K7" s="66"/>
      <c r="L7" s="497" t="s">
        <v>61</v>
      </c>
      <c r="M7" s="67" t="s">
        <v>64</v>
      </c>
      <c r="N7" s="68" t="s">
        <v>64</v>
      </c>
      <c r="O7" s="507" t="s">
        <v>64</v>
      </c>
      <c r="P7" s="101" t="s">
        <v>491</v>
      </c>
    </row>
    <row r="8" spans="1:16">
      <c r="A8" s="69">
        <v>1</v>
      </c>
      <c r="B8" s="70" t="s">
        <v>65</v>
      </c>
      <c r="C8" s="71">
        <v>0</v>
      </c>
      <c r="D8" s="72">
        <v>0</v>
      </c>
      <c r="E8" s="503">
        <f t="shared" ref="E8:E23" si="0">SUM(C8:D8)</f>
        <v>0</v>
      </c>
      <c r="F8" s="73"/>
      <c r="G8" s="30">
        <v>0</v>
      </c>
      <c r="H8" s="31">
        <v>0</v>
      </c>
      <c r="I8" s="74">
        <v>0</v>
      </c>
      <c r="J8" s="72">
        <v>0</v>
      </c>
      <c r="K8" s="72"/>
      <c r="L8" s="75">
        <v>0</v>
      </c>
      <c r="M8" s="74">
        <v>0</v>
      </c>
      <c r="N8" s="31">
        <v>0</v>
      </c>
      <c r="O8" s="509"/>
      <c r="P8" s="103" t="str">
        <f>IF(AND(OR(SUM(E8,J8,H8)=0,M8&lt;&gt;0),OR(SUM(E8,J8,H8)&lt;&gt;0,M8=0)),""," cc"&amp;(A8)&amp; " Student/Staff v Expenditure Query")</f>
        <v/>
      </c>
    </row>
    <row r="9" spans="1:16">
      <c r="A9" s="76">
        <v>2</v>
      </c>
      <c r="B9" s="77" t="s">
        <v>66</v>
      </c>
      <c r="C9" s="78">
        <v>0</v>
      </c>
      <c r="D9" s="79">
        <v>0</v>
      </c>
      <c r="E9" s="504">
        <f t="shared" si="0"/>
        <v>0</v>
      </c>
      <c r="F9" s="80"/>
      <c r="G9" s="35">
        <v>0</v>
      </c>
      <c r="H9" s="36">
        <v>0</v>
      </c>
      <c r="I9" s="81">
        <v>0</v>
      </c>
      <c r="J9" s="79">
        <v>0</v>
      </c>
      <c r="K9" s="79"/>
      <c r="L9" s="82">
        <v>0</v>
      </c>
      <c r="M9" s="81">
        <v>0</v>
      </c>
      <c r="N9" s="36">
        <v>0</v>
      </c>
      <c r="O9" s="510"/>
      <c r="P9" s="103" t="str">
        <f t="shared" ref="P9:P54" si="1">IF(AND(OR(SUM(E9,J9,H9)=0,M9&lt;&gt;0),OR(SUM(E9,J9,H9)&lt;&gt;0,M9=0)),""," cc"&amp;(A9)&amp; " Student/Staff v Expenditure Query")</f>
        <v/>
      </c>
    </row>
    <row r="10" spans="1:16">
      <c r="A10" s="76">
        <v>3</v>
      </c>
      <c r="B10" s="77" t="s">
        <v>67</v>
      </c>
      <c r="C10" s="78">
        <v>0</v>
      </c>
      <c r="D10" s="79">
        <v>0</v>
      </c>
      <c r="E10" s="504">
        <f t="shared" si="0"/>
        <v>0</v>
      </c>
      <c r="F10" s="80"/>
      <c r="G10" s="35">
        <v>0</v>
      </c>
      <c r="H10" s="36">
        <v>0</v>
      </c>
      <c r="I10" s="81">
        <v>0</v>
      </c>
      <c r="J10" s="79">
        <v>0</v>
      </c>
      <c r="K10" s="79"/>
      <c r="L10" s="82">
        <v>0</v>
      </c>
      <c r="M10" s="81">
        <v>0</v>
      </c>
      <c r="N10" s="36">
        <v>0</v>
      </c>
      <c r="O10" s="510"/>
      <c r="P10" s="103" t="str">
        <f t="shared" si="1"/>
        <v/>
      </c>
    </row>
    <row r="11" spans="1:16">
      <c r="A11" s="76">
        <v>4</v>
      </c>
      <c r="B11" s="77" t="s">
        <v>68</v>
      </c>
      <c r="C11" s="78">
        <v>0</v>
      </c>
      <c r="D11" s="79">
        <v>0</v>
      </c>
      <c r="E11" s="79">
        <f t="shared" si="0"/>
        <v>0</v>
      </c>
      <c r="F11" s="80"/>
      <c r="G11" s="35">
        <v>0</v>
      </c>
      <c r="H11" s="36">
        <v>0</v>
      </c>
      <c r="I11" s="81">
        <v>0</v>
      </c>
      <c r="J11" s="79">
        <v>0</v>
      </c>
      <c r="K11" s="79"/>
      <c r="L11" s="82">
        <v>0</v>
      </c>
      <c r="M11" s="81">
        <v>0</v>
      </c>
      <c r="N11" s="36">
        <v>0</v>
      </c>
      <c r="O11" s="510"/>
      <c r="P11" s="103" t="str">
        <f t="shared" si="1"/>
        <v/>
      </c>
    </row>
    <row r="12" spans="1:16">
      <c r="A12" s="76">
        <v>5</v>
      </c>
      <c r="B12" s="77" t="s">
        <v>69</v>
      </c>
      <c r="C12" s="78">
        <v>0</v>
      </c>
      <c r="D12" s="79">
        <v>0</v>
      </c>
      <c r="E12" s="79">
        <f t="shared" si="0"/>
        <v>0</v>
      </c>
      <c r="F12" s="80"/>
      <c r="G12" s="35">
        <v>0</v>
      </c>
      <c r="H12" s="36">
        <v>0</v>
      </c>
      <c r="I12" s="81">
        <v>0</v>
      </c>
      <c r="J12" s="79">
        <v>0</v>
      </c>
      <c r="K12" s="79"/>
      <c r="L12" s="82">
        <v>0</v>
      </c>
      <c r="M12" s="81">
        <v>0</v>
      </c>
      <c r="N12" s="36">
        <v>0</v>
      </c>
      <c r="O12" s="510"/>
      <c r="P12" s="103" t="str">
        <f t="shared" si="1"/>
        <v/>
      </c>
    </row>
    <row r="13" spans="1:16">
      <c r="A13" s="76">
        <v>6</v>
      </c>
      <c r="B13" s="77" t="s">
        <v>70</v>
      </c>
      <c r="C13" s="78">
        <v>0</v>
      </c>
      <c r="D13" s="79">
        <v>0</v>
      </c>
      <c r="E13" s="79">
        <f t="shared" si="0"/>
        <v>0</v>
      </c>
      <c r="F13" s="80"/>
      <c r="G13" s="35">
        <v>0</v>
      </c>
      <c r="H13" s="36">
        <v>0</v>
      </c>
      <c r="I13" s="81">
        <v>0</v>
      </c>
      <c r="J13" s="79">
        <v>0</v>
      </c>
      <c r="K13" s="79"/>
      <c r="L13" s="82">
        <v>0</v>
      </c>
      <c r="M13" s="81">
        <v>0</v>
      </c>
      <c r="N13" s="36">
        <v>0</v>
      </c>
      <c r="O13" s="510"/>
      <c r="P13" s="103" t="str">
        <f t="shared" si="1"/>
        <v/>
      </c>
    </row>
    <row r="14" spans="1:16">
      <c r="A14" s="76">
        <v>7</v>
      </c>
      <c r="B14" s="77" t="s">
        <v>71</v>
      </c>
      <c r="C14" s="78">
        <v>0</v>
      </c>
      <c r="D14" s="79">
        <v>0</v>
      </c>
      <c r="E14" s="79">
        <f t="shared" si="0"/>
        <v>0</v>
      </c>
      <c r="F14" s="80"/>
      <c r="G14" s="35">
        <v>0</v>
      </c>
      <c r="H14" s="36">
        <v>0</v>
      </c>
      <c r="I14" s="81">
        <v>0</v>
      </c>
      <c r="J14" s="79">
        <v>0</v>
      </c>
      <c r="K14" s="79"/>
      <c r="L14" s="82">
        <v>0</v>
      </c>
      <c r="M14" s="81">
        <v>0</v>
      </c>
      <c r="N14" s="36">
        <v>0</v>
      </c>
      <c r="O14" s="510"/>
      <c r="P14" s="103" t="str">
        <f t="shared" si="1"/>
        <v/>
      </c>
    </row>
    <row r="15" spans="1:16">
      <c r="A15" s="76">
        <v>8</v>
      </c>
      <c r="B15" s="77" t="s">
        <v>72</v>
      </c>
      <c r="C15" s="78">
        <v>0</v>
      </c>
      <c r="D15" s="79">
        <v>0</v>
      </c>
      <c r="E15" s="79">
        <f t="shared" si="0"/>
        <v>0</v>
      </c>
      <c r="F15" s="80"/>
      <c r="G15" s="35">
        <v>0</v>
      </c>
      <c r="H15" s="36">
        <v>0</v>
      </c>
      <c r="I15" s="81">
        <v>0</v>
      </c>
      <c r="J15" s="79">
        <v>0</v>
      </c>
      <c r="K15" s="79"/>
      <c r="L15" s="82">
        <v>0</v>
      </c>
      <c r="M15" s="81">
        <v>0</v>
      </c>
      <c r="N15" s="36">
        <v>0</v>
      </c>
      <c r="O15" s="510"/>
      <c r="P15" s="103" t="str">
        <f t="shared" si="1"/>
        <v/>
      </c>
    </row>
    <row r="16" spans="1:16">
      <c r="A16" s="76">
        <v>9</v>
      </c>
      <c r="B16" s="77" t="s">
        <v>73</v>
      </c>
      <c r="C16" s="78">
        <v>0</v>
      </c>
      <c r="D16" s="79">
        <v>0</v>
      </c>
      <c r="E16" s="79">
        <f t="shared" si="0"/>
        <v>0</v>
      </c>
      <c r="F16" s="80"/>
      <c r="G16" s="35">
        <v>0</v>
      </c>
      <c r="H16" s="36">
        <v>0</v>
      </c>
      <c r="I16" s="81">
        <v>0</v>
      </c>
      <c r="J16" s="79">
        <v>0</v>
      </c>
      <c r="K16" s="79"/>
      <c r="L16" s="82">
        <v>0</v>
      </c>
      <c r="M16" s="81">
        <v>0</v>
      </c>
      <c r="N16" s="36">
        <v>0</v>
      </c>
      <c r="O16" s="510"/>
      <c r="P16" s="103" t="str">
        <f t="shared" si="1"/>
        <v/>
      </c>
    </row>
    <row r="17" spans="1:16">
      <c r="A17" s="76">
        <v>10</v>
      </c>
      <c r="B17" s="77" t="s">
        <v>74</v>
      </c>
      <c r="C17" s="78">
        <v>0</v>
      </c>
      <c r="D17" s="79">
        <v>0</v>
      </c>
      <c r="E17" s="79">
        <f t="shared" si="0"/>
        <v>0</v>
      </c>
      <c r="F17" s="80"/>
      <c r="G17" s="35">
        <v>0</v>
      </c>
      <c r="H17" s="36">
        <v>0</v>
      </c>
      <c r="I17" s="81">
        <v>0</v>
      </c>
      <c r="J17" s="79">
        <v>0</v>
      </c>
      <c r="K17" s="79"/>
      <c r="L17" s="82">
        <v>0</v>
      </c>
      <c r="M17" s="81">
        <v>0</v>
      </c>
      <c r="N17" s="36">
        <v>0</v>
      </c>
      <c r="O17" s="510"/>
      <c r="P17" s="103" t="str">
        <f t="shared" si="1"/>
        <v/>
      </c>
    </row>
    <row r="18" spans="1:16">
      <c r="A18" s="76">
        <v>11</v>
      </c>
      <c r="B18" s="77" t="s">
        <v>75</v>
      </c>
      <c r="C18" s="78">
        <v>0</v>
      </c>
      <c r="D18" s="79">
        <v>0</v>
      </c>
      <c r="E18" s="79">
        <f t="shared" si="0"/>
        <v>0</v>
      </c>
      <c r="F18" s="80"/>
      <c r="G18" s="35">
        <v>0</v>
      </c>
      <c r="H18" s="36">
        <v>0</v>
      </c>
      <c r="I18" s="81">
        <v>0</v>
      </c>
      <c r="J18" s="79">
        <v>0</v>
      </c>
      <c r="K18" s="79"/>
      <c r="L18" s="82">
        <v>0</v>
      </c>
      <c r="M18" s="81">
        <v>0</v>
      </c>
      <c r="N18" s="36">
        <v>0</v>
      </c>
      <c r="O18" s="510"/>
      <c r="P18" s="103" t="str">
        <f t="shared" si="1"/>
        <v/>
      </c>
    </row>
    <row r="19" spans="1:16">
      <c r="A19" s="76">
        <v>12</v>
      </c>
      <c r="B19" s="77" t="s">
        <v>76</v>
      </c>
      <c r="C19" s="78">
        <v>0</v>
      </c>
      <c r="D19" s="79">
        <v>0</v>
      </c>
      <c r="E19" s="79">
        <f t="shared" si="0"/>
        <v>0</v>
      </c>
      <c r="F19" s="80"/>
      <c r="G19" s="35">
        <v>0</v>
      </c>
      <c r="H19" s="36">
        <v>0</v>
      </c>
      <c r="I19" s="81">
        <v>0</v>
      </c>
      <c r="J19" s="79">
        <v>0</v>
      </c>
      <c r="K19" s="79"/>
      <c r="L19" s="82">
        <v>0</v>
      </c>
      <c r="M19" s="81">
        <v>0</v>
      </c>
      <c r="N19" s="36">
        <v>0</v>
      </c>
      <c r="O19" s="510"/>
      <c r="P19" s="103" t="str">
        <f t="shared" si="1"/>
        <v/>
      </c>
    </row>
    <row r="20" spans="1:16">
      <c r="A20" s="76">
        <v>13</v>
      </c>
      <c r="B20" s="77" t="s">
        <v>77</v>
      </c>
      <c r="C20" s="78">
        <v>0</v>
      </c>
      <c r="D20" s="79">
        <v>0</v>
      </c>
      <c r="E20" s="79">
        <f t="shared" si="0"/>
        <v>0</v>
      </c>
      <c r="F20" s="80"/>
      <c r="G20" s="35">
        <v>0</v>
      </c>
      <c r="H20" s="36">
        <v>0</v>
      </c>
      <c r="I20" s="81">
        <v>0</v>
      </c>
      <c r="J20" s="79">
        <v>0</v>
      </c>
      <c r="K20" s="79"/>
      <c r="L20" s="82">
        <v>0</v>
      </c>
      <c r="M20" s="81">
        <v>0</v>
      </c>
      <c r="N20" s="36">
        <v>0</v>
      </c>
      <c r="O20" s="510"/>
      <c r="P20" s="103" t="str">
        <f t="shared" si="1"/>
        <v/>
      </c>
    </row>
    <row r="21" spans="1:16">
      <c r="A21" s="76">
        <v>14</v>
      </c>
      <c r="B21" s="77" t="s">
        <v>78</v>
      </c>
      <c r="C21" s="78">
        <v>0</v>
      </c>
      <c r="D21" s="79">
        <v>0</v>
      </c>
      <c r="E21" s="79">
        <f t="shared" si="0"/>
        <v>0</v>
      </c>
      <c r="F21" s="80"/>
      <c r="G21" s="35">
        <v>0</v>
      </c>
      <c r="H21" s="36">
        <v>0</v>
      </c>
      <c r="I21" s="81">
        <v>0</v>
      </c>
      <c r="J21" s="79">
        <v>0</v>
      </c>
      <c r="K21" s="79"/>
      <c r="L21" s="82">
        <v>0</v>
      </c>
      <c r="M21" s="513">
        <v>0</v>
      </c>
      <c r="N21" s="512">
        <v>0</v>
      </c>
      <c r="O21" s="510"/>
      <c r="P21" s="103" t="str">
        <f t="shared" si="1"/>
        <v/>
      </c>
    </row>
    <row r="22" spans="1:16">
      <c r="A22" s="76">
        <v>15</v>
      </c>
      <c r="B22" s="77" t="s">
        <v>79</v>
      </c>
      <c r="C22" s="78">
        <v>0</v>
      </c>
      <c r="D22" s="79">
        <v>0</v>
      </c>
      <c r="E22" s="79">
        <f t="shared" si="0"/>
        <v>0</v>
      </c>
      <c r="F22" s="80"/>
      <c r="G22" s="35">
        <v>0</v>
      </c>
      <c r="H22" s="36">
        <v>0</v>
      </c>
      <c r="I22" s="81">
        <v>0</v>
      </c>
      <c r="J22" s="79">
        <v>0</v>
      </c>
      <c r="K22" s="79"/>
      <c r="L22" s="82">
        <v>0</v>
      </c>
      <c r="M22" s="514">
        <v>0</v>
      </c>
      <c r="N22" s="106">
        <v>0</v>
      </c>
      <c r="O22" s="510"/>
      <c r="P22" s="103" t="str">
        <f t="shared" si="1"/>
        <v/>
      </c>
    </row>
    <row r="23" spans="1:16">
      <c r="A23" s="76">
        <v>16</v>
      </c>
      <c r="B23" s="77" t="s">
        <v>80</v>
      </c>
      <c r="C23" s="78">
        <v>0</v>
      </c>
      <c r="D23" s="79">
        <v>0</v>
      </c>
      <c r="E23" s="79">
        <f t="shared" si="0"/>
        <v>0</v>
      </c>
      <c r="F23" s="80"/>
      <c r="G23" s="35">
        <v>0</v>
      </c>
      <c r="H23" s="36">
        <v>0</v>
      </c>
      <c r="I23" s="81">
        <v>0</v>
      </c>
      <c r="J23" s="79">
        <v>0</v>
      </c>
      <c r="K23" s="79"/>
      <c r="L23" s="82">
        <v>0</v>
      </c>
      <c r="M23" s="515">
        <v>0</v>
      </c>
      <c r="N23" s="36">
        <v>0</v>
      </c>
      <c r="O23" s="510"/>
      <c r="P23" s="103" t="str">
        <f t="shared" si="1"/>
        <v/>
      </c>
    </row>
    <row r="24" spans="1:16">
      <c r="A24" s="76">
        <v>17</v>
      </c>
      <c r="B24" s="77" t="s">
        <v>81</v>
      </c>
      <c r="C24" s="78">
        <v>0</v>
      </c>
      <c r="D24" s="79">
        <v>0</v>
      </c>
      <c r="E24" s="79">
        <f>SUM(C24:D24)</f>
        <v>0</v>
      </c>
      <c r="F24" s="80"/>
      <c r="G24" s="35">
        <v>0</v>
      </c>
      <c r="H24" s="36">
        <v>0</v>
      </c>
      <c r="I24" s="81">
        <v>0</v>
      </c>
      <c r="J24" s="79">
        <v>0</v>
      </c>
      <c r="K24" s="79"/>
      <c r="L24" s="82">
        <v>0</v>
      </c>
      <c r="M24" s="515">
        <v>0</v>
      </c>
      <c r="N24" s="36">
        <v>0</v>
      </c>
      <c r="O24" s="510"/>
      <c r="P24" s="103" t="str">
        <f t="shared" si="1"/>
        <v/>
      </c>
    </row>
    <row r="25" spans="1:16" ht="12.75" customHeight="1">
      <c r="A25" s="76">
        <v>18</v>
      </c>
      <c r="B25" s="77" t="s">
        <v>82</v>
      </c>
      <c r="C25" s="78">
        <v>0</v>
      </c>
      <c r="D25" s="79">
        <v>0</v>
      </c>
      <c r="E25" s="79">
        <f>SUM(C25:D25)</f>
        <v>0</v>
      </c>
      <c r="F25" s="80"/>
      <c r="G25" s="35">
        <v>0</v>
      </c>
      <c r="H25" s="36">
        <v>0</v>
      </c>
      <c r="I25" s="81">
        <v>0</v>
      </c>
      <c r="J25" s="79">
        <v>0</v>
      </c>
      <c r="K25" s="79"/>
      <c r="L25" s="82">
        <v>0</v>
      </c>
      <c r="M25" s="81">
        <v>0</v>
      </c>
      <c r="N25" s="36">
        <v>0</v>
      </c>
      <c r="O25" s="510"/>
      <c r="P25" s="103" t="str">
        <f t="shared" si="1"/>
        <v/>
      </c>
    </row>
    <row r="26" spans="1:16" ht="12.75" customHeight="1">
      <c r="A26" s="76">
        <v>19</v>
      </c>
      <c r="B26" s="77" t="s">
        <v>83</v>
      </c>
      <c r="C26" s="78">
        <v>0</v>
      </c>
      <c r="D26" s="79">
        <v>0</v>
      </c>
      <c r="E26" s="79">
        <f>SUM(C26:D26)</f>
        <v>0</v>
      </c>
      <c r="F26" s="80"/>
      <c r="G26" s="35">
        <v>0</v>
      </c>
      <c r="H26" s="36">
        <v>0</v>
      </c>
      <c r="I26" s="81">
        <v>0</v>
      </c>
      <c r="J26" s="79">
        <v>0</v>
      </c>
      <c r="K26" s="79"/>
      <c r="L26" s="82">
        <v>0</v>
      </c>
      <c r="M26" s="81">
        <v>0</v>
      </c>
      <c r="N26" s="36">
        <v>0</v>
      </c>
      <c r="O26" s="510"/>
      <c r="P26" s="103" t="str">
        <f t="shared" si="1"/>
        <v/>
      </c>
    </row>
    <row r="27" spans="1:16" ht="12.75" customHeight="1">
      <c r="A27" s="76">
        <v>20</v>
      </c>
      <c r="B27" s="77" t="s">
        <v>84</v>
      </c>
      <c r="C27" s="78">
        <v>0</v>
      </c>
      <c r="D27" s="79">
        <v>0</v>
      </c>
      <c r="E27" s="79">
        <f>SUM(C27:D27)</f>
        <v>0</v>
      </c>
      <c r="F27" s="80"/>
      <c r="G27" s="35">
        <v>0</v>
      </c>
      <c r="H27" s="36">
        <v>0</v>
      </c>
      <c r="I27" s="81">
        <v>0</v>
      </c>
      <c r="J27" s="79">
        <v>0</v>
      </c>
      <c r="K27" s="79"/>
      <c r="L27" s="82">
        <v>0</v>
      </c>
      <c r="M27" s="81">
        <v>0</v>
      </c>
      <c r="N27" s="36">
        <v>0</v>
      </c>
      <c r="O27" s="510"/>
      <c r="P27" s="103" t="str">
        <f t="shared" si="1"/>
        <v/>
      </c>
    </row>
    <row r="28" spans="1:16" ht="12.75" customHeight="1">
      <c r="A28" s="76">
        <v>21</v>
      </c>
      <c r="B28" s="77" t="s">
        <v>85</v>
      </c>
      <c r="C28" s="78">
        <v>0</v>
      </c>
      <c r="D28" s="79">
        <v>0</v>
      </c>
      <c r="E28" s="79">
        <f t="shared" ref="E28:E47" si="2">SUM(C28:D28)</f>
        <v>0</v>
      </c>
      <c r="F28" s="80"/>
      <c r="G28" s="35">
        <v>0</v>
      </c>
      <c r="H28" s="36">
        <v>0</v>
      </c>
      <c r="I28" s="81">
        <v>0</v>
      </c>
      <c r="J28" s="79">
        <v>0</v>
      </c>
      <c r="K28" s="79"/>
      <c r="L28" s="82">
        <v>0</v>
      </c>
      <c r="M28" s="81">
        <v>0</v>
      </c>
      <c r="N28" s="36">
        <v>0</v>
      </c>
      <c r="O28" s="510"/>
      <c r="P28" s="103" t="str">
        <f t="shared" si="1"/>
        <v/>
      </c>
    </row>
    <row r="29" spans="1:16" ht="12.75" customHeight="1">
      <c r="A29" s="76">
        <v>22</v>
      </c>
      <c r="B29" s="77" t="s">
        <v>86</v>
      </c>
      <c r="C29" s="78">
        <v>0</v>
      </c>
      <c r="D29" s="79">
        <v>0</v>
      </c>
      <c r="E29" s="79">
        <f t="shared" si="2"/>
        <v>0</v>
      </c>
      <c r="F29" s="80"/>
      <c r="G29" s="35">
        <v>0</v>
      </c>
      <c r="H29" s="36">
        <v>0</v>
      </c>
      <c r="I29" s="81">
        <v>0</v>
      </c>
      <c r="J29" s="79">
        <v>0</v>
      </c>
      <c r="K29" s="79"/>
      <c r="L29" s="82">
        <v>0</v>
      </c>
      <c r="M29" s="105">
        <v>0</v>
      </c>
      <c r="N29" s="106">
        <v>0</v>
      </c>
      <c r="O29" s="510"/>
      <c r="P29" s="103" t="str">
        <f t="shared" si="1"/>
        <v/>
      </c>
    </row>
    <row r="30" spans="1:16" ht="12.75" customHeight="1">
      <c r="A30" s="76">
        <v>23</v>
      </c>
      <c r="B30" s="77" t="s">
        <v>87</v>
      </c>
      <c r="C30" s="78">
        <v>0</v>
      </c>
      <c r="D30" s="79">
        <v>0</v>
      </c>
      <c r="E30" s="79">
        <f t="shared" si="2"/>
        <v>0</v>
      </c>
      <c r="F30" s="80"/>
      <c r="G30" s="35">
        <v>0</v>
      </c>
      <c r="H30" s="36">
        <v>0</v>
      </c>
      <c r="I30" s="81">
        <v>0</v>
      </c>
      <c r="J30" s="79">
        <v>0</v>
      </c>
      <c r="K30" s="79"/>
      <c r="L30" s="82">
        <v>0</v>
      </c>
      <c r="M30" s="81">
        <v>0</v>
      </c>
      <c r="N30" s="36">
        <v>0</v>
      </c>
      <c r="O30" s="510"/>
      <c r="P30" s="103" t="str">
        <f t="shared" si="1"/>
        <v/>
      </c>
    </row>
    <row r="31" spans="1:16" ht="12.75" customHeight="1">
      <c r="A31" s="76">
        <v>24</v>
      </c>
      <c r="B31" s="77" t="s">
        <v>88</v>
      </c>
      <c r="C31" s="78">
        <v>0</v>
      </c>
      <c r="D31" s="79">
        <v>0</v>
      </c>
      <c r="E31" s="79">
        <f t="shared" si="2"/>
        <v>0</v>
      </c>
      <c r="F31" s="80"/>
      <c r="G31" s="35">
        <v>0</v>
      </c>
      <c r="H31" s="36">
        <v>0</v>
      </c>
      <c r="I31" s="81">
        <v>0</v>
      </c>
      <c r="J31" s="79">
        <v>0</v>
      </c>
      <c r="K31" s="79"/>
      <c r="L31" s="82">
        <v>0</v>
      </c>
      <c r="M31" s="81">
        <v>0</v>
      </c>
      <c r="N31" s="36">
        <v>0</v>
      </c>
      <c r="O31" s="510"/>
      <c r="P31" s="103" t="str">
        <f t="shared" si="1"/>
        <v/>
      </c>
    </row>
    <row r="32" spans="1:16" ht="12.75" customHeight="1">
      <c r="A32" s="76">
        <v>25</v>
      </c>
      <c r="B32" s="77" t="s">
        <v>89</v>
      </c>
      <c r="C32" s="78">
        <v>0</v>
      </c>
      <c r="D32" s="79">
        <v>0</v>
      </c>
      <c r="E32" s="79">
        <f t="shared" si="2"/>
        <v>0</v>
      </c>
      <c r="F32" s="80"/>
      <c r="G32" s="35">
        <v>0</v>
      </c>
      <c r="H32" s="36">
        <v>0</v>
      </c>
      <c r="I32" s="81">
        <v>0</v>
      </c>
      <c r="J32" s="79">
        <v>0</v>
      </c>
      <c r="K32" s="79"/>
      <c r="L32" s="82">
        <v>0</v>
      </c>
      <c r="M32" s="81">
        <v>0</v>
      </c>
      <c r="N32" s="36">
        <v>0</v>
      </c>
      <c r="O32" s="510"/>
      <c r="P32" s="103" t="str">
        <f t="shared" si="1"/>
        <v/>
      </c>
    </row>
    <row r="33" spans="1:16" ht="12.75" customHeight="1">
      <c r="A33" s="76">
        <v>26</v>
      </c>
      <c r="B33" s="77" t="s">
        <v>90</v>
      </c>
      <c r="C33" s="78">
        <v>0</v>
      </c>
      <c r="D33" s="79">
        <v>0</v>
      </c>
      <c r="E33" s="79">
        <f t="shared" si="2"/>
        <v>0</v>
      </c>
      <c r="F33" s="80"/>
      <c r="G33" s="35">
        <v>0</v>
      </c>
      <c r="H33" s="36">
        <v>0</v>
      </c>
      <c r="I33" s="81">
        <v>0</v>
      </c>
      <c r="J33" s="79">
        <v>0</v>
      </c>
      <c r="K33" s="79"/>
      <c r="L33" s="82">
        <v>0</v>
      </c>
      <c r="M33" s="81">
        <v>0</v>
      </c>
      <c r="N33" s="36">
        <v>0</v>
      </c>
      <c r="O33" s="510"/>
      <c r="P33" s="103" t="str">
        <f t="shared" si="1"/>
        <v/>
      </c>
    </row>
    <row r="34" spans="1:16" ht="12.75" customHeight="1">
      <c r="A34" s="76">
        <v>27</v>
      </c>
      <c r="B34" s="77" t="s">
        <v>91</v>
      </c>
      <c r="C34" s="78">
        <v>0</v>
      </c>
      <c r="D34" s="79">
        <v>0</v>
      </c>
      <c r="E34" s="79">
        <f t="shared" si="2"/>
        <v>0</v>
      </c>
      <c r="F34" s="80"/>
      <c r="G34" s="35">
        <v>0</v>
      </c>
      <c r="H34" s="36">
        <v>0</v>
      </c>
      <c r="I34" s="81">
        <v>0</v>
      </c>
      <c r="J34" s="79">
        <v>0</v>
      </c>
      <c r="K34" s="79"/>
      <c r="L34" s="82">
        <v>0</v>
      </c>
      <c r="M34" s="81">
        <v>0</v>
      </c>
      <c r="N34" s="36">
        <v>0</v>
      </c>
      <c r="O34" s="510"/>
      <c r="P34" s="103" t="str">
        <f t="shared" si="1"/>
        <v/>
      </c>
    </row>
    <row r="35" spans="1:16" ht="12.75" customHeight="1">
      <c r="A35" s="76">
        <v>28</v>
      </c>
      <c r="B35" s="77" t="s">
        <v>92</v>
      </c>
      <c r="C35" s="78">
        <v>0</v>
      </c>
      <c r="D35" s="79">
        <v>0</v>
      </c>
      <c r="E35" s="79">
        <f t="shared" si="2"/>
        <v>0</v>
      </c>
      <c r="F35" s="80"/>
      <c r="G35" s="35">
        <v>0</v>
      </c>
      <c r="H35" s="36">
        <v>0</v>
      </c>
      <c r="I35" s="81">
        <v>0</v>
      </c>
      <c r="J35" s="79">
        <v>0</v>
      </c>
      <c r="K35" s="79"/>
      <c r="L35" s="82">
        <v>0</v>
      </c>
      <c r="M35" s="81">
        <v>0</v>
      </c>
      <c r="N35" s="36">
        <v>0</v>
      </c>
      <c r="O35" s="510"/>
      <c r="P35" s="103" t="str">
        <f t="shared" si="1"/>
        <v/>
      </c>
    </row>
    <row r="36" spans="1:16" ht="12.75" customHeight="1">
      <c r="A36" s="76">
        <v>29</v>
      </c>
      <c r="B36" s="77" t="s">
        <v>93</v>
      </c>
      <c r="C36" s="78">
        <v>0</v>
      </c>
      <c r="D36" s="79">
        <v>0</v>
      </c>
      <c r="E36" s="79">
        <f t="shared" si="2"/>
        <v>0</v>
      </c>
      <c r="F36" s="80"/>
      <c r="G36" s="35">
        <v>0</v>
      </c>
      <c r="H36" s="36">
        <v>0</v>
      </c>
      <c r="I36" s="81">
        <v>0</v>
      </c>
      <c r="J36" s="79">
        <v>0</v>
      </c>
      <c r="K36" s="79"/>
      <c r="L36" s="82">
        <v>0</v>
      </c>
      <c r="M36" s="81">
        <v>0</v>
      </c>
      <c r="N36" s="36">
        <v>0</v>
      </c>
      <c r="O36" s="510"/>
      <c r="P36" s="103" t="str">
        <f t="shared" si="1"/>
        <v/>
      </c>
    </row>
    <row r="37" spans="1:16" ht="12.75" customHeight="1">
      <c r="A37" s="76">
        <v>30</v>
      </c>
      <c r="B37" s="77" t="s">
        <v>94</v>
      </c>
      <c r="C37" s="78">
        <v>0</v>
      </c>
      <c r="D37" s="79">
        <v>0</v>
      </c>
      <c r="E37" s="79">
        <f t="shared" si="2"/>
        <v>0</v>
      </c>
      <c r="F37" s="80"/>
      <c r="G37" s="35">
        <v>0</v>
      </c>
      <c r="H37" s="36">
        <v>0</v>
      </c>
      <c r="I37" s="81">
        <v>0</v>
      </c>
      <c r="J37" s="79">
        <v>0</v>
      </c>
      <c r="K37" s="79"/>
      <c r="L37" s="82">
        <v>0</v>
      </c>
      <c r="M37" s="81">
        <v>0</v>
      </c>
      <c r="N37" s="36">
        <v>0</v>
      </c>
      <c r="O37" s="510"/>
      <c r="P37" s="103" t="str">
        <f t="shared" si="1"/>
        <v/>
      </c>
    </row>
    <row r="38" spans="1:16">
      <c r="A38" s="76">
        <v>31</v>
      </c>
      <c r="B38" s="77" t="s">
        <v>95</v>
      </c>
      <c r="C38" s="78">
        <v>0</v>
      </c>
      <c r="D38" s="79">
        <v>0</v>
      </c>
      <c r="E38" s="79">
        <f t="shared" si="2"/>
        <v>0</v>
      </c>
      <c r="F38" s="80"/>
      <c r="G38" s="35">
        <v>0</v>
      </c>
      <c r="H38" s="36">
        <v>0</v>
      </c>
      <c r="I38" s="81">
        <v>0</v>
      </c>
      <c r="J38" s="79">
        <v>0</v>
      </c>
      <c r="K38" s="79"/>
      <c r="L38" s="82">
        <v>0</v>
      </c>
      <c r="M38" s="81">
        <v>0</v>
      </c>
      <c r="N38" s="36">
        <v>0</v>
      </c>
      <c r="O38" s="510"/>
      <c r="P38" s="103" t="str">
        <f t="shared" si="1"/>
        <v/>
      </c>
    </row>
    <row r="39" spans="1:16">
      <c r="A39" s="76">
        <v>32</v>
      </c>
      <c r="B39" s="77" t="s">
        <v>96</v>
      </c>
      <c r="C39" s="78">
        <v>0</v>
      </c>
      <c r="D39" s="79">
        <v>0</v>
      </c>
      <c r="E39" s="79">
        <f t="shared" si="2"/>
        <v>0</v>
      </c>
      <c r="F39" s="80"/>
      <c r="G39" s="35">
        <v>0</v>
      </c>
      <c r="H39" s="36">
        <v>0</v>
      </c>
      <c r="I39" s="81">
        <v>0</v>
      </c>
      <c r="J39" s="79">
        <v>0</v>
      </c>
      <c r="K39" s="79"/>
      <c r="L39" s="82">
        <v>0</v>
      </c>
      <c r="M39" s="81">
        <v>0</v>
      </c>
      <c r="N39" s="36">
        <v>0</v>
      </c>
      <c r="O39" s="510"/>
      <c r="P39" s="103" t="str">
        <f t="shared" si="1"/>
        <v/>
      </c>
    </row>
    <row r="40" spans="1:16">
      <c r="A40" s="76">
        <v>33</v>
      </c>
      <c r="B40" s="77" t="s">
        <v>97</v>
      </c>
      <c r="C40" s="78">
        <v>0</v>
      </c>
      <c r="D40" s="79">
        <v>0</v>
      </c>
      <c r="E40" s="79">
        <f t="shared" si="2"/>
        <v>0</v>
      </c>
      <c r="F40" s="80"/>
      <c r="G40" s="35">
        <v>0</v>
      </c>
      <c r="H40" s="36">
        <v>0</v>
      </c>
      <c r="I40" s="81">
        <v>0</v>
      </c>
      <c r="J40" s="79">
        <v>0</v>
      </c>
      <c r="K40" s="79"/>
      <c r="L40" s="82">
        <v>0</v>
      </c>
      <c r="M40" s="81">
        <v>0</v>
      </c>
      <c r="N40" s="36">
        <v>0</v>
      </c>
      <c r="O40" s="510"/>
      <c r="P40" s="103" t="str">
        <f t="shared" si="1"/>
        <v/>
      </c>
    </row>
    <row r="41" spans="1:16">
      <c r="A41" s="76">
        <v>34</v>
      </c>
      <c r="B41" s="77" t="s">
        <v>98</v>
      </c>
      <c r="C41" s="78">
        <v>0</v>
      </c>
      <c r="D41" s="79">
        <v>0</v>
      </c>
      <c r="E41" s="79">
        <f t="shared" si="2"/>
        <v>0</v>
      </c>
      <c r="F41" s="80"/>
      <c r="G41" s="35">
        <v>0</v>
      </c>
      <c r="H41" s="36">
        <v>0</v>
      </c>
      <c r="I41" s="81">
        <v>0</v>
      </c>
      <c r="J41" s="79">
        <v>0</v>
      </c>
      <c r="K41" s="79"/>
      <c r="L41" s="82">
        <v>0</v>
      </c>
      <c r="M41" s="81">
        <v>0</v>
      </c>
      <c r="N41" s="36">
        <v>0</v>
      </c>
      <c r="O41" s="510"/>
      <c r="P41" s="103" t="str">
        <f t="shared" si="1"/>
        <v/>
      </c>
    </row>
    <row r="42" spans="1:16" ht="15" customHeight="1">
      <c r="A42" s="76">
        <v>35</v>
      </c>
      <c r="B42" s="77" t="s">
        <v>99</v>
      </c>
      <c r="C42" s="78">
        <v>0</v>
      </c>
      <c r="D42" s="79">
        <v>0</v>
      </c>
      <c r="E42" s="79">
        <f t="shared" si="2"/>
        <v>0</v>
      </c>
      <c r="F42" s="80"/>
      <c r="G42" s="35">
        <v>0</v>
      </c>
      <c r="H42" s="36">
        <v>0</v>
      </c>
      <c r="I42" s="81">
        <v>0</v>
      </c>
      <c r="J42" s="79">
        <v>0</v>
      </c>
      <c r="K42" s="79"/>
      <c r="L42" s="82">
        <v>0</v>
      </c>
      <c r="M42" s="81">
        <v>0</v>
      </c>
      <c r="N42" s="36">
        <v>0</v>
      </c>
      <c r="O42" s="510"/>
      <c r="P42" s="103" t="str">
        <f t="shared" si="1"/>
        <v/>
      </c>
    </row>
    <row r="43" spans="1:16">
      <c r="A43" s="76">
        <v>36</v>
      </c>
      <c r="B43" s="77" t="s">
        <v>100</v>
      </c>
      <c r="C43" s="78">
        <v>0</v>
      </c>
      <c r="D43" s="79">
        <v>0</v>
      </c>
      <c r="E43" s="79">
        <f t="shared" si="2"/>
        <v>0</v>
      </c>
      <c r="F43" s="80"/>
      <c r="G43" s="35">
        <v>0</v>
      </c>
      <c r="H43" s="36">
        <v>0</v>
      </c>
      <c r="I43" s="81">
        <v>0</v>
      </c>
      <c r="J43" s="79">
        <v>0</v>
      </c>
      <c r="K43" s="79"/>
      <c r="L43" s="82">
        <v>0</v>
      </c>
      <c r="M43" s="81">
        <v>0</v>
      </c>
      <c r="N43" s="36">
        <v>0</v>
      </c>
      <c r="O43" s="510"/>
      <c r="P43" s="103" t="str">
        <f t="shared" si="1"/>
        <v/>
      </c>
    </row>
    <row r="44" spans="1:16">
      <c r="A44" s="76">
        <v>37</v>
      </c>
      <c r="B44" s="77" t="s">
        <v>101</v>
      </c>
      <c r="C44" s="78">
        <v>0</v>
      </c>
      <c r="D44" s="79">
        <v>0</v>
      </c>
      <c r="E44" s="79">
        <f t="shared" si="2"/>
        <v>0</v>
      </c>
      <c r="F44" s="80"/>
      <c r="G44" s="35">
        <v>0</v>
      </c>
      <c r="H44" s="36">
        <v>0</v>
      </c>
      <c r="I44" s="81">
        <v>0</v>
      </c>
      <c r="J44" s="79">
        <v>0</v>
      </c>
      <c r="K44" s="79"/>
      <c r="L44" s="82">
        <v>0</v>
      </c>
      <c r="M44" s="81">
        <v>0</v>
      </c>
      <c r="N44" s="36">
        <v>0</v>
      </c>
      <c r="O44" s="510"/>
      <c r="P44" s="103" t="str">
        <f t="shared" si="1"/>
        <v/>
      </c>
    </row>
    <row r="45" spans="1:16">
      <c r="A45" s="76">
        <v>38</v>
      </c>
      <c r="B45" s="77" t="s">
        <v>102</v>
      </c>
      <c r="C45" s="78">
        <v>0</v>
      </c>
      <c r="D45" s="79">
        <v>0</v>
      </c>
      <c r="E45" s="79">
        <f t="shared" si="2"/>
        <v>0</v>
      </c>
      <c r="F45" s="80"/>
      <c r="G45" s="35">
        <v>0</v>
      </c>
      <c r="H45" s="36">
        <v>0</v>
      </c>
      <c r="I45" s="81">
        <v>0</v>
      </c>
      <c r="J45" s="79">
        <v>0</v>
      </c>
      <c r="K45" s="79"/>
      <c r="L45" s="82">
        <v>0</v>
      </c>
      <c r="M45" s="81">
        <v>0</v>
      </c>
      <c r="N45" s="36">
        <v>0</v>
      </c>
      <c r="O45" s="510"/>
      <c r="P45" s="103" t="str">
        <f t="shared" si="1"/>
        <v/>
      </c>
    </row>
    <row r="46" spans="1:16">
      <c r="A46" s="76">
        <v>39</v>
      </c>
      <c r="B46" s="77" t="s">
        <v>103</v>
      </c>
      <c r="C46" s="78">
        <v>0</v>
      </c>
      <c r="D46" s="79">
        <v>0</v>
      </c>
      <c r="E46" s="79">
        <f t="shared" si="2"/>
        <v>0</v>
      </c>
      <c r="F46" s="80"/>
      <c r="G46" s="35">
        <v>0</v>
      </c>
      <c r="H46" s="36">
        <v>0</v>
      </c>
      <c r="I46" s="81">
        <v>0</v>
      </c>
      <c r="J46" s="79">
        <v>0</v>
      </c>
      <c r="K46" s="79"/>
      <c r="L46" s="82">
        <v>0</v>
      </c>
      <c r="M46" s="81">
        <v>0</v>
      </c>
      <c r="N46" s="36">
        <v>0</v>
      </c>
      <c r="O46" s="510"/>
      <c r="P46" s="103" t="str">
        <f t="shared" si="1"/>
        <v/>
      </c>
    </row>
    <row r="47" spans="1:16" ht="13.8" thickBot="1">
      <c r="A47" s="76">
        <v>41</v>
      </c>
      <c r="B47" s="77" t="s">
        <v>104</v>
      </c>
      <c r="C47" s="78">
        <v>0</v>
      </c>
      <c r="D47" s="79">
        <v>0</v>
      </c>
      <c r="E47" s="79">
        <f t="shared" si="2"/>
        <v>0</v>
      </c>
      <c r="F47" s="80"/>
      <c r="G47" s="35">
        <v>0</v>
      </c>
      <c r="H47" s="36">
        <v>0</v>
      </c>
      <c r="I47" s="81">
        <v>0</v>
      </c>
      <c r="J47" s="79">
        <v>0</v>
      </c>
      <c r="K47" s="79"/>
      <c r="L47" s="82">
        <v>0</v>
      </c>
      <c r="M47" s="81">
        <v>0</v>
      </c>
      <c r="N47" s="36">
        <v>0</v>
      </c>
      <c r="O47" s="508"/>
      <c r="P47" s="103" t="str">
        <f t="shared" si="1"/>
        <v/>
      </c>
    </row>
    <row r="48" spans="1:16">
      <c r="A48" s="76">
        <v>51</v>
      </c>
      <c r="B48" s="77" t="s">
        <v>105</v>
      </c>
      <c r="C48" s="85"/>
      <c r="D48" s="86"/>
      <c r="E48" s="86"/>
      <c r="F48" s="87"/>
      <c r="G48" s="107">
        <v>0</v>
      </c>
      <c r="H48" s="36">
        <v>0</v>
      </c>
      <c r="I48" s="35">
        <v>0</v>
      </c>
      <c r="J48" s="79">
        <v>0</v>
      </c>
      <c r="K48" s="79"/>
      <c r="L48" s="82">
        <v>0</v>
      </c>
      <c r="M48" s="81">
        <v>0</v>
      </c>
      <c r="N48" s="36">
        <v>0</v>
      </c>
      <c r="O48" s="505"/>
      <c r="P48" s="103" t="str">
        <f t="shared" si="1"/>
        <v/>
      </c>
    </row>
    <row r="49" spans="1:16">
      <c r="A49" s="76">
        <v>52</v>
      </c>
      <c r="B49" s="77" t="s">
        <v>106</v>
      </c>
      <c r="C49" s="85"/>
      <c r="D49" s="86"/>
      <c r="E49" s="86"/>
      <c r="F49" s="87"/>
      <c r="G49" s="107">
        <v>0</v>
      </c>
      <c r="H49" s="36">
        <v>0</v>
      </c>
      <c r="I49" s="35">
        <v>0</v>
      </c>
      <c r="J49" s="79">
        <v>0</v>
      </c>
      <c r="K49" s="79"/>
      <c r="L49" s="82">
        <v>0</v>
      </c>
      <c r="M49" s="81">
        <v>0</v>
      </c>
      <c r="N49" s="36">
        <v>0</v>
      </c>
      <c r="O49" s="505"/>
      <c r="P49" s="103" t="str">
        <f t="shared" si="1"/>
        <v/>
      </c>
    </row>
    <row r="50" spans="1:16">
      <c r="A50" s="76">
        <v>53</v>
      </c>
      <c r="B50" s="77" t="s">
        <v>107</v>
      </c>
      <c r="C50" s="85"/>
      <c r="D50" s="86"/>
      <c r="E50" s="86"/>
      <c r="F50" s="87"/>
      <c r="G50" s="107">
        <v>0</v>
      </c>
      <c r="H50" s="36">
        <v>0</v>
      </c>
      <c r="I50" s="35">
        <v>0</v>
      </c>
      <c r="J50" s="79">
        <v>0</v>
      </c>
      <c r="K50" s="79"/>
      <c r="L50" s="82">
        <v>0</v>
      </c>
      <c r="M50" s="81">
        <v>0</v>
      </c>
      <c r="N50" s="36">
        <v>0</v>
      </c>
      <c r="O50" s="505"/>
      <c r="P50" s="103" t="str">
        <f t="shared" si="1"/>
        <v/>
      </c>
    </row>
    <row r="51" spans="1:16">
      <c r="A51" s="76">
        <v>54</v>
      </c>
      <c r="B51" s="77" t="s">
        <v>108</v>
      </c>
      <c r="C51" s="85"/>
      <c r="D51" s="86"/>
      <c r="E51" s="86"/>
      <c r="F51" s="87"/>
      <c r="G51" s="107">
        <v>0</v>
      </c>
      <c r="H51" s="36">
        <v>0</v>
      </c>
      <c r="I51" s="35">
        <v>0</v>
      </c>
      <c r="J51" s="79">
        <v>0</v>
      </c>
      <c r="K51" s="79"/>
      <c r="L51" s="82">
        <v>0</v>
      </c>
      <c r="M51" s="81">
        <v>0</v>
      </c>
      <c r="N51" s="36">
        <v>0</v>
      </c>
      <c r="O51" s="505"/>
      <c r="P51" s="103" t="str">
        <f t="shared" si="1"/>
        <v/>
      </c>
    </row>
    <row r="52" spans="1:16">
      <c r="A52" s="76">
        <v>55</v>
      </c>
      <c r="B52" s="77" t="s">
        <v>109</v>
      </c>
      <c r="C52" s="85"/>
      <c r="D52" s="86"/>
      <c r="E52" s="86"/>
      <c r="F52" s="87"/>
      <c r="G52" s="107">
        <v>0</v>
      </c>
      <c r="H52" s="36">
        <v>0</v>
      </c>
      <c r="I52" s="35">
        <v>0</v>
      </c>
      <c r="J52" s="79">
        <v>0</v>
      </c>
      <c r="K52" s="79"/>
      <c r="L52" s="82">
        <v>0</v>
      </c>
      <c r="M52" s="81">
        <v>0</v>
      </c>
      <c r="N52" s="36">
        <v>0</v>
      </c>
      <c r="O52" s="505"/>
      <c r="P52" s="103" t="str">
        <f t="shared" si="1"/>
        <v/>
      </c>
    </row>
    <row r="53" spans="1:16">
      <c r="A53" s="76">
        <v>56</v>
      </c>
      <c r="B53" s="77" t="s">
        <v>110</v>
      </c>
      <c r="C53" s="85"/>
      <c r="D53" s="86"/>
      <c r="E53" s="86"/>
      <c r="F53" s="87"/>
      <c r="G53" s="107">
        <v>0</v>
      </c>
      <c r="H53" s="36">
        <v>0</v>
      </c>
      <c r="I53" s="35">
        <v>0</v>
      </c>
      <c r="J53" s="79">
        <v>0</v>
      </c>
      <c r="K53" s="79"/>
      <c r="L53" s="88"/>
      <c r="M53" s="81">
        <v>0</v>
      </c>
      <c r="N53" s="84"/>
      <c r="O53" s="505"/>
      <c r="P53" s="103" t="str">
        <f t="shared" si="1"/>
        <v/>
      </c>
    </row>
    <row r="54" spans="1:16">
      <c r="A54" s="76">
        <v>57</v>
      </c>
      <c r="B54" s="77" t="s">
        <v>111</v>
      </c>
      <c r="C54" s="85"/>
      <c r="D54" s="86"/>
      <c r="E54" s="86"/>
      <c r="F54" s="87"/>
      <c r="G54" s="107">
        <v>0</v>
      </c>
      <c r="H54" s="36">
        <v>0</v>
      </c>
      <c r="I54" s="35">
        <v>0</v>
      </c>
      <c r="J54" s="79">
        <v>0</v>
      </c>
      <c r="K54" s="79"/>
      <c r="L54" s="88"/>
      <c r="M54" s="81">
        <v>0</v>
      </c>
      <c r="N54" s="84"/>
      <c r="O54" s="505"/>
      <c r="P54" s="103" t="str">
        <f t="shared" si="1"/>
        <v/>
      </c>
    </row>
    <row r="55" spans="1:16" ht="13.8">
      <c r="A55" s="76"/>
      <c r="B55" s="77" t="s">
        <v>112</v>
      </c>
      <c r="C55" s="85"/>
      <c r="D55" s="86"/>
      <c r="E55" s="86"/>
      <c r="F55" s="87"/>
      <c r="G55" s="89"/>
      <c r="H55" s="84"/>
      <c r="I55" s="89"/>
      <c r="J55" s="86"/>
      <c r="K55" s="86"/>
      <c r="L55" s="88"/>
      <c r="M55" s="81">
        <v>0</v>
      </c>
      <c r="N55" s="84"/>
      <c r="O55" s="57"/>
    </row>
    <row r="56" spans="1:16" ht="13.8">
      <c r="A56" s="76"/>
      <c r="B56" s="77" t="s">
        <v>113</v>
      </c>
      <c r="C56" s="85"/>
      <c r="D56" s="86"/>
      <c r="E56" s="86"/>
      <c r="F56" s="87"/>
      <c r="G56" s="89"/>
      <c r="H56" s="84"/>
      <c r="I56" s="89"/>
      <c r="J56" s="86"/>
      <c r="K56" s="86"/>
      <c r="L56" s="88"/>
      <c r="M56" s="81">
        <v>0</v>
      </c>
      <c r="N56" s="84"/>
      <c r="O56" s="57"/>
    </row>
    <row r="57" spans="1:16" ht="14.4" thickBot="1">
      <c r="A57" s="76">
        <v>99</v>
      </c>
      <c r="B57" s="77" t="s">
        <v>114</v>
      </c>
      <c r="C57" s="78">
        <v>0</v>
      </c>
      <c r="D57" s="79">
        <v>0</v>
      </c>
      <c r="E57" s="79">
        <f>SUM(C57:D57)</f>
        <v>0</v>
      </c>
      <c r="F57" s="80"/>
      <c r="G57" s="107">
        <v>0</v>
      </c>
      <c r="H57" s="108">
        <v>0</v>
      </c>
      <c r="I57" s="83"/>
      <c r="J57" s="86"/>
      <c r="K57" s="86"/>
      <c r="L57" s="88"/>
      <c r="M57" s="83"/>
      <c r="N57" s="84"/>
      <c r="O57" s="57"/>
    </row>
    <row r="58" spans="1:16" ht="14.4" thickBot="1">
      <c r="A58" s="90"/>
      <c r="B58" s="91" t="s">
        <v>56</v>
      </c>
      <c r="C58" s="92">
        <f t="shared" ref="C58:J58" si="3">SUM(C8:C57)</f>
        <v>0</v>
      </c>
      <c r="D58" s="93">
        <f t="shared" si="3"/>
        <v>0</v>
      </c>
      <c r="E58" s="93">
        <f t="shared" si="3"/>
        <v>0</v>
      </c>
      <c r="F58" s="94"/>
      <c r="G58" s="43">
        <f>SUM(G8:G57)</f>
        <v>0</v>
      </c>
      <c r="H58" s="95">
        <f t="shared" si="3"/>
        <v>0</v>
      </c>
      <c r="I58" s="42">
        <f t="shared" si="3"/>
        <v>0</v>
      </c>
      <c r="J58" s="93">
        <f t="shared" si="3"/>
        <v>0</v>
      </c>
      <c r="K58" s="93"/>
      <c r="L58" s="96">
        <f>SUM(L8:L57)</f>
        <v>0</v>
      </c>
      <c r="M58" s="42">
        <f>SUM(M8:M57)</f>
        <v>0</v>
      </c>
      <c r="N58" s="95">
        <f>SUM(N8:N57)</f>
        <v>0</v>
      </c>
      <c r="O58" s="57"/>
    </row>
    <row r="59" spans="1:16" ht="7.5" customHeight="1">
      <c r="C59" s="15"/>
      <c r="D59" s="15"/>
      <c r="E59" s="15"/>
      <c r="F59" s="15"/>
      <c r="G59" s="15"/>
      <c r="H59" s="15"/>
      <c r="O59" s="57"/>
    </row>
    <row r="60" spans="1:16" ht="13.8">
      <c r="D60" s="15"/>
      <c r="E60" s="15"/>
      <c r="F60" s="15"/>
      <c r="G60" s="15"/>
      <c r="H60" s="15"/>
      <c r="J60" s="15"/>
      <c r="K60" s="15"/>
      <c r="M60" s="15" t="s">
        <v>492</v>
      </c>
      <c r="N60" s="15"/>
      <c r="O60" s="57"/>
    </row>
    <row r="61" spans="1:16" ht="13.8">
      <c r="D61" s="15"/>
      <c r="E61" s="15"/>
      <c r="F61" s="15"/>
      <c r="G61" s="15"/>
      <c r="H61" s="15"/>
      <c r="I61" s="15"/>
      <c r="J61" s="15"/>
      <c r="K61" s="15"/>
      <c r="M61" s="447" t="s">
        <v>465</v>
      </c>
      <c r="N61" s="57"/>
    </row>
    <row r="62" spans="1:16">
      <c r="D62" s="15"/>
      <c r="E62" s="15"/>
      <c r="F62" s="15"/>
      <c r="G62" s="15"/>
      <c r="H62" s="15"/>
      <c r="I62" s="15"/>
      <c r="J62" s="15"/>
      <c r="K62" s="15"/>
      <c r="L62" s="15"/>
    </row>
    <row r="63" spans="1:16" ht="13.8">
      <c r="A63" s="101" t="s">
        <v>115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446"/>
      <c r="O63" s="57"/>
    </row>
    <row r="64" spans="1:16" ht="13.8">
      <c r="B64" s="15" t="s">
        <v>487</v>
      </c>
      <c r="D64" s="15"/>
      <c r="E64" s="15"/>
      <c r="F64" s="15"/>
      <c r="G64" s="15"/>
      <c r="H64" s="15"/>
      <c r="J64" s="15"/>
      <c r="K64" s="15"/>
      <c r="L64" s="15"/>
      <c r="M64" s="15"/>
      <c r="N64" s="15"/>
      <c r="O64" s="57"/>
    </row>
    <row r="65" spans="2:15" ht="13.8">
      <c r="B65" s="15" t="s">
        <v>488</v>
      </c>
      <c r="O65" s="57"/>
    </row>
    <row r="66" spans="2:15" ht="13.8">
      <c r="B66" s="16" t="s">
        <v>496</v>
      </c>
      <c r="O66" s="57"/>
    </row>
    <row r="67" spans="2:15" ht="13.8">
      <c r="B67" s="16" t="s">
        <v>139</v>
      </c>
      <c r="O67" s="57"/>
    </row>
    <row r="68" spans="2:15" ht="13.8">
      <c r="B68" s="16" t="s">
        <v>116</v>
      </c>
      <c r="O68" s="57"/>
    </row>
    <row r="69" spans="2:15">
      <c r="B69" s="15" t="s">
        <v>489</v>
      </c>
    </row>
    <row r="70" spans="2:15">
      <c r="B70" s="16" t="s">
        <v>464</v>
      </c>
    </row>
  </sheetData>
  <mergeCells count="2">
    <mergeCell ref="I6:J6"/>
    <mergeCell ref="M5:O5"/>
  </mergeCells>
  <phoneticPr fontId="0" type="noConversion"/>
  <hyperlinks>
    <hyperlink ref="M61" r:id="rId1"/>
  </hyperlinks>
  <pageMargins left="0.28999999999999998" right="7.874015748031496E-2" top="0.39370078740157483" bottom="0.15748031496062992" header="0.15748031496062992" footer="0.19685039370078741"/>
  <pageSetup paperSize="9" scale="63" orientation="landscape" r:id="rId2"/>
  <headerFooter alignWithMargins="0">
    <oddHeader>&amp;RPrinted &amp;T on &amp;D</oddHead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Title_Page</vt:lpstr>
      <vt:lpstr>Check_Document_1</vt:lpstr>
      <vt:lpstr>2003_2002_Difference</vt:lpstr>
      <vt:lpstr>Calculation_of_HEMS</vt:lpstr>
      <vt:lpstr>Check_Document_2</vt:lpstr>
      <vt:lpstr>CCANALYSIS</vt:lpstr>
      <vt:lpstr>'2003_2002_Difference'!Print_Area</vt:lpstr>
      <vt:lpstr>Calculation_of_HEMS!Print_Area</vt:lpstr>
      <vt:lpstr>CCANALYSIS!Print_Area</vt:lpstr>
      <vt:lpstr>Check_Document_1!Print_Area</vt:lpstr>
      <vt:lpstr>Check_Document_2!Print_Area</vt:lpstr>
      <vt:lpstr>Title_Page!Print_Area</vt:lpstr>
      <vt:lpstr>Check_Document_1!Print_Titles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2003-10-10T15:10:41Z</cp:lastPrinted>
  <dcterms:created xsi:type="dcterms:W3CDTF">1999-11-16T10:31:05Z</dcterms:created>
  <dcterms:modified xsi:type="dcterms:W3CDTF">2024-02-03T22:12:35Z</dcterms:modified>
</cp:coreProperties>
</file>