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02992E4-1007-4561-B2DC-D2CEBC9CB511}" xr6:coauthVersionLast="47" xr6:coauthVersionMax="47" xr10:uidLastSave="{00000000-0000-0000-0000-000000000000}"/>
  <bookViews>
    <workbookView xWindow="3348" yWindow="3348" windowWidth="17280" windowHeight="8880"/>
  </bookViews>
  <sheets>
    <sheet name="Page40" sheetId="1" r:id="rId1"/>
    <sheet name="Page41" sheetId="2" r:id="rId2"/>
    <sheet name="Page42" sheetId="4" r:id="rId3"/>
    <sheet name="Page43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I20" i="3"/>
  <c r="J20" i="3" s="1"/>
  <c r="J24" i="3" s="1"/>
  <c r="J21" i="3"/>
  <c r="J22" i="3"/>
  <c r="J23" i="3"/>
  <c r="I24" i="3"/>
  <c r="I12" i="3" s="1"/>
  <c r="I17" i="3" s="1"/>
  <c r="H24" i="3"/>
  <c r="G24" i="3"/>
  <c r="F24" i="3"/>
  <c r="E24" i="3"/>
  <c r="D24" i="3"/>
  <c r="C24" i="3"/>
  <c r="C12" i="3"/>
  <c r="D12" i="3"/>
  <c r="D17" i="3" s="1"/>
  <c r="E12" i="3"/>
  <c r="F12" i="3"/>
  <c r="G12" i="3"/>
  <c r="H12" i="3"/>
  <c r="I13" i="3"/>
  <c r="J13" i="3"/>
  <c r="I14" i="3"/>
  <c r="J14" i="3" s="1"/>
  <c r="J15" i="3"/>
  <c r="J16" i="3"/>
  <c r="H17" i="3"/>
  <c r="G17" i="3"/>
  <c r="F17" i="3"/>
  <c r="E17" i="3"/>
  <c r="C17" i="3"/>
  <c r="F60" i="4"/>
  <c r="D56" i="4"/>
  <c r="D52" i="4"/>
  <c r="D36" i="4"/>
  <c r="D40" i="4" s="1"/>
  <c r="D47" i="4" s="1"/>
  <c r="D58" i="4" s="1"/>
  <c r="D60" i="4" s="1"/>
  <c r="D18" i="4"/>
  <c r="D24" i="4" s="1"/>
  <c r="D25" i="4" s="1"/>
  <c r="D19" i="4"/>
  <c r="D23" i="4"/>
  <c r="D11" i="4"/>
  <c r="D16" i="4"/>
  <c r="F56" i="4"/>
  <c r="F52" i="4"/>
  <c r="F40" i="4"/>
  <c r="F47" i="4"/>
  <c r="F18" i="4"/>
  <c r="F24" i="4" s="1"/>
  <c r="F25" i="4" s="1"/>
  <c r="F19" i="4"/>
  <c r="F22" i="4"/>
  <c r="F16" i="4"/>
  <c r="F52" i="2"/>
  <c r="F18" i="2"/>
  <c r="F19" i="2"/>
  <c r="F30" i="2" s="1"/>
  <c r="F32" i="2" s="1"/>
  <c r="F20" i="2"/>
  <c r="F21" i="2"/>
  <c r="F22" i="2"/>
  <c r="F23" i="2"/>
  <c r="F24" i="2"/>
  <c r="F25" i="2"/>
  <c r="F26" i="2"/>
  <c r="F27" i="2"/>
  <c r="F28" i="2"/>
  <c r="F29" i="2"/>
  <c r="F10" i="2"/>
  <c r="F11" i="2"/>
  <c r="F12" i="2"/>
  <c r="F13" i="2"/>
  <c r="F15" i="2" s="1"/>
  <c r="F14" i="2"/>
  <c r="F35" i="2"/>
  <c r="F38" i="2" s="1"/>
  <c r="F46" i="2" s="1"/>
  <c r="F36" i="2"/>
  <c r="F37" i="2"/>
  <c r="F41" i="2"/>
  <c r="F44" i="2" s="1"/>
  <c r="F42" i="2"/>
  <c r="F43" i="2"/>
  <c r="D52" i="2"/>
  <c r="D18" i="2"/>
  <c r="D30" i="2" s="1"/>
  <c r="D19" i="2"/>
  <c r="D20" i="2"/>
  <c r="D21" i="2"/>
  <c r="D22" i="2"/>
  <c r="D23" i="2"/>
  <c r="D24" i="2"/>
  <c r="D25" i="2"/>
  <c r="D26" i="2"/>
  <c r="D27" i="2"/>
  <c r="D28" i="2"/>
  <c r="D29" i="2"/>
  <c r="D10" i="2"/>
  <c r="D11" i="2"/>
  <c r="D12" i="2"/>
  <c r="D15" i="2" s="1"/>
  <c r="D13" i="2"/>
  <c r="D14" i="2"/>
  <c r="D35" i="2"/>
  <c r="D36" i="2"/>
  <c r="D37" i="2"/>
  <c r="D38" i="2"/>
  <c r="D46" i="2" s="1"/>
  <c r="D41" i="2"/>
  <c r="D44" i="2" s="1"/>
  <c r="D42" i="2"/>
  <c r="D43" i="2"/>
  <c r="J22" i="1"/>
  <c r="J27" i="1" s="1"/>
  <c r="J23" i="1"/>
  <c r="J25" i="1"/>
  <c r="J29" i="1"/>
  <c r="J31" i="1" s="1"/>
  <c r="J33" i="1"/>
  <c r="J12" i="1"/>
  <c r="J19" i="1" s="1"/>
  <c r="J15" i="1"/>
  <c r="J17" i="1"/>
  <c r="J43" i="1"/>
  <c r="G23" i="1"/>
  <c r="G27" i="1"/>
  <c r="G35" i="1" s="1"/>
  <c r="G31" i="1"/>
  <c r="G14" i="1"/>
  <c r="G19" i="1"/>
  <c r="G43" i="1"/>
  <c r="D22" i="1"/>
  <c r="D27" i="1" s="1"/>
  <c r="D35" i="1" s="1"/>
  <c r="D25" i="1"/>
  <c r="D29" i="1"/>
  <c r="D31" i="1"/>
  <c r="D33" i="1"/>
  <c r="D12" i="1"/>
  <c r="D19" i="1" s="1"/>
  <c r="D15" i="1"/>
  <c r="D17" i="1"/>
  <c r="D18" i="1"/>
  <c r="D43" i="1"/>
  <c r="H12" i="1"/>
  <c r="H19" i="1" s="1"/>
  <c r="H13" i="1"/>
  <c r="H14" i="1"/>
  <c r="H15" i="1"/>
  <c r="H16" i="1"/>
  <c r="H17" i="1"/>
  <c r="H18" i="1"/>
  <c r="D32" i="2" l="1"/>
  <c r="D48" i="2" s="1"/>
  <c r="E26" i="1"/>
  <c r="E29" i="1"/>
  <c r="D37" i="1"/>
  <c r="D45" i="1" s="1"/>
  <c r="E30" i="1"/>
  <c r="E25" i="1"/>
  <c r="E23" i="1"/>
  <c r="E33" i="1"/>
  <c r="E24" i="1"/>
  <c r="D51" i="2"/>
  <c r="D53" i="2" s="1"/>
  <c r="J12" i="3"/>
  <c r="J17" i="3" s="1"/>
  <c r="E15" i="1"/>
  <c r="K13" i="1"/>
  <c r="K14" i="1"/>
  <c r="K15" i="1"/>
  <c r="K16" i="1"/>
  <c r="K17" i="1"/>
  <c r="K18" i="1"/>
  <c r="K12" i="1"/>
  <c r="J35" i="1"/>
  <c r="E13" i="1"/>
  <c r="E14" i="1"/>
  <c r="E16" i="1"/>
  <c r="E12" i="1"/>
  <c r="E19" i="1" s="1"/>
  <c r="E17" i="1"/>
  <c r="E18" i="1"/>
  <c r="F48" i="2"/>
  <c r="F51" i="2" s="1"/>
  <c r="F53" i="2" s="1"/>
  <c r="H30" i="1"/>
  <c r="H22" i="1"/>
  <c r="H23" i="1"/>
  <c r="H33" i="1"/>
  <c r="H24" i="1"/>
  <c r="G37" i="1"/>
  <c r="G45" i="1" s="1"/>
  <c r="H25" i="1"/>
  <c r="H29" i="1"/>
  <c r="H31" i="1" s="1"/>
  <c r="H26" i="1"/>
  <c r="K22" i="1"/>
  <c r="E22" i="1"/>
  <c r="E27" i="1" s="1"/>
  <c r="H27" i="1" l="1"/>
  <c r="H35" i="1" s="1"/>
  <c r="K24" i="1"/>
  <c r="K25" i="1"/>
  <c r="K26" i="1"/>
  <c r="J37" i="1"/>
  <c r="J45" i="1" s="1"/>
  <c r="K23" i="1"/>
  <c r="K27" i="1" s="1"/>
  <c r="K35" i="1" s="1"/>
  <c r="K29" i="1"/>
  <c r="K31" i="1" s="1"/>
  <c r="K30" i="1"/>
  <c r="K33" i="1"/>
  <c r="K19" i="1"/>
  <c r="E31" i="1"/>
  <c r="E35" i="1"/>
</calcChain>
</file>

<file path=xl/sharedStrings.xml><?xml version="1.0" encoding="utf-8"?>
<sst xmlns="http://schemas.openxmlformats.org/spreadsheetml/2006/main" count="188" uniqueCount="150">
  <si>
    <t>BREAK O'DAY COUNCIL</t>
  </si>
  <si>
    <t>NOTES TO AND FORMING PART OF THE FINANCIAL STATEMENTS</t>
  </si>
  <si>
    <t>Statement of Financial Performance</t>
  </si>
  <si>
    <t>For the Year Ended 30 June, 2003</t>
  </si>
  <si>
    <t>Notes</t>
  </si>
  <si>
    <t>Actual</t>
  </si>
  <si>
    <t>Budget</t>
  </si>
  <si>
    <t>2002/03</t>
  </si>
  <si>
    <t>2001/02</t>
  </si>
  <si>
    <t>Expenses from ordinary activities</t>
  </si>
  <si>
    <t>$</t>
  </si>
  <si>
    <t>%</t>
  </si>
  <si>
    <t xml:space="preserve">  Employee costs</t>
  </si>
  <si>
    <t xml:space="preserve">  Materials and contracts</t>
  </si>
  <si>
    <t xml:space="preserve">  Government fees and levies</t>
  </si>
  <si>
    <t xml:space="preserve">  Depreciation and amortisation</t>
  </si>
  <si>
    <t xml:space="preserve">  Other</t>
  </si>
  <si>
    <t>Total expenses from ordinary activities</t>
  </si>
  <si>
    <t>2(a)</t>
  </si>
  <si>
    <t>Revenues from ordinary activities</t>
  </si>
  <si>
    <t xml:space="preserve">  Rates</t>
  </si>
  <si>
    <t xml:space="preserve">  User charges</t>
  </si>
  <si>
    <t xml:space="preserve">  Interest</t>
  </si>
  <si>
    <t xml:space="preserve">  Reimbursements of expenses incurred</t>
  </si>
  <si>
    <t>Government Grants</t>
  </si>
  <si>
    <t>Donations</t>
  </si>
  <si>
    <t>Profit (Loss) on disposal of assets</t>
  </si>
  <si>
    <t>Total revenues from ordinary activities</t>
  </si>
  <si>
    <t>Change in net assets from ordinary activities</t>
  </si>
  <si>
    <t>Increase (decrease) in accumulated surplus</t>
  </si>
  <si>
    <t>on adoption of a new standard</t>
  </si>
  <si>
    <t>recognised directly in equity</t>
  </si>
  <si>
    <t>Statement of Financial Position</t>
  </si>
  <si>
    <t>As at 30 June, 2003</t>
  </si>
  <si>
    <t>Current Assets</t>
  </si>
  <si>
    <t xml:space="preserve">  Receivables</t>
  </si>
  <si>
    <t xml:space="preserve">  Land held for resale</t>
  </si>
  <si>
    <t xml:space="preserve">  Investments</t>
  </si>
  <si>
    <t>Total Current Assets</t>
  </si>
  <si>
    <t>2(b)</t>
  </si>
  <si>
    <t>Non-Current Assets</t>
  </si>
  <si>
    <t xml:space="preserve">  Land</t>
  </si>
  <si>
    <t xml:space="preserve">  Land improvements</t>
  </si>
  <si>
    <t xml:space="preserve">  Buildings</t>
  </si>
  <si>
    <t xml:space="preserve">  Roads</t>
  </si>
  <si>
    <t xml:space="preserve">  Bridges</t>
  </si>
  <si>
    <t xml:space="preserve">  Plant and equipment</t>
  </si>
  <si>
    <t xml:space="preserve">  Water</t>
  </si>
  <si>
    <t xml:space="preserve">  Sewerage</t>
  </si>
  <si>
    <t xml:space="preserve">  Stormwater</t>
  </si>
  <si>
    <t xml:space="preserve">  Furniture and fittings</t>
  </si>
  <si>
    <t xml:space="preserve">  Work in progress</t>
  </si>
  <si>
    <t xml:space="preserve">  Municipal property revaluation</t>
  </si>
  <si>
    <t>Total Non-Current Assets</t>
  </si>
  <si>
    <t>Total Assets</t>
  </si>
  <si>
    <t>Current Liabilities</t>
  </si>
  <si>
    <t xml:space="preserve">  Payables</t>
  </si>
  <si>
    <t xml:space="preserve">  Provisions</t>
  </si>
  <si>
    <t>Total Current Liabilities</t>
  </si>
  <si>
    <t>Non-Current Liabilities</t>
  </si>
  <si>
    <t>Total Non-Current Liabilities</t>
  </si>
  <si>
    <t>Total Liabilities</t>
  </si>
  <si>
    <t>Net Assets</t>
  </si>
  <si>
    <t>Equity</t>
  </si>
  <si>
    <t xml:space="preserve">  Accumulated surplus</t>
  </si>
  <si>
    <t xml:space="preserve">  Reserves</t>
  </si>
  <si>
    <t>Total Equity</t>
  </si>
  <si>
    <t>Statement of Cash Flows</t>
  </si>
  <si>
    <t>Actual 2002/03</t>
  </si>
  <si>
    <t>Actual 2001/02</t>
  </si>
  <si>
    <t>Cash flows from operating activities</t>
  </si>
  <si>
    <t>Inflows (Outflows)</t>
  </si>
  <si>
    <t xml:space="preserve">  Payments</t>
  </si>
  <si>
    <t xml:space="preserve">    Employee costs</t>
  </si>
  <si>
    <t xml:space="preserve">    Materials and contracts</t>
  </si>
  <si>
    <t xml:space="preserve">    Government fees and levies</t>
  </si>
  <si>
    <t xml:space="preserve">    Energy costs</t>
  </si>
  <si>
    <t xml:space="preserve">    Interest and cost of finance paid</t>
  </si>
  <si>
    <t xml:space="preserve">    Other expenses</t>
  </si>
  <si>
    <t xml:space="preserve">  Receipts</t>
  </si>
  <si>
    <t xml:space="preserve">    Municipal rate</t>
  </si>
  <si>
    <t xml:space="preserve">    User charges</t>
  </si>
  <si>
    <t xml:space="preserve">    Interest</t>
  </si>
  <si>
    <t xml:space="preserve">    Donations</t>
  </si>
  <si>
    <t xml:space="preserve">    Reimbursements of expenses</t>
  </si>
  <si>
    <t xml:space="preserve">    Other revenue</t>
  </si>
  <si>
    <t>Net Cash from/(used) in operating activities</t>
  </si>
  <si>
    <t>Cash flows from investing activities</t>
  </si>
  <si>
    <t xml:space="preserve">  Payments for:</t>
  </si>
  <si>
    <t xml:space="preserve">    Work in progress</t>
  </si>
  <si>
    <t xml:space="preserve">    Land</t>
  </si>
  <si>
    <t xml:space="preserve">    Land improvements</t>
  </si>
  <si>
    <t xml:space="preserve">    Buildings</t>
  </si>
  <si>
    <t xml:space="preserve">    Road pavements</t>
  </si>
  <si>
    <t xml:space="preserve">    Bridges</t>
  </si>
  <si>
    <t xml:space="preserve">    Water</t>
  </si>
  <si>
    <t xml:space="preserve">    Sewerage</t>
  </si>
  <si>
    <t xml:space="preserve">    Stormwater</t>
  </si>
  <si>
    <t xml:space="preserve">    Plant and equipment</t>
  </si>
  <si>
    <t xml:space="preserve">    Furniture and fittings</t>
  </si>
  <si>
    <t xml:space="preserve">  Proceeds from:</t>
  </si>
  <si>
    <t xml:space="preserve">    Movements in investing activities</t>
  </si>
  <si>
    <t xml:space="preserve">    Sale of developed land</t>
  </si>
  <si>
    <t xml:space="preserve">    Sale of assets</t>
  </si>
  <si>
    <t xml:space="preserve">    Loans and advances</t>
  </si>
  <si>
    <t>Net cash from/(used) in investing activities</t>
  </si>
  <si>
    <t>Cash flows from financing activities</t>
  </si>
  <si>
    <t xml:space="preserve">    Proceeds from borrowings</t>
  </si>
  <si>
    <t xml:space="preserve">    Repayment of borrowings</t>
  </si>
  <si>
    <t>Net cash (used)/provided by financing activities</t>
  </si>
  <si>
    <t>Cash flows from government funding</t>
  </si>
  <si>
    <t xml:space="preserve">    Government grants</t>
  </si>
  <si>
    <t>Net cash provided by government funding</t>
  </si>
  <si>
    <t>Net increase (decrease) in cash held</t>
  </si>
  <si>
    <t xml:space="preserve">    Cash at the beginning of the financial year</t>
  </si>
  <si>
    <t>Financing arrangements</t>
  </si>
  <si>
    <t>Facilities and</t>
  </si>
  <si>
    <t>Other</t>
  </si>
  <si>
    <t>Transport and</t>
  </si>
  <si>
    <t>Water and</t>
  </si>
  <si>
    <t>Asset</t>
  </si>
  <si>
    <t>Accumulated</t>
  </si>
  <si>
    <t>Total</t>
  </si>
  <si>
    <t>Properties</t>
  </si>
  <si>
    <t>Not</t>
  </si>
  <si>
    <t>Communications</t>
  </si>
  <si>
    <t>Water Reuse</t>
  </si>
  <si>
    <t>Revaluation</t>
  </si>
  <si>
    <t>Recognition</t>
  </si>
  <si>
    <t>Surplus</t>
  </si>
  <si>
    <t>Attributed</t>
  </si>
  <si>
    <t>Reserve</t>
  </si>
  <si>
    <t>Balance at the beginning of financial year</t>
  </si>
  <si>
    <t>Increase in assets resulting from operations</t>
  </si>
  <si>
    <t>Adjustments recognised directly in equity</t>
  </si>
  <si>
    <t>Transfers to reserves</t>
  </si>
  <si>
    <t>Transfers from reserves</t>
  </si>
  <si>
    <t>Balance at the end of the financial year</t>
  </si>
  <si>
    <t>Assets recognised during the period</t>
  </si>
  <si>
    <t xml:space="preserve">       BREAK O'DAY COUNCIL</t>
  </si>
  <si>
    <t xml:space="preserve">       NOTES TO AND FORMING PART OF THE FINANCIAL STATEMENTS</t>
  </si>
  <si>
    <t xml:space="preserve">  Energy costs</t>
  </si>
  <si>
    <t xml:space="preserve">  Borrowing costs</t>
  </si>
  <si>
    <t>Statement of Changes in Equity for the Year Ended 30 June 2003</t>
  </si>
  <si>
    <t>Asset revaluation adjustments</t>
  </si>
  <si>
    <t>Total revenues, expenses &amp; valuation adjustments</t>
  </si>
  <si>
    <t>Total changes in equity</t>
  </si>
  <si>
    <t xml:space="preserve">  Cash assets</t>
  </si>
  <si>
    <t xml:space="preserve">  Interest bearing liabilities</t>
  </si>
  <si>
    <t>Cash at the end of the 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</si>
</sst>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2"/>
      <name val="Arial Narrow"/>
      <family val="2"/>
    </font>
    <font>
      <sz val="10"/>
      <name val="Arial Narrow"/>
      <family val="2"/>
    </font>
    <font>
      <sz val="4"/>
      <name val="Arial"/>
    </font>
    <font>
      <b/>
      <u/>
      <sz val="16"/>
      <name val="Arial Narrow"/>
      <family val="2"/>
    </font>
    <font>
      <b/>
      <sz val="8"/>
      <name val="Arial Narrow"/>
    </font>
    <font>
      <b/>
      <sz val="12"/>
      <name val="Arial Narrow"/>
      <family val="2"/>
    </font>
    <font>
      <b/>
      <sz val="4"/>
      <name val="Arial Narrow"/>
      <family val="2"/>
    </font>
    <font>
      <sz val="8"/>
      <name val="Arial Narrow"/>
      <family val="2"/>
    </font>
    <font>
      <sz val="6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6"/>
      <name val="Arial Narrow"/>
      <family val="2"/>
    </font>
    <font>
      <sz val="4"/>
      <name val="Arial Narrow"/>
      <family val="2"/>
    </font>
    <font>
      <sz val="6"/>
      <name val="Arial"/>
    </font>
    <font>
      <b/>
      <u/>
      <sz val="10"/>
      <name val="Arial Narrow"/>
      <family val="2"/>
    </font>
    <font>
      <b/>
      <u/>
      <sz val="14"/>
      <name val="Arial Narrow"/>
      <family val="2"/>
    </font>
    <font>
      <sz val="6"/>
      <name val="Arial Narrow"/>
    </font>
    <font>
      <b/>
      <sz val="10"/>
      <name val="Arial Narrow"/>
    </font>
    <font>
      <sz val="8"/>
      <name val="Arial Narrow"/>
    </font>
    <font>
      <sz val="8"/>
      <name val="Arial"/>
    </font>
    <font>
      <b/>
      <sz val="9"/>
      <name val="Arial Narrow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172" fontId="3" fillId="0" borderId="2" xfId="1" applyNumberFormat="1" applyFont="1" applyBorder="1"/>
    <xf numFmtId="0" fontId="0" fillId="0" borderId="2" xfId="0" applyBorder="1"/>
    <xf numFmtId="172" fontId="3" fillId="0" borderId="2" xfId="1" applyNumberFormat="1" applyFont="1" applyFill="1" applyBorder="1"/>
    <xf numFmtId="0" fontId="4" fillId="0" borderId="2" xfId="0" applyFont="1" applyBorder="1"/>
    <xf numFmtId="172" fontId="0" fillId="0" borderId="2" xfId="0" applyNumberFormat="1" applyBorder="1"/>
    <xf numFmtId="0" fontId="4" fillId="0" borderId="3" xfId="0" applyFont="1" applyBorder="1"/>
    <xf numFmtId="0" fontId="2" fillId="0" borderId="4" xfId="0" applyFont="1" applyBorder="1" applyAlignment="1">
      <alignment horizontal="left"/>
    </xf>
    <xf numFmtId="0" fontId="3" fillId="0" borderId="5" xfId="0" applyFont="1" applyBorder="1"/>
    <xf numFmtId="172" fontId="3" fillId="0" borderId="5" xfId="1" applyNumberFormat="1" applyFont="1" applyBorder="1"/>
    <xf numFmtId="0" fontId="0" fillId="0" borderId="5" xfId="0" applyBorder="1"/>
    <xf numFmtId="172" fontId="3" fillId="0" borderId="5" xfId="1" applyNumberFormat="1" applyFont="1" applyFill="1" applyBorder="1"/>
    <xf numFmtId="0" fontId="4" fillId="0" borderId="5" xfId="0" applyFont="1" applyBorder="1"/>
    <xf numFmtId="172" fontId="0" fillId="0" borderId="5" xfId="0" applyNumberFormat="1" applyBorder="1"/>
    <xf numFmtId="0" fontId="4" fillId="0" borderId="6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172" fontId="3" fillId="0" borderId="0" xfId="1" applyNumberFormat="1" applyFont="1" applyBorder="1"/>
    <xf numFmtId="0" fontId="0" fillId="0" borderId="0" xfId="0" applyBorder="1"/>
    <xf numFmtId="172" fontId="3" fillId="0" borderId="0" xfId="1" applyNumberFormat="1" applyFont="1" applyFill="1" applyBorder="1"/>
    <xf numFmtId="0" fontId="4" fillId="0" borderId="0" xfId="0" applyFont="1" applyBorder="1"/>
    <xf numFmtId="172" fontId="0" fillId="0" borderId="0" xfId="0" applyNumberFormat="1" applyBorder="1"/>
    <xf numFmtId="172" fontId="0" fillId="0" borderId="0" xfId="0" applyNumberFormat="1"/>
    <xf numFmtId="0" fontId="4" fillId="0" borderId="0" xfId="0" applyFont="1"/>
    <xf numFmtId="0" fontId="0" fillId="0" borderId="0" xfId="0" applyFill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172" fontId="7" fillId="0" borderId="0" xfId="1" applyNumberFormat="1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172" fontId="7" fillId="0" borderId="0" xfId="1" applyNumberFormat="1" applyFont="1" applyFill="1" applyAlignment="1">
      <alignment horizontal="centerContinuous"/>
    </xf>
    <xf numFmtId="0" fontId="9" fillId="0" borderId="0" xfId="0" applyFont="1" applyAlignment="1">
      <alignment horizontal="center"/>
    </xf>
    <xf numFmtId="49" fontId="7" fillId="0" borderId="0" xfId="1" applyNumberFormat="1" applyFont="1" applyAlignment="1">
      <alignment horizontal="centerContinuous"/>
    </xf>
    <xf numFmtId="49" fontId="7" fillId="0" borderId="0" xfId="1" applyNumberFormat="1" applyFont="1" applyFill="1" applyAlignment="1">
      <alignment horizontal="centerContinuous"/>
    </xf>
    <xf numFmtId="0" fontId="7" fillId="0" borderId="0" xfId="0" applyFont="1"/>
    <xf numFmtId="172" fontId="7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72" fontId="7" fillId="0" borderId="0" xfId="1" applyNumberFormat="1" applyFont="1" applyFill="1" applyAlignment="1">
      <alignment horizontal="center"/>
    </xf>
    <xf numFmtId="172" fontId="3" fillId="0" borderId="0" xfId="1" applyNumberFormat="1" applyFont="1"/>
    <xf numFmtId="10" fontId="10" fillId="0" borderId="0" xfId="2" applyNumberFormat="1" applyFont="1"/>
    <xf numFmtId="10" fontId="3" fillId="0" borderId="0" xfId="2" applyNumberFormat="1" applyFont="1" applyBorder="1"/>
    <xf numFmtId="172" fontId="3" fillId="0" borderId="0" xfId="1" applyNumberFormat="1" applyFont="1" applyFill="1"/>
    <xf numFmtId="10" fontId="10" fillId="0" borderId="0" xfId="2" applyNumberFormat="1" applyFont="1" applyBorder="1"/>
    <xf numFmtId="10" fontId="3" fillId="0" borderId="0" xfId="2" quotePrefix="1" applyNumberFormat="1" applyFont="1" applyBorder="1"/>
    <xf numFmtId="10" fontId="10" fillId="0" borderId="0" xfId="2" quotePrefix="1" applyNumberFormat="1" applyFont="1" applyBorder="1"/>
    <xf numFmtId="172" fontId="3" fillId="0" borderId="7" xfId="1" applyNumberFormat="1" applyFont="1" applyBorder="1"/>
    <xf numFmtId="10" fontId="10" fillId="0" borderId="7" xfId="2" applyNumberFormat="1" applyFont="1" applyFill="1" applyBorder="1"/>
    <xf numFmtId="172" fontId="3" fillId="0" borderId="7" xfId="1" applyNumberFormat="1" applyFont="1" applyFill="1" applyBorder="1"/>
    <xf numFmtId="9" fontId="10" fillId="0" borderId="7" xfId="2" applyFont="1" applyBorder="1"/>
    <xf numFmtId="10" fontId="10" fillId="0" borderId="7" xfId="2" applyNumberFormat="1" applyFont="1" applyBorder="1"/>
    <xf numFmtId="0" fontId="10" fillId="0" borderId="0" xfId="0" applyFont="1"/>
    <xf numFmtId="0" fontId="3" fillId="0" borderId="0" xfId="0" applyFont="1" applyFill="1"/>
    <xf numFmtId="0" fontId="10" fillId="0" borderId="0" xfId="0" applyFont="1" applyBorder="1"/>
    <xf numFmtId="172" fontId="3" fillId="0" borderId="0" xfId="2" applyNumberFormat="1" applyFont="1" applyFill="1"/>
    <xf numFmtId="172" fontId="3" fillId="0" borderId="0" xfId="0" applyNumberFormat="1" applyFont="1"/>
    <xf numFmtId="0" fontId="3" fillId="0" borderId="0" xfId="0" quotePrefix="1" applyFont="1" applyAlignment="1">
      <alignment horizontal="left"/>
    </xf>
    <xf numFmtId="0" fontId="11" fillId="0" borderId="0" xfId="0" applyFont="1"/>
    <xf numFmtId="10" fontId="10" fillId="0" borderId="7" xfId="0" applyNumberFormat="1" applyFont="1" applyFill="1" applyBorder="1"/>
    <xf numFmtId="10" fontId="3" fillId="0" borderId="0" xfId="0" applyNumberFormat="1" applyFont="1" applyBorder="1"/>
    <xf numFmtId="10" fontId="10" fillId="0" borderId="7" xfId="0" applyNumberFormat="1" applyFont="1" applyBorder="1"/>
    <xf numFmtId="10" fontId="10" fillId="0" borderId="0" xfId="0" applyNumberFormat="1" applyFont="1" applyBorder="1"/>
    <xf numFmtId="172" fontId="10" fillId="0" borderId="0" xfId="0" applyNumberFormat="1" applyFont="1" applyBorder="1"/>
    <xf numFmtId="172" fontId="12" fillId="0" borderId="0" xfId="1" applyNumberFormat="1" applyFont="1" applyBorder="1"/>
    <xf numFmtId="172" fontId="12" fillId="0" borderId="0" xfId="1" applyNumberFormat="1" applyFont="1" applyFill="1" applyBorder="1"/>
    <xf numFmtId="172" fontId="13" fillId="0" borderId="0" xfId="1" applyNumberFormat="1" applyFont="1" applyBorder="1"/>
    <xf numFmtId="10" fontId="14" fillId="0" borderId="0" xfId="0" applyNumberFormat="1" applyFont="1" applyBorder="1"/>
    <xf numFmtId="172" fontId="3" fillId="0" borderId="0" xfId="0" applyNumberFormat="1" applyFont="1" applyBorder="1"/>
    <xf numFmtId="172" fontId="3" fillId="0" borderId="0" xfId="0" applyNumberFormat="1" applyFont="1" applyFill="1" applyBorder="1"/>
    <xf numFmtId="0" fontId="14" fillId="0" borderId="0" xfId="0" applyFont="1"/>
    <xf numFmtId="0" fontId="12" fillId="0" borderId="0" xfId="0" applyFont="1"/>
    <xf numFmtId="172" fontId="12" fillId="0" borderId="7" xfId="1" applyNumberFormat="1" applyFont="1" applyBorder="1"/>
    <xf numFmtId="0" fontId="12" fillId="0" borderId="0" xfId="0" applyFont="1" applyBorder="1"/>
    <xf numFmtId="172" fontId="12" fillId="0" borderId="7" xfId="0" applyNumberFormat="1" applyFont="1" applyFill="1" applyBorder="1"/>
    <xf numFmtId="0" fontId="13" fillId="0" borderId="0" xfId="0" applyFont="1" applyBorder="1"/>
    <xf numFmtId="172" fontId="12" fillId="0" borderId="8" xfId="1" applyNumberFormat="1" applyFont="1" applyBorder="1"/>
    <xf numFmtId="172" fontId="8" fillId="0" borderId="0" xfId="1" applyNumberFormat="1" applyFont="1" applyBorder="1"/>
    <xf numFmtId="172" fontId="12" fillId="0" borderId="8" xfId="1" applyNumberFormat="1" applyFont="1" applyFill="1" applyBorder="1"/>
    <xf numFmtId="0" fontId="14" fillId="0" borderId="0" xfId="0" applyFont="1" applyBorder="1"/>
    <xf numFmtId="0" fontId="15" fillId="0" borderId="0" xfId="0" applyFont="1"/>
    <xf numFmtId="0" fontId="15" fillId="0" borderId="0" xfId="0" applyFont="1" applyBorder="1"/>
    <xf numFmtId="0" fontId="3" fillId="0" borderId="0" xfId="0" applyFont="1" applyAlignment="1">
      <alignment horizontal="center"/>
    </xf>
    <xf numFmtId="0" fontId="16" fillId="0" borderId="0" xfId="0" applyFont="1"/>
    <xf numFmtId="172" fontId="12" fillId="0" borderId="0" xfId="1" applyNumberFormat="1" applyFont="1" applyAlignment="1">
      <alignment horizontal="center"/>
    </xf>
    <xf numFmtId="172" fontId="12" fillId="0" borderId="0" xfId="1" applyNumberFormat="1" applyFont="1" applyBorder="1" applyAlignment="1">
      <alignment horizontal="center"/>
    </xf>
    <xf numFmtId="49" fontId="3" fillId="0" borderId="0" xfId="0" applyNumberFormat="1" applyFont="1"/>
    <xf numFmtId="49" fontId="12" fillId="0" borderId="0" xfId="0" applyNumberFormat="1" applyFont="1" applyAlignment="1">
      <alignment horizontal="center"/>
    </xf>
    <xf numFmtId="49" fontId="12" fillId="0" borderId="0" xfId="1" applyNumberFormat="1" applyFont="1" applyFill="1" applyAlignment="1">
      <alignment horizontal="center"/>
    </xf>
    <xf numFmtId="49" fontId="12" fillId="0" borderId="0" xfId="1" quotePrefix="1" applyNumberFormat="1" applyFont="1" applyFill="1" applyBorder="1" applyAlignment="1">
      <alignment horizontal="center"/>
    </xf>
    <xf numFmtId="49" fontId="12" fillId="0" borderId="0" xfId="1" quotePrefix="1" applyNumberFormat="1" applyFont="1" applyBorder="1" applyAlignment="1">
      <alignment horizontal="center"/>
    </xf>
    <xf numFmtId="49" fontId="0" fillId="0" borderId="0" xfId="0" applyNumberFormat="1"/>
    <xf numFmtId="172" fontId="12" fillId="0" borderId="0" xfId="1" applyNumberFormat="1" applyFont="1" applyFill="1" applyAlignment="1">
      <alignment horizontal="center"/>
    </xf>
    <xf numFmtId="172" fontId="12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72" fontId="3" fillId="0" borderId="9" xfId="1" applyNumberFormat="1" applyFont="1" applyFill="1" applyBorder="1"/>
    <xf numFmtId="0" fontId="12" fillId="0" borderId="0" xfId="0" quotePrefix="1" applyFont="1" applyAlignment="1">
      <alignment horizontal="left"/>
    </xf>
    <xf numFmtId="172" fontId="3" fillId="0" borderId="8" xfId="1" applyNumberFormat="1" applyFont="1" applyFill="1" applyBorder="1"/>
    <xf numFmtId="172" fontId="9" fillId="0" borderId="3" xfId="1" applyNumberFormat="1" applyFont="1" applyBorder="1"/>
    <xf numFmtId="172" fontId="9" fillId="0" borderId="6" xfId="1" applyNumberFormat="1" applyFont="1" applyBorder="1"/>
    <xf numFmtId="172" fontId="9" fillId="0" borderId="0" xfId="1" applyNumberFormat="1" applyFo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12" fillId="0" borderId="0" xfId="1" quotePrefix="1" applyNumberFormat="1" applyFont="1" applyAlignment="1">
      <alignment horizontal="center"/>
    </xf>
    <xf numFmtId="49" fontId="3" fillId="0" borderId="0" xfId="1" quotePrefix="1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72" fontId="18" fillId="0" borderId="0" xfId="1" applyNumberFormat="1" applyFont="1" applyAlignment="1">
      <alignment horizontal="center"/>
    </xf>
    <xf numFmtId="172" fontId="3" fillId="0" borderId="0" xfId="1" applyNumberFormat="1" applyFont="1" applyBorder="1" applyAlignment="1">
      <alignment horizontal="center"/>
    </xf>
    <xf numFmtId="172" fontId="3" fillId="0" borderId="0" xfId="1" applyNumberFormat="1" applyFont="1" applyAlignment="1">
      <alignment horizontal="center"/>
    </xf>
    <xf numFmtId="172" fontId="1" fillId="0" borderId="0" xfId="0" applyNumberFormat="1" applyFont="1"/>
    <xf numFmtId="0" fontId="6" fillId="0" borderId="0" xfId="0" quotePrefix="1" applyFont="1" applyAlignment="1">
      <alignment horizontal="left"/>
    </xf>
    <xf numFmtId="0" fontId="1" fillId="0" borderId="0" xfId="0" applyFont="1" applyFill="1"/>
    <xf numFmtId="0" fontId="1" fillId="0" borderId="0" xfId="0" applyFont="1" applyBorder="1"/>
    <xf numFmtId="0" fontId="19" fillId="0" borderId="0" xfId="0" applyFont="1"/>
    <xf numFmtId="0" fontId="6" fillId="0" borderId="0" xfId="0" applyFont="1"/>
    <xf numFmtId="0" fontId="20" fillId="0" borderId="0" xfId="0" applyFont="1"/>
    <xf numFmtId="172" fontId="3" fillId="0" borderId="8" xfId="1" applyNumberFormat="1" applyFont="1" applyBorder="1"/>
    <xf numFmtId="0" fontId="21" fillId="0" borderId="0" xfId="0" applyFont="1"/>
    <xf numFmtId="0" fontId="9" fillId="0" borderId="0" xfId="0" applyFont="1"/>
    <xf numFmtId="172" fontId="9" fillId="0" borderId="0" xfId="1" applyNumberFormat="1" applyFont="1" applyFill="1"/>
    <xf numFmtId="172" fontId="9" fillId="0" borderId="0" xfId="1" applyNumberFormat="1" applyFont="1" applyBorder="1"/>
    <xf numFmtId="172" fontId="9" fillId="0" borderId="2" xfId="1" applyNumberFormat="1" applyFont="1" applyBorder="1"/>
    <xf numFmtId="172" fontId="10" fillId="0" borderId="2" xfId="1" applyNumberFormat="1" applyFont="1" applyBorder="1"/>
    <xf numFmtId="172" fontId="10" fillId="0" borderId="3" xfId="0" applyNumberFormat="1" applyFont="1" applyBorder="1"/>
    <xf numFmtId="172" fontId="9" fillId="0" borderId="5" xfId="1" applyNumberFormat="1" applyFont="1" applyBorder="1"/>
    <xf numFmtId="172" fontId="10" fillId="0" borderId="5" xfId="1" applyNumberFormat="1" applyFont="1" applyBorder="1"/>
    <xf numFmtId="172" fontId="10" fillId="0" borderId="6" xfId="0" applyNumberFormat="1" applyFont="1" applyBorder="1"/>
    <xf numFmtId="172" fontId="10" fillId="0" borderId="0" xfId="1" applyNumberFormat="1" applyFont="1" applyBorder="1"/>
    <xf numFmtId="172" fontId="10" fillId="0" borderId="0" xfId="1" applyNumberFormat="1" applyFont="1"/>
    <xf numFmtId="172" fontId="10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72" fontId="10" fillId="0" borderId="0" xfId="1" applyNumberFormat="1" applyFont="1" applyAlignment="1">
      <alignment horizontal="center"/>
    </xf>
    <xf numFmtId="172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2" fontId="22" fillId="0" borderId="10" xfId="1" applyNumberFormat="1" applyFont="1" applyBorder="1" applyAlignment="1">
      <alignment horizontal="center"/>
    </xf>
    <xf numFmtId="172" fontId="12" fillId="0" borderId="1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72" fontId="22" fillId="0" borderId="12" xfId="1" applyNumberFormat="1" applyFont="1" applyBorder="1" applyAlignment="1">
      <alignment horizontal="center"/>
    </xf>
    <xf numFmtId="0" fontId="23" fillId="0" borderId="12" xfId="0" applyFont="1" applyBorder="1"/>
    <xf numFmtId="49" fontId="0" fillId="0" borderId="0" xfId="0" applyNumberFormat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72" fontId="22" fillId="0" borderId="13" xfId="1" applyNumberFormat="1" applyFont="1" applyBorder="1" applyAlignment="1">
      <alignment horizontal="center"/>
    </xf>
    <xf numFmtId="172" fontId="12" fillId="0" borderId="13" xfId="0" applyNumberFormat="1" applyFont="1" applyBorder="1" applyAlignment="1">
      <alignment horizontal="center"/>
    </xf>
    <xf numFmtId="0" fontId="16" fillId="0" borderId="11" xfId="0" quotePrefix="1" applyFont="1" applyBorder="1" applyAlignment="1">
      <alignment horizontal="center"/>
    </xf>
    <xf numFmtId="172" fontId="3" fillId="0" borderId="12" xfId="1" applyNumberFormat="1" applyFont="1" applyBorder="1" applyAlignment="1">
      <alignment horizontal="center"/>
    </xf>
    <xf numFmtId="172" fontId="3" fillId="0" borderId="12" xfId="0" applyNumberFormat="1" applyFont="1" applyBorder="1" applyAlignment="1">
      <alignment horizontal="center"/>
    </xf>
    <xf numFmtId="0" fontId="3" fillId="0" borderId="11" xfId="0" applyFont="1" applyBorder="1"/>
    <xf numFmtId="172" fontId="3" fillId="0" borderId="12" xfId="1" applyNumberFormat="1" applyFont="1" applyBorder="1"/>
    <xf numFmtId="172" fontId="3" fillId="0" borderId="12" xfId="0" applyNumberFormat="1" applyFont="1" applyFill="1" applyBorder="1"/>
    <xf numFmtId="172" fontId="3" fillId="0" borderId="12" xfId="1" applyNumberFormat="1" applyFont="1" applyBorder="1" applyProtection="1">
      <protection locked="0"/>
    </xf>
    <xf numFmtId="172" fontId="3" fillId="0" borderId="12" xfId="1" applyNumberFormat="1" applyFont="1" applyFill="1" applyBorder="1" applyProtection="1">
      <protection locked="0"/>
    </xf>
    <xf numFmtId="0" fontId="3" fillId="0" borderId="11" xfId="0" applyFont="1" applyBorder="1" applyAlignment="1">
      <alignment horizontal="left"/>
    </xf>
    <xf numFmtId="172" fontId="10" fillId="0" borderId="0" xfId="1" applyNumberFormat="1" applyFont="1" applyProtection="1">
      <protection locked="0"/>
    </xf>
    <xf numFmtId="172" fontId="3" fillId="0" borderId="12" xfId="1" quotePrefix="1" applyNumberFormat="1" applyFont="1" applyBorder="1" applyAlignment="1" applyProtection="1">
      <alignment horizontal="left"/>
      <protection locked="0"/>
    </xf>
    <xf numFmtId="0" fontId="19" fillId="0" borderId="14" xfId="0" applyFont="1" applyBorder="1"/>
    <xf numFmtId="172" fontId="3" fillId="0" borderId="15" xfId="1" applyNumberFormat="1" applyFont="1" applyBorder="1"/>
    <xf numFmtId="172" fontId="3" fillId="0" borderId="15" xfId="1" applyNumberFormat="1" applyFont="1" applyFill="1" applyBorder="1"/>
    <xf numFmtId="172" fontId="3" fillId="0" borderId="12" xfId="0" applyNumberFormat="1" applyFont="1" applyBorder="1"/>
    <xf numFmtId="0" fontId="3" fillId="0" borderId="11" xfId="0" quotePrefix="1" applyFont="1" applyBorder="1" applyAlignment="1">
      <alignment horizontal="left"/>
    </xf>
    <xf numFmtId="172" fontId="3" fillId="0" borderId="13" xfId="1" applyNumberFormat="1" applyFont="1" applyBorder="1" applyProtection="1">
      <protection locked="0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45720</xdr:rowOff>
    </xdr:from>
    <xdr:to>
      <xdr:col>0</xdr:col>
      <xdr:colOff>350520</xdr:colOff>
      <xdr:row>1</xdr:row>
      <xdr:rowOff>167640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4A46ED6-4978-A0D1-3F03-C0E65FB7E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4572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45720</xdr:rowOff>
    </xdr:from>
    <xdr:to>
      <xdr:col>0</xdr:col>
      <xdr:colOff>403860</xdr:colOff>
      <xdr:row>1</xdr:row>
      <xdr:rowOff>167640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ADDF03A-7453-9A28-B1FD-F342EC71D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5720"/>
          <a:ext cx="32766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45720</xdr:rowOff>
    </xdr:from>
    <xdr:to>
      <xdr:col>0</xdr:col>
      <xdr:colOff>403860</xdr:colOff>
      <xdr:row>1</xdr:row>
      <xdr:rowOff>167640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C4D8FA3-3B10-DEF6-7B8A-A0EE1BB55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33528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45720</xdr:rowOff>
    </xdr:from>
    <xdr:to>
      <xdr:col>0</xdr:col>
      <xdr:colOff>388620</xdr:colOff>
      <xdr:row>1</xdr:row>
      <xdr:rowOff>167640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47D532B-E065-9874-DE7B-1E957114B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issa%20S\Financial%20Statements\2003a\2003%20Financial%20State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0 to 1"/>
      <sheetName val="SofR page 2 to 3"/>
      <sheetName val="page 4 to 6"/>
      <sheetName val="OP1 page 7"/>
      <sheetName val="FP page 8"/>
      <sheetName val="equity Page 9"/>
      <sheetName val="CF page 10"/>
      <sheetName val="Page 11 Index"/>
      <sheetName val="Page 12  to 17  (Notes 1)"/>
      <sheetName val="Page 18 (Note2a)"/>
      <sheetName val="Page 19 (note 2b &amp; 2C)"/>
      <sheetName val="Page 20 to 33 (NOTE 3 to 40"/>
      <sheetName val="Page 28 Asset Rec"/>
      <sheetName val="Page 34 (SBA)"/>
      <sheetName val="Page 35 (Note 41)"/>
      <sheetName val="Page 36 (Note 42)"/>
    </sheetNames>
    <sheetDataSet>
      <sheetData sheetId="0"/>
      <sheetData sheetId="1"/>
      <sheetData sheetId="2"/>
      <sheetData sheetId="3">
        <row r="37">
          <cell r="D37">
            <v>929181.80999999959</v>
          </cell>
          <cell r="J37">
            <v>-178675.58999999985</v>
          </cell>
        </row>
        <row r="43">
          <cell r="D43">
            <v>-61723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C16">
            <v>1927699.91</v>
          </cell>
          <cell r="E16">
            <v>1948742</v>
          </cell>
        </row>
        <row r="22">
          <cell r="C22">
            <v>120716</v>
          </cell>
        </row>
        <row r="23">
          <cell r="E23">
            <v>100670</v>
          </cell>
        </row>
        <row r="42">
          <cell r="C42">
            <v>1968356.4</v>
          </cell>
          <cell r="E42">
            <v>1852254.75</v>
          </cell>
        </row>
        <row r="59">
          <cell r="C59">
            <v>3659105</v>
          </cell>
          <cell r="E59">
            <v>3516795</v>
          </cell>
        </row>
        <row r="78">
          <cell r="C78">
            <v>2971590</v>
          </cell>
          <cell r="E78">
            <v>2378409.16</v>
          </cell>
        </row>
        <row r="105">
          <cell r="C105">
            <v>68779.820000000007</v>
          </cell>
          <cell r="E105">
            <v>-45626</v>
          </cell>
        </row>
        <row r="121">
          <cell r="C121">
            <v>3416446.14</v>
          </cell>
          <cell r="E121">
            <v>1668983</v>
          </cell>
        </row>
        <row r="145">
          <cell r="C145">
            <v>342442.31</v>
          </cell>
          <cell r="E145">
            <v>540829</v>
          </cell>
        </row>
        <row r="169">
          <cell r="C169">
            <v>167000</v>
          </cell>
          <cell r="E169">
            <v>227000</v>
          </cell>
        </row>
        <row r="178">
          <cell r="C178">
            <v>2354</v>
          </cell>
          <cell r="E178">
            <v>2354.34</v>
          </cell>
        </row>
        <row r="188">
          <cell r="C188">
            <v>191881</v>
          </cell>
          <cell r="E188">
            <v>139119</v>
          </cell>
        </row>
        <row r="201">
          <cell r="C201">
            <v>397294.67</v>
          </cell>
          <cell r="E201">
            <v>394628</v>
          </cell>
        </row>
        <row r="215">
          <cell r="C215">
            <v>150187</v>
          </cell>
          <cell r="E215">
            <v>213817</v>
          </cell>
        </row>
        <row r="223">
          <cell r="C223">
            <v>411817</v>
          </cell>
          <cell r="E223">
            <v>317588</v>
          </cell>
        </row>
        <row r="232">
          <cell r="C232">
            <v>2202007</v>
          </cell>
          <cell r="E232">
            <v>2203207</v>
          </cell>
        </row>
        <row r="241">
          <cell r="C241">
            <v>1089336.97</v>
          </cell>
          <cell r="E241">
            <v>1109462</v>
          </cell>
        </row>
        <row r="248">
          <cell r="C248">
            <v>2173617</v>
          </cell>
          <cell r="E248">
            <v>2219588.75</v>
          </cell>
        </row>
        <row r="257">
          <cell r="C257">
            <v>25672596</v>
          </cell>
          <cell r="E257">
            <v>26414083</v>
          </cell>
        </row>
        <row r="266">
          <cell r="C266">
            <v>1572839.7000000002</v>
          </cell>
          <cell r="E266">
            <v>1596668</v>
          </cell>
        </row>
        <row r="281">
          <cell r="C281">
            <v>1189605.8899999999</v>
          </cell>
          <cell r="E281">
            <v>1128031</v>
          </cell>
        </row>
        <row r="288">
          <cell r="C288">
            <v>6929097.4800000004</v>
          </cell>
          <cell r="E288">
            <v>7064208</v>
          </cell>
        </row>
        <row r="296">
          <cell r="C296">
            <v>6988450.4700000007</v>
          </cell>
          <cell r="E296">
            <v>6542500</v>
          </cell>
        </row>
        <row r="303">
          <cell r="C303">
            <v>935044.81</v>
          </cell>
          <cell r="E303">
            <v>950251</v>
          </cell>
        </row>
        <row r="313">
          <cell r="C313">
            <v>306612.33999999997</v>
          </cell>
          <cell r="E313">
            <v>248784</v>
          </cell>
        </row>
        <row r="321">
          <cell r="C321">
            <v>903503</v>
          </cell>
          <cell r="E321">
            <v>1209672</v>
          </cell>
        </row>
        <row r="328">
          <cell r="C328">
            <v>90000</v>
          </cell>
          <cell r="E328">
            <v>126000</v>
          </cell>
        </row>
        <row r="336">
          <cell r="C336">
            <v>1291722.1000000001</v>
          </cell>
          <cell r="E336">
            <v>1354652</v>
          </cell>
        </row>
        <row r="352">
          <cell r="C352">
            <v>17646</v>
          </cell>
          <cell r="E352">
            <v>37348</v>
          </cell>
        </row>
        <row r="359">
          <cell r="E359">
            <v>126000</v>
          </cell>
        </row>
        <row r="360">
          <cell r="C360">
            <v>90000</v>
          </cell>
        </row>
        <row r="373">
          <cell r="C373">
            <v>53145582</v>
          </cell>
          <cell r="E373">
            <v>50006966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12" sqref="G12"/>
    </sheetView>
  </sheetViews>
  <sheetFormatPr defaultRowHeight="13.2" x14ac:dyDescent="0.25"/>
  <cols>
    <col min="1" max="1" width="5.44140625" customWidth="1"/>
    <col min="2" max="2" width="39" customWidth="1"/>
    <col min="3" max="3" width="4.109375" customWidth="1"/>
    <col min="4" max="4" width="8.88671875" customWidth="1"/>
    <col min="5" max="5" width="5.33203125" customWidth="1"/>
    <col min="6" max="6" width="1" customWidth="1"/>
    <col min="7" max="7" width="8.6640625" customWidth="1"/>
    <col min="8" max="8" width="5.44140625" customWidth="1"/>
    <col min="9" max="9" width="0.88671875" customWidth="1"/>
    <col min="10" max="10" width="8.6640625" customWidth="1"/>
    <col min="11" max="11" width="5.6640625" customWidth="1"/>
  </cols>
  <sheetData>
    <row r="1" spans="1:11" ht="15.6" x14ac:dyDescent="0.3">
      <c r="A1" s="1"/>
      <c r="B1" s="2" t="s">
        <v>139</v>
      </c>
      <c r="C1" s="3"/>
      <c r="D1" s="4"/>
      <c r="E1" s="3"/>
      <c r="F1" s="3"/>
      <c r="G1" s="5"/>
      <c r="H1" s="6"/>
      <c r="I1" s="4"/>
      <c r="J1" s="7"/>
      <c r="K1" s="8"/>
    </row>
    <row r="2" spans="1:11" ht="15.6" x14ac:dyDescent="0.3">
      <c r="A2" s="9"/>
      <c r="B2" s="10" t="s">
        <v>140</v>
      </c>
      <c r="C2" s="11"/>
      <c r="D2" s="12"/>
      <c r="E2" s="11"/>
      <c r="F2" s="11"/>
      <c r="G2" s="13"/>
      <c r="H2" s="14"/>
      <c r="I2" s="12"/>
      <c r="J2" s="15"/>
      <c r="K2" s="16"/>
    </row>
    <row r="3" spans="1:11" ht="15.6" x14ac:dyDescent="0.3">
      <c r="A3" s="17"/>
      <c r="B3" s="18"/>
      <c r="C3" s="19"/>
      <c r="D3" s="20"/>
      <c r="E3" s="19"/>
      <c r="F3" s="19"/>
      <c r="G3" s="21"/>
      <c r="H3" s="22"/>
      <c r="I3" s="20"/>
      <c r="J3" s="23"/>
      <c r="K3" s="22"/>
    </row>
    <row r="4" spans="1:11" x14ac:dyDescent="0.25">
      <c r="D4" s="24"/>
      <c r="E4" s="25"/>
      <c r="F4" s="20"/>
      <c r="G4" s="26"/>
      <c r="H4" s="22"/>
      <c r="I4" s="20"/>
      <c r="J4" s="24"/>
      <c r="K4" s="25"/>
    </row>
    <row r="5" spans="1:11" ht="20.399999999999999" x14ac:dyDescent="0.35">
      <c r="A5" s="165" t="s">
        <v>2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1" ht="20.399999999999999" x14ac:dyDescent="0.35">
      <c r="A6" s="165" t="s">
        <v>3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</row>
    <row r="7" spans="1:11" ht="20.399999999999999" x14ac:dyDescent="0.35">
      <c r="A7" s="27"/>
      <c r="B7" s="27"/>
      <c r="C7" s="27"/>
      <c r="D7" s="27"/>
      <c r="E7" s="27"/>
      <c r="F7" s="27"/>
      <c r="G7" s="28"/>
      <c r="H7" s="27"/>
      <c r="I7" s="27"/>
      <c r="J7" s="27"/>
      <c r="K7" s="27"/>
    </row>
    <row r="8" spans="1:11" ht="13.8" x14ac:dyDescent="0.3">
      <c r="B8" s="29"/>
      <c r="D8" s="24"/>
      <c r="E8" s="25"/>
      <c r="F8" s="20"/>
      <c r="G8" s="26"/>
      <c r="H8" s="22"/>
      <c r="I8" s="20"/>
      <c r="K8" s="25"/>
    </row>
    <row r="9" spans="1:11" ht="15.6" x14ac:dyDescent="0.3">
      <c r="B9" s="29"/>
      <c r="C9" s="30" t="s">
        <v>4</v>
      </c>
      <c r="D9" s="31" t="s">
        <v>5</v>
      </c>
      <c r="E9" s="32"/>
      <c r="F9" s="33"/>
      <c r="G9" s="34" t="s">
        <v>6</v>
      </c>
      <c r="H9" s="32"/>
      <c r="I9" s="33"/>
      <c r="J9" s="31" t="s">
        <v>5</v>
      </c>
      <c r="K9" s="32"/>
    </row>
    <row r="10" spans="1:11" ht="15.6" x14ac:dyDescent="0.3">
      <c r="B10" s="29"/>
      <c r="C10" s="35"/>
      <c r="D10" s="36" t="s">
        <v>7</v>
      </c>
      <c r="E10" s="32"/>
      <c r="F10" s="33"/>
      <c r="G10" s="37" t="s">
        <v>7</v>
      </c>
      <c r="H10" s="32"/>
      <c r="I10" s="33"/>
      <c r="J10" s="36" t="s">
        <v>8</v>
      </c>
      <c r="K10" s="32"/>
    </row>
    <row r="11" spans="1:11" ht="15.6" x14ac:dyDescent="0.3">
      <c r="B11" s="38" t="s">
        <v>9</v>
      </c>
      <c r="C11" s="35"/>
      <c r="D11" s="39" t="s">
        <v>10</v>
      </c>
      <c r="E11" s="40" t="s">
        <v>11</v>
      </c>
      <c r="F11" s="41"/>
      <c r="G11" s="42" t="s">
        <v>10</v>
      </c>
      <c r="H11" s="40" t="s">
        <v>11</v>
      </c>
      <c r="I11" s="41"/>
      <c r="J11" s="39" t="s">
        <v>10</v>
      </c>
      <c r="K11" s="40" t="s">
        <v>11</v>
      </c>
    </row>
    <row r="12" spans="1:11" ht="13.8" x14ac:dyDescent="0.3">
      <c r="B12" s="29" t="s">
        <v>12</v>
      </c>
      <c r="C12" s="35">
        <v>3</v>
      </c>
      <c r="D12" s="43">
        <f>'[1]Page 20 to 33 (NOTE 3 to 40'!C16</f>
        <v>1927699.91</v>
      </c>
      <c r="E12" s="44">
        <f>ROUND(+D12/$D$19,4)</f>
        <v>0.27979999999999999</v>
      </c>
      <c r="F12" s="45"/>
      <c r="G12" s="46">
        <v>1978693</v>
      </c>
      <c r="H12" s="44">
        <f t="shared" ref="H12:H17" si="0">ROUND(+G12/$G$19,4)</f>
        <v>0.37040000000000001</v>
      </c>
      <c r="I12" s="47"/>
      <c r="J12" s="43">
        <f>+'[1]Page 20 to 33 (NOTE 3 to 40'!E16</f>
        <v>1948742</v>
      </c>
      <c r="K12" s="44">
        <f>ROUND(+J12/$J$19,4)</f>
        <v>0.28620000000000001</v>
      </c>
    </row>
    <row r="13" spans="1:11" ht="13.8" x14ac:dyDescent="0.3">
      <c r="B13" s="29" t="s">
        <v>141</v>
      </c>
      <c r="C13" s="35"/>
      <c r="D13" s="43">
        <v>142685</v>
      </c>
      <c r="E13" s="44">
        <f t="shared" ref="E13:E18" si="1">ROUND(+D13/$D$19,4)</f>
        <v>2.07E-2</v>
      </c>
      <c r="F13" s="45"/>
      <c r="G13" s="46">
        <v>162650</v>
      </c>
      <c r="H13" s="44">
        <f t="shared" si="0"/>
        <v>3.04E-2</v>
      </c>
      <c r="I13" s="47"/>
      <c r="J13" s="43">
        <v>115265</v>
      </c>
      <c r="K13" s="44">
        <f t="shared" ref="K13:K18" si="2">ROUND(+J13/$J$19,4)</f>
        <v>1.6899999999999998E-2</v>
      </c>
    </row>
    <row r="14" spans="1:11" ht="13.8" x14ac:dyDescent="0.3">
      <c r="B14" s="29" t="s">
        <v>13</v>
      </c>
      <c r="C14" s="35"/>
      <c r="D14" s="43">
        <v>2401471</v>
      </c>
      <c r="E14" s="44">
        <f t="shared" si="1"/>
        <v>0.34849999999999998</v>
      </c>
      <c r="F14" s="48"/>
      <c r="G14" s="46">
        <f>2661466</f>
        <v>2661466</v>
      </c>
      <c r="H14" s="44">
        <f t="shared" si="0"/>
        <v>0.49819999999999998</v>
      </c>
      <c r="I14" s="49"/>
      <c r="J14" s="43">
        <v>2418784</v>
      </c>
      <c r="K14" s="44">
        <f t="shared" si="2"/>
        <v>0.3553</v>
      </c>
    </row>
    <row r="15" spans="1:11" ht="13.8" x14ac:dyDescent="0.3">
      <c r="B15" s="29" t="s">
        <v>142</v>
      </c>
      <c r="C15" s="35">
        <v>4</v>
      </c>
      <c r="D15" s="43">
        <f>'[1]Page 20 to 33 (NOTE 3 to 40'!C22</f>
        <v>120716</v>
      </c>
      <c r="E15" s="44">
        <f t="shared" si="1"/>
        <v>1.7500000000000002E-2</v>
      </c>
      <c r="F15" s="48"/>
      <c r="G15" s="46">
        <v>130165</v>
      </c>
      <c r="H15" s="44">
        <f t="shared" si="0"/>
        <v>2.4400000000000002E-2</v>
      </c>
      <c r="I15" s="49"/>
      <c r="J15" s="43">
        <f>'[1]Page 20 to 33 (NOTE 3 to 40'!E23</f>
        <v>100670</v>
      </c>
      <c r="K15" s="44">
        <f t="shared" si="2"/>
        <v>1.4800000000000001E-2</v>
      </c>
    </row>
    <row r="16" spans="1:11" ht="13.8" x14ac:dyDescent="0.3">
      <c r="B16" s="29" t="s">
        <v>14</v>
      </c>
      <c r="C16" s="35"/>
      <c r="D16" s="43">
        <v>316593</v>
      </c>
      <c r="E16" s="44">
        <f t="shared" si="1"/>
        <v>4.5900000000000003E-2</v>
      </c>
      <c r="F16" s="48"/>
      <c r="G16" s="46">
        <v>341238</v>
      </c>
      <c r="H16" s="44">
        <f t="shared" si="0"/>
        <v>6.3899999999999998E-2</v>
      </c>
      <c r="I16" s="49"/>
      <c r="J16" s="43">
        <v>241426</v>
      </c>
      <c r="K16" s="44">
        <f t="shared" si="2"/>
        <v>3.5499999999999997E-2</v>
      </c>
    </row>
    <row r="17" spans="2:11" ht="13.8" x14ac:dyDescent="0.3">
      <c r="B17" s="29" t="s">
        <v>15</v>
      </c>
      <c r="C17" s="35">
        <v>5</v>
      </c>
      <c r="D17" s="43">
        <f>+'[1]Page 20 to 33 (NOTE 3 to 40'!C42</f>
        <v>1968356.4</v>
      </c>
      <c r="E17" s="44">
        <f t="shared" si="1"/>
        <v>0.28570000000000001</v>
      </c>
      <c r="F17" s="45"/>
      <c r="G17" s="46"/>
      <c r="H17" s="44">
        <f t="shared" si="0"/>
        <v>0</v>
      </c>
      <c r="I17" s="47"/>
      <c r="J17" s="43">
        <f>'[1]Page 20 to 33 (NOTE 3 to 40'!E42</f>
        <v>1852254.75</v>
      </c>
      <c r="K17" s="44">
        <f t="shared" si="2"/>
        <v>0.27210000000000001</v>
      </c>
    </row>
    <row r="18" spans="2:11" ht="13.8" x14ac:dyDescent="0.3">
      <c r="B18" s="29" t="s">
        <v>16</v>
      </c>
      <c r="C18" s="35">
        <v>6</v>
      </c>
      <c r="D18" s="43">
        <f>11842+1138</f>
        <v>12980</v>
      </c>
      <c r="E18" s="44">
        <f t="shared" si="1"/>
        <v>1.9E-3</v>
      </c>
      <c r="F18" s="45"/>
      <c r="G18" s="46">
        <v>67757</v>
      </c>
      <c r="H18" s="44">
        <f>ROUND(+G18/$G$19,4)-0.0001</f>
        <v>1.26E-2</v>
      </c>
      <c r="I18" s="47"/>
      <c r="J18" s="43">
        <v>131076</v>
      </c>
      <c r="K18" s="44">
        <f t="shared" si="2"/>
        <v>1.9300000000000001E-2</v>
      </c>
    </row>
    <row r="19" spans="2:11" ht="15.6" x14ac:dyDescent="0.3">
      <c r="B19" s="38" t="s">
        <v>17</v>
      </c>
      <c r="C19" s="35" t="s">
        <v>18</v>
      </c>
      <c r="D19" s="50">
        <f>SUM(D12:D18)</f>
        <v>6890501.3100000005</v>
      </c>
      <c r="E19" s="51">
        <f>SUM(E12:E18)</f>
        <v>1</v>
      </c>
      <c r="F19" s="45"/>
      <c r="G19" s="52">
        <f>SUM(G12:G18)</f>
        <v>5341969</v>
      </c>
      <c r="H19" s="53">
        <f>SUM(H12:H18)</f>
        <v>0.99990000000000001</v>
      </c>
      <c r="I19" s="47"/>
      <c r="J19" s="50">
        <f>SUM(J12:J18)</f>
        <v>6808217.75</v>
      </c>
      <c r="K19" s="54">
        <f>SUM(K12:K18)-0.0001</f>
        <v>1.0000000000000002</v>
      </c>
    </row>
    <row r="20" spans="2:11" ht="13.8" x14ac:dyDescent="0.3">
      <c r="B20" s="29"/>
      <c r="C20" s="35"/>
      <c r="D20" s="43"/>
      <c r="E20" s="55"/>
      <c r="F20" s="18"/>
      <c r="G20" s="56"/>
      <c r="H20" s="57"/>
      <c r="I20" s="57"/>
      <c r="J20" s="43"/>
      <c r="K20" s="55"/>
    </row>
    <row r="21" spans="2:11" ht="15.6" x14ac:dyDescent="0.3">
      <c r="B21" s="38" t="s">
        <v>19</v>
      </c>
      <c r="C21" s="35"/>
      <c r="D21" s="43"/>
      <c r="E21" s="44"/>
      <c r="F21" s="45"/>
      <c r="G21" s="58"/>
      <c r="H21" s="47"/>
      <c r="I21" s="47"/>
      <c r="J21" s="43"/>
      <c r="K21" s="44"/>
    </row>
    <row r="22" spans="2:11" ht="13.8" x14ac:dyDescent="0.3">
      <c r="B22" s="29" t="s">
        <v>20</v>
      </c>
      <c r="C22" s="35">
        <v>7</v>
      </c>
      <c r="D22" s="43">
        <f>'[1]Page 20 to 33 (NOTE 3 to 40'!C59</f>
        <v>3659105</v>
      </c>
      <c r="E22" s="44">
        <f>ROUND(+D22/$D$35,4)</f>
        <v>0.46789999999999998</v>
      </c>
      <c r="F22" s="45"/>
      <c r="G22" s="46">
        <v>3266747</v>
      </c>
      <c r="H22" s="44">
        <f>ROUND(+G22/$G$35,4)-0.0001</f>
        <v>0.45710000000000001</v>
      </c>
      <c r="I22" s="47"/>
      <c r="J22" s="43">
        <f>'[1]Page 20 to 33 (NOTE 3 to 40'!E59</f>
        <v>3516795</v>
      </c>
      <c r="K22" s="44">
        <f>ROUND(+J22/$J$35,4)</f>
        <v>0.53049999999999997</v>
      </c>
    </row>
    <row r="23" spans="2:11" ht="13.8" x14ac:dyDescent="0.3">
      <c r="B23" s="29" t="s">
        <v>21</v>
      </c>
      <c r="C23" s="35"/>
      <c r="D23" s="43">
        <v>883471</v>
      </c>
      <c r="E23" s="44">
        <f>ROUND(+D23/$D$35,4)</f>
        <v>0.113</v>
      </c>
      <c r="F23" s="45"/>
      <c r="G23" s="46">
        <f>1419602-512452</f>
        <v>907150</v>
      </c>
      <c r="H23" s="44">
        <f>ROUND(+G23/$G$35,4)-0.0001</f>
        <v>0.12690000000000001</v>
      </c>
      <c r="I23" s="47"/>
      <c r="J23" s="43">
        <f>452067+69000</f>
        <v>521067</v>
      </c>
      <c r="K23" s="44">
        <f>ROUND(+J23/$J$35,4)</f>
        <v>7.8600000000000003E-2</v>
      </c>
    </row>
    <row r="24" spans="2:11" ht="13.8" x14ac:dyDescent="0.3">
      <c r="B24" s="29" t="s">
        <v>22</v>
      </c>
      <c r="C24" s="35"/>
      <c r="D24" s="59">
        <v>169424</v>
      </c>
      <c r="E24" s="44">
        <f>ROUND(+D24/$D$35,4)</f>
        <v>2.1700000000000001E-2</v>
      </c>
      <c r="F24" s="45"/>
      <c r="G24" s="46">
        <v>65000</v>
      </c>
      <c r="H24" s="44">
        <f>ROUND(+G24/$G$35,4)-0.0001</f>
        <v>9.0000000000000011E-3</v>
      </c>
      <c r="I24" s="47"/>
      <c r="J24" s="59">
        <v>75961</v>
      </c>
      <c r="K24" s="44">
        <f>ROUND(+J24/$J$35,4)</f>
        <v>1.15E-2</v>
      </c>
    </row>
    <row r="25" spans="2:11" ht="13.8" x14ac:dyDescent="0.3">
      <c r="B25" s="29" t="s">
        <v>23</v>
      </c>
      <c r="C25" s="35"/>
      <c r="D25" s="59">
        <f>278701-213376+0.3</f>
        <v>65325.3</v>
      </c>
      <c r="E25" s="44">
        <f>ROUND(+D25/$D$35,4)</f>
        <v>8.3999999999999995E-3</v>
      </c>
      <c r="F25" s="45"/>
      <c r="G25" s="46">
        <v>306625</v>
      </c>
      <c r="H25" s="44">
        <f>ROUND(+G25/$G$35,4)-0.0001</f>
        <v>4.2799999999999998E-2</v>
      </c>
      <c r="I25" s="47"/>
      <c r="J25" s="59">
        <f>210734-69000</f>
        <v>141734</v>
      </c>
      <c r="K25" s="44">
        <f>ROUND(+J25/$J$35,4)</f>
        <v>2.1399999999999999E-2</v>
      </c>
    </row>
    <row r="26" spans="2:11" ht="13.8" x14ac:dyDescent="0.3">
      <c r="B26" s="29" t="s">
        <v>16</v>
      </c>
      <c r="C26" s="35"/>
      <c r="D26" s="59">
        <v>1988</v>
      </c>
      <c r="E26" s="44">
        <f>ROUND(+D26/$D$35,4)</f>
        <v>2.9999999999999997E-4</v>
      </c>
      <c r="F26" s="45"/>
      <c r="G26" s="46">
        <v>7500</v>
      </c>
      <c r="H26" s="44">
        <f>ROUND(+G26/$G$35,4)-0.0001</f>
        <v>8.9999999999999998E-4</v>
      </c>
      <c r="I26" s="47"/>
      <c r="J26" s="59">
        <v>41202</v>
      </c>
      <c r="K26" s="44">
        <f>ROUND(+J26/$J$35,4)</f>
        <v>6.1999999999999998E-3</v>
      </c>
    </row>
    <row r="27" spans="2:11" ht="15.6" x14ac:dyDescent="0.3">
      <c r="B27" s="38"/>
      <c r="C27" s="35"/>
      <c r="D27" s="50">
        <f>SUM(D21:D26)</f>
        <v>4779313.3</v>
      </c>
      <c r="E27" s="44">
        <f>SUM(E22:E26)</f>
        <v>0.61129999999999995</v>
      </c>
      <c r="F27" s="45"/>
      <c r="G27" s="52">
        <f>SUM(G21:G26)</f>
        <v>4553022</v>
      </c>
      <c r="H27" s="44">
        <f>SUM(H22:H26)</f>
        <v>0.63670000000000004</v>
      </c>
      <c r="I27" s="47"/>
      <c r="J27" s="50">
        <f>SUM(J21:J26)</f>
        <v>4296759</v>
      </c>
      <c r="K27" s="44">
        <f>SUM(K22:K26)</f>
        <v>0.64819999999999989</v>
      </c>
    </row>
    <row r="28" spans="2:11" ht="13.8" x14ac:dyDescent="0.3">
      <c r="B28" s="29"/>
      <c r="C28" s="35"/>
      <c r="D28" s="43"/>
      <c r="E28" s="55"/>
      <c r="F28" s="18"/>
      <c r="G28" s="56"/>
      <c r="H28" s="57"/>
      <c r="I28" s="57"/>
      <c r="J28" s="43"/>
      <c r="K28" s="55"/>
    </row>
    <row r="29" spans="2:11" ht="13.8" x14ac:dyDescent="0.3">
      <c r="B29" s="29" t="s">
        <v>24</v>
      </c>
      <c r="C29" s="35">
        <v>8</v>
      </c>
      <c r="D29" s="43">
        <f>'[1]Page 20 to 33 (NOTE 3 to 40'!C78</f>
        <v>2971590</v>
      </c>
      <c r="E29" s="44">
        <f>ROUND(+D29/$D$35,4)</f>
        <v>0.38</v>
      </c>
      <c r="F29" s="45"/>
      <c r="G29" s="46">
        <v>2592544</v>
      </c>
      <c r="H29" s="44">
        <f>ROUND(+G29/$G$35,4)</f>
        <v>0.36280000000000001</v>
      </c>
      <c r="I29" s="47"/>
      <c r="J29" s="43">
        <f>+'[1]Page 20 to 33 (NOTE 3 to 40'!E78</f>
        <v>2378409.16</v>
      </c>
      <c r="K29" s="44">
        <f>ROUND(+J29/$J$35,4)</f>
        <v>0.35880000000000001</v>
      </c>
    </row>
    <row r="30" spans="2:11" ht="13.8" x14ac:dyDescent="0.3">
      <c r="B30" s="29" t="s">
        <v>25</v>
      </c>
      <c r="C30" s="35"/>
      <c r="D30" s="43">
        <v>0</v>
      </c>
      <c r="E30" s="44">
        <f>ROUND(+D30/$D$35,4)</f>
        <v>0</v>
      </c>
      <c r="F30" s="45"/>
      <c r="G30" s="46">
        <v>0</v>
      </c>
      <c r="H30" s="44">
        <f>ROUND(+G30/$G$35,4)</f>
        <v>0</v>
      </c>
      <c r="I30" s="47"/>
      <c r="J30" s="43">
        <v>0</v>
      </c>
      <c r="K30" s="44">
        <f>ROUND(+J30/$J$35,4)</f>
        <v>0</v>
      </c>
    </row>
    <row r="31" spans="2:11" ht="15.6" x14ac:dyDescent="0.3">
      <c r="B31" s="38"/>
      <c r="C31" s="35"/>
      <c r="D31" s="50">
        <f>SUM(D29:D30)</f>
        <v>2971590</v>
      </c>
      <c r="E31" s="47">
        <f>SUM(E29:E30)</f>
        <v>0.38</v>
      </c>
      <c r="F31" s="45"/>
      <c r="G31" s="52">
        <f>SUM(G29:G30)</f>
        <v>2592544</v>
      </c>
      <c r="H31" s="47">
        <f>SUM(H29:H30)+0.0004</f>
        <v>0.36320000000000002</v>
      </c>
      <c r="I31" s="47"/>
      <c r="J31" s="50">
        <f>SUM(J29:J30)</f>
        <v>2378409.16</v>
      </c>
      <c r="K31" s="47">
        <f>SUM(K29:K30)</f>
        <v>0.35880000000000001</v>
      </c>
    </row>
    <row r="32" spans="2:11" ht="15.6" x14ac:dyDescent="0.3">
      <c r="B32" s="38"/>
      <c r="C32" s="35"/>
      <c r="D32" s="19"/>
      <c r="E32" s="47"/>
      <c r="F32" s="45"/>
      <c r="G32" s="21"/>
      <c r="H32" s="47"/>
      <c r="I32" s="47"/>
      <c r="J32" s="19"/>
      <c r="K32" s="47"/>
    </row>
    <row r="33" spans="2:11" ht="13.8" x14ac:dyDescent="0.3">
      <c r="B33" s="60" t="s">
        <v>26</v>
      </c>
      <c r="C33" s="35">
        <v>9</v>
      </c>
      <c r="D33" s="43">
        <f>+'[1]Page 20 to 33 (NOTE 3 to 40'!C105</f>
        <v>68779.820000000007</v>
      </c>
      <c r="E33" s="44">
        <f>ROUND(+D33/$D$35,4)</f>
        <v>8.8000000000000005E-3</v>
      </c>
      <c r="F33" s="45"/>
      <c r="G33" s="46">
        <v>0</v>
      </c>
      <c r="H33" s="44">
        <f>+G33/$G$35</f>
        <v>0</v>
      </c>
      <c r="I33" s="47"/>
      <c r="J33" s="43">
        <f>'[1]Page 20 to 33 (NOTE 3 to 40'!E105</f>
        <v>-45626</v>
      </c>
      <c r="K33" s="44">
        <f>ROUND(+J33/$J$35,4)</f>
        <v>-6.8999999999999999E-3</v>
      </c>
    </row>
    <row r="34" spans="2:11" ht="15.6" x14ac:dyDescent="0.3">
      <c r="B34" s="38"/>
      <c r="C34" s="35"/>
      <c r="D34" s="19"/>
      <c r="E34" s="47"/>
      <c r="F34" s="45"/>
      <c r="G34" s="21"/>
      <c r="H34" s="47"/>
      <c r="I34" s="47"/>
      <c r="J34" s="19"/>
      <c r="K34" s="47"/>
    </row>
    <row r="35" spans="2:11" ht="14.4" x14ac:dyDescent="0.3">
      <c r="B35" s="61" t="s">
        <v>27</v>
      </c>
      <c r="C35" s="35"/>
      <c r="D35" s="50">
        <f>D27+D31+D33</f>
        <v>7819683.1200000001</v>
      </c>
      <c r="E35" s="62">
        <f>E27+E31+E33-0.0001</f>
        <v>1</v>
      </c>
      <c r="F35" s="63"/>
      <c r="G35" s="52">
        <f>G27+G31+G33</f>
        <v>7145566</v>
      </c>
      <c r="H35" s="64">
        <f>H27+H31+H33+0.0001</f>
        <v>1</v>
      </c>
      <c r="I35" s="65"/>
      <c r="J35" s="50">
        <f>J27+J31+J33</f>
        <v>6629542.1600000001</v>
      </c>
      <c r="K35" s="64">
        <f>K27+K31+K33-0.0001</f>
        <v>1</v>
      </c>
    </row>
    <row r="36" spans="2:11" ht="15.6" x14ac:dyDescent="0.3">
      <c r="B36" s="38"/>
      <c r="C36" s="35"/>
      <c r="D36" s="19"/>
      <c r="E36" s="65"/>
      <c r="F36" s="63"/>
      <c r="G36" s="21"/>
      <c r="H36" s="66"/>
      <c r="I36" s="65"/>
      <c r="J36" s="19"/>
      <c r="K36" s="65"/>
    </row>
    <row r="37" spans="2:11" ht="14.4" x14ac:dyDescent="0.3">
      <c r="B37" s="61" t="s">
        <v>28</v>
      </c>
      <c r="C37" s="35"/>
      <c r="D37" s="67">
        <f>D35-D19</f>
        <v>929181.80999999959</v>
      </c>
      <c r="E37" s="67"/>
      <c r="F37" s="67"/>
      <c r="G37" s="68">
        <f>G35-G19</f>
        <v>1803597</v>
      </c>
      <c r="H37" s="69"/>
      <c r="I37" s="69"/>
      <c r="J37" s="67">
        <f>J35-J19</f>
        <v>-178675.58999999985</v>
      </c>
      <c r="K37" s="70"/>
    </row>
    <row r="38" spans="2:11" ht="15.6" x14ac:dyDescent="0.3">
      <c r="B38" s="38"/>
      <c r="C38" s="35"/>
      <c r="D38" s="19"/>
      <c r="E38" s="70"/>
      <c r="F38" s="63"/>
      <c r="G38" s="21"/>
      <c r="H38" s="65"/>
      <c r="I38" s="65"/>
      <c r="J38" s="19"/>
      <c r="K38" s="70"/>
    </row>
    <row r="39" spans="2:11" ht="13.8" x14ac:dyDescent="0.3">
      <c r="B39" s="29" t="s">
        <v>144</v>
      </c>
      <c r="D39" s="71"/>
      <c r="E39" s="71"/>
      <c r="F39" s="71"/>
      <c r="G39" s="72">
        <v>0</v>
      </c>
      <c r="H39" s="66"/>
      <c r="I39" s="66"/>
      <c r="J39" s="71">
        <v>1335890</v>
      </c>
      <c r="K39" s="25"/>
    </row>
    <row r="40" spans="2:11" ht="13.8" x14ac:dyDescent="0.3">
      <c r="B40" s="29" t="s">
        <v>29</v>
      </c>
      <c r="C40" s="35"/>
      <c r="D40" s="43"/>
      <c r="E40" s="29"/>
      <c r="F40" s="18"/>
      <c r="G40" s="56"/>
      <c r="H40" s="57"/>
      <c r="I40" s="57"/>
      <c r="J40" s="43"/>
      <c r="K40" s="73"/>
    </row>
    <row r="41" spans="2:11" ht="13.8" x14ac:dyDescent="0.3">
      <c r="B41" s="29" t="s">
        <v>30</v>
      </c>
      <c r="C41" s="35"/>
      <c r="D41" s="43">
        <v>-61723</v>
      </c>
      <c r="E41" s="29"/>
      <c r="F41" s="18"/>
      <c r="G41" s="56"/>
      <c r="H41" s="57"/>
      <c r="I41" s="57"/>
      <c r="J41" s="43"/>
      <c r="K41" s="73"/>
    </row>
    <row r="42" spans="2:11" ht="13.8" x14ac:dyDescent="0.3">
      <c r="B42" s="29"/>
      <c r="C42" s="35"/>
      <c r="D42" s="43"/>
      <c r="E42" s="29"/>
      <c r="F42" s="18"/>
      <c r="G42" s="56"/>
      <c r="H42" s="57"/>
      <c r="I42" s="57"/>
      <c r="J42" s="43"/>
      <c r="K42" s="73"/>
    </row>
    <row r="43" spans="2:11" ht="13.8" x14ac:dyDescent="0.3">
      <c r="B43" s="74" t="s">
        <v>145</v>
      </c>
      <c r="C43" s="35"/>
      <c r="D43" s="75">
        <f>+D39+D41</f>
        <v>-61723</v>
      </c>
      <c r="E43" s="74"/>
      <c r="F43" s="76"/>
      <c r="G43" s="77">
        <f>+G39+G41</f>
        <v>0</v>
      </c>
      <c r="H43" s="78"/>
      <c r="I43" s="78"/>
      <c r="J43" s="75">
        <f>+J39+J41</f>
        <v>1335890</v>
      </c>
      <c r="K43" s="73"/>
    </row>
    <row r="44" spans="2:11" ht="13.8" x14ac:dyDescent="0.3">
      <c r="B44" s="74" t="s">
        <v>31</v>
      </c>
      <c r="C44" s="35"/>
      <c r="D44" s="43"/>
      <c r="E44" s="29"/>
      <c r="F44" s="18"/>
      <c r="G44" s="56"/>
      <c r="H44" s="57"/>
      <c r="I44" s="57"/>
      <c r="J44" s="43"/>
      <c r="K44" s="73"/>
    </row>
    <row r="45" spans="2:11" ht="15" thickBot="1" x14ac:dyDescent="0.35">
      <c r="B45" s="61" t="s">
        <v>146</v>
      </c>
      <c r="C45" s="35" t="s">
        <v>18</v>
      </c>
      <c r="D45" s="79">
        <f>+D37+D43</f>
        <v>867458.80999999959</v>
      </c>
      <c r="E45" s="80"/>
      <c r="F45" s="67"/>
      <c r="G45" s="81">
        <f>+G37+G43</f>
        <v>1803597</v>
      </c>
      <c r="H45" s="78"/>
      <c r="I45" s="78"/>
      <c r="J45" s="79">
        <f>+J37+J43</f>
        <v>1157214.4100000001</v>
      </c>
      <c r="K45" s="82"/>
    </row>
    <row r="46" spans="2:11" x14ac:dyDescent="0.25">
      <c r="D46" s="24"/>
      <c r="E46" s="25"/>
      <c r="F46" s="20"/>
      <c r="G46" s="26"/>
      <c r="H46" s="83"/>
      <c r="I46" s="84"/>
      <c r="K46" s="25"/>
    </row>
    <row r="47" spans="2:11" x14ac:dyDescent="0.25">
      <c r="E47" s="25"/>
      <c r="F47" s="20"/>
      <c r="G47" s="26"/>
      <c r="H47" s="83"/>
      <c r="I47" s="84"/>
      <c r="K47" s="25"/>
    </row>
  </sheetData>
  <mergeCells count="2">
    <mergeCell ref="A5:K5"/>
    <mergeCell ref="A6:K6"/>
  </mergeCells>
  <phoneticPr fontId="21" type="noConversion"/>
  <pageMargins left="0.75" right="0.75" top="1" bottom="1" header="0.5" footer="0.5"/>
  <pageSetup paperSize="9"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0" workbookViewId="0">
      <selection activeCell="B57" sqref="B57"/>
    </sheetView>
  </sheetViews>
  <sheetFormatPr defaultRowHeight="13.2" x14ac:dyDescent="0.25"/>
  <cols>
    <col min="2" max="2" width="27.88671875" customWidth="1"/>
    <col min="4" max="4" width="9.88671875" bestFit="1" customWidth="1"/>
    <col min="5" max="5" width="3.33203125" customWidth="1"/>
    <col min="6" max="6" width="9.88671875" bestFit="1" customWidth="1"/>
  </cols>
  <sheetData>
    <row r="1" spans="1:8" ht="15.6" x14ac:dyDescent="0.3">
      <c r="A1" s="1"/>
      <c r="B1" s="2" t="s">
        <v>0</v>
      </c>
      <c r="C1" s="3"/>
      <c r="D1" s="4"/>
      <c r="E1" s="3"/>
      <c r="F1" s="3"/>
      <c r="G1" s="3"/>
      <c r="H1" s="8"/>
    </row>
    <row r="2" spans="1:8" ht="15.6" x14ac:dyDescent="0.3">
      <c r="A2" s="9"/>
      <c r="B2" s="10" t="s">
        <v>1</v>
      </c>
      <c r="C2" s="11"/>
      <c r="D2" s="12"/>
      <c r="E2" s="11"/>
      <c r="F2" s="11"/>
      <c r="G2" s="11"/>
      <c r="H2" s="16"/>
    </row>
    <row r="3" spans="1:8" ht="13.8" x14ac:dyDescent="0.3">
      <c r="A3" s="29"/>
      <c r="B3" s="29"/>
      <c r="C3" s="85"/>
      <c r="D3" s="43"/>
      <c r="E3" s="19"/>
      <c r="F3" s="19"/>
      <c r="G3" s="19"/>
      <c r="H3" s="43"/>
    </row>
    <row r="4" spans="1:8" ht="20.399999999999999" x14ac:dyDescent="0.35">
      <c r="A4" s="165" t="s">
        <v>32</v>
      </c>
      <c r="B4" s="165"/>
      <c r="C4" s="165"/>
      <c r="D4" s="165"/>
      <c r="E4" s="165"/>
      <c r="F4" s="165"/>
      <c r="G4" s="165"/>
      <c r="H4" s="165"/>
    </row>
    <row r="5" spans="1:8" ht="20.399999999999999" x14ac:dyDescent="0.35">
      <c r="A5" s="165" t="s">
        <v>33</v>
      </c>
      <c r="B5" s="165"/>
      <c r="C5" s="165"/>
      <c r="D5" s="165"/>
      <c r="E5" s="165"/>
      <c r="F5" s="165"/>
      <c r="G5" s="165"/>
      <c r="H5" s="165"/>
    </row>
    <row r="6" spans="1:8" ht="13.8" x14ac:dyDescent="0.3">
      <c r="A6" s="29"/>
      <c r="B6" s="29"/>
      <c r="C6" s="85"/>
      <c r="D6" s="43"/>
      <c r="E6" s="19"/>
      <c r="F6" s="19"/>
      <c r="G6" s="19"/>
      <c r="H6" s="43"/>
    </row>
    <row r="7" spans="1:8" ht="13.8" x14ac:dyDescent="0.3">
      <c r="A7" s="29"/>
      <c r="B7" s="86"/>
      <c r="C7" s="85"/>
      <c r="D7" s="87" t="s">
        <v>5</v>
      </c>
      <c r="E7" s="88"/>
      <c r="F7" s="87" t="s">
        <v>5</v>
      </c>
      <c r="G7" s="88"/>
      <c r="H7" s="43"/>
    </row>
    <row r="8" spans="1:8" ht="13.8" x14ac:dyDescent="0.3">
      <c r="A8" s="89"/>
      <c r="B8" s="89"/>
      <c r="C8" s="90" t="s">
        <v>4</v>
      </c>
      <c r="D8" s="91" t="s">
        <v>7</v>
      </c>
      <c r="E8" s="92"/>
      <c r="F8" s="91" t="s">
        <v>8</v>
      </c>
      <c r="G8" s="93"/>
      <c r="H8" s="94"/>
    </row>
    <row r="9" spans="1:8" ht="13.8" x14ac:dyDescent="0.3">
      <c r="A9" s="29"/>
      <c r="B9" s="74" t="s">
        <v>34</v>
      </c>
      <c r="C9" s="85"/>
      <c r="D9" s="95" t="s">
        <v>10</v>
      </c>
      <c r="E9" s="96"/>
      <c r="F9" s="95" t="s">
        <v>10</v>
      </c>
      <c r="G9" s="67"/>
      <c r="H9" s="43"/>
    </row>
    <row r="10" spans="1:8" ht="13.8" x14ac:dyDescent="0.3">
      <c r="A10" s="29"/>
      <c r="B10" s="97" t="s">
        <v>147</v>
      </c>
      <c r="C10" s="85">
        <v>10</v>
      </c>
      <c r="D10" s="46">
        <f>+'[1]Page 20 to 33 (NOTE 3 to 40'!C121</f>
        <v>3416446.14</v>
      </c>
      <c r="E10" s="21"/>
      <c r="F10" s="46">
        <f>+'[1]Page 20 to 33 (NOTE 3 to 40'!E121</f>
        <v>1668983</v>
      </c>
      <c r="G10" s="19"/>
      <c r="H10" s="43"/>
    </row>
    <row r="11" spans="1:8" ht="13.8" x14ac:dyDescent="0.3">
      <c r="A11" s="29"/>
      <c r="B11" s="97" t="s">
        <v>35</v>
      </c>
      <c r="C11" s="85">
        <v>11</v>
      </c>
      <c r="D11" s="46">
        <f>+'[1]Page 20 to 33 (NOTE 3 to 40'!C145</f>
        <v>342442.31</v>
      </c>
      <c r="E11" s="21"/>
      <c r="F11" s="46">
        <f>+'[1]Page 20 to 33 (NOTE 3 to 40'!E145</f>
        <v>540829</v>
      </c>
      <c r="G11" s="19"/>
      <c r="H11" s="43"/>
    </row>
    <row r="12" spans="1:8" ht="13.8" x14ac:dyDescent="0.3">
      <c r="A12" s="29"/>
      <c r="B12" s="97" t="s">
        <v>36</v>
      </c>
      <c r="C12" s="85">
        <v>12</v>
      </c>
      <c r="D12" s="46">
        <f>+'[1]Page 20 to 33 (NOTE 3 to 40'!C169</f>
        <v>167000</v>
      </c>
      <c r="E12" s="21"/>
      <c r="F12" s="46">
        <f>+'[1]Page 20 to 33 (NOTE 3 to 40'!E169</f>
        <v>227000</v>
      </c>
      <c r="G12" s="19"/>
      <c r="H12" s="43"/>
    </row>
    <row r="13" spans="1:8" ht="13.8" x14ac:dyDescent="0.3">
      <c r="A13" s="29"/>
      <c r="B13" s="97" t="s">
        <v>37</v>
      </c>
      <c r="C13" s="85">
        <v>13</v>
      </c>
      <c r="D13" s="46">
        <f>+'[1]Page 20 to 33 (NOTE 3 to 40'!C178</f>
        <v>2354</v>
      </c>
      <c r="E13" s="21"/>
      <c r="F13" s="46">
        <f>+'[1]Page 20 to 33 (NOTE 3 to 40'!E178</f>
        <v>2354.34</v>
      </c>
      <c r="G13" s="19"/>
      <c r="H13" s="43"/>
    </row>
    <row r="14" spans="1:8" ht="13.8" x14ac:dyDescent="0.3">
      <c r="A14" s="29"/>
      <c r="B14" s="97" t="s">
        <v>16</v>
      </c>
      <c r="C14" s="85">
        <v>14</v>
      </c>
      <c r="D14" s="46">
        <f>+'[1]Page 20 to 33 (NOTE 3 to 40'!C188-0.4</f>
        <v>191880.6</v>
      </c>
      <c r="E14" s="21"/>
      <c r="F14" s="46">
        <f>+'[1]Page 20 to 33 (NOTE 3 to 40'!E188</f>
        <v>139119</v>
      </c>
      <c r="G14" s="19"/>
      <c r="H14" s="43"/>
    </row>
    <row r="15" spans="1:8" ht="13.8" x14ac:dyDescent="0.3">
      <c r="A15" s="29"/>
      <c r="B15" s="74" t="s">
        <v>38</v>
      </c>
      <c r="C15" s="85" t="s">
        <v>39</v>
      </c>
      <c r="D15" s="52">
        <f>SUM(D10:D14)</f>
        <v>4120123.0500000003</v>
      </c>
      <c r="E15" s="21"/>
      <c r="F15" s="52">
        <f>SUM(F10:F14)</f>
        <v>2578285.34</v>
      </c>
      <c r="G15" s="19"/>
      <c r="H15" s="43"/>
    </row>
    <row r="16" spans="1:8" ht="13.8" x14ac:dyDescent="0.3">
      <c r="A16" s="29"/>
      <c r="B16" s="97"/>
      <c r="C16" s="85"/>
      <c r="D16" s="46"/>
      <c r="E16" s="21"/>
      <c r="F16" s="46"/>
      <c r="G16" s="19"/>
      <c r="H16" s="43"/>
    </row>
    <row r="17" spans="1:8" ht="13.8" x14ac:dyDescent="0.3">
      <c r="A17" s="29"/>
      <c r="B17" s="74" t="s">
        <v>40</v>
      </c>
      <c r="C17" s="85"/>
      <c r="D17" s="46"/>
      <c r="E17" s="21"/>
      <c r="F17" s="46"/>
      <c r="G17" s="19"/>
      <c r="H17" s="43"/>
    </row>
    <row r="18" spans="1:8" ht="13.8" x14ac:dyDescent="0.3">
      <c r="A18" s="29"/>
      <c r="B18" s="97" t="s">
        <v>41</v>
      </c>
      <c r="C18" s="85">
        <v>18</v>
      </c>
      <c r="D18" s="46">
        <f>+'[1]Page 20 to 33 (NOTE 3 to 40'!C232-0.4</f>
        <v>2202006.6</v>
      </c>
      <c r="E18" s="21"/>
      <c r="F18" s="46">
        <f>+'[1]Page 20 to 33 (NOTE 3 to 40'!E232</f>
        <v>2203207</v>
      </c>
      <c r="G18" s="19"/>
      <c r="H18" s="43"/>
    </row>
    <row r="19" spans="1:8" ht="13.8" x14ac:dyDescent="0.3">
      <c r="A19" s="29"/>
      <c r="B19" s="97" t="s">
        <v>42</v>
      </c>
      <c r="C19" s="85">
        <v>19</v>
      </c>
      <c r="D19" s="46">
        <f>+'[1]Page 20 to 33 (NOTE 3 to 40'!C241</f>
        <v>1089336.97</v>
      </c>
      <c r="E19" s="21"/>
      <c r="F19" s="46">
        <f>+'[1]Page 20 to 33 (NOTE 3 to 40'!E241</f>
        <v>1109462</v>
      </c>
      <c r="G19" s="19"/>
      <c r="H19" s="43"/>
    </row>
    <row r="20" spans="1:8" ht="13.8" x14ac:dyDescent="0.3">
      <c r="A20" s="29"/>
      <c r="B20" s="97" t="s">
        <v>43</v>
      </c>
      <c r="C20" s="85">
        <v>20</v>
      </c>
      <c r="D20" s="46">
        <f>+'[1]Page 20 to 33 (NOTE 3 to 40'!C248</f>
        <v>2173617</v>
      </c>
      <c r="E20" s="21"/>
      <c r="F20" s="46">
        <f>+'[1]Page 20 to 33 (NOTE 3 to 40'!E248</f>
        <v>2219588.75</v>
      </c>
      <c r="G20" s="19"/>
      <c r="H20" s="43"/>
    </row>
    <row r="21" spans="1:8" ht="13.8" x14ac:dyDescent="0.3">
      <c r="A21" s="29"/>
      <c r="B21" s="97" t="s">
        <v>44</v>
      </c>
      <c r="C21" s="85">
        <v>21</v>
      </c>
      <c r="D21" s="46">
        <f>+'[1]Page 20 to 33 (NOTE 3 to 40'!C257</f>
        <v>25672596</v>
      </c>
      <c r="E21" s="21"/>
      <c r="F21" s="46">
        <f>+'[1]Page 20 to 33 (NOTE 3 to 40'!E257</f>
        <v>26414083</v>
      </c>
      <c r="G21" s="19"/>
      <c r="H21" s="43"/>
    </row>
    <row r="22" spans="1:8" ht="13.8" x14ac:dyDescent="0.3">
      <c r="A22" s="29"/>
      <c r="B22" s="60" t="s">
        <v>45</v>
      </c>
      <c r="C22" s="85">
        <v>22</v>
      </c>
      <c r="D22" s="46">
        <f>+'[1]Page 20 to 33 (NOTE 3 to 40'!C266</f>
        <v>1572839.7000000002</v>
      </c>
      <c r="E22" s="46"/>
      <c r="F22" s="46">
        <f>+'[1]Page 20 to 33 (NOTE 3 to 40'!E266</f>
        <v>1596668</v>
      </c>
      <c r="G22" s="43"/>
      <c r="H22" s="43"/>
    </row>
    <row r="23" spans="1:8" ht="13.8" x14ac:dyDescent="0.3">
      <c r="A23" s="29"/>
      <c r="B23" s="97" t="s">
        <v>46</v>
      </c>
      <c r="C23" s="85">
        <v>23</v>
      </c>
      <c r="D23" s="46">
        <f>'[1]Page 20 to 33 (NOTE 3 to 40'!C281</f>
        <v>1189605.8899999999</v>
      </c>
      <c r="E23" s="21"/>
      <c r="F23" s="46">
        <f>+'[1]Page 20 to 33 (NOTE 3 to 40'!E281</f>
        <v>1128031</v>
      </c>
      <c r="G23" s="19"/>
      <c r="H23" s="43"/>
    </row>
    <row r="24" spans="1:8" ht="13.8" x14ac:dyDescent="0.3">
      <c r="A24" s="29"/>
      <c r="B24" s="60" t="s">
        <v>47</v>
      </c>
      <c r="C24" s="85">
        <v>24</v>
      </c>
      <c r="D24" s="46">
        <f>+'[1]Page 20 to 33 (NOTE 3 to 40'!C288</f>
        <v>6929097.4800000004</v>
      </c>
      <c r="E24" s="46"/>
      <c r="F24" s="46">
        <f>+'[1]Page 20 to 33 (NOTE 3 to 40'!E288</f>
        <v>7064208</v>
      </c>
      <c r="G24" s="43"/>
      <c r="H24" s="43"/>
    </row>
    <row r="25" spans="1:8" ht="13.8" x14ac:dyDescent="0.3">
      <c r="A25" s="29"/>
      <c r="B25" s="60" t="s">
        <v>48</v>
      </c>
      <c r="C25" s="85">
        <v>25</v>
      </c>
      <c r="D25" s="46">
        <f>+'[1]Page 20 to 33 (NOTE 3 to 40'!C296</f>
        <v>6988450.4700000007</v>
      </c>
      <c r="E25" s="46"/>
      <c r="F25" s="46">
        <f>+'[1]Page 20 to 33 (NOTE 3 to 40'!E296</f>
        <v>6542500</v>
      </c>
      <c r="G25" s="43"/>
      <c r="H25" s="43"/>
    </row>
    <row r="26" spans="1:8" ht="13.8" x14ac:dyDescent="0.3">
      <c r="A26" s="29"/>
      <c r="B26" s="60" t="s">
        <v>49</v>
      </c>
      <c r="C26" s="85">
        <v>26</v>
      </c>
      <c r="D26" s="46">
        <f>+'[1]Page 20 to 33 (NOTE 3 to 40'!C303</f>
        <v>935044.81</v>
      </c>
      <c r="E26" s="46"/>
      <c r="F26" s="46">
        <f>+'[1]Page 20 to 33 (NOTE 3 to 40'!E303</f>
        <v>950251</v>
      </c>
      <c r="G26" s="43"/>
      <c r="H26" s="43"/>
    </row>
    <row r="27" spans="1:8" ht="13.8" x14ac:dyDescent="0.3">
      <c r="A27" s="29"/>
      <c r="B27" s="97" t="s">
        <v>50</v>
      </c>
      <c r="C27" s="85">
        <v>27</v>
      </c>
      <c r="D27" s="46">
        <f>+'[1]Page 20 to 33 (NOTE 3 to 40'!C313</f>
        <v>306612.33999999997</v>
      </c>
      <c r="E27" s="21"/>
      <c r="F27" s="46">
        <f>+'[1]Page 20 to 33 (NOTE 3 to 40'!E313</f>
        <v>248784</v>
      </c>
      <c r="G27" s="19"/>
      <c r="H27" s="43"/>
    </row>
    <row r="28" spans="1:8" ht="13.8" x14ac:dyDescent="0.3">
      <c r="A28" s="29"/>
      <c r="B28" s="97" t="s">
        <v>51</v>
      </c>
      <c r="C28" s="85">
        <v>29</v>
      </c>
      <c r="D28" s="46">
        <f>+'[1]Page 20 to 33 (NOTE 3 to 40'!C321-0.4</f>
        <v>903502.6</v>
      </c>
      <c r="E28" s="21"/>
      <c r="F28" s="46">
        <f>+'[1]Page 20 to 33 (NOTE 3 to 40'!E321</f>
        <v>1209672</v>
      </c>
      <c r="G28" s="19"/>
      <c r="H28" s="43"/>
    </row>
    <row r="29" spans="1:8" ht="13.8" x14ac:dyDescent="0.3">
      <c r="A29" s="29"/>
      <c r="B29" s="97" t="s">
        <v>52</v>
      </c>
      <c r="C29" s="85">
        <v>30</v>
      </c>
      <c r="D29" s="46">
        <f>+'[1]Page 20 to 33 (NOTE 3 to 40'!C328</f>
        <v>90000</v>
      </c>
      <c r="E29" s="21"/>
      <c r="F29" s="46">
        <f>+'[1]Page 20 to 33 (NOTE 3 to 40'!E328</f>
        <v>126000</v>
      </c>
      <c r="G29" s="19"/>
      <c r="H29" s="43"/>
    </row>
    <row r="30" spans="1:8" ht="13.8" x14ac:dyDescent="0.3">
      <c r="A30" s="29"/>
      <c r="B30" s="74" t="s">
        <v>53</v>
      </c>
      <c r="C30" s="85" t="s">
        <v>39</v>
      </c>
      <c r="D30" s="52">
        <f>SUM(D18:D29)</f>
        <v>50052709.860000007</v>
      </c>
      <c r="E30" s="21"/>
      <c r="F30" s="52">
        <f>SUM(F18:F29)</f>
        <v>50812454.75</v>
      </c>
      <c r="G30" s="19"/>
      <c r="H30" s="43"/>
    </row>
    <row r="31" spans="1:8" ht="13.8" x14ac:dyDescent="0.3">
      <c r="A31" s="29"/>
      <c r="B31" s="74"/>
      <c r="C31" s="85"/>
      <c r="D31" s="21"/>
      <c r="E31" s="21"/>
      <c r="F31" s="21"/>
      <c r="G31" s="19"/>
      <c r="H31" s="43"/>
    </row>
    <row r="32" spans="1:8" ht="13.8" x14ac:dyDescent="0.3">
      <c r="A32" s="29"/>
      <c r="B32" s="74" t="s">
        <v>54</v>
      </c>
      <c r="C32" s="85"/>
      <c r="D32" s="21">
        <f>D30+D15</f>
        <v>54172832.910000004</v>
      </c>
      <c r="E32" s="21"/>
      <c r="F32" s="21">
        <f>F30+F15</f>
        <v>53390740.090000004</v>
      </c>
      <c r="G32" s="19"/>
      <c r="H32" s="43"/>
    </row>
    <row r="33" spans="1:8" ht="13.8" x14ac:dyDescent="0.3">
      <c r="A33" s="29"/>
      <c r="B33" s="74"/>
      <c r="C33" s="85"/>
      <c r="D33" s="21"/>
      <c r="E33" s="21"/>
      <c r="F33" s="21"/>
      <c r="G33" s="19"/>
      <c r="H33" s="43"/>
    </row>
    <row r="34" spans="1:8" ht="13.8" x14ac:dyDescent="0.3">
      <c r="A34" s="29"/>
      <c r="B34" s="74" t="s">
        <v>55</v>
      </c>
      <c r="C34" s="85"/>
      <c r="D34" s="46"/>
      <c r="E34" s="21"/>
      <c r="F34" s="46"/>
      <c r="G34" s="19"/>
      <c r="H34" s="43"/>
    </row>
    <row r="35" spans="1:8" ht="13.8" x14ac:dyDescent="0.3">
      <c r="A35" s="29"/>
      <c r="B35" s="97" t="s">
        <v>56</v>
      </c>
      <c r="C35" s="85">
        <v>15</v>
      </c>
      <c r="D35" s="46">
        <f>+'[1]Page 20 to 33 (NOTE 3 to 40'!C201</f>
        <v>397294.67</v>
      </c>
      <c r="E35" s="21"/>
      <c r="F35" s="46">
        <f>+'[1]Page 20 to 33 (NOTE 3 to 40'!E201</f>
        <v>394628</v>
      </c>
      <c r="G35" s="19"/>
      <c r="H35" s="43"/>
    </row>
    <row r="36" spans="1:8" ht="13.8" x14ac:dyDescent="0.3">
      <c r="A36" s="29"/>
      <c r="B36" s="97" t="s">
        <v>148</v>
      </c>
      <c r="C36" s="85">
        <v>16</v>
      </c>
      <c r="D36" s="46">
        <f>+'[1]Page 20 to 33 (NOTE 3 to 40'!C215</f>
        <v>150187</v>
      </c>
      <c r="E36" s="21"/>
      <c r="F36" s="46">
        <f>+'[1]Page 20 to 33 (NOTE 3 to 40'!E215</f>
        <v>213817</v>
      </c>
      <c r="G36" s="19"/>
      <c r="H36" s="43"/>
    </row>
    <row r="37" spans="1:8" ht="13.8" x14ac:dyDescent="0.3">
      <c r="A37" s="29"/>
      <c r="B37" s="97" t="s">
        <v>57</v>
      </c>
      <c r="C37" s="85">
        <v>17</v>
      </c>
      <c r="D37" s="46">
        <f>+'[1]Page 20 to 33 (NOTE 3 to 40'!C223</f>
        <v>411817</v>
      </c>
      <c r="E37" s="21"/>
      <c r="F37" s="46">
        <f>+'[1]Page 20 to 33 (NOTE 3 to 40'!E223</f>
        <v>317588</v>
      </c>
      <c r="G37" s="19"/>
      <c r="H37" s="43"/>
    </row>
    <row r="38" spans="1:8" ht="13.8" x14ac:dyDescent="0.3">
      <c r="A38" s="29"/>
      <c r="B38" s="74" t="s">
        <v>58</v>
      </c>
      <c r="C38" s="85"/>
      <c r="D38" s="52">
        <f>SUM(D35:D37)</f>
        <v>959298.66999999993</v>
      </c>
      <c r="E38" s="21"/>
      <c r="F38" s="52">
        <f>SUM(F35:F37)</f>
        <v>926033</v>
      </c>
      <c r="G38" s="19"/>
      <c r="H38" s="43"/>
    </row>
    <row r="39" spans="1:8" ht="13.8" x14ac:dyDescent="0.3">
      <c r="A39" s="29"/>
      <c r="B39" s="74"/>
      <c r="C39" s="85"/>
      <c r="D39" s="21"/>
      <c r="E39" s="21"/>
      <c r="F39" s="21"/>
      <c r="G39" s="19"/>
      <c r="H39" s="43"/>
    </row>
    <row r="40" spans="1:8" ht="13.8" x14ac:dyDescent="0.3">
      <c r="A40" s="29"/>
      <c r="B40" s="74" t="s">
        <v>59</v>
      </c>
      <c r="C40" s="85"/>
      <c r="D40" s="46"/>
      <c r="E40" s="21"/>
      <c r="F40" s="46"/>
      <c r="G40" s="19"/>
      <c r="H40" s="43"/>
    </row>
    <row r="41" spans="1:8" ht="13.8" x14ac:dyDescent="0.3">
      <c r="A41" s="29"/>
      <c r="B41" s="97" t="s">
        <v>148</v>
      </c>
      <c r="C41" s="85">
        <v>31</v>
      </c>
      <c r="D41" s="46">
        <f>+'[1]Page 20 to 33 (NOTE 3 to 40'!C336</f>
        <v>1291722.1000000001</v>
      </c>
      <c r="E41" s="21"/>
      <c r="F41" s="46">
        <f>+'[1]Page 20 to 33 (NOTE 3 to 40'!E336</f>
        <v>1354652</v>
      </c>
      <c r="G41" s="19"/>
      <c r="H41" s="43"/>
    </row>
    <row r="42" spans="1:8" ht="13.8" x14ac:dyDescent="0.3">
      <c r="A42" s="29"/>
      <c r="B42" s="97" t="s">
        <v>57</v>
      </c>
      <c r="C42" s="85">
        <v>32</v>
      </c>
      <c r="D42" s="46">
        <f>+'[1]Page 20 to 33 (NOTE 3 to 40'!C352</f>
        <v>17646</v>
      </c>
      <c r="E42" s="21"/>
      <c r="F42" s="46">
        <f>+'[1]Page 20 to 33 (NOTE 3 to 40'!E352</f>
        <v>37348</v>
      </c>
      <c r="G42" s="19"/>
      <c r="H42" s="43"/>
    </row>
    <row r="43" spans="1:8" ht="13.8" x14ac:dyDescent="0.3">
      <c r="A43" s="29"/>
      <c r="B43" s="97" t="s">
        <v>52</v>
      </c>
      <c r="C43" s="85">
        <v>33</v>
      </c>
      <c r="D43" s="46">
        <f>+'[1]Page 20 to 33 (NOTE 3 to 40'!C360</f>
        <v>90000</v>
      </c>
      <c r="E43" s="21"/>
      <c r="F43" s="46">
        <f>+'[1]Page 20 to 33 (NOTE 3 to 40'!E359</f>
        <v>126000</v>
      </c>
      <c r="G43" s="19"/>
      <c r="H43" s="43"/>
    </row>
    <row r="44" spans="1:8" ht="13.8" x14ac:dyDescent="0.3">
      <c r="A44" s="29"/>
      <c r="B44" s="74" t="s">
        <v>60</v>
      </c>
      <c r="C44" s="85"/>
      <c r="D44" s="52">
        <f>SUM(D41:D43)</f>
        <v>1399368.1</v>
      </c>
      <c r="E44" s="21"/>
      <c r="F44" s="52">
        <f>SUM(F41:F43)</f>
        <v>1518000</v>
      </c>
      <c r="G44" s="19"/>
      <c r="H44" s="43"/>
    </row>
    <row r="45" spans="1:8" ht="13.8" x14ac:dyDescent="0.3">
      <c r="A45" s="29"/>
      <c r="B45" s="74"/>
      <c r="C45" s="85"/>
      <c r="D45" s="21"/>
      <c r="E45" s="21"/>
      <c r="F45" s="21"/>
      <c r="G45" s="19"/>
      <c r="H45" s="43"/>
    </row>
    <row r="46" spans="1:8" ht="13.8" x14ac:dyDescent="0.3">
      <c r="A46" s="29"/>
      <c r="B46" s="74" t="s">
        <v>61</v>
      </c>
      <c r="C46" s="85"/>
      <c r="D46" s="52">
        <f>D38+D44</f>
        <v>2358666.77</v>
      </c>
      <c r="E46" s="21"/>
      <c r="F46" s="52">
        <f>F38+F44</f>
        <v>2444033</v>
      </c>
      <c r="G46" s="19"/>
      <c r="H46" s="43"/>
    </row>
    <row r="47" spans="1:8" ht="13.8" x14ac:dyDescent="0.3">
      <c r="A47" s="29"/>
      <c r="B47" s="97"/>
      <c r="C47" s="85"/>
      <c r="D47" s="46"/>
      <c r="E47" s="21"/>
      <c r="F47" s="46"/>
      <c r="G47" s="19"/>
      <c r="H47" s="43"/>
    </row>
    <row r="48" spans="1:8" ht="14.4" thickBot="1" x14ac:dyDescent="0.35">
      <c r="A48" s="29"/>
      <c r="B48" s="74" t="s">
        <v>62</v>
      </c>
      <c r="C48" s="85"/>
      <c r="D48" s="98">
        <f>D32-D46</f>
        <v>51814166.140000001</v>
      </c>
      <c r="E48" s="21"/>
      <c r="F48" s="98">
        <f>F32-F46</f>
        <v>50946707.090000004</v>
      </c>
      <c r="G48" s="19"/>
      <c r="H48" s="43"/>
    </row>
    <row r="49" spans="1:8" ht="14.4" thickTop="1" x14ac:dyDescent="0.3">
      <c r="A49" s="29"/>
      <c r="B49" s="97"/>
      <c r="C49" s="85"/>
      <c r="D49" s="46"/>
      <c r="E49" s="21"/>
      <c r="F49" s="46"/>
      <c r="G49" s="19"/>
      <c r="H49" s="43"/>
    </row>
    <row r="50" spans="1:8" ht="13.8" x14ac:dyDescent="0.3">
      <c r="A50" s="29"/>
      <c r="B50" s="74" t="s">
        <v>63</v>
      </c>
      <c r="C50" s="85"/>
      <c r="D50" s="46"/>
      <c r="E50" s="21"/>
      <c r="F50" s="46"/>
      <c r="G50" s="19"/>
      <c r="H50" s="43"/>
    </row>
    <row r="51" spans="1:8" ht="13.8" x14ac:dyDescent="0.3">
      <c r="A51" s="29"/>
      <c r="B51" s="97" t="s">
        <v>64</v>
      </c>
      <c r="C51" s="85"/>
      <c r="D51" s="46">
        <f>-D52+D48</f>
        <v>-1331415.8599999994</v>
      </c>
      <c r="E51" s="21"/>
      <c r="F51" s="46">
        <f>-F52+F48</f>
        <v>939741.09000000358</v>
      </c>
      <c r="G51" s="19"/>
      <c r="H51" s="43"/>
    </row>
    <row r="52" spans="1:8" ht="13.8" x14ac:dyDescent="0.3">
      <c r="A52" s="29"/>
      <c r="B52" s="97" t="s">
        <v>65</v>
      </c>
      <c r="C52" s="85">
        <v>34</v>
      </c>
      <c r="D52" s="46">
        <f>+'[1]Page 20 to 33 (NOTE 3 to 40'!C373</f>
        <v>53145582</v>
      </c>
      <c r="E52" s="21"/>
      <c r="F52" s="46">
        <f>+'[1]Page 20 to 33 (NOTE 3 to 40'!E373</f>
        <v>50006966</v>
      </c>
      <c r="G52" s="19"/>
      <c r="H52" s="43"/>
    </row>
    <row r="53" spans="1:8" ht="14.4" thickBot="1" x14ac:dyDescent="0.35">
      <c r="A53" s="29"/>
      <c r="B53" s="99" t="s">
        <v>66</v>
      </c>
      <c r="C53" s="85"/>
      <c r="D53" s="100">
        <f>SUM(D51:D52)</f>
        <v>51814166.140000001</v>
      </c>
      <c r="E53" s="21"/>
      <c r="F53" s="100">
        <f>SUM(F51:F52)</f>
        <v>50946707.090000004</v>
      </c>
      <c r="G53" s="19"/>
      <c r="H53" s="43"/>
    </row>
    <row r="54" spans="1:8" ht="13.8" x14ac:dyDescent="0.3">
      <c r="A54" s="29"/>
      <c r="B54" s="74"/>
      <c r="C54" s="85"/>
      <c r="D54" s="19"/>
      <c r="E54" s="19"/>
      <c r="F54" s="19"/>
      <c r="G54" s="19"/>
      <c r="H54" s="19"/>
    </row>
    <row r="55" spans="1:8" ht="13.8" x14ac:dyDescent="0.3">
      <c r="A55" s="29"/>
      <c r="B55" s="97"/>
      <c r="C55" s="85"/>
      <c r="D55" s="43"/>
      <c r="E55" s="19"/>
      <c r="F55" s="19"/>
      <c r="G55" s="19"/>
      <c r="H55" s="43"/>
    </row>
    <row r="56" spans="1:8" ht="13.8" x14ac:dyDescent="0.3">
      <c r="A56" s="29"/>
      <c r="E56" s="20"/>
      <c r="G56" s="20"/>
    </row>
  </sheetData>
  <mergeCells count="2">
    <mergeCell ref="A4:H4"/>
    <mergeCell ref="A5:H5"/>
  </mergeCells>
  <phoneticPr fontId="2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52" workbookViewId="0">
      <selection activeCell="B68" sqref="B68"/>
    </sheetView>
  </sheetViews>
  <sheetFormatPr defaultRowHeight="13.2" x14ac:dyDescent="0.25"/>
  <cols>
    <col min="1" max="1" width="7.33203125" customWidth="1"/>
    <col min="2" max="2" width="32.109375" customWidth="1"/>
    <col min="3" max="3" width="6.44140625" customWidth="1"/>
    <col min="4" max="4" width="11.6640625" bestFit="1" customWidth="1"/>
    <col min="5" max="5" width="3.6640625" customWidth="1"/>
    <col min="6" max="6" width="11.5546875" customWidth="1"/>
    <col min="7" max="7" width="5.88671875" customWidth="1"/>
  </cols>
  <sheetData>
    <row r="1" spans="1:8" ht="15.6" x14ac:dyDescent="0.3">
      <c r="A1" s="1"/>
      <c r="B1" s="2" t="s">
        <v>0</v>
      </c>
      <c r="C1" s="3"/>
      <c r="D1" s="4"/>
      <c r="E1" s="3"/>
      <c r="F1" s="3"/>
      <c r="G1" s="3"/>
      <c r="H1" s="101"/>
    </row>
    <row r="2" spans="1:8" ht="15.6" x14ac:dyDescent="0.3">
      <c r="A2" s="9"/>
      <c r="B2" s="10" t="s">
        <v>1</v>
      </c>
      <c r="C2" s="11"/>
      <c r="D2" s="12"/>
      <c r="E2" s="11"/>
      <c r="F2" s="11"/>
      <c r="G2" s="11"/>
      <c r="H2" s="102"/>
    </row>
    <row r="3" spans="1:8" ht="6.75" customHeight="1" x14ac:dyDescent="0.3">
      <c r="A3" s="17"/>
      <c r="B3" s="18"/>
      <c r="C3" s="19"/>
      <c r="D3" s="20"/>
      <c r="E3" s="19"/>
      <c r="F3" s="19"/>
      <c r="G3" s="19"/>
      <c r="H3" s="103"/>
    </row>
    <row r="4" spans="1:8" ht="18" x14ac:dyDescent="0.35">
      <c r="A4" s="104"/>
      <c r="B4" s="166" t="s">
        <v>67</v>
      </c>
      <c r="C4" s="166"/>
      <c r="D4" s="166"/>
      <c r="E4" s="166"/>
      <c r="F4" s="166"/>
      <c r="G4" s="88"/>
      <c r="H4" s="104"/>
    </row>
    <row r="5" spans="1:8" ht="18" x14ac:dyDescent="0.35">
      <c r="A5" s="104"/>
      <c r="B5" s="166" t="s">
        <v>3</v>
      </c>
      <c r="C5" s="166"/>
      <c r="D5" s="166"/>
      <c r="E5" s="166"/>
      <c r="F5" s="166"/>
      <c r="G5" s="88"/>
      <c r="H5" s="104"/>
    </row>
    <row r="6" spans="1:8" ht="9.75" customHeight="1" x14ac:dyDescent="0.3">
      <c r="A6" s="104"/>
      <c r="B6" s="105"/>
      <c r="C6" s="85"/>
      <c r="D6" s="87"/>
      <c r="E6" s="88"/>
      <c r="F6" s="87"/>
      <c r="G6" s="88"/>
      <c r="H6" s="104"/>
    </row>
    <row r="7" spans="1:8" ht="13.8" x14ac:dyDescent="0.3">
      <c r="A7" s="106"/>
      <c r="B7" s="89"/>
      <c r="C7" s="106"/>
      <c r="D7" s="107" t="s">
        <v>68</v>
      </c>
      <c r="E7" s="108"/>
      <c r="F7" s="107" t="s">
        <v>69</v>
      </c>
      <c r="G7" s="108"/>
      <c r="H7" s="106"/>
    </row>
    <row r="8" spans="1:8" ht="13.8" x14ac:dyDescent="0.3">
      <c r="A8" s="104"/>
      <c r="B8" s="74" t="s">
        <v>70</v>
      </c>
      <c r="C8" s="109" t="s">
        <v>4</v>
      </c>
      <c r="D8" s="110" t="s">
        <v>71</v>
      </c>
      <c r="E8" s="111"/>
      <c r="F8" s="110" t="s">
        <v>71</v>
      </c>
      <c r="G8" s="111"/>
      <c r="H8" s="104"/>
    </row>
    <row r="9" spans="1:8" ht="13.8" x14ac:dyDescent="0.3">
      <c r="A9" s="104"/>
      <c r="B9" s="74" t="s">
        <v>72</v>
      </c>
      <c r="C9" s="85"/>
      <c r="D9" s="112" t="s">
        <v>10</v>
      </c>
      <c r="E9" s="111"/>
      <c r="F9" s="112" t="s">
        <v>10</v>
      </c>
      <c r="G9" s="111"/>
      <c r="H9" s="104"/>
    </row>
    <row r="10" spans="1:8" ht="13.8" x14ac:dyDescent="0.3">
      <c r="A10" s="104"/>
      <c r="B10" s="29" t="s">
        <v>73</v>
      </c>
      <c r="C10" s="85"/>
      <c r="D10" s="46">
        <v>-1922721</v>
      </c>
      <c r="E10" s="43"/>
      <c r="F10" s="46">
        <v>-1941338</v>
      </c>
      <c r="G10" s="19"/>
      <c r="H10" s="104"/>
    </row>
    <row r="11" spans="1:8" ht="13.8" x14ac:dyDescent="0.3">
      <c r="A11" s="104"/>
      <c r="B11" s="29" t="s">
        <v>74</v>
      </c>
      <c r="C11" s="85"/>
      <c r="D11" s="46">
        <f>-2447668-347968+85749</f>
        <v>-2709887</v>
      </c>
      <c r="E11" s="43"/>
      <c r="F11" s="46">
        <v>-2710958</v>
      </c>
      <c r="G11" s="19"/>
      <c r="H11" s="104"/>
    </row>
    <row r="12" spans="1:8" ht="13.8" x14ac:dyDescent="0.3">
      <c r="A12" s="104"/>
      <c r="B12" s="29" t="s">
        <v>75</v>
      </c>
      <c r="C12" s="85"/>
      <c r="D12" s="46">
        <v>-316593</v>
      </c>
      <c r="E12" s="43"/>
      <c r="F12" s="46">
        <v>-241426</v>
      </c>
      <c r="G12" s="19"/>
      <c r="H12" s="104"/>
    </row>
    <row r="13" spans="1:8" ht="13.8" x14ac:dyDescent="0.3">
      <c r="A13" s="104"/>
      <c r="B13" s="29" t="s">
        <v>76</v>
      </c>
      <c r="C13" s="85"/>
      <c r="D13" s="46">
        <v>-142685</v>
      </c>
      <c r="E13" s="43"/>
      <c r="F13" s="46">
        <v>-115265</v>
      </c>
      <c r="G13" s="19"/>
      <c r="H13" s="104"/>
    </row>
    <row r="14" spans="1:8" ht="13.8" x14ac:dyDescent="0.3">
      <c r="A14" s="104"/>
      <c r="B14" s="29" t="s">
        <v>77</v>
      </c>
      <c r="C14" s="85"/>
      <c r="D14" s="46">
        <v>-123230</v>
      </c>
      <c r="E14" s="43"/>
      <c r="F14" s="46">
        <v>-117397</v>
      </c>
      <c r="G14" s="19"/>
      <c r="H14" s="104"/>
    </row>
    <row r="15" spans="1:8" ht="13.8" x14ac:dyDescent="0.3">
      <c r="A15" s="104"/>
      <c r="B15" s="29" t="s">
        <v>78</v>
      </c>
      <c r="C15" s="85"/>
      <c r="D15" s="46">
        <v>-61020</v>
      </c>
      <c r="E15" s="43"/>
      <c r="F15" s="46">
        <v>-112195</v>
      </c>
      <c r="G15" s="19"/>
      <c r="H15" s="104"/>
    </row>
    <row r="16" spans="1:8" ht="13.8" x14ac:dyDescent="0.3">
      <c r="A16" s="104"/>
      <c r="B16" s="29"/>
      <c r="C16" s="85"/>
      <c r="D16" s="52">
        <f>SUM(D10:D15)</f>
        <v>-5276136</v>
      </c>
      <c r="E16" s="19"/>
      <c r="F16" s="50">
        <f>SUM(F10:F15)</f>
        <v>-5238579</v>
      </c>
      <c r="G16" s="19"/>
      <c r="H16" s="104"/>
    </row>
    <row r="17" spans="1:8" ht="13.8" x14ac:dyDescent="0.3">
      <c r="A17" s="104"/>
      <c r="B17" s="74" t="s">
        <v>79</v>
      </c>
      <c r="C17" s="85"/>
      <c r="D17" s="46"/>
      <c r="E17" s="19"/>
      <c r="F17" s="43"/>
      <c r="G17" s="19"/>
      <c r="H17" s="104"/>
    </row>
    <row r="18" spans="1:8" ht="13.8" x14ac:dyDescent="0.3">
      <c r="A18" s="104"/>
      <c r="B18" s="29" t="s">
        <v>80</v>
      </c>
      <c r="C18" s="85"/>
      <c r="D18" s="46">
        <f>3893474+48040</f>
        <v>3941514</v>
      </c>
      <c r="E18" s="19"/>
      <c r="F18" s="46">
        <f>3723789</f>
        <v>3723789</v>
      </c>
      <c r="G18" s="19"/>
      <c r="H18" s="113"/>
    </row>
    <row r="19" spans="1:8" ht="13.8" x14ac:dyDescent="0.3">
      <c r="A19" s="104"/>
      <c r="B19" s="29" t="s">
        <v>81</v>
      </c>
      <c r="C19" s="85"/>
      <c r="D19" s="46">
        <f>880767+137694</f>
        <v>1018461</v>
      </c>
      <c r="E19" s="19"/>
      <c r="F19" s="46">
        <f>495930+69000</f>
        <v>564930</v>
      </c>
      <c r="G19" s="19"/>
      <c r="H19" s="113"/>
    </row>
    <row r="20" spans="1:8" ht="13.8" x14ac:dyDescent="0.3">
      <c r="A20" s="104"/>
      <c r="B20" s="29" t="s">
        <v>82</v>
      </c>
      <c r="C20" s="85"/>
      <c r="D20" s="46">
        <v>169424</v>
      </c>
      <c r="E20" s="19"/>
      <c r="F20" s="46">
        <v>84942</v>
      </c>
      <c r="G20" s="19"/>
      <c r="H20" s="113"/>
    </row>
    <row r="21" spans="1:8" ht="13.8" x14ac:dyDescent="0.3">
      <c r="A21" s="104"/>
      <c r="B21" s="29" t="s">
        <v>83</v>
      </c>
      <c r="C21" s="85"/>
      <c r="D21" s="46">
        <v>0</v>
      </c>
      <c r="E21" s="19"/>
      <c r="F21" s="46">
        <v>0</v>
      </c>
      <c r="G21" s="19"/>
      <c r="H21" s="113"/>
    </row>
    <row r="22" spans="1:8" ht="13.8" x14ac:dyDescent="0.3">
      <c r="A22" s="104"/>
      <c r="B22" s="29" t="s">
        <v>84</v>
      </c>
      <c r="C22" s="85"/>
      <c r="D22" s="46">
        <v>95038</v>
      </c>
      <c r="E22" s="19"/>
      <c r="F22" s="46">
        <f>215258-69000</f>
        <v>146258</v>
      </c>
      <c r="G22" s="19"/>
      <c r="H22" s="113"/>
    </row>
    <row r="23" spans="1:8" ht="13.8" x14ac:dyDescent="0.3">
      <c r="A23" s="104"/>
      <c r="B23" s="29" t="s">
        <v>85</v>
      </c>
      <c r="C23" s="85"/>
      <c r="D23" s="46">
        <f>1988+347968-137694</f>
        <v>212262</v>
      </c>
      <c r="E23" s="19"/>
      <c r="F23" s="46">
        <v>384649</v>
      </c>
      <c r="G23" s="19"/>
      <c r="H23" s="113"/>
    </row>
    <row r="24" spans="1:8" ht="13.8" x14ac:dyDescent="0.3">
      <c r="A24" s="104"/>
      <c r="B24" s="29"/>
      <c r="C24" s="85"/>
      <c r="D24" s="52">
        <f>SUM(D18:D23)</f>
        <v>5436699</v>
      </c>
      <c r="E24" s="19"/>
      <c r="F24" s="50">
        <f>SUM(F18:F23)</f>
        <v>4904568</v>
      </c>
      <c r="G24" s="19"/>
      <c r="H24" s="104"/>
    </row>
    <row r="25" spans="1:8" ht="13.8" x14ac:dyDescent="0.3">
      <c r="A25" s="104"/>
      <c r="B25" s="114" t="s">
        <v>86</v>
      </c>
      <c r="C25" s="85">
        <v>36</v>
      </c>
      <c r="D25" s="52">
        <f>+D24+D16</f>
        <v>160563</v>
      </c>
      <c r="E25" s="19"/>
      <c r="F25" s="50">
        <f>+F24+F16</f>
        <v>-334011</v>
      </c>
      <c r="G25" s="19"/>
      <c r="H25" s="104"/>
    </row>
    <row r="26" spans="1:8" ht="8.25" customHeight="1" x14ac:dyDescent="0.3">
      <c r="A26" s="104"/>
      <c r="B26" s="29"/>
      <c r="C26" s="85"/>
      <c r="D26" s="46"/>
      <c r="E26" s="19"/>
      <c r="F26" s="43"/>
      <c r="G26" s="19"/>
      <c r="H26" s="104"/>
    </row>
    <row r="27" spans="1:8" ht="13.8" x14ac:dyDescent="0.3">
      <c r="A27" s="104"/>
      <c r="B27" s="74" t="s">
        <v>87</v>
      </c>
      <c r="C27" s="85"/>
      <c r="D27" s="46"/>
      <c r="E27" s="19"/>
      <c r="F27" s="43"/>
      <c r="G27" s="19"/>
      <c r="H27" s="104"/>
    </row>
    <row r="28" spans="1:8" ht="13.8" x14ac:dyDescent="0.3">
      <c r="A28" s="104"/>
      <c r="B28" s="74" t="s">
        <v>88</v>
      </c>
      <c r="C28" s="85"/>
      <c r="D28" s="115"/>
      <c r="E28" s="116"/>
      <c r="F28" s="115"/>
      <c r="G28" s="116"/>
      <c r="H28" s="104"/>
    </row>
    <row r="29" spans="1:8" ht="13.8" x14ac:dyDescent="0.3">
      <c r="A29" s="104"/>
      <c r="B29" s="29" t="s">
        <v>89</v>
      </c>
      <c r="C29" s="85"/>
      <c r="D29" s="46">
        <v>-121648</v>
      </c>
      <c r="E29" s="43"/>
      <c r="F29" s="46">
        <v>-577494</v>
      </c>
      <c r="G29" s="19"/>
      <c r="H29" s="104"/>
    </row>
    <row r="30" spans="1:8" ht="13.8" x14ac:dyDescent="0.3">
      <c r="A30" s="104"/>
      <c r="B30" s="29" t="s">
        <v>90</v>
      </c>
      <c r="C30" s="85"/>
      <c r="D30" s="46">
        <v>0</v>
      </c>
      <c r="E30" s="19"/>
      <c r="F30" s="46">
        <v>0</v>
      </c>
      <c r="G30" s="19"/>
      <c r="H30" s="104"/>
    </row>
    <row r="31" spans="1:8" ht="13.8" x14ac:dyDescent="0.3">
      <c r="A31" s="104"/>
      <c r="B31" s="29" t="s">
        <v>91</v>
      </c>
      <c r="C31" s="85"/>
      <c r="D31" s="46">
        <v>-63535</v>
      </c>
      <c r="E31" s="19"/>
      <c r="F31" s="46">
        <v>-57349</v>
      </c>
      <c r="G31" s="19"/>
      <c r="H31" s="104"/>
    </row>
    <row r="32" spans="1:8" ht="13.8" x14ac:dyDescent="0.3">
      <c r="A32" s="104"/>
      <c r="B32" s="29" t="s">
        <v>92</v>
      </c>
      <c r="C32" s="85"/>
      <c r="D32" s="46">
        <v>-11143</v>
      </c>
      <c r="E32" s="19"/>
      <c r="F32" s="46">
        <v>0</v>
      </c>
      <c r="G32" s="19"/>
      <c r="H32" s="104"/>
    </row>
    <row r="33" spans="1:8" ht="13.8" x14ac:dyDescent="0.3">
      <c r="A33" s="104"/>
      <c r="B33" s="29" t="s">
        <v>93</v>
      </c>
      <c r="C33" s="85"/>
      <c r="D33" s="46">
        <v>-275423</v>
      </c>
      <c r="E33" s="19"/>
      <c r="F33" s="46">
        <v>-290610</v>
      </c>
      <c r="G33" s="19"/>
      <c r="H33" s="104"/>
    </row>
    <row r="34" spans="1:8" ht="13.8" x14ac:dyDescent="0.3">
      <c r="A34" s="104"/>
      <c r="B34" s="60" t="s">
        <v>94</v>
      </c>
      <c r="C34" s="85"/>
      <c r="D34" s="46">
        <v>-190531</v>
      </c>
      <c r="E34" s="19"/>
      <c r="F34" s="46">
        <v>-109030</v>
      </c>
      <c r="G34" s="19"/>
      <c r="H34" s="104"/>
    </row>
    <row r="35" spans="1:8" ht="13.8" x14ac:dyDescent="0.3">
      <c r="A35" s="104"/>
      <c r="B35" s="60" t="s">
        <v>95</v>
      </c>
      <c r="C35" s="85"/>
      <c r="D35" s="46">
        <v>-50115</v>
      </c>
      <c r="E35" s="43"/>
      <c r="F35" s="46">
        <v>0</v>
      </c>
      <c r="G35" s="19"/>
      <c r="H35" s="104"/>
    </row>
    <row r="36" spans="1:8" ht="13.8" x14ac:dyDescent="0.3">
      <c r="A36" s="104"/>
      <c r="B36" s="60" t="s">
        <v>96</v>
      </c>
      <c r="C36" s="85"/>
      <c r="D36" s="46">
        <f>-195764-85749</f>
        <v>-281513</v>
      </c>
      <c r="E36" s="43"/>
      <c r="F36" s="46">
        <v>0</v>
      </c>
      <c r="G36" s="19"/>
      <c r="H36" s="104"/>
    </row>
    <row r="37" spans="1:8" ht="13.8" x14ac:dyDescent="0.3">
      <c r="A37" s="104"/>
      <c r="B37" s="60" t="s">
        <v>97</v>
      </c>
      <c r="C37" s="85"/>
      <c r="D37" s="46">
        <v>0</v>
      </c>
      <c r="E37" s="43"/>
      <c r="F37" s="46">
        <v>0</v>
      </c>
      <c r="G37" s="19"/>
      <c r="H37" s="104"/>
    </row>
    <row r="38" spans="1:8" ht="13.8" x14ac:dyDescent="0.3">
      <c r="A38" s="104"/>
      <c r="B38" s="29" t="s">
        <v>98</v>
      </c>
      <c r="C38" s="85"/>
      <c r="D38" s="46">
        <v>-339573</v>
      </c>
      <c r="E38" s="19"/>
      <c r="F38" s="46">
        <v>-300005</v>
      </c>
      <c r="G38" s="19"/>
      <c r="H38" s="104"/>
    </row>
    <row r="39" spans="1:8" ht="13.8" x14ac:dyDescent="0.3">
      <c r="A39" s="104"/>
      <c r="B39" s="29" t="s">
        <v>99</v>
      </c>
      <c r="C39" s="85"/>
      <c r="D39" s="13">
        <v>-14866</v>
      </c>
      <c r="E39" s="19"/>
      <c r="F39" s="13">
        <v>-47499</v>
      </c>
      <c r="G39" s="19"/>
      <c r="H39" s="104"/>
    </row>
    <row r="40" spans="1:8" ht="13.8" x14ac:dyDescent="0.3">
      <c r="A40" s="104"/>
      <c r="B40" s="29"/>
      <c r="C40" s="85"/>
      <c r="D40" s="52">
        <f>SUM(D29:D39)</f>
        <v>-1348347</v>
      </c>
      <c r="E40" s="19"/>
      <c r="F40" s="50">
        <f>SUM(F29:F39)</f>
        <v>-1381987</v>
      </c>
      <c r="G40" s="19"/>
      <c r="H40" s="104"/>
    </row>
    <row r="41" spans="1:8" ht="6" customHeight="1" x14ac:dyDescent="0.3">
      <c r="A41" s="104"/>
      <c r="B41" s="29"/>
      <c r="C41" s="85"/>
      <c r="D41" s="21"/>
      <c r="E41" s="19"/>
      <c r="F41" s="19"/>
      <c r="G41" s="19"/>
      <c r="H41" s="104"/>
    </row>
    <row r="42" spans="1:8" ht="13.8" x14ac:dyDescent="0.3">
      <c r="A42" s="104"/>
      <c r="B42" s="74" t="s">
        <v>100</v>
      </c>
      <c r="C42" s="85"/>
      <c r="D42" s="46"/>
      <c r="E42" s="19"/>
      <c r="F42" s="43"/>
      <c r="G42" s="19"/>
      <c r="H42" s="104"/>
    </row>
    <row r="43" spans="1:8" ht="13.8" x14ac:dyDescent="0.3">
      <c r="A43" s="104"/>
      <c r="B43" s="29" t="s">
        <v>101</v>
      </c>
      <c r="C43" s="85"/>
      <c r="D43" s="46">
        <v>0</v>
      </c>
      <c r="E43" s="19"/>
      <c r="F43" s="43">
        <v>0</v>
      </c>
      <c r="G43" s="19"/>
      <c r="H43" s="104"/>
    </row>
    <row r="44" spans="1:8" ht="13.8" x14ac:dyDescent="0.3">
      <c r="A44" s="104"/>
      <c r="B44" s="29" t="s">
        <v>102</v>
      </c>
      <c r="C44" s="85"/>
      <c r="D44" s="46">
        <v>0</v>
      </c>
      <c r="E44" s="19"/>
      <c r="F44" s="43">
        <v>0</v>
      </c>
      <c r="G44" s="19"/>
      <c r="H44" s="104"/>
    </row>
    <row r="45" spans="1:8" ht="13.8" x14ac:dyDescent="0.3">
      <c r="A45" s="104"/>
      <c r="B45" s="29" t="s">
        <v>103</v>
      </c>
      <c r="C45" s="85"/>
      <c r="D45" s="46">
        <v>184206</v>
      </c>
      <c r="E45" s="19"/>
      <c r="F45" s="46">
        <v>222000</v>
      </c>
      <c r="G45" s="19"/>
      <c r="H45" s="104"/>
    </row>
    <row r="46" spans="1:8" ht="13.8" x14ac:dyDescent="0.3">
      <c r="A46" s="104"/>
      <c r="B46" s="29" t="s">
        <v>104</v>
      </c>
      <c r="C46" s="85"/>
      <c r="D46" s="13">
        <v>0</v>
      </c>
      <c r="E46" s="19"/>
      <c r="F46" s="11">
        <v>0</v>
      </c>
      <c r="G46" s="19"/>
      <c r="H46" s="104"/>
    </row>
    <row r="47" spans="1:8" ht="13.8" x14ac:dyDescent="0.3">
      <c r="A47" s="104"/>
      <c r="B47" s="114" t="s">
        <v>105</v>
      </c>
      <c r="C47" s="85"/>
      <c r="D47" s="52">
        <f>SUM(D40:D46)</f>
        <v>-1164141</v>
      </c>
      <c r="E47" s="19"/>
      <c r="F47" s="50">
        <f>SUM(F40:F46)</f>
        <v>-1159987</v>
      </c>
      <c r="G47" s="19"/>
      <c r="H47" s="104"/>
    </row>
    <row r="48" spans="1:8" ht="9.75" customHeight="1" x14ac:dyDescent="0.3">
      <c r="A48" s="104"/>
      <c r="B48" s="29"/>
      <c r="C48" s="85"/>
      <c r="D48" s="46"/>
      <c r="E48" s="19"/>
      <c r="F48" s="43"/>
      <c r="G48" s="19"/>
      <c r="H48" s="104"/>
    </row>
    <row r="49" spans="1:8" ht="13.8" x14ac:dyDescent="0.3">
      <c r="A49" s="104"/>
      <c r="B49" s="117" t="s">
        <v>106</v>
      </c>
      <c r="C49" s="85"/>
      <c r="D49" s="46"/>
      <c r="E49" s="19"/>
      <c r="F49" s="43"/>
      <c r="G49" s="19"/>
      <c r="H49" s="104"/>
    </row>
    <row r="50" spans="1:8" ht="13.8" x14ac:dyDescent="0.3">
      <c r="A50" s="104"/>
      <c r="B50" s="29" t="s">
        <v>107</v>
      </c>
      <c r="C50" s="85"/>
      <c r="D50" s="46">
        <v>0</v>
      </c>
      <c r="E50" s="19"/>
      <c r="F50" s="43">
        <v>0</v>
      </c>
      <c r="G50" s="19"/>
      <c r="H50" s="104"/>
    </row>
    <row r="51" spans="1:8" ht="13.8" x14ac:dyDescent="0.3">
      <c r="A51" s="104"/>
      <c r="B51" s="29" t="s">
        <v>108</v>
      </c>
      <c r="C51" s="85"/>
      <c r="D51" s="46">
        <v>-220549</v>
      </c>
      <c r="E51" s="43"/>
      <c r="F51" s="43">
        <v>-303081</v>
      </c>
      <c r="G51" s="19"/>
      <c r="H51" s="104"/>
    </row>
    <row r="52" spans="1:8" ht="13.8" x14ac:dyDescent="0.3">
      <c r="A52" s="104"/>
      <c r="B52" s="114" t="s">
        <v>109</v>
      </c>
      <c r="C52" s="85"/>
      <c r="D52" s="52">
        <f>SUM(D50:D51)</f>
        <v>-220549</v>
      </c>
      <c r="E52" s="19"/>
      <c r="F52" s="50">
        <f>SUM(F50:F51)</f>
        <v>-303081</v>
      </c>
      <c r="G52" s="19"/>
      <c r="H52" s="104"/>
    </row>
    <row r="53" spans="1:8" ht="9.75" customHeight="1" x14ac:dyDescent="0.3">
      <c r="A53" s="104"/>
      <c r="B53" s="29"/>
      <c r="C53" s="85"/>
      <c r="D53" s="46"/>
      <c r="E53" s="19"/>
      <c r="F53" s="43"/>
      <c r="G53" s="19"/>
      <c r="H53" s="104"/>
    </row>
    <row r="54" spans="1:8" ht="13.8" x14ac:dyDescent="0.3">
      <c r="A54" s="104"/>
      <c r="B54" s="117" t="s">
        <v>110</v>
      </c>
      <c r="C54" s="85"/>
      <c r="D54" s="46"/>
      <c r="E54" s="19"/>
      <c r="F54" s="43"/>
      <c r="G54" s="19"/>
      <c r="H54" s="104"/>
    </row>
    <row r="55" spans="1:8" ht="13.8" x14ac:dyDescent="0.3">
      <c r="A55" s="104"/>
      <c r="B55" s="29" t="s">
        <v>111</v>
      </c>
      <c r="C55" s="85"/>
      <c r="D55" s="13">
        <v>2971590</v>
      </c>
      <c r="E55" s="11"/>
      <c r="F55" s="11">
        <v>2460435</v>
      </c>
      <c r="G55" s="19"/>
      <c r="H55" s="104"/>
    </row>
    <row r="56" spans="1:8" ht="13.8" x14ac:dyDescent="0.3">
      <c r="A56" s="104"/>
      <c r="B56" s="118" t="s">
        <v>112</v>
      </c>
      <c r="C56" s="85"/>
      <c r="D56" s="52">
        <f>SUM(D55)</f>
        <v>2971590</v>
      </c>
      <c r="E56" s="19"/>
      <c r="F56" s="50">
        <f>SUM(F55)</f>
        <v>2460435</v>
      </c>
      <c r="G56" s="19"/>
      <c r="H56" s="104"/>
    </row>
    <row r="57" spans="1:8" ht="9.75" customHeight="1" x14ac:dyDescent="0.3">
      <c r="A57" s="104"/>
      <c r="B57" s="29"/>
      <c r="C57" s="85"/>
      <c r="D57" s="46"/>
      <c r="E57" s="19"/>
      <c r="F57" s="43"/>
      <c r="G57" s="19"/>
      <c r="H57" s="104"/>
    </row>
    <row r="58" spans="1:8" ht="13.8" x14ac:dyDescent="0.3">
      <c r="A58" s="104"/>
      <c r="B58" s="117" t="s">
        <v>113</v>
      </c>
      <c r="C58" s="85"/>
      <c r="D58" s="46">
        <f>+D56+D52+D47+D25</f>
        <v>1747463</v>
      </c>
      <c r="E58" s="19"/>
      <c r="F58" s="43">
        <v>663356</v>
      </c>
      <c r="G58" s="19"/>
      <c r="H58" s="104"/>
    </row>
    <row r="59" spans="1:8" ht="13.8" x14ac:dyDescent="0.3">
      <c r="A59" s="104"/>
      <c r="B59" s="119" t="s">
        <v>114</v>
      </c>
      <c r="C59" s="85"/>
      <c r="D59" s="13">
        <v>1668983</v>
      </c>
      <c r="E59" s="19"/>
      <c r="F59" s="11">
        <v>1005627</v>
      </c>
      <c r="G59" s="19"/>
      <c r="H59" s="104"/>
    </row>
    <row r="60" spans="1:8" ht="14.4" thickBot="1" x14ac:dyDescent="0.35">
      <c r="A60" s="104"/>
      <c r="B60" s="117" t="s">
        <v>149</v>
      </c>
      <c r="C60" s="85">
        <v>10</v>
      </c>
      <c r="D60" s="100">
        <f>SUM(D58:D59)</f>
        <v>3416446</v>
      </c>
      <c r="E60" s="19"/>
      <c r="F60" s="120">
        <f>SUM(F58:F59)-0.5</f>
        <v>1668982.5</v>
      </c>
      <c r="G60" s="19"/>
      <c r="H60" s="104"/>
    </row>
    <row r="61" spans="1:8" ht="7.5" customHeight="1" x14ac:dyDescent="0.3">
      <c r="A61" s="104"/>
      <c r="B61" s="29"/>
      <c r="C61" s="85"/>
      <c r="D61" s="46"/>
      <c r="E61" s="19"/>
      <c r="F61" s="43"/>
      <c r="G61" s="19"/>
      <c r="H61" s="104"/>
    </row>
    <row r="62" spans="1:8" ht="13.8" x14ac:dyDescent="0.3">
      <c r="A62" s="104"/>
      <c r="B62" s="29" t="s">
        <v>115</v>
      </c>
      <c r="C62" s="85">
        <v>31</v>
      </c>
      <c r="D62" s="46">
        <v>0</v>
      </c>
      <c r="E62" s="19"/>
      <c r="F62" s="43">
        <v>0</v>
      </c>
      <c r="G62" s="19"/>
      <c r="H62" s="104"/>
    </row>
    <row r="63" spans="1:8" ht="13.8" x14ac:dyDescent="0.3">
      <c r="A63" s="104"/>
      <c r="B63" s="104"/>
      <c r="C63" s="104"/>
      <c r="D63" s="115"/>
      <c r="E63" s="104"/>
      <c r="F63" s="104"/>
      <c r="G63" s="19"/>
      <c r="H63" s="104"/>
    </row>
    <row r="64" spans="1:8" x14ac:dyDescent="0.25">
      <c r="A64" s="121"/>
      <c r="B64" s="122"/>
      <c r="C64" s="35"/>
      <c r="D64" s="123"/>
      <c r="E64" s="124"/>
      <c r="F64" s="103"/>
      <c r="G64" s="124"/>
      <c r="H64" s="103"/>
    </row>
  </sheetData>
  <mergeCells count="2">
    <mergeCell ref="B4:F4"/>
    <mergeCell ref="B5:F5"/>
  </mergeCells>
  <phoneticPr fontId="21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4" sqref="C14"/>
    </sheetView>
  </sheetViews>
  <sheetFormatPr defaultRowHeight="13.2" x14ac:dyDescent="0.25"/>
  <cols>
    <col min="2" max="2" width="36" customWidth="1"/>
    <col min="3" max="3" width="10.5546875" bestFit="1" customWidth="1"/>
    <col min="4" max="4" width="9" bestFit="1" customWidth="1"/>
    <col min="5" max="5" width="13.33203125" bestFit="1" customWidth="1"/>
    <col min="6" max="6" width="10" bestFit="1" customWidth="1"/>
    <col min="7" max="7" width="9.6640625" bestFit="1" customWidth="1"/>
    <col min="8" max="8" width="9.88671875" bestFit="1" customWidth="1"/>
    <col min="9" max="9" width="10.44140625" bestFit="1" customWidth="1"/>
    <col min="10" max="10" width="9.88671875" bestFit="1" customWidth="1"/>
  </cols>
  <sheetData>
    <row r="1" spans="1:10" ht="15.6" x14ac:dyDescent="0.3">
      <c r="A1" s="1"/>
      <c r="B1" s="2" t="s">
        <v>0</v>
      </c>
      <c r="C1" s="4"/>
      <c r="D1" s="3"/>
      <c r="E1" s="3"/>
      <c r="F1" s="3"/>
      <c r="G1" s="125"/>
      <c r="H1" s="126"/>
      <c r="I1" s="126"/>
      <c r="J1" s="127"/>
    </row>
    <row r="2" spans="1:10" ht="15.6" x14ac:dyDescent="0.3">
      <c r="A2" s="9"/>
      <c r="B2" s="10" t="s">
        <v>1</v>
      </c>
      <c r="C2" s="12"/>
      <c r="D2" s="11"/>
      <c r="E2" s="11"/>
      <c r="F2" s="11"/>
      <c r="G2" s="128"/>
      <c r="H2" s="129"/>
      <c r="I2" s="129"/>
      <c r="J2" s="130"/>
    </row>
    <row r="3" spans="1:10" ht="15.6" x14ac:dyDescent="0.3">
      <c r="A3" s="17"/>
      <c r="B3" s="18"/>
      <c r="C3" s="20"/>
      <c r="D3" s="19"/>
      <c r="E3" s="19"/>
      <c r="F3" s="19"/>
      <c r="G3" s="124"/>
      <c r="H3" s="131"/>
      <c r="I3" s="131"/>
      <c r="J3" s="66"/>
    </row>
    <row r="4" spans="1:10" x14ac:dyDescent="0.25">
      <c r="B4" s="55"/>
      <c r="C4" s="132"/>
      <c r="D4" s="132"/>
      <c r="E4" s="132"/>
      <c r="F4" s="132"/>
      <c r="G4" s="132"/>
      <c r="H4" s="132"/>
      <c r="I4" s="132"/>
      <c r="J4" s="133"/>
    </row>
    <row r="5" spans="1:10" ht="18" x14ac:dyDescent="0.35">
      <c r="B5" s="166" t="s">
        <v>143</v>
      </c>
      <c r="C5" s="166"/>
      <c r="D5" s="166"/>
      <c r="E5" s="166"/>
      <c r="F5" s="166"/>
      <c r="G5" s="166"/>
      <c r="H5" s="166"/>
      <c r="I5" s="166"/>
      <c r="J5" s="166"/>
    </row>
    <row r="6" spans="1:10" x14ac:dyDescent="0.25">
      <c r="C6" s="132"/>
      <c r="D6" s="132"/>
      <c r="E6" s="132"/>
      <c r="F6" s="132"/>
      <c r="G6" s="132"/>
      <c r="H6" s="132"/>
      <c r="I6" s="132"/>
      <c r="J6" s="133"/>
    </row>
    <row r="7" spans="1:10" x14ac:dyDescent="0.25">
      <c r="A7" s="134"/>
      <c r="B7" s="135"/>
      <c r="C7" s="136"/>
      <c r="D7" s="136"/>
      <c r="E7" s="136"/>
      <c r="F7" s="136"/>
      <c r="G7" s="136"/>
      <c r="H7" s="136"/>
      <c r="I7" s="136"/>
      <c r="J7" s="137"/>
    </row>
    <row r="8" spans="1:10" ht="13.8" x14ac:dyDescent="0.3">
      <c r="A8" s="134"/>
      <c r="B8" s="138"/>
      <c r="C8" s="139" t="s">
        <v>116</v>
      </c>
      <c r="D8" s="139" t="s">
        <v>117</v>
      </c>
      <c r="E8" s="139" t="s">
        <v>118</v>
      </c>
      <c r="F8" s="139" t="s">
        <v>119</v>
      </c>
      <c r="G8" s="139" t="s">
        <v>120</v>
      </c>
      <c r="H8" s="139" t="s">
        <v>120</v>
      </c>
      <c r="I8" s="139" t="s">
        <v>121</v>
      </c>
      <c r="J8" s="140" t="s">
        <v>122</v>
      </c>
    </row>
    <row r="9" spans="1:10" ht="13.8" x14ac:dyDescent="0.3">
      <c r="A9" s="134"/>
      <c r="B9" s="141"/>
      <c r="C9" s="142" t="s">
        <v>123</v>
      </c>
      <c r="D9" s="142" t="s">
        <v>124</v>
      </c>
      <c r="E9" s="142" t="s">
        <v>125</v>
      </c>
      <c r="F9" s="142" t="s">
        <v>126</v>
      </c>
      <c r="G9" s="142" t="s">
        <v>127</v>
      </c>
      <c r="H9" s="142" t="s">
        <v>128</v>
      </c>
      <c r="I9" s="142" t="s">
        <v>129</v>
      </c>
      <c r="J9" s="143"/>
    </row>
    <row r="10" spans="1:10" ht="13.8" x14ac:dyDescent="0.3">
      <c r="A10" s="144"/>
      <c r="B10" s="145"/>
      <c r="C10" s="146"/>
      <c r="D10" s="146" t="s">
        <v>130</v>
      </c>
      <c r="E10" s="146"/>
      <c r="F10" s="146"/>
      <c r="G10" s="146" t="s">
        <v>131</v>
      </c>
      <c r="H10" s="146" t="s">
        <v>131</v>
      </c>
      <c r="I10" s="146"/>
      <c r="J10" s="147"/>
    </row>
    <row r="11" spans="1:10" ht="13.8" x14ac:dyDescent="0.3">
      <c r="A11" s="144"/>
      <c r="B11" s="148" t="s">
        <v>68</v>
      </c>
      <c r="C11" s="149"/>
      <c r="D11" s="149"/>
      <c r="E11" s="149"/>
      <c r="F11" s="149"/>
      <c r="G11" s="149"/>
      <c r="H11" s="149"/>
      <c r="I11" s="149"/>
      <c r="J11" s="150"/>
    </row>
    <row r="12" spans="1:10" ht="13.8" x14ac:dyDescent="0.3">
      <c r="B12" s="151" t="s">
        <v>132</v>
      </c>
      <c r="C12" s="152">
        <f>C24</f>
        <v>0</v>
      </c>
      <c r="D12" s="152">
        <f t="shared" ref="D12:I12" si="0">D24</f>
        <v>200000</v>
      </c>
      <c r="E12" s="152">
        <f t="shared" si="0"/>
        <v>175573</v>
      </c>
      <c r="F12" s="152">
        <f t="shared" si="0"/>
        <v>0</v>
      </c>
      <c r="G12" s="152">
        <f t="shared" si="0"/>
        <v>2006180</v>
      </c>
      <c r="H12" s="152">
        <f t="shared" si="0"/>
        <v>47625213</v>
      </c>
      <c r="I12" s="152">
        <f t="shared" si="0"/>
        <v>939741.41000000015</v>
      </c>
      <c r="J12" s="153">
        <f>SUM(C12:I12)</f>
        <v>50946707.409999996</v>
      </c>
    </row>
    <row r="13" spans="1:10" ht="13.8" x14ac:dyDescent="0.3">
      <c r="B13" s="151" t="s">
        <v>133</v>
      </c>
      <c r="C13" s="154">
        <v>0</v>
      </c>
      <c r="D13" s="154">
        <v>0</v>
      </c>
      <c r="E13" s="154">
        <v>0</v>
      </c>
      <c r="F13" s="154">
        <v>0</v>
      </c>
      <c r="G13" s="154">
        <v>0</v>
      </c>
      <c r="H13" s="154">
        <v>0</v>
      </c>
      <c r="I13" s="155">
        <f>'[1]OP1 page 7'!D37</f>
        <v>929181.80999999959</v>
      </c>
      <c r="J13" s="153">
        <f>SUM(C13:I13)</f>
        <v>929181.80999999959</v>
      </c>
    </row>
    <row r="14" spans="1:10" ht="13.8" x14ac:dyDescent="0.3">
      <c r="B14" s="156" t="s">
        <v>134</v>
      </c>
      <c r="C14" s="154">
        <v>0</v>
      </c>
      <c r="D14" s="154">
        <v>0</v>
      </c>
      <c r="E14" s="154">
        <v>0</v>
      </c>
      <c r="F14" s="154">
        <v>0</v>
      </c>
      <c r="G14" s="154">
        <v>0</v>
      </c>
      <c r="H14" s="157">
        <v>0</v>
      </c>
      <c r="I14" s="155">
        <f>+'[1]OP1 page 7'!D43</f>
        <v>-61723</v>
      </c>
      <c r="J14" s="153">
        <f>SUM(C14:I14)</f>
        <v>-61723</v>
      </c>
    </row>
    <row r="15" spans="1:10" ht="13.8" x14ac:dyDescent="0.3">
      <c r="B15" s="151" t="s">
        <v>135</v>
      </c>
      <c r="C15" s="154">
        <v>140000</v>
      </c>
      <c r="D15" s="154">
        <v>1531616</v>
      </c>
      <c r="E15" s="154">
        <v>467000</v>
      </c>
      <c r="F15" s="154">
        <v>1000000</v>
      </c>
      <c r="G15" s="157">
        <v>0</v>
      </c>
      <c r="H15" s="158">
        <v>0</v>
      </c>
      <c r="I15" s="155">
        <v>-3138616</v>
      </c>
      <c r="J15" s="153">
        <f>SUM(C15:I15)</f>
        <v>0</v>
      </c>
    </row>
    <row r="16" spans="1:10" ht="13.8" x14ac:dyDescent="0.3">
      <c r="B16" s="151" t="s">
        <v>136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5">
        <v>0</v>
      </c>
      <c r="J16" s="153">
        <f>SUM(C16:I16)</f>
        <v>0</v>
      </c>
    </row>
    <row r="17" spans="2:10" ht="18" customHeight="1" thickBot="1" x14ac:dyDescent="0.35">
      <c r="B17" s="159" t="s">
        <v>137</v>
      </c>
      <c r="C17" s="160">
        <f t="shared" ref="C17:H17" si="1">SUM(C12:C16)</f>
        <v>140000</v>
      </c>
      <c r="D17" s="160">
        <f t="shared" si="1"/>
        <v>1731616</v>
      </c>
      <c r="E17" s="160">
        <f t="shared" si="1"/>
        <v>642573</v>
      </c>
      <c r="F17" s="160">
        <f t="shared" si="1"/>
        <v>1000000</v>
      </c>
      <c r="G17" s="160">
        <f>SUM(G12:G16)</f>
        <v>2006180</v>
      </c>
      <c r="H17" s="160">
        <f t="shared" si="1"/>
        <v>47625213</v>
      </c>
      <c r="I17" s="161">
        <f>SUM(I12:I16)</f>
        <v>-1331415.7800000003</v>
      </c>
      <c r="J17" s="161">
        <f>SUM(J12:J16)</f>
        <v>51814166.219999999</v>
      </c>
    </row>
    <row r="18" spans="2:10" ht="13.8" x14ac:dyDescent="0.3">
      <c r="B18" s="148" t="s">
        <v>69</v>
      </c>
      <c r="C18" s="149"/>
      <c r="D18" s="149"/>
      <c r="E18" s="149"/>
      <c r="F18" s="149"/>
      <c r="G18" s="149"/>
      <c r="H18" s="149"/>
      <c r="I18" s="149"/>
      <c r="J18" s="150"/>
    </row>
    <row r="19" spans="2:10" ht="13.8" x14ac:dyDescent="0.3">
      <c r="B19" s="151" t="s">
        <v>132</v>
      </c>
      <c r="C19" s="154">
        <v>171903</v>
      </c>
      <c r="D19" s="154">
        <v>187703</v>
      </c>
      <c r="E19" s="154">
        <v>750786</v>
      </c>
      <c r="F19" s="154">
        <v>-277094</v>
      </c>
      <c r="G19" s="154">
        <v>670290</v>
      </c>
      <c r="H19" s="154">
        <v>47625213</v>
      </c>
      <c r="I19" s="154">
        <v>660692</v>
      </c>
      <c r="J19" s="162">
        <f>SUM(C19:I19)</f>
        <v>49789493</v>
      </c>
    </row>
    <row r="20" spans="2:10" ht="13.8" x14ac:dyDescent="0.3">
      <c r="B20" s="151" t="s">
        <v>133</v>
      </c>
      <c r="C20" s="154">
        <v>0</v>
      </c>
      <c r="D20" s="154">
        <v>0</v>
      </c>
      <c r="E20" s="154">
        <v>0</v>
      </c>
      <c r="F20" s="154">
        <v>0</v>
      </c>
      <c r="G20" s="154">
        <v>0</v>
      </c>
      <c r="H20" s="154">
        <v>0</v>
      </c>
      <c r="I20" s="154">
        <f>'[1]OP1 page 7'!J37</f>
        <v>-178675.58999999985</v>
      </c>
      <c r="J20" s="162">
        <f>SUM(C20:I20)</f>
        <v>-178675.58999999985</v>
      </c>
    </row>
    <row r="21" spans="2:10" ht="13.8" x14ac:dyDescent="0.3">
      <c r="B21" s="163" t="s">
        <v>138</v>
      </c>
      <c r="C21" s="154">
        <v>0</v>
      </c>
      <c r="D21" s="154">
        <v>0</v>
      </c>
      <c r="E21" s="154">
        <v>0</v>
      </c>
      <c r="F21" s="154">
        <v>0</v>
      </c>
      <c r="G21" s="154">
        <v>1335890</v>
      </c>
      <c r="H21" s="158">
        <v>0</v>
      </c>
      <c r="I21" s="154">
        <v>0</v>
      </c>
      <c r="J21" s="162">
        <f>SUM(C21:I21)</f>
        <v>1335890</v>
      </c>
    </row>
    <row r="22" spans="2:10" ht="13.8" x14ac:dyDescent="0.3">
      <c r="B22" s="151" t="s">
        <v>135</v>
      </c>
      <c r="C22" s="154">
        <v>0</v>
      </c>
      <c r="D22" s="154">
        <v>0</v>
      </c>
      <c r="E22" s="154">
        <v>0</v>
      </c>
      <c r="F22" s="154">
        <v>0</v>
      </c>
      <c r="G22" s="154">
        <v>0</v>
      </c>
      <c r="H22" s="154">
        <v>0</v>
      </c>
      <c r="I22" s="154">
        <v>0</v>
      </c>
      <c r="J22" s="162">
        <f>SUM(C22:I22)</f>
        <v>0</v>
      </c>
    </row>
    <row r="23" spans="2:10" ht="13.8" x14ac:dyDescent="0.3">
      <c r="B23" s="151" t="s">
        <v>136</v>
      </c>
      <c r="C23" s="164">
        <v>-171903</v>
      </c>
      <c r="D23" s="154">
        <v>12297</v>
      </c>
      <c r="E23" s="154">
        <v>-575213</v>
      </c>
      <c r="F23" s="154">
        <v>277094</v>
      </c>
      <c r="G23" s="154">
        <v>0</v>
      </c>
      <c r="H23" s="154">
        <v>0</v>
      </c>
      <c r="I23" s="154">
        <v>457725</v>
      </c>
      <c r="J23" s="162">
        <f>SUM(C23:I23)</f>
        <v>0</v>
      </c>
    </row>
    <row r="24" spans="2:10" ht="17.25" customHeight="1" thickBot="1" x14ac:dyDescent="0.35">
      <c r="B24" s="159" t="s">
        <v>137</v>
      </c>
      <c r="C24" s="160">
        <f>SUM(C19:C23)</f>
        <v>0</v>
      </c>
      <c r="D24" s="160">
        <f t="shared" ref="D24:J24" si="2">SUM(D19:D23)</f>
        <v>200000</v>
      </c>
      <c r="E24" s="160">
        <f t="shared" si="2"/>
        <v>175573</v>
      </c>
      <c r="F24" s="160">
        <f t="shared" si="2"/>
        <v>0</v>
      </c>
      <c r="G24" s="160">
        <f t="shared" si="2"/>
        <v>2006180</v>
      </c>
      <c r="H24" s="160">
        <f t="shared" si="2"/>
        <v>47625213</v>
      </c>
      <c r="I24" s="160">
        <f t="shared" si="2"/>
        <v>939741.41000000015</v>
      </c>
      <c r="J24" s="160">
        <f t="shared" si="2"/>
        <v>50946707.409999996</v>
      </c>
    </row>
    <row r="25" spans="2:10" x14ac:dyDescent="0.25">
      <c r="B25" s="55"/>
      <c r="C25" s="132"/>
      <c r="D25" s="132"/>
      <c r="E25" s="132"/>
      <c r="F25" s="132"/>
      <c r="G25" s="132"/>
      <c r="H25" s="132"/>
      <c r="I25" s="132"/>
      <c r="J25" s="133"/>
    </row>
  </sheetData>
  <mergeCells count="1">
    <mergeCell ref="B5:J5"/>
  </mergeCells>
  <phoneticPr fontId="21" type="noConversion"/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Page40</vt:lpstr>
      <vt:lpstr>Page41</vt:lpstr>
      <vt:lpstr>Page42</vt:lpstr>
      <vt:lpstr>Page43</vt:lpstr>
    </vt:vector>
  </TitlesOfParts>
  <Company>bodc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bodc</dc:creator>
  <cp:lastModifiedBy>Aniket Gupta</cp:lastModifiedBy>
  <cp:lastPrinted>2003-10-21T05:07:28Z</cp:lastPrinted>
  <dcterms:created xsi:type="dcterms:W3CDTF">2003-10-16T03:40:33Z</dcterms:created>
  <dcterms:modified xsi:type="dcterms:W3CDTF">2024-02-03T22:13:51Z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2106634104</vt:i4>
  </property>
  <property fmtid="{D5CDD505-2E9C-101B-9397-08002B2CF9AE}" pid="3" name="_EmailSubject">
    <vt:lpwstr>Annual Report</vt:lpwstr>
  </property>
  <property fmtid="{D5CDD505-2E9C-101B-9397-08002B2CF9AE}" pid="4" name="_AuthorEmail">
    <vt:lpwstr>chris.hughes@bodc.tas.gov.au</vt:lpwstr>
  </property>
  <property fmtid="{D5CDD505-2E9C-101B-9397-08002B2CF9AE}" pid="5" name="_AuthorEmailDisplayName">
    <vt:lpwstr>Chris Hughes</vt:lpwstr>
  </property>
  <property fmtid="{D5CDD505-2E9C-101B-9397-08002B2CF9AE}" pid="6" name="_ReviewingToolsShownOnce">
    <vt:lpwstr/>
  </property>
</Properties>
</file>