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mc:AlternateContent xmlns:mc="http://schemas.openxmlformats.org/markup-compatibility/2006">
    <mc:Choice Requires="x15">
      <x15ac:absPath xmlns:x15ac="http://schemas.microsoft.com/office/spreadsheetml/2010/11/ac" url="C:\Users\anike\OneDrive\Documents\UCSD\ERSP\Script\spreadsheets\financial\original\"/>
    </mc:Choice>
  </mc:AlternateContent>
  <xr:revisionPtr revIDLastSave="0" documentId="8_{D03F6F28-1C8D-4460-AF81-4084C9F8690B}" xr6:coauthVersionLast="47" xr6:coauthVersionMax="47" xr10:uidLastSave="{00000000-0000-0000-0000-000000000000}"/>
  <bookViews>
    <workbookView xWindow="3348" yWindow="3348" windowWidth="17280" windowHeight="8880"/>
  </bookViews>
  <sheets>
    <sheet name="Overview" sheetId="18" r:id="rId1"/>
    <sheet name="Employees" sheetId="1" r:id="rId2"/>
    <sheet name="Equipment Expense" sheetId="2" r:id="rId3"/>
    <sheet name="Cap Lease" sheetId="12" r:id="rId4"/>
    <sheet name="Service Expense" sheetId="3" r:id="rId5"/>
    <sheet name="Pipeline assumptions" sheetId="4" r:id="rId6"/>
    <sheet name="Pipeline" sheetId="5" r:id="rId7"/>
    <sheet name="Closed Sales" sheetId="8" r:id="rId8"/>
    <sheet name="Quota" sheetId="11" r:id="rId9"/>
    <sheet name="Revenue" sheetId="9" r:id="rId10"/>
    <sheet name="Monthly P&amp;L" sheetId="16" r:id="rId11"/>
    <sheet name="Quarterly P&amp;L" sheetId="13" r:id="rId12"/>
    <sheet name="Annual P&amp;L " sheetId="23" r:id="rId13"/>
    <sheet name="Balance Sheet" sheetId="15" r:id="rId14"/>
    <sheet name="Stmt of CF" sheetId="14" r:id="rId15"/>
    <sheet name="Cap Table" sheetId="17" r:id="rId16"/>
    <sheet name="Bal Sheet for Offer Memo" sheetId="19" r:id="rId17"/>
  </sheets>
  <definedNames>
    <definedName name="_xlnm.Print_Titles" localSheetId="16">'Bal Sheet for Offer Memo'!$A:$B</definedName>
    <definedName name="_xlnm.Print_Titles" localSheetId="13">'Balance Sheet'!$A:$B</definedName>
    <definedName name="_xlnm.Print_Titles" localSheetId="10">'Monthly P&amp;L'!$A:$C</definedName>
    <definedName name="_xlnm.Print_Titles" localSheetId="14">'Stmt of CF'!$A:$B</definedName>
  </definedNames>
  <calcPr calcId="191029" fullCalcOnLoad="1" iterateCount="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23" l="1"/>
  <c r="F3" i="23"/>
  <c r="D4" i="23"/>
  <c r="F4" i="23"/>
  <c r="F8" i="19"/>
  <c r="G8" i="19" s="1"/>
  <c r="H8" i="19" s="1"/>
  <c r="I8" i="19" s="1"/>
  <c r="J8" i="19" s="1"/>
  <c r="K8" i="19" s="1"/>
  <c r="L8" i="19"/>
  <c r="M8" i="19" s="1"/>
  <c r="N8" i="19" s="1"/>
  <c r="O8" i="19" s="1"/>
  <c r="P8" i="19" s="1"/>
  <c r="Q8" i="19" s="1"/>
  <c r="R8" i="19" s="1"/>
  <c r="S8" i="19" s="1"/>
  <c r="T8" i="19" s="1"/>
  <c r="U8" i="19" s="1"/>
  <c r="V8" i="19" s="1"/>
  <c r="W8" i="19" s="1"/>
  <c r="X8" i="19" s="1"/>
  <c r="Y8" i="19" s="1"/>
  <c r="Z8" i="19" s="1"/>
  <c r="AA8" i="19" s="1"/>
  <c r="AB8" i="19" s="1"/>
  <c r="D9" i="19"/>
  <c r="E20" i="19"/>
  <c r="F20" i="19" s="1"/>
  <c r="G20" i="19" s="1"/>
  <c r="H20" i="19"/>
  <c r="I20" i="19" s="1"/>
  <c r="J20" i="19" s="1"/>
  <c r="K20" i="19" s="1"/>
  <c r="L20" i="19" s="1"/>
  <c r="M20" i="19" s="1"/>
  <c r="N20" i="19" s="1"/>
  <c r="O20" i="19" s="1"/>
  <c r="P20" i="19" s="1"/>
  <c r="Q20" i="19" s="1"/>
  <c r="R20" i="19" s="1"/>
  <c r="S20" i="19" s="1"/>
  <c r="T20" i="19" s="1"/>
  <c r="U20" i="19" s="1"/>
  <c r="V20" i="19" s="1"/>
  <c r="W20" i="19" s="1"/>
  <c r="X20" i="19"/>
  <c r="Y20" i="19" s="1"/>
  <c r="Z20" i="19" s="1"/>
  <c r="AA20" i="19" s="1"/>
  <c r="AB20" i="19" s="1"/>
  <c r="D22" i="19"/>
  <c r="E30" i="19"/>
  <c r="D35" i="19"/>
  <c r="F8" i="15"/>
  <c r="G8" i="15"/>
  <c r="H8" i="15" s="1"/>
  <c r="I8" i="15" s="1"/>
  <c r="J8" i="15"/>
  <c r="K8" i="15" s="1"/>
  <c r="L8" i="15" s="1"/>
  <c r="M8" i="15"/>
  <c r="N8" i="15"/>
  <c r="O8" i="15" s="1"/>
  <c r="P8" i="15" s="1"/>
  <c r="Q8" i="15" s="1"/>
  <c r="R8" i="15" s="1"/>
  <c r="S8" i="15" s="1"/>
  <c r="T8" i="15" s="1"/>
  <c r="U8" i="15" s="1"/>
  <c r="V8" i="15" s="1"/>
  <c r="W8" i="15" s="1"/>
  <c r="X8" i="15" s="1"/>
  <c r="Y8" i="15" s="1"/>
  <c r="Z8" i="15" s="1"/>
  <c r="D9" i="15"/>
  <c r="G12" i="15"/>
  <c r="O12" i="15"/>
  <c r="E20" i="15"/>
  <c r="F20" i="15" s="1"/>
  <c r="G20" i="15" s="1"/>
  <c r="H20" i="15" s="1"/>
  <c r="I20" i="15" s="1"/>
  <c r="J20" i="15" s="1"/>
  <c r="K20" i="15" s="1"/>
  <c r="L20" i="15" s="1"/>
  <c r="M20" i="15" s="1"/>
  <c r="N20" i="15" s="1"/>
  <c r="O20" i="15" s="1"/>
  <c r="P20" i="15" s="1"/>
  <c r="Q20" i="15" s="1"/>
  <c r="R20" i="15" s="1"/>
  <c r="S20" i="15" s="1"/>
  <c r="T20" i="15" s="1"/>
  <c r="U20" i="15" s="1"/>
  <c r="V20" i="15" s="1"/>
  <c r="W20" i="15" s="1"/>
  <c r="X20" i="15" s="1"/>
  <c r="Y20" i="15" s="1"/>
  <c r="Z20" i="15" s="1"/>
  <c r="AA20" i="15" s="1"/>
  <c r="AB20" i="15" s="1"/>
  <c r="D22" i="15"/>
  <c r="E31" i="15"/>
  <c r="F31" i="15" s="1"/>
  <c r="D36" i="15"/>
  <c r="E4" i="12"/>
  <c r="M4" i="12"/>
  <c r="E5" i="12"/>
  <c r="H5" i="12"/>
  <c r="U15" i="12" s="1"/>
  <c r="H21" i="16" s="1"/>
  <c r="M5" i="12"/>
  <c r="U11" i="12"/>
  <c r="D21" i="16" s="1"/>
  <c r="U17" i="12"/>
  <c r="C5" i="17"/>
  <c r="D5" i="17"/>
  <c r="E5" i="17"/>
  <c r="E13" i="17" s="1"/>
  <c r="C12" i="17"/>
  <c r="E8" i="8"/>
  <c r="H8" i="8" s="1"/>
  <c r="G8" i="8"/>
  <c r="I8" i="8"/>
  <c r="M8" i="8"/>
  <c r="N8" i="8"/>
  <c r="E9" i="8"/>
  <c r="G9" i="8"/>
  <c r="H9" i="8"/>
  <c r="I9" i="8"/>
  <c r="M9" i="8"/>
  <c r="M10" i="8" s="1"/>
  <c r="N9" i="8"/>
  <c r="M12" i="8"/>
  <c r="E13" i="8"/>
  <c r="G13" i="8"/>
  <c r="I13" i="8" s="1"/>
  <c r="H13" i="8"/>
  <c r="M13" i="8"/>
  <c r="N13" i="8"/>
  <c r="E14" i="8"/>
  <c r="G14" i="8"/>
  <c r="H14" i="8"/>
  <c r="I14" i="8"/>
  <c r="M14" i="8"/>
  <c r="N14" i="8"/>
  <c r="E15" i="8"/>
  <c r="G15" i="8"/>
  <c r="I15" i="8"/>
  <c r="N15" i="8"/>
  <c r="N16" i="8" s="1"/>
  <c r="M17" i="8"/>
  <c r="N17" i="8"/>
  <c r="M18" i="8"/>
  <c r="N18" i="8"/>
  <c r="E19" i="8"/>
  <c r="H19" i="8" s="1"/>
  <c r="H21" i="8" s="1"/>
  <c r="G19" i="8"/>
  <c r="I19" i="8" s="1"/>
  <c r="M19" i="8"/>
  <c r="N19" i="8"/>
  <c r="E20" i="8"/>
  <c r="G20" i="8"/>
  <c r="H20" i="8"/>
  <c r="I20" i="8"/>
  <c r="M20" i="8"/>
  <c r="N20" i="8"/>
  <c r="M23" i="8"/>
  <c r="N23" i="8"/>
  <c r="M24" i="8"/>
  <c r="N24" i="8"/>
  <c r="M25" i="8"/>
  <c r="N25" i="8"/>
  <c r="M26" i="8"/>
  <c r="N26" i="8"/>
  <c r="M27" i="8"/>
  <c r="N27" i="8"/>
  <c r="M28" i="8"/>
  <c r="N28" i="8"/>
  <c r="M29" i="8"/>
  <c r="N29" i="8"/>
  <c r="H30" i="8"/>
  <c r="A38" i="8"/>
  <c r="B38" i="8"/>
  <c r="C38" i="8"/>
  <c r="D38" i="8"/>
  <c r="F38" i="8"/>
  <c r="J38" i="8"/>
  <c r="K38" i="8"/>
  <c r="B21" i="1"/>
  <c r="B32" i="1" s="1"/>
  <c r="B33" i="1" s="1"/>
  <c r="B34" i="1" s="1"/>
  <c r="G21" i="1"/>
  <c r="G32" i="1" s="1"/>
  <c r="B24" i="1"/>
  <c r="B27" i="1"/>
  <c r="B30" i="1"/>
  <c r="G56" i="1"/>
  <c r="G57" i="1"/>
  <c r="B58" i="1"/>
  <c r="B59" i="1" s="1"/>
  <c r="G58" i="1"/>
  <c r="B60" i="1"/>
  <c r="G60" i="1" s="1"/>
  <c r="B67" i="1"/>
  <c r="B70" i="1"/>
  <c r="B73" i="1"/>
  <c r="G74" i="1"/>
  <c r="G91" i="1" s="1"/>
  <c r="B76" i="1"/>
  <c r="B93" i="1" s="1"/>
  <c r="G77" i="1"/>
  <c r="B79" i="1"/>
  <c r="B82" i="1"/>
  <c r="B85" i="1"/>
  <c r="B88" i="1"/>
  <c r="G89" i="1"/>
  <c r="B91" i="1"/>
  <c r="B99" i="1"/>
  <c r="B108" i="1" s="1"/>
  <c r="G101" i="1"/>
  <c r="G107" i="1" s="1"/>
  <c r="G108" i="1" s="1"/>
  <c r="B102" i="1"/>
  <c r="G104" i="1"/>
  <c r="B105" i="1"/>
  <c r="B109" i="1"/>
  <c r="D14" i="2"/>
  <c r="D15" i="2"/>
  <c r="J15" i="2"/>
  <c r="D16" i="2"/>
  <c r="J16" i="2"/>
  <c r="D17" i="2"/>
  <c r="D22" i="2" s="1"/>
  <c r="D25" i="2" s="1"/>
  <c r="J17" i="2"/>
  <c r="D18" i="2"/>
  <c r="D19" i="2"/>
  <c r="D20" i="2"/>
  <c r="J20" i="2"/>
  <c r="D44" i="2"/>
  <c r="E3" i="12" s="1"/>
  <c r="D11" i="12" s="1"/>
  <c r="E11" i="12" s="1"/>
  <c r="S11" i="12" s="1"/>
  <c r="J44" i="2"/>
  <c r="M3" i="12" s="1"/>
  <c r="D45" i="2"/>
  <c r="E6" i="12" s="1"/>
  <c r="J45" i="2"/>
  <c r="M6" i="12" s="1"/>
  <c r="D46" i="2"/>
  <c r="J21" i="16"/>
  <c r="D24" i="16"/>
  <c r="E7" i="5"/>
  <c r="E38" i="8" s="1"/>
  <c r="G7" i="5"/>
  <c r="G38" i="8" s="1"/>
  <c r="H7" i="5"/>
  <c r="I7" i="5"/>
  <c r="I38" i="8" s="1"/>
  <c r="E8" i="5"/>
  <c r="G8" i="5"/>
  <c r="H8" i="5"/>
  <c r="I8" i="5"/>
  <c r="E9" i="5"/>
  <c r="G9" i="5"/>
  <c r="H9" i="5"/>
  <c r="I9" i="5" s="1"/>
  <c r="E10" i="5"/>
  <c r="G10" i="5"/>
  <c r="H10" i="5"/>
  <c r="I10" i="5"/>
  <c r="E11" i="5"/>
  <c r="G11" i="5"/>
  <c r="H11" i="5"/>
  <c r="I11" i="5" s="1"/>
  <c r="E12" i="5"/>
  <c r="G12" i="5"/>
  <c r="H12" i="5"/>
  <c r="I12" i="5"/>
  <c r="E13" i="5"/>
  <c r="G13" i="5"/>
  <c r="H13" i="5"/>
  <c r="I13" i="5" s="1"/>
  <c r="E14" i="5"/>
  <c r="G14" i="5"/>
  <c r="H14" i="5"/>
  <c r="I14" i="5"/>
  <c r="E15" i="5"/>
  <c r="G15" i="5"/>
  <c r="H15" i="5"/>
  <c r="I15" i="5" s="1"/>
  <c r="E16" i="5"/>
  <c r="G16" i="5"/>
  <c r="H16" i="5"/>
  <c r="I16" i="5"/>
  <c r="E17" i="5"/>
  <c r="G17" i="5"/>
  <c r="H17" i="5"/>
  <c r="I17" i="5" s="1"/>
  <c r="E18" i="5"/>
  <c r="G18" i="5"/>
  <c r="H18" i="5"/>
  <c r="I18" i="5"/>
  <c r="E19" i="5"/>
  <c r="G19" i="5"/>
  <c r="H19" i="5"/>
  <c r="I19" i="5" s="1"/>
  <c r="E20" i="5"/>
  <c r="G20" i="5"/>
  <c r="H20" i="5"/>
  <c r="I20" i="5"/>
  <c r="E21" i="5"/>
  <c r="G21" i="5"/>
  <c r="H21" i="5"/>
  <c r="I21" i="5" s="1"/>
  <c r="E22" i="5"/>
  <c r="G22" i="5"/>
  <c r="H22" i="5"/>
  <c r="I22" i="5"/>
  <c r="E23" i="5"/>
  <c r="G23" i="5"/>
  <c r="H23" i="5"/>
  <c r="I23" i="5" s="1"/>
  <c r="E24" i="5"/>
  <c r="G24" i="5"/>
  <c r="H24" i="5"/>
  <c r="I24" i="5"/>
  <c r="E25" i="5"/>
  <c r="G25" i="5"/>
  <c r="H25" i="5"/>
  <c r="I25" i="5" s="1"/>
  <c r="E26" i="5"/>
  <c r="G26" i="5"/>
  <c r="H26" i="5"/>
  <c r="I26" i="5"/>
  <c r="E27" i="5"/>
  <c r="G27" i="5"/>
  <c r="H27" i="5"/>
  <c r="I27" i="5"/>
  <c r="E28" i="5"/>
  <c r="G28" i="5"/>
  <c r="H28" i="5"/>
  <c r="I28" i="5"/>
  <c r="E29" i="5"/>
  <c r="G29" i="5"/>
  <c r="H29" i="5"/>
  <c r="I29" i="5"/>
  <c r="E30" i="5"/>
  <c r="G30" i="5"/>
  <c r="H30" i="5"/>
  <c r="I30" i="5"/>
  <c r="E31" i="5"/>
  <c r="G31" i="5"/>
  <c r="H31" i="5"/>
  <c r="I31" i="5"/>
  <c r="D26" i="13"/>
  <c r="E26" i="13"/>
  <c r="F26" i="13"/>
  <c r="G26" i="13"/>
  <c r="J26" i="13"/>
  <c r="L26" i="13"/>
  <c r="M26" i="13"/>
  <c r="D25" i="11"/>
  <c r="E25" i="11"/>
  <c r="D26" i="11"/>
  <c r="B29" i="11"/>
  <c r="D29" i="11"/>
  <c r="B30" i="11"/>
  <c r="D31" i="11"/>
  <c r="B34" i="11"/>
  <c r="D34" i="11"/>
  <c r="B35" i="11"/>
  <c r="D36" i="11"/>
  <c r="D39" i="11"/>
  <c r="E39" i="11"/>
  <c r="D40" i="11"/>
  <c r="D43" i="11"/>
  <c r="E43" i="11"/>
  <c r="D44" i="11"/>
  <c r="D47" i="11"/>
  <c r="E47" i="11"/>
  <c r="D48" i="11"/>
  <c r="D51" i="11"/>
  <c r="E51" i="11"/>
  <c r="D53" i="11"/>
  <c r="F14" i="9"/>
  <c r="H14" i="9"/>
  <c r="G15" i="9"/>
  <c r="F23" i="9"/>
  <c r="D6" i="16" s="1"/>
  <c r="G23" i="9"/>
  <c r="E6" i="16" s="1"/>
  <c r="M23" i="9"/>
  <c r="K6" i="16" s="1"/>
  <c r="K11" i="16" s="1"/>
  <c r="N23" i="9"/>
  <c r="L6" i="16" s="1"/>
  <c r="F24" i="9"/>
  <c r="D7" i="16" s="1"/>
  <c r="G24" i="9"/>
  <c r="E7" i="16" s="1"/>
  <c r="H24" i="9"/>
  <c r="F7" i="16" s="1"/>
  <c r="B11" i="3"/>
  <c r="F11" i="3"/>
  <c r="F29" i="3" s="1"/>
  <c r="F33" i="3" s="1"/>
  <c r="F17" i="3"/>
  <c r="F25" i="3" s="1"/>
  <c r="F46" i="3" s="1"/>
  <c r="F37" i="3"/>
  <c r="F44" i="3"/>
  <c r="E8" i="14"/>
  <c r="I8" i="14"/>
  <c r="K8" i="14"/>
  <c r="E9" i="14"/>
  <c r="F9" i="14"/>
  <c r="G9" i="14"/>
  <c r="H9" i="14"/>
  <c r="I9" i="14"/>
  <c r="J9" i="14"/>
  <c r="K9" i="14"/>
  <c r="L9" i="14"/>
  <c r="M9" i="14"/>
  <c r="N9" i="14"/>
  <c r="O9" i="14"/>
  <c r="P9" i="14"/>
  <c r="E12" i="14"/>
  <c r="F12" i="14"/>
  <c r="G12" i="14"/>
  <c r="H12" i="14"/>
  <c r="I12" i="14"/>
  <c r="J12" i="14"/>
  <c r="K12" i="14"/>
  <c r="L12" i="14"/>
  <c r="M12" i="14"/>
  <c r="N12" i="14"/>
  <c r="O12" i="14"/>
  <c r="P12" i="14"/>
  <c r="Q12" i="14"/>
  <c r="R12" i="14"/>
  <c r="S12" i="14"/>
  <c r="T12" i="14"/>
  <c r="U12" i="14"/>
  <c r="V12" i="14"/>
  <c r="W12" i="14"/>
  <c r="X12" i="14"/>
  <c r="Y12" i="14"/>
  <c r="Z12" i="14"/>
  <c r="D14" i="14"/>
  <c r="F23" i="14"/>
  <c r="G23" i="14" s="1"/>
  <c r="D24" i="14"/>
  <c r="E24" i="14"/>
  <c r="Q24" i="14"/>
  <c r="R24" i="14"/>
  <c r="S24" i="14"/>
  <c r="T24" i="14"/>
  <c r="U24" i="14"/>
  <c r="V24" i="14"/>
  <c r="W24" i="14"/>
  <c r="X24" i="14"/>
  <c r="Y24" i="14"/>
  <c r="Z24" i="14"/>
  <c r="AA24" i="14"/>
  <c r="AB24" i="14"/>
  <c r="D29" i="14"/>
  <c r="E28" i="14" s="1"/>
  <c r="H23" i="14" l="1"/>
  <c r="G24" i="14"/>
  <c r="G20" i="16"/>
  <c r="D7" i="13"/>
  <c r="E11" i="16"/>
  <c r="E8" i="16"/>
  <c r="H26" i="13"/>
  <c r="D26" i="23" s="1"/>
  <c r="D8" i="16"/>
  <c r="D11" i="16"/>
  <c r="F24" i="14"/>
  <c r="B29" i="3"/>
  <c r="B33" i="3" s="1"/>
  <c r="B17" i="3"/>
  <c r="B25" i="3" s="1"/>
  <c r="B37" i="3"/>
  <c r="B44" i="3" s="1"/>
  <c r="C34" i="11"/>
  <c r="C35" i="11"/>
  <c r="K24" i="9"/>
  <c r="I7" i="16" s="1"/>
  <c r="H38" i="8"/>
  <c r="H34" i="5"/>
  <c r="K14" i="9" s="1"/>
  <c r="L11" i="16"/>
  <c r="D26" i="2"/>
  <c r="D29" i="2"/>
  <c r="D35" i="2"/>
  <c r="R20" i="16" s="1"/>
  <c r="D32" i="2"/>
  <c r="G92" i="1"/>
  <c r="G93" i="1"/>
  <c r="J24" i="9"/>
  <c r="H7" i="16" s="1"/>
  <c r="H15" i="9"/>
  <c r="L23" i="9"/>
  <c r="N26" i="13"/>
  <c r="F26" i="23" s="1"/>
  <c r="G33" i="1"/>
  <c r="G34" i="1"/>
  <c r="G36" i="1" s="1"/>
  <c r="AA8" i="15"/>
  <c r="AA12" i="14" s="1"/>
  <c r="G25" i="9"/>
  <c r="I24" i="9"/>
  <c r="G7" i="16" s="1"/>
  <c r="E7" i="13" s="1"/>
  <c r="I14" i="9"/>
  <c r="F25" i="9"/>
  <c r="F16" i="9"/>
  <c r="H23" i="9"/>
  <c r="B94" i="1"/>
  <c r="B95" i="1"/>
  <c r="B117" i="1" s="1"/>
  <c r="G117" i="1" s="1"/>
  <c r="E17" i="17"/>
  <c r="F13" i="17"/>
  <c r="G109" i="1"/>
  <c r="D12" i="17"/>
  <c r="C17" i="17"/>
  <c r="N30" i="8"/>
  <c r="E34" i="11" s="1"/>
  <c r="U21" i="12"/>
  <c r="N21" i="16" s="1"/>
  <c r="O8" i="14" s="1"/>
  <c r="G11" i="12"/>
  <c r="J22" i="2"/>
  <c r="J24" i="2" s="1"/>
  <c r="J25" i="2" s="1"/>
  <c r="M30" i="8"/>
  <c r="E29" i="11" s="1"/>
  <c r="E53" i="11" s="1"/>
  <c r="H10" i="8"/>
  <c r="L23" i="12"/>
  <c r="P5" i="12"/>
  <c r="H15" i="8"/>
  <c r="H16" i="8" s="1"/>
  <c r="M15" i="8"/>
  <c r="M16" i="8"/>
  <c r="I12" i="19"/>
  <c r="Q12" i="19"/>
  <c r="Y12" i="19"/>
  <c r="E12" i="19"/>
  <c r="M12" i="19"/>
  <c r="U12" i="19"/>
  <c r="G12" i="19"/>
  <c r="O12" i="19"/>
  <c r="W12" i="19"/>
  <c r="H12" i="19"/>
  <c r="P12" i="19"/>
  <c r="X12" i="19"/>
  <c r="F12" i="19"/>
  <c r="V12" i="19"/>
  <c r="E12" i="15"/>
  <c r="M12" i="15"/>
  <c r="U12" i="15"/>
  <c r="J12" i="19"/>
  <c r="Z12" i="19"/>
  <c r="L12" i="19"/>
  <c r="AB12" i="19"/>
  <c r="H12" i="15"/>
  <c r="P12" i="15"/>
  <c r="X12" i="15"/>
  <c r="N12" i="19"/>
  <c r="I12" i="15"/>
  <c r="Q12" i="15"/>
  <c r="Y12" i="15"/>
  <c r="T12" i="19"/>
  <c r="L12" i="15"/>
  <c r="T12" i="15"/>
  <c r="AB12" i="15"/>
  <c r="F12" i="15"/>
  <c r="V12" i="15"/>
  <c r="K12" i="19"/>
  <c r="K12" i="15"/>
  <c r="AA12" i="15"/>
  <c r="R12" i="19"/>
  <c r="N12" i="15"/>
  <c r="AA12" i="19"/>
  <c r="R12" i="15"/>
  <c r="S12" i="15"/>
  <c r="J12" i="15"/>
  <c r="W12" i="15"/>
  <c r="U23" i="12"/>
  <c r="P21" i="16" s="1"/>
  <c r="U37" i="12"/>
  <c r="S12" i="19"/>
  <c r="Z12" i="15"/>
  <c r="U12" i="12"/>
  <c r="E21" i="16" s="1"/>
  <c r="U14" i="12"/>
  <c r="G21" i="16" s="1"/>
  <c r="U16" i="12"/>
  <c r="I21" i="16" s="1"/>
  <c r="J8" i="14" s="1"/>
  <c r="U18" i="12"/>
  <c r="K21" i="16" s="1"/>
  <c r="U20" i="12"/>
  <c r="M21" i="16" s="1"/>
  <c r="U22" i="12"/>
  <c r="O21" i="16" s="1"/>
  <c r="P8" i="14" s="1"/>
  <c r="U26" i="12"/>
  <c r="S21" i="16" s="1"/>
  <c r="U34" i="12"/>
  <c r="AA21" i="16" s="1"/>
  <c r="AB8" i="14" s="1"/>
  <c r="U40" i="12"/>
  <c r="U38" i="12"/>
  <c r="U35" i="12"/>
  <c r="J18" i="16"/>
  <c r="B110" i="1"/>
  <c r="U19" i="12"/>
  <c r="L21" i="16" s="1"/>
  <c r="M8" i="14" s="1"/>
  <c r="I34" i="5"/>
  <c r="U13" i="12"/>
  <c r="F21" i="16" s="1"/>
  <c r="G8" i="14" s="1"/>
  <c r="F11" i="12"/>
  <c r="R11" i="12" s="1"/>
  <c r="G31" i="15"/>
  <c r="D11" i="19"/>
  <c r="D11" i="15"/>
  <c r="F30" i="19"/>
  <c r="AA20" i="16" l="1"/>
  <c r="T20" i="16"/>
  <c r="U20" i="16"/>
  <c r="W20" i="16"/>
  <c r="X20" i="16"/>
  <c r="V20" i="16"/>
  <c r="L20" i="13" s="1"/>
  <c r="J32" i="2"/>
  <c r="J35" i="2"/>
  <c r="Y20" i="16" s="1"/>
  <c r="J29" i="2"/>
  <c r="J20" i="16"/>
  <c r="H31" i="15"/>
  <c r="D14" i="17"/>
  <c r="D17" i="17" s="1"/>
  <c r="C20" i="17"/>
  <c r="D15" i="17"/>
  <c r="U47" i="12"/>
  <c r="U48" i="12"/>
  <c r="U49" i="12"/>
  <c r="U50" i="12"/>
  <c r="U51" i="12"/>
  <c r="U52" i="12"/>
  <c r="U53" i="12"/>
  <c r="U54" i="12"/>
  <c r="U55" i="12"/>
  <c r="U56" i="12"/>
  <c r="U57" i="12"/>
  <c r="U58" i="12"/>
  <c r="U24" i="12"/>
  <c r="Q21" i="16" s="1"/>
  <c r="R8" i="14" s="1"/>
  <c r="U45" i="12"/>
  <c r="U39" i="12"/>
  <c r="U29" i="12"/>
  <c r="V21" i="16" s="1"/>
  <c r="U32" i="12"/>
  <c r="Y21" i="16" s="1"/>
  <c r="F7" i="19"/>
  <c r="F18" i="19"/>
  <c r="F19" i="19"/>
  <c r="F18" i="15"/>
  <c r="F7" i="15"/>
  <c r="F19" i="15"/>
  <c r="U41" i="12"/>
  <c r="U46" i="12"/>
  <c r="M23" i="12"/>
  <c r="N23" i="12" s="1"/>
  <c r="O23" i="12"/>
  <c r="L24" i="12" s="1"/>
  <c r="H32" i="9"/>
  <c r="K16" i="9"/>
  <c r="F32" i="9"/>
  <c r="K15" i="9"/>
  <c r="G32" i="9"/>
  <c r="L14" i="9"/>
  <c r="M20" i="16"/>
  <c r="Q20" i="16"/>
  <c r="K18" i="16"/>
  <c r="B46" i="3"/>
  <c r="M18" i="16"/>
  <c r="O18" i="16"/>
  <c r="N18" i="16"/>
  <c r="D13" i="15"/>
  <c r="D14" i="15" s="1"/>
  <c r="E11" i="15"/>
  <c r="U43" i="12"/>
  <c r="U33" i="12"/>
  <c r="Z21" i="16" s="1"/>
  <c r="AA8" i="14" s="1"/>
  <c r="G30" i="19"/>
  <c r="E11" i="19"/>
  <c r="D13" i="19"/>
  <c r="D14" i="19" s="1"/>
  <c r="U44" i="12"/>
  <c r="F21" i="13"/>
  <c r="L8" i="14"/>
  <c r="U31" i="12"/>
  <c r="X21" i="16" s="1"/>
  <c r="Y8" i="14" s="1"/>
  <c r="U28" i="12"/>
  <c r="U21" i="16" s="1"/>
  <c r="V8" i="14" s="1"/>
  <c r="L18" i="16"/>
  <c r="P23" i="9"/>
  <c r="I15" i="9"/>
  <c r="J15" i="9" s="1"/>
  <c r="O23" i="9"/>
  <c r="Q23" i="9"/>
  <c r="E20" i="16"/>
  <c r="I20" i="16"/>
  <c r="J21" i="13"/>
  <c r="Q8" i="14"/>
  <c r="T11" i="12"/>
  <c r="D12" i="12"/>
  <c r="L13" i="16"/>
  <c r="G21" i="13"/>
  <c r="N8" i="14"/>
  <c r="F12" i="16"/>
  <c r="N12" i="16"/>
  <c r="G12" i="16"/>
  <c r="E12" i="13" s="1"/>
  <c r="O12" i="16"/>
  <c r="H12" i="16"/>
  <c r="P12" i="16"/>
  <c r="J12" i="13" s="1"/>
  <c r="G110" i="1"/>
  <c r="E12" i="16"/>
  <c r="E13" i="16" s="1"/>
  <c r="E15" i="16" s="1"/>
  <c r="I12" i="16"/>
  <c r="J12" i="16"/>
  <c r="K12" i="16"/>
  <c r="K13" i="16" s="1"/>
  <c r="L12" i="16"/>
  <c r="Q12" i="16"/>
  <c r="D12" i="16"/>
  <c r="D12" i="13" s="1"/>
  <c r="R12" i="16"/>
  <c r="M12" i="16"/>
  <c r="U42" i="12"/>
  <c r="U27" i="12"/>
  <c r="T21" i="16" s="1"/>
  <c r="U8" i="14" s="1"/>
  <c r="U36" i="12"/>
  <c r="F14" i="17"/>
  <c r="E20" i="17"/>
  <c r="F15" i="17"/>
  <c r="F12" i="17"/>
  <c r="N20" i="16"/>
  <c r="L20" i="16"/>
  <c r="J22" i="16"/>
  <c r="F18" i="13"/>
  <c r="J6" i="16"/>
  <c r="F20" i="16"/>
  <c r="D20" i="16"/>
  <c r="D20" i="13" s="1"/>
  <c r="L24" i="9"/>
  <c r="J7" i="16" s="1"/>
  <c r="H16" i="9"/>
  <c r="M24" i="9"/>
  <c r="N24" i="9"/>
  <c r="P20" i="16"/>
  <c r="J20" i="13" s="1"/>
  <c r="S20" i="16"/>
  <c r="K20" i="13" s="1"/>
  <c r="G95" i="1"/>
  <c r="I19" i="16"/>
  <c r="Q19" i="16"/>
  <c r="J19" i="16"/>
  <c r="R19" i="16"/>
  <c r="K19" i="16"/>
  <c r="S19" i="16"/>
  <c r="D19" i="16"/>
  <c r="L19" i="16"/>
  <c r="E19" i="16"/>
  <c r="M19" i="16"/>
  <c r="G19" i="16"/>
  <c r="O19" i="16"/>
  <c r="H19" i="16"/>
  <c r="P19" i="16"/>
  <c r="N19" i="16"/>
  <c r="F19" i="16"/>
  <c r="E21" i="19"/>
  <c r="E21" i="15"/>
  <c r="E18" i="14" s="1"/>
  <c r="E19" i="14" s="1"/>
  <c r="F8" i="14"/>
  <c r="D21" i="13"/>
  <c r="C30" i="11"/>
  <c r="C29" i="11"/>
  <c r="U30" i="12"/>
  <c r="W21" i="16" s="1"/>
  <c r="X8" i="14" s="1"/>
  <c r="H33" i="8"/>
  <c r="B39" i="11"/>
  <c r="B31" i="11"/>
  <c r="B40" i="11"/>
  <c r="B25" i="11"/>
  <c r="B36" i="11"/>
  <c r="B44" i="11"/>
  <c r="B48" i="11"/>
  <c r="B51" i="11"/>
  <c r="B26" i="11"/>
  <c r="B47" i="11"/>
  <c r="B43" i="11"/>
  <c r="U25" i="12"/>
  <c r="R21" i="16" s="1"/>
  <c r="S8" i="14" s="1"/>
  <c r="F6" i="16"/>
  <c r="H25" i="9"/>
  <c r="E18" i="19"/>
  <c r="E19" i="19"/>
  <c r="E7" i="19"/>
  <c r="E19" i="15"/>
  <c r="E7" i="15"/>
  <c r="E18" i="15"/>
  <c r="H20" i="16"/>
  <c r="E20" i="13" s="1"/>
  <c r="K20" i="16"/>
  <c r="H8" i="14"/>
  <c r="E21" i="13"/>
  <c r="T8" i="14"/>
  <c r="C36" i="11"/>
  <c r="C25" i="11"/>
  <c r="C43" i="11"/>
  <c r="C39" i="11"/>
  <c r="C26" i="11"/>
  <c r="C44" i="11"/>
  <c r="C48" i="11"/>
  <c r="G14" i="9"/>
  <c r="C31" i="11"/>
  <c r="C51" i="11"/>
  <c r="C40" i="11"/>
  <c r="C47" i="11"/>
  <c r="AB8" i="15"/>
  <c r="AB12" i="14"/>
  <c r="O20" i="16"/>
  <c r="I23" i="14"/>
  <c r="H24" i="14"/>
  <c r="F17" i="17" l="1"/>
  <c r="V12" i="16"/>
  <c r="W12" i="16"/>
  <c r="S12" i="16"/>
  <c r="T12" i="16"/>
  <c r="U12" i="16"/>
  <c r="X12" i="16"/>
  <c r="Y12" i="16"/>
  <c r="AA12" i="16"/>
  <c r="Z12" i="16"/>
  <c r="E22" i="15"/>
  <c r="E13" i="14"/>
  <c r="F13" i="14"/>
  <c r="H21" i="13"/>
  <c r="D21" i="23" s="1"/>
  <c r="O6" i="16"/>
  <c r="Q25" i="9"/>
  <c r="O22" i="16"/>
  <c r="G20" i="13"/>
  <c r="R6" i="16"/>
  <c r="I31" i="15"/>
  <c r="B53" i="11"/>
  <c r="I24" i="14"/>
  <c r="J23" i="14"/>
  <c r="J23" i="9"/>
  <c r="K23" i="9"/>
  <c r="I23" i="9"/>
  <c r="G16" i="9"/>
  <c r="J14" i="9"/>
  <c r="J16" i="9" s="1"/>
  <c r="E11" i="14"/>
  <c r="F11" i="14"/>
  <c r="E19" i="13"/>
  <c r="F19" i="13"/>
  <c r="D13" i="16"/>
  <c r="D15" i="16" s="1"/>
  <c r="J11" i="16"/>
  <c r="F6" i="13"/>
  <c r="J8" i="16"/>
  <c r="E12" i="12"/>
  <c r="M6" i="16"/>
  <c r="O25" i="9"/>
  <c r="M24" i="12"/>
  <c r="N24" i="12" s="1"/>
  <c r="O24" i="12"/>
  <c r="L25" i="12" s="1"/>
  <c r="K7" i="16"/>
  <c r="K8" i="16" s="1"/>
  <c r="M25" i="9"/>
  <c r="C53" i="11"/>
  <c r="F8" i="16"/>
  <c r="F11" i="16"/>
  <c r="D6" i="13"/>
  <c r="K21" i="13"/>
  <c r="G19" i="13"/>
  <c r="L7" i="16"/>
  <c r="L8" i="16" s="1"/>
  <c r="N25" i="9"/>
  <c r="L25" i="9"/>
  <c r="D25" i="19"/>
  <c r="D26" i="19" s="1"/>
  <c r="D27" i="19" s="1"/>
  <c r="D36" i="19" s="1"/>
  <c r="D25" i="15"/>
  <c r="D26" i="15" s="1"/>
  <c r="D27" i="15" s="1"/>
  <c r="D37" i="15" s="1"/>
  <c r="I16" i="9"/>
  <c r="F11" i="15"/>
  <c r="E13" i="15"/>
  <c r="G18" i="13"/>
  <c r="M22" i="16"/>
  <c r="F20" i="13"/>
  <c r="H20" i="13" s="1"/>
  <c r="D20" i="23" s="1"/>
  <c r="N6" i="16"/>
  <c r="F11" i="19"/>
  <c r="E13" i="19"/>
  <c r="N22" i="16"/>
  <c r="Q6" i="16"/>
  <c r="Z8" i="14"/>
  <c r="M21" i="13"/>
  <c r="Y19" i="16"/>
  <c r="Z19" i="16"/>
  <c r="AA19" i="16"/>
  <c r="T19" i="16"/>
  <c r="K19" i="13" s="1"/>
  <c r="U19" i="16"/>
  <c r="W19" i="16"/>
  <c r="X19" i="16"/>
  <c r="V19" i="16"/>
  <c r="L19" i="13" s="1"/>
  <c r="F12" i="13"/>
  <c r="H12" i="13" s="1"/>
  <c r="D12" i="23" s="1"/>
  <c r="L22" i="16"/>
  <c r="H30" i="19"/>
  <c r="H33" i="9"/>
  <c r="R7" i="16" s="1"/>
  <c r="F33" i="9"/>
  <c r="P7" i="16" s="1"/>
  <c r="G33" i="9"/>
  <c r="Q7" i="16" s="1"/>
  <c r="L21" i="13"/>
  <c r="N21" i="13" s="1"/>
  <c r="F21" i="23" s="1"/>
  <c r="W8" i="14"/>
  <c r="Z20" i="16"/>
  <c r="M20" i="13" s="1"/>
  <c r="N20" i="13" s="1"/>
  <c r="F20" i="23" s="1"/>
  <c r="P24" i="9"/>
  <c r="N7" i="16" s="1"/>
  <c r="Q24" i="9"/>
  <c r="O7" i="16" s="1"/>
  <c r="O24" i="9"/>
  <c r="M7" i="16" s="1"/>
  <c r="M14" i="9"/>
  <c r="L15" i="9"/>
  <c r="L16" i="9"/>
  <c r="I32" i="9"/>
  <c r="J32" i="9"/>
  <c r="K32" i="9"/>
  <c r="E22" i="19"/>
  <c r="D19" i="13"/>
  <c r="H19" i="13" s="1"/>
  <c r="D19" i="23" s="1"/>
  <c r="J19" i="13"/>
  <c r="G12" i="13"/>
  <c r="K22" i="16"/>
  <c r="F22" i="13" s="1"/>
  <c r="P6" i="16"/>
  <c r="K18" i="19" l="1"/>
  <c r="K19" i="19"/>
  <c r="K18" i="15"/>
  <c r="K19" i="15"/>
  <c r="K7" i="19"/>
  <c r="K7" i="15"/>
  <c r="L12" i="13"/>
  <c r="F7" i="13"/>
  <c r="G11" i="19"/>
  <c r="F13" i="19"/>
  <c r="M25" i="12"/>
  <c r="N25" i="12" s="1"/>
  <c r="O25" i="12"/>
  <c r="L26" i="12" s="1"/>
  <c r="F11" i="13"/>
  <c r="J13" i="16"/>
  <c r="F13" i="13" s="1"/>
  <c r="G6" i="16"/>
  <c r="I25" i="9"/>
  <c r="J31" i="15"/>
  <c r="O8" i="16"/>
  <c r="O11" i="16"/>
  <c r="O13" i="16" s="1"/>
  <c r="N19" i="13"/>
  <c r="F19" i="23" s="1"/>
  <c r="I33" i="9"/>
  <c r="S7" i="16" s="1"/>
  <c r="K7" i="13" s="1"/>
  <c r="J33" i="9"/>
  <c r="T7" i="16" s="1"/>
  <c r="K33" i="9"/>
  <c r="U7" i="16" s="1"/>
  <c r="M19" i="13"/>
  <c r="P25" i="9"/>
  <c r="G11" i="15"/>
  <c r="F13" i="15"/>
  <c r="I6" i="16"/>
  <c r="K25" i="9"/>
  <c r="M12" i="13"/>
  <c r="H6" i="16"/>
  <c r="J25" i="9"/>
  <c r="G22" i="13"/>
  <c r="S6" i="16"/>
  <c r="I34" i="9"/>
  <c r="M18" i="19"/>
  <c r="M19" i="19"/>
  <c r="M7" i="19"/>
  <c r="M7" i="15"/>
  <c r="M19" i="15"/>
  <c r="M18" i="15"/>
  <c r="L15" i="16"/>
  <c r="L23" i="16" s="1"/>
  <c r="L18" i="19"/>
  <c r="L7" i="15"/>
  <c r="M11" i="14" s="1"/>
  <c r="L19" i="19"/>
  <c r="L7" i="19"/>
  <c r="L18" i="15"/>
  <c r="L19" i="15"/>
  <c r="K15" i="16"/>
  <c r="K23" i="16" s="1"/>
  <c r="L32" i="9"/>
  <c r="N32" i="9"/>
  <c r="M15" i="9"/>
  <c r="M16" i="9" s="1"/>
  <c r="N14" i="9"/>
  <c r="O14" i="9" s="1"/>
  <c r="M32" i="9"/>
  <c r="D8" i="13"/>
  <c r="J7" i="13"/>
  <c r="F13" i="16"/>
  <c r="D11" i="13"/>
  <c r="G6" i="13"/>
  <c r="M11" i="16"/>
  <c r="M8" i="16"/>
  <c r="J24" i="14"/>
  <c r="K23" i="14"/>
  <c r="H34" i="9"/>
  <c r="N8" i="16"/>
  <c r="N11" i="16"/>
  <c r="N13" i="16" s="1"/>
  <c r="G34" i="9"/>
  <c r="G18" i="19"/>
  <c r="G19" i="19"/>
  <c r="G7" i="15"/>
  <c r="G7" i="19"/>
  <c r="G18" i="15"/>
  <c r="G19" i="15"/>
  <c r="F15" i="16"/>
  <c r="F23" i="16" s="1"/>
  <c r="R11" i="16"/>
  <c r="R13" i="16" s="1"/>
  <c r="R8" i="16"/>
  <c r="R18" i="16"/>
  <c r="R22" i="16" s="1"/>
  <c r="T6" i="16"/>
  <c r="J34" i="9"/>
  <c r="F18" i="16"/>
  <c r="F22" i="16" s="1"/>
  <c r="E18" i="16"/>
  <c r="E22" i="16" s="1"/>
  <c r="E23" i="16" s="1"/>
  <c r="D18" i="16"/>
  <c r="G7" i="13"/>
  <c r="F34" i="9"/>
  <c r="P8" i="16"/>
  <c r="P11" i="16"/>
  <c r="J6" i="13"/>
  <c r="P18" i="16"/>
  <c r="U6" i="16"/>
  <c r="K34" i="9"/>
  <c r="I30" i="19"/>
  <c r="Q8" i="16"/>
  <c r="Q11" i="16"/>
  <c r="Q13" i="16" s="1"/>
  <c r="Q18" i="16"/>
  <c r="Q22" i="16" s="1"/>
  <c r="I18" i="16"/>
  <c r="I22" i="16" s="1"/>
  <c r="G18" i="16"/>
  <c r="H18" i="16"/>
  <c r="H22" i="16" s="1"/>
  <c r="S12" i="12"/>
  <c r="F12" i="12"/>
  <c r="K12" i="13"/>
  <c r="V6" i="16" l="1"/>
  <c r="S11" i="16"/>
  <c r="S8" i="16"/>
  <c r="K6" i="13"/>
  <c r="S18" i="16"/>
  <c r="J15" i="16"/>
  <c r="J8" i="13"/>
  <c r="T11" i="16"/>
  <c r="T13" i="16" s="1"/>
  <c r="T8" i="16"/>
  <c r="T18" i="16"/>
  <c r="T22" i="16" s="1"/>
  <c r="K24" i="14"/>
  <c r="L23" i="14"/>
  <c r="N12" i="13"/>
  <c r="F12" i="23" s="1"/>
  <c r="Q7" i="19"/>
  <c r="Q18" i="15"/>
  <c r="Q19" i="15"/>
  <c r="Q19" i="19"/>
  <c r="Q18" i="19"/>
  <c r="Q7" i="15"/>
  <c r="G11" i="14"/>
  <c r="P7" i="19"/>
  <c r="P7" i="15"/>
  <c r="Q11" i="14" s="1"/>
  <c r="P18" i="19"/>
  <c r="P18" i="15"/>
  <c r="P19" i="15"/>
  <c r="P19" i="19"/>
  <c r="O15" i="16"/>
  <c r="O23" i="16" s="1"/>
  <c r="E18" i="13"/>
  <c r="G22" i="16"/>
  <c r="E22" i="13" s="1"/>
  <c r="U11" i="16"/>
  <c r="U13" i="16" s="1"/>
  <c r="U8" i="16"/>
  <c r="U18" i="16"/>
  <c r="U22" i="16" s="1"/>
  <c r="J18" i="13"/>
  <c r="P22" i="16"/>
  <c r="J22" i="13" s="1"/>
  <c r="O18" i="19"/>
  <c r="O19" i="19"/>
  <c r="O7" i="15"/>
  <c r="O7" i="19"/>
  <c r="O18" i="15"/>
  <c r="O19" i="15"/>
  <c r="N15" i="16"/>
  <c r="N23" i="16" s="1"/>
  <c r="X6" i="16"/>
  <c r="J11" i="13"/>
  <c r="P13" i="16"/>
  <c r="J13" i="13" s="1"/>
  <c r="G13" i="15"/>
  <c r="H11" i="15"/>
  <c r="M26" i="12"/>
  <c r="N26" i="12" s="1"/>
  <c r="O26" i="12"/>
  <c r="L27" i="12" s="1"/>
  <c r="L11" i="14"/>
  <c r="R7" i="19"/>
  <c r="R18" i="19"/>
  <c r="R19" i="19"/>
  <c r="R7" i="15"/>
  <c r="R18" i="15"/>
  <c r="Q15" i="16"/>
  <c r="Q23" i="16" s="1"/>
  <c r="R19" i="15"/>
  <c r="R12" i="12"/>
  <c r="G12" i="12"/>
  <c r="N7" i="19"/>
  <c r="N18" i="19"/>
  <c r="N19" i="19"/>
  <c r="N19" i="15"/>
  <c r="G8" i="13"/>
  <c r="N7" i="15"/>
  <c r="O11" i="14" s="1"/>
  <c r="N18" i="15"/>
  <c r="M15" i="16"/>
  <c r="W6" i="16"/>
  <c r="M13" i="14"/>
  <c r="H8" i="16"/>
  <c r="H11" i="16"/>
  <c r="H13" i="16" s="1"/>
  <c r="G11" i="13"/>
  <c r="M13" i="16"/>
  <c r="G13" i="13" s="1"/>
  <c r="P32" i="9"/>
  <c r="O32" i="9"/>
  <c r="Q32" i="9"/>
  <c r="N15" i="9"/>
  <c r="O15" i="9" s="1"/>
  <c r="O16" i="9" s="1"/>
  <c r="K31" i="15"/>
  <c r="H11" i="19"/>
  <c r="G13" i="19"/>
  <c r="L13" i="14"/>
  <c r="G13" i="14"/>
  <c r="J30" i="19"/>
  <c r="S18" i="19"/>
  <c r="S19" i="19"/>
  <c r="S7" i="15"/>
  <c r="S18" i="15"/>
  <c r="S19" i="15"/>
  <c r="S7" i="19"/>
  <c r="R15" i="16"/>
  <c r="R23" i="16" s="1"/>
  <c r="D22" i="16"/>
  <c r="D18" i="13"/>
  <c r="H18" i="13" s="1"/>
  <c r="D18" i="23" s="1"/>
  <c r="H7" i="13"/>
  <c r="D7" i="23" s="1"/>
  <c r="D13" i="13"/>
  <c r="D15" i="13" s="1"/>
  <c r="L33" i="9"/>
  <c r="V7" i="16" s="1"/>
  <c r="N33" i="9"/>
  <c r="X7" i="16" s="1"/>
  <c r="M33" i="9"/>
  <c r="W7" i="16" s="1"/>
  <c r="I11" i="16"/>
  <c r="I13" i="16" s="1"/>
  <c r="I8" i="16"/>
  <c r="G8" i="16"/>
  <c r="G11" i="16"/>
  <c r="E6" i="13"/>
  <c r="H6" i="13" s="1"/>
  <c r="D6" i="23" s="1"/>
  <c r="F8" i="13"/>
  <c r="L31" i="15" l="1"/>
  <c r="G15" i="13"/>
  <c r="M23" i="16"/>
  <c r="T12" i="12"/>
  <c r="D13" i="12"/>
  <c r="S22" i="16"/>
  <c r="K22" i="13" s="1"/>
  <c r="K18" i="13"/>
  <c r="J7" i="19"/>
  <c r="J7" i="15"/>
  <c r="K11" i="14" s="1"/>
  <c r="J19" i="19"/>
  <c r="J18" i="19"/>
  <c r="J18" i="15"/>
  <c r="J19" i="15"/>
  <c r="I15" i="16"/>
  <c r="I23" i="16" s="1"/>
  <c r="O13" i="14"/>
  <c r="F21" i="19"/>
  <c r="F22" i="19" s="1"/>
  <c r="F21" i="15"/>
  <c r="N34" i="9"/>
  <c r="R13" i="14"/>
  <c r="P33" i="9"/>
  <c r="Z7" i="16" s="1"/>
  <c r="O33" i="9"/>
  <c r="Y7" i="16" s="1"/>
  <c r="Q33" i="9"/>
  <c r="AA7" i="16" s="1"/>
  <c r="M27" i="12"/>
  <c r="N27" i="12" s="1"/>
  <c r="O27" i="12"/>
  <c r="L28" i="12" s="1"/>
  <c r="T19" i="19"/>
  <c r="T7" i="15"/>
  <c r="T18" i="19"/>
  <c r="T19" i="15"/>
  <c r="T18" i="15"/>
  <c r="T7" i="19"/>
  <c r="K8" i="13"/>
  <c r="I7" i="19"/>
  <c r="I7" i="15"/>
  <c r="I19" i="15"/>
  <c r="I18" i="15"/>
  <c r="I18" i="19"/>
  <c r="I19" i="19"/>
  <c r="H15" i="16"/>
  <c r="H23" i="16" s="1"/>
  <c r="X8" i="16"/>
  <c r="X11" i="16"/>
  <c r="X13" i="16" s="1"/>
  <c r="X18" i="16"/>
  <c r="X22" i="16" s="1"/>
  <c r="U18" i="19"/>
  <c r="U19" i="19"/>
  <c r="U7" i="19"/>
  <c r="U7" i="15"/>
  <c r="V11" i="14" s="1"/>
  <c r="U18" i="15"/>
  <c r="U19" i="15"/>
  <c r="T15" i="16"/>
  <c r="T23" i="16" s="1"/>
  <c r="D22" i="13"/>
  <c r="H22" i="13" s="1"/>
  <c r="D22" i="23" s="1"/>
  <c r="D23" i="16"/>
  <c r="AA6" i="16"/>
  <c r="Q34" i="9"/>
  <c r="N11" i="14"/>
  <c r="S13" i="16"/>
  <c r="K13" i="13" s="1"/>
  <c r="K11" i="13"/>
  <c r="Y6" i="16"/>
  <c r="S13" i="14"/>
  <c r="H13" i="15"/>
  <c r="I11" i="15"/>
  <c r="Q13" i="14"/>
  <c r="P15" i="16"/>
  <c r="N13" i="14"/>
  <c r="G13" i="16"/>
  <c r="E11" i="13"/>
  <c r="H7" i="19"/>
  <c r="H7" i="15"/>
  <c r="H19" i="19"/>
  <c r="H18" i="19"/>
  <c r="H18" i="15"/>
  <c r="H19" i="15"/>
  <c r="G15" i="16"/>
  <c r="E8" i="13"/>
  <c r="H8" i="13" s="1"/>
  <c r="D8" i="23" s="1"/>
  <c r="K30" i="19"/>
  <c r="Z6" i="16"/>
  <c r="S11" i="14"/>
  <c r="P13" i="14"/>
  <c r="V7" i="19"/>
  <c r="V18" i="19"/>
  <c r="V19" i="19"/>
  <c r="V7" i="15"/>
  <c r="V19" i="15"/>
  <c r="V18" i="15"/>
  <c r="U15" i="16"/>
  <c r="U23" i="16" s="1"/>
  <c r="R11" i="14"/>
  <c r="L34" i="9"/>
  <c r="L7" i="13"/>
  <c r="I11" i="19"/>
  <c r="H13" i="19"/>
  <c r="N16" i="9"/>
  <c r="M34" i="9"/>
  <c r="V8" i="16"/>
  <c r="V11" i="16"/>
  <c r="L6" i="13"/>
  <c r="V18" i="16"/>
  <c r="W8" i="16"/>
  <c r="W11" i="16"/>
  <c r="W13" i="16" s="1"/>
  <c r="W18" i="16"/>
  <c r="W22" i="16" s="1"/>
  <c r="P11" i="14"/>
  <c r="L24" i="14"/>
  <c r="M23" i="14"/>
  <c r="J23" i="16"/>
  <c r="F15" i="13"/>
  <c r="G23" i="13" l="1"/>
  <c r="F18" i="14"/>
  <c r="F19" i="14" s="1"/>
  <c r="F22" i="15"/>
  <c r="I11" i="14"/>
  <c r="H11" i="14"/>
  <c r="AA11" i="16"/>
  <c r="AA13" i="16" s="1"/>
  <c r="AA8" i="16"/>
  <c r="AA18" i="16"/>
  <c r="AA22" i="16" s="1"/>
  <c r="U13" i="14"/>
  <c r="M7" i="13"/>
  <c r="N7" i="13" s="1"/>
  <c r="F7" i="23" s="1"/>
  <c r="H7" i="23" s="1"/>
  <c r="J7" i="23" s="1"/>
  <c r="L7" i="23" s="1"/>
  <c r="W18" i="19"/>
  <c r="W19" i="19"/>
  <c r="W7" i="15"/>
  <c r="W7" i="19"/>
  <c r="W18" i="15"/>
  <c r="W19" i="15"/>
  <c r="L8" i="13"/>
  <c r="J11" i="15"/>
  <c r="I13" i="15"/>
  <c r="J13" i="14"/>
  <c r="E13" i="13"/>
  <c r="H13" i="13" s="1"/>
  <c r="D13" i="23" s="1"/>
  <c r="H11" i="13"/>
  <c r="D11" i="23" s="1"/>
  <c r="D23" i="13"/>
  <c r="D25" i="16"/>
  <c r="J11" i="14"/>
  <c r="U11" i="14"/>
  <c r="T11" i="14"/>
  <c r="T13" i="14"/>
  <c r="L30" i="19"/>
  <c r="M31" i="15"/>
  <c r="F23" i="13"/>
  <c r="X7" i="19"/>
  <c r="X7" i="15"/>
  <c r="Y11" i="14" s="1"/>
  <c r="X19" i="19"/>
  <c r="X18" i="15"/>
  <c r="X18" i="19"/>
  <c r="X19" i="15"/>
  <c r="W15" i="16"/>
  <c r="W23" i="16" s="1"/>
  <c r="N23" i="14"/>
  <c r="M24" i="14"/>
  <c r="V22" i="16"/>
  <c r="L22" i="13" s="1"/>
  <c r="L18" i="13"/>
  <c r="Z8" i="16"/>
  <c r="Z11" i="16"/>
  <c r="Z13" i="16" s="1"/>
  <c r="Z18" i="16"/>
  <c r="Z22" i="16" s="1"/>
  <c r="I13" i="14"/>
  <c r="H13" i="14"/>
  <c r="O34" i="9"/>
  <c r="Y7" i="19"/>
  <c r="Y7" i="15"/>
  <c r="Y19" i="19"/>
  <c r="Y18" i="19"/>
  <c r="Y19" i="15"/>
  <c r="Y18" i="15"/>
  <c r="X15" i="16"/>
  <c r="X23" i="16" s="1"/>
  <c r="M28" i="12"/>
  <c r="N28" i="12" s="1"/>
  <c r="O28" i="12"/>
  <c r="L29" i="12" s="1"/>
  <c r="E13" i="12"/>
  <c r="G23" i="16"/>
  <c r="E15" i="13"/>
  <c r="H15" i="13" s="1"/>
  <c r="D15" i="23" s="1"/>
  <c r="V13" i="16"/>
  <c r="L13" i="13" s="1"/>
  <c r="L11" i="13"/>
  <c r="J11" i="19"/>
  <c r="I13" i="19"/>
  <c r="W11" i="14"/>
  <c r="P34" i="9"/>
  <c r="J15" i="13"/>
  <c r="P23" i="16"/>
  <c r="M6" i="13"/>
  <c r="N6" i="13" s="1"/>
  <c r="F6" i="23" s="1"/>
  <c r="H6" i="23" s="1"/>
  <c r="Y11" i="16"/>
  <c r="Y8" i="16"/>
  <c r="Y18" i="16"/>
  <c r="V13" i="14"/>
  <c r="S15" i="16"/>
  <c r="K13" i="14"/>
  <c r="E25" i="19"/>
  <c r="E26" i="19" s="1"/>
  <c r="E27" i="19" s="1"/>
  <c r="E25" i="15"/>
  <c r="E26" i="15" s="1"/>
  <c r="E27" i="15" s="1"/>
  <c r="H8" i="23" l="1"/>
  <c r="J6" i="23"/>
  <c r="O23" i="14"/>
  <c r="N24" i="14"/>
  <c r="Y13" i="16"/>
  <c r="M13" i="13" s="1"/>
  <c r="M11" i="13"/>
  <c r="N11" i="13" s="1"/>
  <c r="F11" i="23" s="1"/>
  <c r="J13" i="19"/>
  <c r="K11" i="19"/>
  <c r="X11" i="14"/>
  <c r="AB18" i="19"/>
  <c r="AB19" i="19"/>
  <c r="AB7" i="15"/>
  <c r="AB7" i="19"/>
  <c r="AB19" i="15"/>
  <c r="AB18" i="15"/>
  <c r="AA15" i="16"/>
  <c r="AA23" i="16" s="1"/>
  <c r="S13" i="12"/>
  <c r="F13" i="12"/>
  <c r="Z11" i="14"/>
  <c r="AA18" i="19"/>
  <c r="AA19" i="19"/>
  <c r="AA18" i="15"/>
  <c r="AA19" i="15"/>
  <c r="AA7" i="19"/>
  <c r="Z15" i="16"/>
  <c r="Z23" i="16" s="1"/>
  <c r="AA7" i="15"/>
  <c r="AB11" i="14" s="1"/>
  <c r="Y22" i="16"/>
  <c r="M22" i="13" s="1"/>
  <c r="M18" i="13"/>
  <c r="X13" i="14"/>
  <c r="Z7" i="19"/>
  <c r="Z19" i="19"/>
  <c r="Z18" i="19"/>
  <c r="Z18" i="15"/>
  <c r="Z19" i="15"/>
  <c r="Z7" i="15"/>
  <c r="Y15" i="16"/>
  <c r="M8" i="13"/>
  <c r="N8" i="13" s="1"/>
  <c r="F8" i="23" s="1"/>
  <c r="N13" i="13"/>
  <c r="F13" i="23" s="1"/>
  <c r="M29" i="12"/>
  <c r="N29" i="12" s="1"/>
  <c r="O29" i="12" s="1"/>
  <c r="L30" i="12" s="1"/>
  <c r="N18" i="13"/>
  <c r="F18" i="23" s="1"/>
  <c r="N31" i="15"/>
  <c r="K11" i="15"/>
  <c r="J13" i="15"/>
  <c r="S23" i="16"/>
  <c r="K15" i="13"/>
  <c r="J23" i="13"/>
  <c r="N22" i="13"/>
  <c r="F22" i="23" s="1"/>
  <c r="Y13" i="14"/>
  <c r="M30" i="19"/>
  <c r="D27" i="16"/>
  <c r="V15" i="16"/>
  <c r="E23" i="13"/>
  <c r="H23" i="13" s="1"/>
  <c r="D23" i="23" s="1"/>
  <c r="W13" i="14"/>
  <c r="M30" i="12" l="1"/>
  <c r="N30" i="12" s="1"/>
  <c r="O30" i="12"/>
  <c r="L31" i="12" s="1"/>
  <c r="E6" i="14"/>
  <c r="E14" i="14" s="1"/>
  <c r="E27" i="14" s="1"/>
  <c r="E29" i="14" s="1"/>
  <c r="AA13" i="14"/>
  <c r="Z13" i="14"/>
  <c r="K23" i="13"/>
  <c r="R13" i="12"/>
  <c r="G13" i="12"/>
  <c r="P23" i="14"/>
  <c r="P24" i="14" s="1"/>
  <c r="O24" i="14"/>
  <c r="L6" i="23"/>
  <c r="L8" i="23" s="1"/>
  <c r="J8" i="23"/>
  <c r="N30" i="19"/>
  <c r="O31" i="15"/>
  <c r="AA11" i="14"/>
  <c r="AB13" i="14"/>
  <c r="L11" i="19"/>
  <c r="K13" i="19"/>
  <c r="H19" i="23"/>
  <c r="H20" i="23"/>
  <c r="H11" i="23"/>
  <c r="H12" i="23"/>
  <c r="H18" i="23"/>
  <c r="H22" i="23" s="1"/>
  <c r="K13" i="15"/>
  <c r="L11" i="15"/>
  <c r="Y23" i="16"/>
  <c r="M15" i="13"/>
  <c r="L15" i="13"/>
  <c r="N15" i="13" s="1"/>
  <c r="F15" i="23" s="1"/>
  <c r="V23" i="16"/>
  <c r="P31" i="15" l="1"/>
  <c r="L13" i="15"/>
  <c r="M11" i="15"/>
  <c r="M11" i="19"/>
  <c r="L13" i="19"/>
  <c r="O30" i="19"/>
  <c r="T13" i="12"/>
  <c r="D14" i="12"/>
  <c r="G21" i="19"/>
  <c r="G22" i="19" s="1"/>
  <c r="G21" i="15"/>
  <c r="E6" i="19"/>
  <c r="E9" i="19" s="1"/>
  <c r="E14" i="19" s="1"/>
  <c r="E34" i="19" s="1"/>
  <c r="E35" i="19" s="1"/>
  <c r="E36" i="19" s="1"/>
  <c r="E6" i="15"/>
  <c r="F28" i="14"/>
  <c r="L19" i="23"/>
  <c r="L12" i="23"/>
  <c r="L11" i="23"/>
  <c r="L13" i="23" s="1"/>
  <c r="L15" i="23" s="1"/>
  <c r="L20" i="23"/>
  <c r="L18" i="23"/>
  <c r="J20" i="23"/>
  <c r="J11" i="23"/>
  <c r="J13" i="23" s="1"/>
  <c r="J15" i="23" s="1"/>
  <c r="J19" i="23"/>
  <c r="J12" i="23"/>
  <c r="J18" i="23"/>
  <c r="H13" i="23"/>
  <c r="H15" i="23" s="1"/>
  <c r="H23" i="23" s="1"/>
  <c r="H25" i="23" s="1"/>
  <c r="M31" i="12"/>
  <c r="N31" i="12" s="1"/>
  <c r="O31" i="12"/>
  <c r="L32" i="12" s="1"/>
  <c r="M23" i="13"/>
  <c r="L23" i="13"/>
  <c r="P30" i="19" l="1"/>
  <c r="M32" i="12"/>
  <c r="N32" i="12" s="1"/>
  <c r="O32" i="12"/>
  <c r="L33" i="12" s="1"/>
  <c r="E9" i="15"/>
  <c r="E14" i="15" s="1"/>
  <c r="E35" i="15" s="1"/>
  <c r="E36" i="15" s="1"/>
  <c r="E37" i="15" s="1"/>
  <c r="E24" i="16"/>
  <c r="N11" i="19"/>
  <c r="M13" i="19"/>
  <c r="L22" i="23"/>
  <c r="L23" i="23" s="1"/>
  <c r="L25" i="23" s="1"/>
  <c r="G18" i="14"/>
  <c r="G19" i="14" s="1"/>
  <c r="G22" i="15"/>
  <c r="N11" i="15"/>
  <c r="M13" i="15"/>
  <c r="J22" i="23"/>
  <c r="J23" i="23" s="1"/>
  <c r="J25" i="23" s="1"/>
  <c r="E14" i="12"/>
  <c r="H26" i="23"/>
  <c r="H27" i="23" s="1"/>
  <c r="N23" i="13"/>
  <c r="F23" i="23" s="1"/>
  <c r="F25" i="19"/>
  <c r="F26" i="19" s="1"/>
  <c r="F27" i="19" s="1"/>
  <c r="F25" i="15"/>
  <c r="F26" i="15" s="1"/>
  <c r="F27" i="15" s="1"/>
  <c r="Q31" i="15"/>
  <c r="L26" i="23" l="1"/>
  <c r="L27" i="23"/>
  <c r="J26" i="23"/>
  <c r="J27" i="23"/>
  <c r="E25" i="16"/>
  <c r="O11" i="15"/>
  <c r="N13" i="15"/>
  <c r="M33" i="12"/>
  <c r="N33" i="12" s="1"/>
  <c r="O33" i="12"/>
  <c r="L34" i="12" s="1"/>
  <c r="Q30" i="19"/>
  <c r="R31" i="15"/>
  <c r="S14" i="12"/>
  <c r="F14" i="12"/>
  <c r="O11" i="19"/>
  <c r="N13" i="19"/>
  <c r="S31" i="15" l="1"/>
  <c r="O13" i="15"/>
  <c r="P11" i="15"/>
  <c r="R30" i="19"/>
  <c r="E27" i="16"/>
  <c r="M34" i="12"/>
  <c r="N34" i="12" s="1"/>
  <c r="O34" i="12"/>
  <c r="L35" i="12" s="1"/>
  <c r="R14" i="12"/>
  <c r="G14" i="12"/>
  <c r="P11" i="19"/>
  <c r="O13" i="19"/>
  <c r="F6" i="14" l="1"/>
  <c r="F14" i="14" s="1"/>
  <c r="F27" i="14" s="1"/>
  <c r="F29" i="14" s="1"/>
  <c r="S30" i="19"/>
  <c r="P13" i="15"/>
  <c r="Q11" i="15"/>
  <c r="Q11" i="19"/>
  <c r="P13" i="19"/>
  <c r="T14" i="12"/>
  <c r="D15" i="12"/>
  <c r="H21" i="19"/>
  <c r="H22" i="19" s="1"/>
  <c r="H21" i="15"/>
  <c r="M35" i="12"/>
  <c r="N35" i="12" s="1"/>
  <c r="O35" i="12" s="1"/>
  <c r="L36" i="12" s="1"/>
  <c r="T31" i="15"/>
  <c r="M36" i="12" l="1"/>
  <c r="N36" i="12" s="1"/>
  <c r="O36" i="12"/>
  <c r="L37" i="12" s="1"/>
  <c r="U31" i="15"/>
  <c r="R11" i="19"/>
  <c r="Q13" i="19"/>
  <c r="T30" i="19"/>
  <c r="R11" i="15"/>
  <c r="Q13" i="15"/>
  <c r="H18" i="14"/>
  <c r="H19" i="14" s="1"/>
  <c r="H22" i="15"/>
  <c r="E15" i="12"/>
  <c r="G25" i="19"/>
  <c r="G26" i="19" s="1"/>
  <c r="G27" i="19" s="1"/>
  <c r="G25" i="15"/>
  <c r="G26" i="15" s="1"/>
  <c r="G27" i="15" s="1"/>
  <c r="F6" i="19"/>
  <c r="F9" i="19" s="1"/>
  <c r="F14" i="19" s="1"/>
  <c r="F34" i="19" s="1"/>
  <c r="F35" i="19" s="1"/>
  <c r="F36" i="19" s="1"/>
  <c r="F6" i="15"/>
  <c r="G28" i="14"/>
  <c r="S11" i="19" l="1"/>
  <c r="R13" i="19"/>
  <c r="S15" i="12"/>
  <c r="F15" i="12"/>
  <c r="U30" i="19"/>
  <c r="V31" i="15"/>
  <c r="M37" i="12"/>
  <c r="N37" i="12" s="1"/>
  <c r="O37" i="12" s="1"/>
  <c r="L38" i="12" s="1"/>
  <c r="F9" i="15"/>
  <c r="F14" i="15" s="1"/>
  <c r="F35" i="15" s="1"/>
  <c r="F36" i="15" s="1"/>
  <c r="F37" i="15" s="1"/>
  <c r="F24" i="16"/>
  <c r="S11" i="15"/>
  <c r="R13" i="15"/>
  <c r="M38" i="12" l="1"/>
  <c r="N38" i="12" s="1"/>
  <c r="O38" i="12"/>
  <c r="L39" i="12" s="1"/>
  <c r="T11" i="15"/>
  <c r="S13" i="15"/>
  <c r="V30" i="19"/>
  <c r="F25" i="16"/>
  <c r="D24" i="13"/>
  <c r="R15" i="12"/>
  <c r="G15" i="12"/>
  <c r="T11" i="19"/>
  <c r="S13" i="19"/>
  <c r="W31" i="15"/>
  <c r="F27" i="16" l="1"/>
  <c r="D25" i="13"/>
  <c r="U11" i="19"/>
  <c r="T13" i="19"/>
  <c r="W30" i="19"/>
  <c r="X31" i="15"/>
  <c r="T13" i="15"/>
  <c r="U11" i="15"/>
  <c r="T15" i="12"/>
  <c r="D16" i="12"/>
  <c r="M39" i="12"/>
  <c r="N39" i="12" s="1"/>
  <c r="O39" i="12"/>
  <c r="L40" i="12" s="1"/>
  <c r="I21" i="19"/>
  <c r="I22" i="19" s="1"/>
  <c r="I21" i="15"/>
  <c r="M40" i="12" l="1"/>
  <c r="N40" i="12" s="1"/>
  <c r="O40" i="12"/>
  <c r="L41" i="12" s="1"/>
  <c r="Y31" i="15"/>
  <c r="E16" i="12"/>
  <c r="V11" i="19"/>
  <c r="U13" i="19"/>
  <c r="X30" i="19"/>
  <c r="H25" i="19"/>
  <c r="H26" i="19" s="1"/>
  <c r="H27" i="19" s="1"/>
  <c r="H25" i="15"/>
  <c r="H26" i="15" s="1"/>
  <c r="H27" i="15" s="1"/>
  <c r="V11" i="15"/>
  <c r="U13" i="15"/>
  <c r="I18" i="14"/>
  <c r="I19" i="14" s="1"/>
  <c r="I22" i="15"/>
  <c r="G6" i="14"/>
  <c r="G14" i="14" s="1"/>
  <c r="G27" i="14" s="1"/>
  <c r="G29" i="14" s="1"/>
  <c r="D27" i="13"/>
  <c r="W11" i="19" l="1"/>
  <c r="V13" i="19"/>
  <c r="M41" i="12"/>
  <c r="N41" i="12" s="1"/>
  <c r="O41" i="12" s="1"/>
  <c r="L42" i="12" s="1"/>
  <c r="V13" i="15"/>
  <c r="W11" i="15"/>
  <c r="S16" i="12"/>
  <c r="F16" i="12"/>
  <c r="Z31" i="15"/>
  <c r="G6" i="15"/>
  <c r="G6" i="19"/>
  <c r="G9" i="19" s="1"/>
  <c r="G14" i="19" s="1"/>
  <c r="G34" i="19" s="1"/>
  <c r="G35" i="19" s="1"/>
  <c r="G36" i="19" s="1"/>
  <c r="H28" i="14"/>
  <c r="Y30" i="19"/>
  <c r="M42" i="12" l="1"/>
  <c r="N42" i="12" s="1"/>
  <c r="O42" i="12"/>
  <c r="L43" i="12" s="1"/>
  <c r="G9" i="15"/>
  <c r="G14" i="15" s="1"/>
  <c r="G35" i="15" s="1"/>
  <c r="G36" i="15" s="1"/>
  <c r="G37" i="15" s="1"/>
  <c r="G24" i="16"/>
  <c r="X11" i="15"/>
  <c r="W13" i="15"/>
  <c r="AA31" i="15"/>
  <c r="X11" i="19"/>
  <c r="W13" i="19"/>
  <c r="R16" i="12"/>
  <c r="G16" i="12"/>
  <c r="Z30" i="19"/>
  <c r="AA30" i="19" l="1"/>
  <c r="Y11" i="15"/>
  <c r="X13" i="15"/>
  <c r="T16" i="12"/>
  <c r="D17" i="12"/>
  <c r="J21" i="19"/>
  <c r="J22" i="19" s="1"/>
  <c r="J21" i="15"/>
  <c r="M43" i="12"/>
  <c r="N43" i="12" s="1"/>
  <c r="O43" i="12" s="1"/>
  <c r="L44" i="12" s="1"/>
  <c r="AB31" i="15"/>
  <c r="G25" i="16"/>
  <c r="Y11" i="19"/>
  <c r="X13" i="19"/>
  <c r="M44" i="12" l="1"/>
  <c r="N44" i="12" s="1"/>
  <c r="O44" i="12"/>
  <c r="L45" i="12" s="1"/>
  <c r="Y13" i="19"/>
  <c r="Z11" i="19"/>
  <c r="J18" i="14"/>
  <c r="J19" i="14" s="1"/>
  <c r="J22" i="15"/>
  <c r="G27" i="16"/>
  <c r="E17" i="12"/>
  <c r="I25" i="15"/>
  <c r="I26" i="15" s="1"/>
  <c r="I27" i="15" s="1"/>
  <c r="I25" i="19"/>
  <c r="I26" i="19" s="1"/>
  <c r="I27" i="19" s="1"/>
  <c r="AB30" i="19"/>
  <c r="Z11" i="15"/>
  <c r="Y13" i="15"/>
  <c r="AA11" i="15" l="1"/>
  <c r="Z13" i="15"/>
  <c r="H6" i="14"/>
  <c r="H14" i="14" s="1"/>
  <c r="H27" i="14" s="1"/>
  <c r="H29" i="14" s="1"/>
  <c r="M45" i="12"/>
  <c r="N45" i="12" s="1"/>
  <c r="O45" i="12" s="1"/>
  <c r="L46" i="12" s="1"/>
  <c r="Z13" i="19"/>
  <c r="AA11" i="19"/>
  <c r="S17" i="12"/>
  <c r="F17" i="12"/>
  <c r="M46" i="12" l="1"/>
  <c r="N46" i="12" s="1"/>
  <c r="O46" i="12"/>
  <c r="L47" i="12" s="1"/>
  <c r="R17" i="12"/>
  <c r="G17" i="12"/>
  <c r="H6" i="19"/>
  <c r="H9" i="19" s="1"/>
  <c r="H14" i="19" s="1"/>
  <c r="H34" i="19" s="1"/>
  <c r="H35" i="19" s="1"/>
  <c r="H36" i="19" s="1"/>
  <c r="H6" i="15"/>
  <c r="I28" i="14"/>
  <c r="AB11" i="19"/>
  <c r="AB13" i="19" s="1"/>
  <c r="AA13" i="19"/>
  <c r="AB11" i="15"/>
  <c r="AB13" i="15" s="1"/>
  <c r="AA13" i="15"/>
  <c r="H9" i="15" l="1"/>
  <c r="H14" i="15" s="1"/>
  <c r="H35" i="15" s="1"/>
  <c r="H36" i="15" s="1"/>
  <c r="H37" i="15" s="1"/>
  <c r="H24" i="16"/>
  <c r="T17" i="12"/>
  <c r="D18" i="12"/>
  <c r="K21" i="19"/>
  <c r="K22" i="19" s="1"/>
  <c r="K21" i="15"/>
  <c r="M47" i="12"/>
  <c r="S47" i="12" l="1"/>
  <c r="N47" i="12"/>
  <c r="K18" i="14"/>
  <c r="K19" i="14" s="1"/>
  <c r="K22" i="15"/>
  <c r="E18" i="12"/>
  <c r="H25" i="16"/>
  <c r="J25" i="15"/>
  <c r="J26" i="15" s="1"/>
  <c r="J27" i="15" s="1"/>
  <c r="J25" i="19"/>
  <c r="J26" i="19" s="1"/>
  <c r="J27" i="19" s="1"/>
  <c r="R47" i="12" l="1"/>
  <c r="O47" i="12"/>
  <c r="H27" i="16"/>
  <c r="S18" i="12"/>
  <c r="F18" i="12"/>
  <c r="R18" i="12" l="1"/>
  <c r="G18" i="12"/>
  <c r="I6" i="14"/>
  <c r="I14" i="14" s="1"/>
  <c r="I27" i="14" s="1"/>
  <c r="I29" i="14" s="1"/>
  <c r="T47" i="12"/>
  <c r="L48" i="12"/>
  <c r="M48" i="12" l="1"/>
  <c r="I6" i="19"/>
  <c r="I9" i="19" s="1"/>
  <c r="I14" i="19" s="1"/>
  <c r="I34" i="19" s="1"/>
  <c r="I35" i="19" s="1"/>
  <c r="I36" i="19" s="1"/>
  <c r="I6" i="15"/>
  <c r="J28" i="14"/>
  <c r="T18" i="12"/>
  <c r="D19" i="12"/>
  <c r="L21" i="15"/>
  <c r="L21" i="19"/>
  <c r="L22" i="19" s="1"/>
  <c r="E19" i="12" l="1"/>
  <c r="I9" i="15"/>
  <c r="I14" i="15" s="1"/>
  <c r="I35" i="15" s="1"/>
  <c r="I36" i="15" s="1"/>
  <c r="I37" i="15" s="1"/>
  <c r="I24" i="16"/>
  <c r="L18" i="14"/>
  <c r="L19" i="14" s="1"/>
  <c r="L22" i="15"/>
  <c r="K25" i="19"/>
  <c r="K26" i="19" s="1"/>
  <c r="K27" i="19" s="1"/>
  <c r="K25" i="15"/>
  <c r="K26" i="15" s="1"/>
  <c r="K27" i="15" s="1"/>
  <c r="S48" i="12"/>
  <c r="N48" i="12"/>
  <c r="I25" i="16" l="1"/>
  <c r="E24" i="13"/>
  <c r="R48" i="12"/>
  <c r="O48" i="12"/>
  <c r="S19" i="12"/>
  <c r="F19" i="12"/>
  <c r="R19" i="12" l="1"/>
  <c r="G19" i="12"/>
  <c r="T48" i="12"/>
  <c r="L49" i="12"/>
  <c r="I27" i="16"/>
  <c r="E25" i="13"/>
  <c r="M21" i="19" l="1"/>
  <c r="M22" i="19" s="1"/>
  <c r="M21" i="15"/>
  <c r="J6" i="14"/>
  <c r="J14" i="14" s="1"/>
  <c r="J27" i="14" s="1"/>
  <c r="J29" i="14" s="1"/>
  <c r="E27" i="13"/>
  <c r="M49" i="12"/>
  <c r="T19" i="12"/>
  <c r="D20" i="12"/>
  <c r="L25" i="19" l="1"/>
  <c r="L26" i="19" s="1"/>
  <c r="L27" i="19" s="1"/>
  <c r="L25" i="15"/>
  <c r="L26" i="15" s="1"/>
  <c r="L27" i="15" s="1"/>
  <c r="S49" i="12"/>
  <c r="N49" i="12"/>
  <c r="J6" i="19"/>
  <c r="J9" i="19" s="1"/>
  <c r="J14" i="19" s="1"/>
  <c r="J34" i="19" s="1"/>
  <c r="J35" i="19" s="1"/>
  <c r="J36" i="19" s="1"/>
  <c r="J6" i="15"/>
  <c r="K28" i="14"/>
  <c r="M18" i="14"/>
  <c r="M19" i="14" s="1"/>
  <c r="M22" i="15"/>
  <c r="E20" i="12"/>
  <c r="J9" i="15" l="1"/>
  <c r="J14" i="15" s="1"/>
  <c r="J35" i="15" s="1"/>
  <c r="J36" i="15" s="1"/>
  <c r="J37" i="15" s="1"/>
  <c r="J24" i="16"/>
  <c r="R49" i="12"/>
  <c r="O49" i="12"/>
  <c r="S20" i="12"/>
  <c r="F20" i="12"/>
  <c r="J25" i="16" l="1"/>
  <c r="R20" i="12"/>
  <c r="G20" i="12"/>
  <c r="T49" i="12"/>
  <c r="L50" i="12"/>
  <c r="N21" i="19" l="1"/>
  <c r="N22" i="19" s="1"/>
  <c r="N21" i="15"/>
  <c r="M50" i="12"/>
  <c r="T20" i="12"/>
  <c r="D21" i="12"/>
  <c r="J27" i="16"/>
  <c r="E21" i="12" l="1"/>
  <c r="S50" i="12"/>
  <c r="N50" i="12"/>
  <c r="K6" i="14"/>
  <c r="K14" i="14" s="1"/>
  <c r="K27" i="14" s="1"/>
  <c r="K29" i="14" s="1"/>
  <c r="M25" i="19"/>
  <c r="M26" i="19" s="1"/>
  <c r="M27" i="19" s="1"/>
  <c r="M25" i="15"/>
  <c r="M26" i="15" s="1"/>
  <c r="M27" i="15" s="1"/>
  <c r="N18" i="14"/>
  <c r="N19" i="14" s="1"/>
  <c r="N22" i="15"/>
  <c r="K6" i="15" l="1"/>
  <c r="K6" i="19"/>
  <c r="K9" i="19" s="1"/>
  <c r="K14" i="19" s="1"/>
  <c r="K34" i="19" s="1"/>
  <c r="K35" i="19" s="1"/>
  <c r="K36" i="19" s="1"/>
  <c r="L28" i="14"/>
  <c r="R50" i="12"/>
  <c r="O50" i="12"/>
  <c r="S21" i="12"/>
  <c r="F21" i="12"/>
  <c r="K24" i="16" l="1"/>
  <c r="K9" i="15"/>
  <c r="K14" i="15" s="1"/>
  <c r="K35" i="15" s="1"/>
  <c r="K36" i="15" s="1"/>
  <c r="K37" i="15" s="1"/>
  <c r="T50" i="12"/>
  <c r="L51" i="12"/>
  <c r="R21" i="12"/>
  <c r="G21" i="12"/>
  <c r="T21" i="12" l="1"/>
  <c r="D22" i="12"/>
  <c r="O21" i="19"/>
  <c r="O22" i="19" s="1"/>
  <c r="O21" i="15"/>
  <c r="M51" i="12"/>
  <c r="K25" i="16"/>
  <c r="O18" i="14" l="1"/>
  <c r="O19" i="14" s="1"/>
  <c r="O22" i="15"/>
  <c r="K27" i="16"/>
  <c r="S51" i="12"/>
  <c r="N51" i="12"/>
  <c r="E22" i="12"/>
  <c r="N25" i="19"/>
  <c r="N26" i="19" s="1"/>
  <c r="N27" i="19" s="1"/>
  <c r="N25" i="15"/>
  <c r="N26" i="15" s="1"/>
  <c r="N27" i="15" s="1"/>
  <c r="S22" i="12" l="1"/>
  <c r="F22" i="12"/>
  <c r="R51" i="12"/>
  <c r="O51" i="12"/>
  <c r="L6" i="14"/>
  <c r="L14" i="14" s="1"/>
  <c r="L27" i="14" s="1"/>
  <c r="L29" i="14" s="1"/>
  <c r="L6" i="15" l="1"/>
  <c r="L6" i="19"/>
  <c r="L9" i="19" s="1"/>
  <c r="L14" i="19" s="1"/>
  <c r="L34" i="19" s="1"/>
  <c r="L35" i="19" s="1"/>
  <c r="L36" i="19" s="1"/>
  <c r="M28" i="14"/>
  <c r="T51" i="12"/>
  <c r="L52" i="12"/>
  <c r="R22" i="12"/>
  <c r="G22" i="12"/>
  <c r="P21" i="19" l="1"/>
  <c r="P22" i="19" s="1"/>
  <c r="P21" i="15"/>
  <c r="M52" i="12"/>
  <c r="T22" i="12"/>
  <c r="D23" i="12"/>
  <c r="L9" i="15"/>
  <c r="L14" i="15" s="1"/>
  <c r="L35" i="15" s="1"/>
  <c r="L36" i="15" s="1"/>
  <c r="L37" i="15" s="1"/>
  <c r="L24" i="16"/>
  <c r="L25" i="16" l="1"/>
  <c r="F24" i="13"/>
  <c r="P18" i="14"/>
  <c r="P19" i="14" s="1"/>
  <c r="P22" i="15"/>
  <c r="E23" i="12"/>
  <c r="O25" i="19"/>
  <c r="O26" i="19" s="1"/>
  <c r="O27" i="19" s="1"/>
  <c r="O25" i="15"/>
  <c r="O26" i="15" s="1"/>
  <c r="O27" i="15" s="1"/>
  <c r="S52" i="12"/>
  <c r="N52" i="12"/>
  <c r="R52" i="12" l="1"/>
  <c r="O52" i="12"/>
  <c r="S23" i="12"/>
  <c r="F23" i="12"/>
  <c r="L27" i="16"/>
  <c r="F25" i="13"/>
  <c r="M6" i="14" l="1"/>
  <c r="M14" i="14" s="1"/>
  <c r="M27" i="14" s="1"/>
  <c r="M29" i="14" s="1"/>
  <c r="F27" i="13"/>
  <c r="R23" i="12"/>
  <c r="G23" i="12"/>
  <c r="T52" i="12"/>
  <c r="L53" i="12"/>
  <c r="M53" i="12" l="1"/>
  <c r="D24" i="12"/>
  <c r="T23" i="12"/>
  <c r="Q21" i="19"/>
  <c r="Q22" i="19" s="1"/>
  <c r="Q21" i="15"/>
  <c r="M6" i="19"/>
  <c r="M9" i="19" s="1"/>
  <c r="M14" i="19" s="1"/>
  <c r="M34" i="19" s="1"/>
  <c r="M35" i="19" s="1"/>
  <c r="M36" i="19" s="1"/>
  <c r="M6" i="15"/>
  <c r="N28" i="14"/>
  <c r="Q18" i="14" l="1"/>
  <c r="Q19" i="14" s="1"/>
  <c r="Q22" i="15"/>
  <c r="P25" i="19"/>
  <c r="P26" i="19" s="1"/>
  <c r="P27" i="19" s="1"/>
  <c r="P25" i="15"/>
  <c r="P26" i="15" s="1"/>
  <c r="P27" i="15" s="1"/>
  <c r="E24" i="12"/>
  <c r="S53" i="12"/>
  <c r="N53" i="12"/>
  <c r="M9" i="15"/>
  <c r="M14" i="15" s="1"/>
  <c r="M35" i="15" s="1"/>
  <c r="M36" i="15" s="1"/>
  <c r="M37" i="15" s="1"/>
  <c r="M24" i="16"/>
  <c r="R53" i="12" l="1"/>
  <c r="O53" i="12"/>
  <c r="S24" i="12"/>
  <c r="F24" i="12"/>
  <c r="M25" i="16"/>
  <c r="M27" i="16" l="1"/>
  <c r="R24" i="12"/>
  <c r="G24" i="12"/>
  <c r="T53" i="12"/>
  <c r="L54" i="12"/>
  <c r="N6" i="14" l="1"/>
  <c r="N14" i="14" s="1"/>
  <c r="N27" i="14" s="1"/>
  <c r="N29" i="14" s="1"/>
  <c r="M54" i="12"/>
  <c r="T24" i="12"/>
  <c r="D25" i="12"/>
  <c r="R21" i="19"/>
  <c r="R22" i="19" s="1"/>
  <c r="R21" i="15"/>
  <c r="R18" i="14" l="1"/>
  <c r="R19" i="14" s="1"/>
  <c r="R22" i="15"/>
  <c r="E25" i="12"/>
  <c r="N6" i="19"/>
  <c r="N9" i="19" s="1"/>
  <c r="N14" i="19" s="1"/>
  <c r="N34" i="19" s="1"/>
  <c r="N35" i="19" s="1"/>
  <c r="N36" i="19" s="1"/>
  <c r="N6" i="15"/>
  <c r="O28" i="14"/>
  <c r="Q25" i="15"/>
  <c r="Q26" i="15" s="1"/>
  <c r="Q27" i="15" s="1"/>
  <c r="Q25" i="19"/>
  <c r="Q26" i="19" s="1"/>
  <c r="Q27" i="19" s="1"/>
  <c r="S54" i="12"/>
  <c r="N54" i="12"/>
  <c r="N9" i="15" l="1"/>
  <c r="N14" i="15" s="1"/>
  <c r="N35" i="15" s="1"/>
  <c r="N36" i="15" s="1"/>
  <c r="N37" i="15" s="1"/>
  <c r="N24" i="16"/>
  <c r="R54" i="12"/>
  <c r="O54" i="12"/>
  <c r="S25" i="12"/>
  <c r="F25" i="12"/>
  <c r="T54" i="12" l="1"/>
  <c r="L55" i="12"/>
  <c r="R25" i="12"/>
  <c r="G25" i="12"/>
  <c r="N25" i="16"/>
  <c r="D26" i="12" l="1"/>
  <c r="T25" i="12"/>
  <c r="M55" i="12"/>
  <c r="N27" i="16"/>
  <c r="S21" i="19"/>
  <c r="S22" i="19" s="1"/>
  <c r="S21" i="15"/>
  <c r="S18" i="14" l="1"/>
  <c r="S19" i="14" s="1"/>
  <c r="S22" i="15"/>
  <c r="R25" i="19"/>
  <c r="R26" i="19" s="1"/>
  <c r="R27" i="19" s="1"/>
  <c r="R25" i="15"/>
  <c r="R26" i="15" s="1"/>
  <c r="R27" i="15" s="1"/>
  <c r="O6" i="14"/>
  <c r="O14" i="14" s="1"/>
  <c r="O27" i="14" s="1"/>
  <c r="O29" i="14" s="1"/>
  <c r="S55" i="12"/>
  <c r="N55" i="12"/>
  <c r="E26" i="12"/>
  <c r="R55" i="12" l="1"/>
  <c r="O55" i="12"/>
  <c r="O6" i="15"/>
  <c r="O6" i="19"/>
  <c r="O9" i="19" s="1"/>
  <c r="O14" i="19" s="1"/>
  <c r="O34" i="19" s="1"/>
  <c r="O35" i="19" s="1"/>
  <c r="O36" i="19" s="1"/>
  <c r="P28" i="14"/>
  <c r="S26" i="12"/>
  <c r="F26" i="12"/>
  <c r="O9" i="15" l="1"/>
  <c r="O14" i="15" s="1"/>
  <c r="O35" i="15" s="1"/>
  <c r="O36" i="15" s="1"/>
  <c r="O37" i="15" s="1"/>
  <c r="O24" i="16"/>
  <c r="T55" i="12"/>
  <c r="L56" i="12"/>
  <c r="R26" i="12"/>
  <c r="G26" i="12"/>
  <c r="T21" i="19" l="1"/>
  <c r="T22" i="19" s="1"/>
  <c r="T21" i="15"/>
  <c r="O25" i="16"/>
  <c r="G24" i="13"/>
  <c r="H24" i="13" s="1"/>
  <c r="D24" i="23" s="1"/>
  <c r="T26" i="12"/>
  <c r="D27" i="12"/>
  <c r="M56" i="12"/>
  <c r="S56" i="12" l="1"/>
  <c r="N56" i="12"/>
  <c r="T18" i="14"/>
  <c r="T19" i="14" s="1"/>
  <c r="T22" i="15"/>
  <c r="E27" i="12"/>
  <c r="S25" i="19"/>
  <c r="S26" i="19" s="1"/>
  <c r="S27" i="19" s="1"/>
  <c r="S25" i="15"/>
  <c r="S26" i="15" s="1"/>
  <c r="S27" i="15" s="1"/>
  <c r="O27" i="16"/>
  <c r="G25" i="13"/>
  <c r="H25" i="13" s="1"/>
  <c r="D25" i="23" s="1"/>
  <c r="S27" i="12" l="1"/>
  <c r="F27" i="12"/>
  <c r="R56" i="12"/>
  <c r="O56" i="12"/>
  <c r="P6" i="14"/>
  <c r="P14" i="14" s="1"/>
  <c r="P27" i="14" s="1"/>
  <c r="P29" i="14" s="1"/>
  <c r="G27" i="13"/>
  <c r="H27" i="13" s="1"/>
  <c r="D27" i="23" s="1"/>
  <c r="R27" i="12" l="1"/>
  <c r="G27" i="12"/>
  <c r="P6" i="19"/>
  <c r="P9" i="19" s="1"/>
  <c r="P14" i="19" s="1"/>
  <c r="P34" i="19" s="1"/>
  <c r="P35" i="19" s="1"/>
  <c r="P36" i="19" s="1"/>
  <c r="P6" i="15"/>
  <c r="Q28" i="14"/>
  <c r="T56" i="12"/>
  <c r="L57" i="12"/>
  <c r="D28" i="12" l="1"/>
  <c r="T27" i="12"/>
  <c r="M57" i="12"/>
  <c r="P9" i="15"/>
  <c r="P14" i="15" s="1"/>
  <c r="P35" i="15" s="1"/>
  <c r="P36" i="15" s="1"/>
  <c r="P37" i="15" s="1"/>
  <c r="P24" i="16"/>
  <c r="U21" i="19"/>
  <c r="U22" i="19" s="1"/>
  <c r="U21" i="15"/>
  <c r="P25" i="16" l="1"/>
  <c r="U18" i="14"/>
  <c r="U19" i="14" s="1"/>
  <c r="U22" i="15"/>
  <c r="S57" i="12"/>
  <c r="N57" i="12"/>
  <c r="T25" i="19"/>
  <c r="T26" i="19" s="1"/>
  <c r="T27" i="19" s="1"/>
  <c r="T25" i="15"/>
  <c r="T26" i="15" s="1"/>
  <c r="T27" i="15" s="1"/>
  <c r="E28" i="12"/>
  <c r="P27" i="16" l="1"/>
  <c r="R57" i="12"/>
  <c r="O57" i="12"/>
  <c r="S28" i="12"/>
  <c r="F28" i="12"/>
  <c r="R28" i="12" l="1"/>
  <c r="G28" i="12"/>
  <c r="T57" i="12"/>
  <c r="L58" i="12"/>
  <c r="Q6" i="14"/>
  <c r="Q14" i="14" s="1"/>
  <c r="Q27" i="14" s="1"/>
  <c r="Q29" i="14" s="1"/>
  <c r="Q6" i="19" l="1"/>
  <c r="Q9" i="19" s="1"/>
  <c r="Q14" i="19" s="1"/>
  <c r="Q34" i="19" s="1"/>
  <c r="Q35" i="19" s="1"/>
  <c r="Q36" i="19" s="1"/>
  <c r="Q6" i="15"/>
  <c r="R28" i="14"/>
  <c r="M58" i="12"/>
  <c r="T28" i="12"/>
  <c r="D29" i="12"/>
  <c r="V21" i="19"/>
  <c r="V22" i="19" s="1"/>
  <c r="V21" i="15"/>
  <c r="E29" i="12" l="1"/>
  <c r="Q9" i="15"/>
  <c r="Q14" i="15" s="1"/>
  <c r="Q35" i="15" s="1"/>
  <c r="Q36" i="15" s="1"/>
  <c r="Q37" i="15" s="1"/>
  <c r="Q24" i="16"/>
  <c r="U25" i="19"/>
  <c r="U26" i="19" s="1"/>
  <c r="U27" i="19" s="1"/>
  <c r="U25" i="15"/>
  <c r="U26" i="15" s="1"/>
  <c r="U27" i="15" s="1"/>
  <c r="S58" i="12"/>
  <c r="N58" i="12"/>
  <c r="V18" i="14"/>
  <c r="V19" i="14" s="1"/>
  <c r="V22" i="15"/>
  <c r="R58" i="12" l="1"/>
  <c r="O58" i="12"/>
  <c r="T58" i="12" s="1"/>
  <c r="Q25" i="16"/>
  <c r="S29" i="12"/>
  <c r="F29" i="12"/>
  <c r="R29" i="12" l="1"/>
  <c r="G29" i="12"/>
  <c r="Q27" i="16"/>
  <c r="R6" i="14" l="1"/>
  <c r="R14" i="14" s="1"/>
  <c r="R27" i="14" s="1"/>
  <c r="R29" i="14" s="1"/>
  <c r="D30" i="12"/>
  <c r="T29" i="12"/>
  <c r="W21" i="19"/>
  <c r="W22" i="19" s="1"/>
  <c r="W21" i="15"/>
  <c r="W18" i="14" l="1"/>
  <c r="W19" i="14" s="1"/>
  <c r="W22" i="15"/>
  <c r="V25" i="19"/>
  <c r="V26" i="19" s="1"/>
  <c r="V27" i="19" s="1"/>
  <c r="V25" i="15"/>
  <c r="V26" i="15" s="1"/>
  <c r="V27" i="15" s="1"/>
  <c r="E30" i="12"/>
  <c r="R6" i="19"/>
  <c r="R9" i="19" s="1"/>
  <c r="R14" i="19" s="1"/>
  <c r="R34" i="19" s="1"/>
  <c r="R35" i="19" s="1"/>
  <c r="R36" i="19" s="1"/>
  <c r="R6" i="15"/>
  <c r="S28" i="14"/>
  <c r="R9" i="15" l="1"/>
  <c r="R14" i="15" s="1"/>
  <c r="R35" i="15" s="1"/>
  <c r="R36" i="15" s="1"/>
  <c r="R37" i="15" s="1"/>
  <c r="R24" i="16"/>
  <c r="S30" i="12"/>
  <c r="F30" i="12"/>
  <c r="R30" i="12" l="1"/>
  <c r="G30" i="12"/>
  <c r="R25" i="16"/>
  <c r="J24" i="13"/>
  <c r="T30" i="12" l="1"/>
  <c r="D31" i="12"/>
  <c r="R27" i="16"/>
  <c r="J25" i="13"/>
  <c r="X21" i="19"/>
  <c r="X22" i="19" s="1"/>
  <c r="X21" i="15"/>
  <c r="X18" i="14" l="1"/>
  <c r="X19" i="14" s="1"/>
  <c r="X22" i="15"/>
  <c r="S6" i="14"/>
  <c r="S14" i="14" s="1"/>
  <c r="S27" i="14" s="1"/>
  <c r="S29" i="14" s="1"/>
  <c r="J27" i="13"/>
  <c r="E31" i="12"/>
  <c r="W25" i="19"/>
  <c r="W26" i="19" s="1"/>
  <c r="W27" i="19" s="1"/>
  <c r="W25" i="15"/>
  <c r="W26" i="15" s="1"/>
  <c r="W27" i="15" s="1"/>
  <c r="S31" i="12" l="1"/>
  <c r="F31" i="12"/>
  <c r="S6" i="19"/>
  <c r="S9" i="19" s="1"/>
  <c r="S14" i="19" s="1"/>
  <c r="S34" i="19" s="1"/>
  <c r="S35" i="19" s="1"/>
  <c r="S36" i="19" s="1"/>
  <c r="S6" i="15"/>
  <c r="T28" i="14"/>
  <c r="R31" i="12" l="1"/>
  <c r="G31" i="12"/>
  <c r="S9" i="15"/>
  <c r="S14" i="15" s="1"/>
  <c r="S35" i="15" s="1"/>
  <c r="S36" i="15" s="1"/>
  <c r="S37" i="15" s="1"/>
  <c r="S24" i="16"/>
  <c r="S25" i="16" l="1"/>
  <c r="D32" i="12"/>
  <c r="T31" i="12"/>
  <c r="Y21" i="19"/>
  <c r="Y22" i="19" s="1"/>
  <c r="Y21" i="15"/>
  <c r="Y18" i="14" l="1"/>
  <c r="Y19" i="14" s="1"/>
  <c r="Y22" i="15"/>
  <c r="X25" i="15"/>
  <c r="X26" i="15" s="1"/>
  <c r="X27" i="15" s="1"/>
  <c r="X25" i="19"/>
  <c r="X26" i="19" s="1"/>
  <c r="X27" i="19" s="1"/>
  <c r="E32" i="12"/>
  <c r="S27" i="16"/>
  <c r="T6" i="14" l="1"/>
  <c r="T14" i="14" s="1"/>
  <c r="T27" i="14" s="1"/>
  <c r="T29" i="14" s="1"/>
  <c r="S32" i="12"/>
  <c r="F32" i="12"/>
  <c r="R32" i="12" l="1"/>
  <c r="G32" i="12"/>
  <c r="T6" i="15"/>
  <c r="U28" i="14"/>
  <c r="T6" i="19"/>
  <c r="T9" i="19" s="1"/>
  <c r="T14" i="19" s="1"/>
  <c r="T34" i="19" s="1"/>
  <c r="T35" i="19" s="1"/>
  <c r="T36" i="19" s="1"/>
  <c r="T9" i="15" l="1"/>
  <c r="T14" i="15" s="1"/>
  <c r="T35" i="15" s="1"/>
  <c r="T36" i="15" s="1"/>
  <c r="T37" i="15" s="1"/>
  <c r="T24" i="16"/>
  <c r="T32" i="12"/>
  <c r="D33" i="12"/>
  <c r="Z21" i="19"/>
  <c r="Z22" i="19" s="1"/>
  <c r="Z21" i="15"/>
  <c r="E33" i="12" l="1"/>
  <c r="Z18" i="14"/>
  <c r="Z19" i="14" s="1"/>
  <c r="Z22" i="15"/>
  <c r="Y25" i="15"/>
  <c r="Y26" i="15" s="1"/>
  <c r="Y27" i="15" s="1"/>
  <c r="Y25" i="19"/>
  <c r="Y26" i="19" s="1"/>
  <c r="Y27" i="19" s="1"/>
  <c r="T25" i="16"/>
  <c r="T27" i="16" l="1"/>
  <c r="S33" i="12"/>
  <c r="F33" i="12"/>
  <c r="R33" i="12" l="1"/>
  <c r="G33" i="12"/>
  <c r="U6" i="14"/>
  <c r="U14" i="14" s="1"/>
  <c r="U27" i="14" s="1"/>
  <c r="U29" i="14" s="1"/>
  <c r="U6" i="15" l="1"/>
  <c r="U6" i="19"/>
  <c r="U9" i="19" s="1"/>
  <c r="U14" i="19" s="1"/>
  <c r="U34" i="19" s="1"/>
  <c r="U35" i="19" s="1"/>
  <c r="U36" i="19" s="1"/>
  <c r="V28" i="14"/>
  <c r="D34" i="12"/>
  <c r="T33" i="12"/>
  <c r="AA21" i="19"/>
  <c r="AA22" i="19" s="1"/>
  <c r="AA21" i="15"/>
  <c r="AA18" i="14" l="1"/>
  <c r="AA19" i="14" s="1"/>
  <c r="AA22" i="15"/>
  <c r="Z25" i="19"/>
  <c r="Z26" i="19" s="1"/>
  <c r="Z27" i="19" s="1"/>
  <c r="Z25" i="15"/>
  <c r="Z26" i="15" s="1"/>
  <c r="Z27" i="15" s="1"/>
  <c r="E34" i="12"/>
  <c r="U9" i="15"/>
  <c r="U14" i="15" s="1"/>
  <c r="U35" i="15" s="1"/>
  <c r="U36" i="15" s="1"/>
  <c r="U37" i="15" s="1"/>
  <c r="U24" i="16"/>
  <c r="U25" i="16" l="1"/>
  <c r="K24" i="13"/>
  <c r="S34" i="12"/>
  <c r="F34" i="12"/>
  <c r="R34" i="12" l="1"/>
  <c r="G34" i="12"/>
  <c r="U27" i="16"/>
  <c r="K25" i="13"/>
  <c r="V6" i="14" l="1"/>
  <c r="V14" i="14" s="1"/>
  <c r="V27" i="14" s="1"/>
  <c r="V29" i="14" s="1"/>
  <c r="K27" i="13"/>
  <c r="T34" i="12"/>
  <c r="D35" i="12"/>
  <c r="AB21" i="15"/>
  <c r="AB21" i="19"/>
  <c r="AB22" i="19" s="1"/>
  <c r="AB18" i="14" l="1"/>
  <c r="AB19" i="14" s="1"/>
  <c r="AB22" i="15"/>
  <c r="E35" i="12"/>
  <c r="AA25" i="19"/>
  <c r="AA26" i="19" s="1"/>
  <c r="AA27" i="19" s="1"/>
  <c r="AA25" i="15"/>
  <c r="AA26" i="15" s="1"/>
  <c r="AA27" i="15" s="1"/>
  <c r="V6" i="19"/>
  <c r="V9" i="19" s="1"/>
  <c r="V14" i="19" s="1"/>
  <c r="V34" i="19" s="1"/>
  <c r="V35" i="19" s="1"/>
  <c r="V36" i="19" s="1"/>
  <c r="V6" i="15"/>
  <c r="W28" i="14"/>
  <c r="S35" i="12" l="1"/>
  <c r="F35" i="12"/>
  <c r="V9" i="15"/>
  <c r="V14" i="15" s="1"/>
  <c r="V35" i="15" s="1"/>
  <c r="V36" i="15" s="1"/>
  <c r="V37" i="15" s="1"/>
  <c r="V24" i="16"/>
  <c r="V25" i="16" l="1"/>
  <c r="R35" i="12"/>
  <c r="G35" i="12"/>
  <c r="T35" i="12" l="1"/>
  <c r="D36" i="12"/>
  <c r="V27" i="16"/>
  <c r="W6" i="14" l="1"/>
  <c r="W14" i="14" s="1"/>
  <c r="W27" i="14" s="1"/>
  <c r="W29" i="14" s="1"/>
  <c r="E36" i="12"/>
  <c r="AB25" i="19"/>
  <c r="AB26" i="19" s="1"/>
  <c r="AB27" i="19" s="1"/>
  <c r="AB25" i="15"/>
  <c r="AB26" i="15" s="1"/>
  <c r="AB27" i="15" s="1"/>
  <c r="S36" i="12" l="1"/>
  <c r="F36" i="12"/>
  <c r="W6" i="15"/>
  <c r="W6" i="19"/>
  <c r="W9" i="19" s="1"/>
  <c r="W14" i="19" s="1"/>
  <c r="W34" i="19" s="1"/>
  <c r="W35" i="19" s="1"/>
  <c r="W36" i="19" s="1"/>
  <c r="X28" i="14"/>
  <c r="W9" i="15" l="1"/>
  <c r="W14" i="15" s="1"/>
  <c r="W35" i="15" s="1"/>
  <c r="W36" i="15" s="1"/>
  <c r="W37" i="15" s="1"/>
  <c r="W24" i="16"/>
  <c r="R36" i="12"/>
  <c r="G36" i="12"/>
  <c r="T36" i="12" l="1"/>
  <c r="D37" i="12"/>
  <c r="W25" i="16"/>
  <c r="W27" i="16" l="1"/>
  <c r="E37" i="12"/>
  <c r="S37" i="12" l="1"/>
  <c r="F37" i="12"/>
  <c r="X6" i="14"/>
  <c r="X14" i="14" s="1"/>
  <c r="X27" i="14" s="1"/>
  <c r="X29" i="14" s="1"/>
  <c r="X6" i="19" l="1"/>
  <c r="X9" i="19" s="1"/>
  <c r="X14" i="19" s="1"/>
  <c r="X34" i="19" s="1"/>
  <c r="X35" i="19" s="1"/>
  <c r="X36" i="19" s="1"/>
  <c r="X6" i="15"/>
  <c r="Y28" i="14"/>
  <c r="R37" i="12"/>
  <c r="G37" i="12"/>
  <c r="D38" i="12" l="1"/>
  <c r="T37" i="12"/>
  <c r="X9" i="15"/>
  <c r="X14" i="15" s="1"/>
  <c r="X35" i="15" s="1"/>
  <c r="X36" i="15" s="1"/>
  <c r="X37" i="15" s="1"/>
  <c r="X24" i="16"/>
  <c r="X25" i="16" l="1"/>
  <c r="L24" i="13"/>
  <c r="E38" i="12"/>
  <c r="S38" i="12" l="1"/>
  <c r="F38" i="12"/>
  <c r="X27" i="16"/>
  <c r="L25" i="13"/>
  <c r="Y6" i="14" l="1"/>
  <c r="Y14" i="14" s="1"/>
  <c r="Y27" i="14" s="1"/>
  <c r="Y29" i="14" s="1"/>
  <c r="L27" i="13"/>
  <c r="R38" i="12"/>
  <c r="G38" i="12"/>
  <c r="T38" i="12" l="1"/>
  <c r="D39" i="12"/>
  <c r="Y6" i="19"/>
  <c r="Y9" i="19" s="1"/>
  <c r="Y14" i="19" s="1"/>
  <c r="Y34" i="19" s="1"/>
  <c r="Y35" i="19" s="1"/>
  <c r="Y36" i="19" s="1"/>
  <c r="Y6" i="15"/>
  <c r="Z28" i="14"/>
  <c r="Y9" i="15" l="1"/>
  <c r="Y14" i="15" s="1"/>
  <c r="Y35" i="15" s="1"/>
  <c r="Y36" i="15" s="1"/>
  <c r="Y37" i="15" s="1"/>
  <c r="Y24" i="16"/>
  <c r="E39" i="12"/>
  <c r="S39" i="12" l="1"/>
  <c r="F39" i="12"/>
  <c r="Y25" i="16"/>
  <c r="Y27" i="16" l="1"/>
  <c r="R39" i="12"/>
  <c r="G39" i="12"/>
  <c r="D40" i="12" l="1"/>
  <c r="T39" i="12"/>
  <c r="Z6" i="14"/>
  <c r="Z14" i="14" s="1"/>
  <c r="Z27" i="14" s="1"/>
  <c r="Z29" i="14" s="1"/>
  <c r="Z6" i="19" l="1"/>
  <c r="Z9" i="19" s="1"/>
  <c r="Z14" i="19" s="1"/>
  <c r="Z34" i="19" s="1"/>
  <c r="Z35" i="19" s="1"/>
  <c r="Z36" i="19" s="1"/>
  <c r="Z6" i="15"/>
  <c r="AA28" i="14"/>
  <c r="E40" i="12"/>
  <c r="S40" i="12" l="1"/>
  <c r="F40" i="12"/>
  <c r="Z9" i="15"/>
  <c r="Z14" i="15" s="1"/>
  <c r="Z35" i="15" s="1"/>
  <c r="Z36" i="15" s="1"/>
  <c r="Z37" i="15" s="1"/>
  <c r="Z24" i="16"/>
  <c r="Z25" i="16" l="1"/>
  <c r="R40" i="12"/>
  <c r="G40" i="12"/>
  <c r="T40" i="12" l="1"/>
  <c r="D41" i="12"/>
  <c r="Z27" i="16"/>
  <c r="AA6" i="14" l="1"/>
  <c r="AA14" i="14" s="1"/>
  <c r="AA27" i="14" s="1"/>
  <c r="AA29" i="14" s="1"/>
  <c r="E41" i="12"/>
  <c r="S41" i="12" l="1"/>
  <c r="F41" i="12"/>
  <c r="AA6" i="15"/>
  <c r="AA6" i="19"/>
  <c r="AA9" i="19" s="1"/>
  <c r="AA14" i="19" s="1"/>
  <c r="AA34" i="19" s="1"/>
  <c r="AA35" i="19" s="1"/>
  <c r="AA36" i="19" s="1"/>
  <c r="AB28" i="14"/>
  <c r="AA9" i="15" l="1"/>
  <c r="AA14" i="15" s="1"/>
  <c r="AA35" i="15" s="1"/>
  <c r="AA36" i="15" s="1"/>
  <c r="AA37" i="15" s="1"/>
  <c r="AA24" i="16"/>
  <c r="R41" i="12"/>
  <c r="G41" i="12"/>
  <c r="D42" i="12" l="1"/>
  <c r="T41" i="12"/>
  <c r="AA25" i="16"/>
  <c r="M24" i="13"/>
  <c r="N24" i="13" s="1"/>
  <c r="F24" i="23" s="1"/>
  <c r="AA27" i="16" l="1"/>
  <c r="M25" i="13"/>
  <c r="N25" i="13" s="1"/>
  <c r="F25" i="23" s="1"/>
  <c r="E42" i="12"/>
  <c r="S42" i="12" l="1"/>
  <c r="F42" i="12"/>
  <c r="AB6" i="14"/>
  <c r="AB14" i="14" s="1"/>
  <c r="AB27" i="14" s="1"/>
  <c r="AB29" i="14" s="1"/>
  <c r="M27" i="13"/>
  <c r="N27" i="13" s="1"/>
  <c r="F27" i="23" s="1"/>
  <c r="AB6" i="15" l="1"/>
  <c r="AB9" i="15" s="1"/>
  <c r="AB14" i="15" s="1"/>
  <c r="AB35" i="15" s="1"/>
  <c r="AB36" i="15" s="1"/>
  <c r="AB37" i="15" s="1"/>
  <c r="AB6" i="19"/>
  <c r="AB9" i="19" s="1"/>
  <c r="AB14" i="19" s="1"/>
  <c r="AB34" i="19" s="1"/>
  <c r="AB35" i="19" s="1"/>
  <c r="AB36" i="19" s="1"/>
  <c r="R42" i="12"/>
  <c r="G42" i="12"/>
  <c r="T42" i="12" l="1"/>
  <c r="D43" i="12"/>
  <c r="E43" i="12" l="1"/>
  <c r="S43" i="12" l="1"/>
  <c r="F43" i="12"/>
  <c r="R43" i="12" l="1"/>
  <c r="G43" i="12"/>
  <c r="D44" i="12" l="1"/>
  <c r="T43" i="12"/>
  <c r="E44" i="12" l="1"/>
  <c r="S44" i="12" l="1"/>
  <c r="F44" i="12"/>
  <c r="R44" i="12" l="1"/>
  <c r="G44" i="12"/>
  <c r="T44" i="12" l="1"/>
  <c r="D45" i="12"/>
  <c r="E45" i="12" l="1"/>
  <c r="S45" i="12" l="1"/>
  <c r="F45" i="12"/>
  <c r="R45" i="12" l="1"/>
  <c r="G45" i="12"/>
  <c r="D46" i="12" l="1"/>
  <c r="T45" i="12"/>
  <c r="E46" i="12" l="1"/>
  <c r="S46" i="12" l="1"/>
  <c r="F46" i="12"/>
  <c r="R46" i="12" l="1"/>
  <c r="G46" i="12"/>
  <c r="T46" i="12" s="1"/>
</calcChain>
</file>

<file path=xl/comments1.xml><?xml version="1.0" encoding="utf-8"?>
<comments xmlns="http://schemas.openxmlformats.org/spreadsheetml/2006/main">
  <authors>
    <author>Bill Tuller</author>
  </authors>
  <commentList>
    <comment ref="B13" authorId="0" shapeId="0">
      <text>
        <r>
          <rPr>
            <b/>
            <sz val="8"/>
            <color indexed="81"/>
            <rFont val="Tahoma"/>
          </rPr>
          <t>VP:</t>
        </r>
        <r>
          <rPr>
            <sz val="8"/>
            <color indexed="81"/>
            <rFont val="Tahoma"/>
          </rPr>
          <t xml:space="preserve">
Type "No" to not pay bonuses.</t>
        </r>
      </text>
    </comment>
  </commentList>
</comments>
</file>

<file path=xl/comments10.xml><?xml version="1.0" encoding="utf-8"?>
<comments xmlns="http://schemas.openxmlformats.org/spreadsheetml/2006/main">
  <authors>
    <author>FBR Staff</author>
  </authors>
  <commentList>
    <comment ref="E12" authorId="0" shapeId="0">
      <text>
        <r>
          <rPr>
            <b/>
            <sz val="8"/>
            <color indexed="81"/>
            <rFont val="Tahoma"/>
          </rPr>
          <t>Cap lease and accumulated depreciation calculation needs to be manually changed because cap lease wksheet oriented up and down vs. Bal sheet right to left.</t>
        </r>
        <r>
          <rPr>
            <sz val="8"/>
            <color indexed="81"/>
            <rFont val="Tahoma"/>
          </rPr>
          <t xml:space="preserve">
</t>
        </r>
      </text>
    </comment>
    <comment ref="E21" authorId="0" shapeId="0">
      <text>
        <r>
          <rPr>
            <b/>
            <sz val="8"/>
            <color indexed="81"/>
            <rFont val="Tahoma"/>
          </rPr>
          <t>Note:</t>
        </r>
        <r>
          <rPr>
            <sz val="8"/>
            <color indexed="81"/>
            <rFont val="Tahoma"/>
          </rPr>
          <t xml:space="preserve">
Cap lease calculation needs to be manually changed because cap lease wksheet oriented up and down vs. Bal sheet right to left.</t>
        </r>
      </text>
    </comment>
    <comment ref="E25" authorId="0" shapeId="0">
      <text>
        <r>
          <rPr>
            <b/>
            <sz val="8"/>
            <color indexed="81"/>
            <rFont val="Tahoma"/>
          </rPr>
          <t>Note:
Cap lease calculation needs to be manually changed because cap lease wksheet oriented up and down vs. Bal sheet right to left.</t>
        </r>
      </text>
    </comment>
  </commentList>
</comments>
</file>

<file path=xl/comments2.xml><?xml version="1.0" encoding="utf-8"?>
<comments xmlns="http://schemas.openxmlformats.org/spreadsheetml/2006/main">
  <authors>
    <author>Bill Tuller</author>
  </authors>
  <commentList>
    <comment ref="A7" authorId="0" shapeId="0">
      <text>
        <r>
          <rPr>
            <b/>
            <sz val="8"/>
            <color indexed="81"/>
            <rFont val="Tahoma"/>
          </rPr>
          <t>VP:</t>
        </r>
        <r>
          <rPr>
            <sz val="8"/>
            <color indexed="81"/>
            <rFont val="Tahoma"/>
          </rPr>
          <t xml:space="preserve">
Operating Leases are expensed.</t>
        </r>
      </text>
    </comment>
    <comment ref="A37" authorId="0" shapeId="0">
      <text>
        <r>
          <rPr>
            <b/>
            <sz val="8"/>
            <color indexed="81"/>
            <rFont val="Tahoma"/>
          </rPr>
          <t>VP:</t>
        </r>
        <r>
          <rPr>
            <sz val="8"/>
            <color indexed="81"/>
            <rFont val="Tahoma"/>
          </rPr>
          <t xml:space="preserve">
Capital Leases capitalized. See Cap Lease wksheet.  Also see Curr portion of Cap lease line on Bal Sheet and Cap Ex in Stmt of Cash flows and depreciation on P&amp;L.  </t>
        </r>
      </text>
    </comment>
  </commentList>
</comments>
</file>

<file path=xl/comments3.xml><?xml version="1.0" encoding="utf-8"?>
<comments xmlns="http://schemas.openxmlformats.org/spreadsheetml/2006/main">
  <authors>
    <author>Bill Tuller</author>
  </authors>
  <commentList>
    <comment ref="A6" authorId="0" shapeId="0">
      <text>
        <r>
          <rPr>
            <b/>
            <sz val="8"/>
            <color indexed="81"/>
            <rFont val="Tahoma"/>
          </rPr>
          <t>VP:</t>
        </r>
        <r>
          <rPr>
            <sz val="8"/>
            <color indexed="81"/>
            <rFont val="Tahoma"/>
          </rPr>
          <t xml:space="preserve">
Status of possible clients in pipeline are categorized into the following categories.  The probability of a deal closing in this Quarter or next quarter is detailed in the following columns.  
Also, you may add additional Status names here, but make sure you also look at the IF... THEN statements in the Columns labelled: "Rev this Quarter" and "Rev next Quarter" in the Pipeline worksheet
</t>
        </r>
      </text>
    </comment>
    <comment ref="A16" authorId="0" shapeId="0">
      <text>
        <r>
          <rPr>
            <b/>
            <sz val="8"/>
            <color indexed="81"/>
            <rFont val="Tahoma"/>
          </rPr>
          <t>VP:</t>
        </r>
        <r>
          <rPr>
            <sz val="8"/>
            <color indexed="81"/>
            <rFont val="Tahoma"/>
          </rPr>
          <t xml:space="preserve">
If your business is based on a monthly fee and not on license fees, set this to 0.</t>
        </r>
      </text>
    </comment>
    <comment ref="A17" authorId="0" shapeId="0">
      <text>
        <r>
          <rPr>
            <b/>
            <sz val="8"/>
            <color indexed="81"/>
            <rFont val="Tahoma"/>
          </rPr>
          <t>VP:</t>
        </r>
        <r>
          <rPr>
            <sz val="8"/>
            <color indexed="81"/>
            <rFont val="Tahoma"/>
          </rPr>
          <t xml:space="preserve">
Set this to zero if there is no up front charge per user.  </t>
        </r>
      </text>
    </comment>
    <comment ref="A18" authorId="0" shapeId="0">
      <text>
        <r>
          <rPr>
            <b/>
            <sz val="8"/>
            <color indexed="81"/>
            <rFont val="Tahoma"/>
          </rPr>
          <t>VP:</t>
        </r>
        <r>
          <rPr>
            <sz val="8"/>
            <color indexed="81"/>
            <rFont val="Tahoma"/>
          </rPr>
          <t xml:space="preserve">
If there is no recurring charge per user, set this to 0.  </t>
        </r>
      </text>
    </comment>
  </commentList>
</comments>
</file>

<file path=xl/comments4.xml><?xml version="1.0" encoding="utf-8"?>
<comments xmlns="http://schemas.openxmlformats.org/spreadsheetml/2006/main">
  <authors>
    <author>Bill Tuller</author>
  </authors>
  <commentList>
    <comment ref="H6" authorId="0" shapeId="0">
      <text>
        <r>
          <rPr>
            <b/>
            <sz val="8"/>
            <color indexed="81"/>
            <rFont val="Tahoma"/>
          </rPr>
          <t>VP:</t>
        </r>
        <r>
          <rPr>
            <sz val="8"/>
            <color indexed="81"/>
            <rFont val="Tahoma"/>
          </rPr>
          <t xml:space="preserve">
</t>
        </r>
        <r>
          <rPr>
            <sz val="9"/>
            <color indexed="81"/>
            <rFont val="Tahoma"/>
            <family val="2"/>
          </rPr>
          <t>This column uses the most complex formula in the model.  Here we leverage the If … Then function in Excel.  This formula says if the Status is Contract multiply the potential contract size times the probability of the deal closing this quarter.</t>
        </r>
      </text>
    </comment>
    <comment ref="I6" authorId="0" shapeId="0">
      <text>
        <r>
          <rPr>
            <b/>
            <sz val="8"/>
            <color indexed="81"/>
            <rFont val="Tahoma"/>
          </rPr>
          <t>VP:</t>
        </r>
        <r>
          <rPr>
            <sz val="8"/>
            <color indexed="81"/>
            <rFont val="Tahoma"/>
          </rPr>
          <t xml:space="preserve">
</t>
        </r>
        <r>
          <rPr>
            <sz val="9"/>
            <color indexed="81"/>
            <rFont val="Tahoma"/>
            <family val="2"/>
          </rPr>
          <t xml:space="preserve">This column uses another complex formula in the model.  This formula says if the Status is Contract multiply the potential contract size times the probability of the deal closing </t>
        </r>
        <r>
          <rPr>
            <b/>
            <sz val="9"/>
            <color indexed="81"/>
            <rFont val="Tahoma"/>
            <family val="2"/>
          </rPr>
          <t>next</t>
        </r>
        <r>
          <rPr>
            <sz val="9"/>
            <color indexed="81"/>
            <rFont val="Tahoma"/>
            <family val="2"/>
          </rPr>
          <t xml:space="preserve"> quarter minus the probability we assingned </t>
        </r>
        <r>
          <rPr>
            <b/>
            <sz val="9"/>
            <color indexed="81"/>
            <rFont val="Tahoma"/>
            <family val="2"/>
          </rPr>
          <t>this</t>
        </r>
        <r>
          <rPr>
            <sz val="9"/>
            <color indexed="81"/>
            <rFont val="Tahoma"/>
            <family val="2"/>
          </rPr>
          <t xml:space="preserve"> quarter.  </t>
        </r>
      </text>
    </comment>
  </commentList>
</comments>
</file>

<file path=xl/comments5.xml><?xml version="1.0" encoding="utf-8"?>
<comments xmlns="http://schemas.openxmlformats.org/spreadsheetml/2006/main">
  <authors>
    <author>FBR Staff</author>
  </authors>
  <commentList>
    <comment ref="F23" authorId="0" shapeId="0">
      <text>
        <r>
          <rPr>
            <b/>
            <sz val="8"/>
            <color indexed="81"/>
            <rFont val="Tahoma"/>
          </rPr>
          <t>For license sales, buyers usually wait until the end of the quarter to purchase, so sales within the quarter are broken out with a 20%, 30%, 50% split in the 1st, 2nd, and 3rd months of a quarter respectively.</t>
        </r>
        <r>
          <rPr>
            <sz val="8"/>
            <color indexed="81"/>
            <rFont val="Tahoma"/>
          </rPr>
          <t xml:space="preserve">
</t>
        </r>
      </text>
    </comment>
  </commentList>
</comments>
</file>

<file path=xl/comments6.xml><?xml version="1.0" encoding="utf-8"?>
<comments xmlns="http://schemas.openxmlformats.org/spreadsheetml/2006/main">
  <authors>
    <author>Bill Tuller</author>
  </authors>
  <commentList>
    <comment ref="D18" authorId="0" shapeId="0">
      <text>
        <r>
          <rPr>
            <b/>
            <sz val="8"/>
            <color indexed="81"/>
            <rFont val="Tahoma"/>
          </rPr>
          <t>VP:</t>
        </r>
        <r>
          <rPr>
            <sz val="8"/>
            <color indexed="81"/>
            <rFont val="Tahoma"/>
          </rPr>
          <t xml:space="preserve">
Multiplied monthly expenses x 50% as costs ramp up.
</t>
        </r>
      </text>
    </comment>
    <comment ref="E18" authorId="0" shapeId="0">
      <text>
        <r>
          <rPr>
            <b/>
            <sz val="8"/>
            <color indexed="81"/>
            <rFont val="Tahoma"/>
          </rPr>
          <t xml:space="preserve">VP:
</t>
        </r>
        <r>
          <rPr>
            <sz val="8"/>
            <color indexed="81"/>
            <rFont val="Tahoma"/>
            <family val="2"/>
          </rPr>
          <t>Multiplied monthly expenses x 75% as costs ramp up.</t>
        </r>
        <r>
          <rPr>
            <sz val="8"/>
            <color indexed="81"/>
            <rFont val="Tahoma"/>
          </rPr>
          <t xml:space="preserve">
</t>
        </r>
      </text>
    </comment>
    <comment ref="M18" authorId="0" shapeId="0">
      <text>
        <r>
          <rPr>
            <b/>
            <sz val="8"/>
            <color indexed="81"/>
            <rFont val="Tahoma"/>
            <family val="2"/>
          </rPr>
          <t>VP</t>
        </r>
        <r>
          <rPr>
            <sz val="8"/>
            <color indexed="81"/>
            <rFont val="Tahoma"/>
            <family val="2"/>
          </rPr>
          <t>:
Since the quota is not a hard number, going forward we are assuming a sales commision and bonus of 7% of sales</t>
        </r>
      </text>
    </comment>
    <comment ref="D21" authorId="0" shapeId="0">
      <text>
        <r>
          <rPr>
            <b/>
            <sz val="8"/>
            <color indexed="81"/>
            <rFont val="Tahoma"/>
          </rPr>
          <t>VP:</t>
        </r>
        <r>
          <rPr>
            <sz val="8"/>
            <color indexed="81"/>
            <rFont val="Tahoma"/>
          </rPr>
          <t xml:space="preserve">
Cap lease calculation needs to be manually changed because cap lease wksheet oriented up and down vs. Bal sheet right to left.</t>
        </r>
      </text>
    </comment>
    <comment ref="D24" authorId="0" shapeId="0">
      <text>
        <r>
          <rPr>
            <b/>
            <sz val="8"/>
            <color indexed="81"/>
            <rFont val="Tahoma"/>
          </rPr>
          <t>VP:</t>
        </r>
        <r>
          <rPr>
            <sz val="8"/>
            <color indexed="81"/>
            <rFont val="Tahoma"/>
          </rPr>
          <t xml:space="preserve">
Cap lease calculation needs to be manually changed because cap lease wksheet oriented up and down vs. Bal sheet right to left.</t>
        </r>
      </text>
    </comment>
  </commentList>
</comments>
</file>

<file path=xl/comments7.xml><?xml version="1.0" encoding="utf-8"?>
<comments xmlns="http://schemas.openxmlformats.org/spreadsheetml/2006/main">
  <authors>
    <author>Bill Tuller</author>
  </authors>
  <commentList>
    <comment ref="O14" authorId="0" shapeId="0">
      <text>
        <r>
          <rPr>
            <b/>
            <sz val="8"/>
            <color indexed="81"/>
            <rFont val="Tahoma"/>
          </rPr>
          <t>VP:</t>
        </r>
        <r>
          <rPr>
            <sz val="8"/>
            <color indexed="81"/>
            <rFont val="Tahoma"/>
          </rPr>
          <t xml:space="preserve">
0% due to application of NOLs (Net Operating Losses)</t>
        </r>
      </text>
    </comment>
  </commentList>
</comments>
</file>

<file path=xl/comments8.xml><?xml version="1.0" encoding="utf-8"?>
<comments xmlns="http://schemas.openxmlformats.org/spreadsheetml/2006/main">
  <authors>
    <author>FBR Staff</author>
  </authors>
  <commentList>
    <comment ref="E12" authorId="0" shapeId="0">
      <text>
        <r>
          <rPr>
            <b/>
            <sz val="8"/>
            <color indexed="81"/>
            <rFont val="Tahoma"/>
          </rPr>
          <t>Cap lease and accumulated depreciation calculation needs to be manually changed because cap lease wksheet oriented up and down vs. Bal sheet right to left.</t>
        </r>
        <r>
          <rPr>
            <sz val="8"/>
            <color indexed="81"/>
            <rFont val="Tahoma"/>
          </rPr>
          <t xml:space="preserve">
</t>
        </r>
      </text>
    </comment>
    <comment ref="E21" authorId="0" shapeId="0">
      <text>
        <r>
          <rPr>
            <b/>
            <sz val="8"/>
            <color indexed="81"/>
            <rFont val="Tahoma"/>
          </rPr>
          <t>Note:</t>
        </r>
        <r>
          <rPr>
            <sz val="8"/>
            <color indexed="81"/>
            <rFont val="Tahoma"/>
          </rPr>
          <t xml:space="preserve">
Cap lease calculation needs to be manually changed because cap lease wksheet oriented up and down vs. Bal sheet right to left.</t>
        </r>
      </text>
    </comment>
    <comment ref="E25" authorId="0" shapeId="0">
      <text>
        <r>
          <rPr>
            <b/>
            <sz val="8"/>
            <color indexed="81"/>
            <rFont val="Tahoma"/>
          </rPr>
          <t>Note:
Cap lease calculation needs to be manually changed because cap lease wksheet oriented up and down vs. Bal sheet right to left.</t>
        </r>
      </text>
    </comment>
    <comment ref="B31" authorId="0" shapeId="0">
      <text>
        <r>
          <rPr>
            <b/>
            <sz val="8"/>
            <color indexed="81"/>
            <rFont val="Tahoma"/>
          </rPr>
          <t>3,000,000 shares at $1.00 per share</t>
        </r>
        <r>
          <rPr>
            <sz val="8"/>
            <color indexed="81"/>
            <rFont val="Tahoma"/>
          </rPr>
          <t xml:space="preserve">
</t>
        </r>
      </text>
    </comment>
    <comment ref="B33" authorId="0" shapeId="0">
      <text>
        <r>
          <rPr>
            <b/>
            <sz val="8"/>
            <color indexed="81"/>
            <rFont val="Tahoma"/>
          </rPr>
          <t>6,000,000 shares at $0.01 per share</t>
        </r>
        <r>
          <rPr>
            <sz val="8"/>
            <color indexed="81"/>
            <rFont val="Tahoma"/>
          </rPr>
          <t xml:space="preserve">
</t>
        </r>
      </text>
    </comment>
  </commentList>
</comments>
</file>

<file path=xl/comments9.xml><?xml version="1.0" encoding="utf-8"?>
<comments xmlns="http://schemas.openxmlformats.org/spreadsheetml/2006/main">
  <authors>
    <author>Bill Tuller</author>
  </authors>
  <commentList>
    <comment ref="A3" authorId="0" shapeId="0">
      <text>
        <r>
          <rPr>
            <b/>
            <sz val="8"/>
            <color indexed="81"/>
            <rFont val="Tahoma"/>
          </rPr>
          <t>VP:</t>
        </r>
        <r>
          <rPr>
            <sz val="8"/>
            <color indexed="81"/>
            <rFont val="Tahoma"/>
          </rPr>
          <t xml:space="preserve">
This is the amount of money we are looking to raise.</t>
        </r>
      </text>
    </comment>
    <comment ref="A4" authorId="0" shapeId="0">
      <text>
        <r>
          <rPr>
            <b/>
            <sz val="8"/>
            <color indexed="81"/>
            <rFont val="Tahoma"/>
          </rPr>
          <t>VP:</t>
        </r>
        <r>
          <rPr>
            <sz val="8"/>
            <color indexed="81"/>
            <rFont val="Tahoma"/>
          </rPr>
          <t xml:space="preserve">
We are assuming Series B Price per share of $1.60.  This would result in a post money val of $22.6 million.  Roughly 5x next yrs revs (see Rev numbers &amp; comp sheets).  However valuation will ultimately be set by the Series B investors.</t>
        </r>
      </text>
    </comment>
    <comment ref="A12" authorId="0" shapeId="0">
      <text>
        <r>
          <rPr>
            <b/>
            <sz val="8"/>
            <color indexed="81"/>
            <rFont val="Tahoma"/>
          </rPr>
          <t>VP:</t>
        </r>
        <r>
          <rPr>
            <sz val="8"/>
            <color indexed="81"/>
            <rFont val="Tahoma"/>
          </rPr>
          <t xml:space="preserve">
This should tie to our bal sheet info.  We are assuming an Angel Investor invested $3 million to help start the business at $1.00 per share.  </t>
        </r>
      </text>
    </comment>
    <comment ref="A14" authorId="0" shapeId="0">
      <text>
        <r>
          <rPr>
            <b/>
            <sz val="8"/>
            <color indexed="81"/>
            <rFont val="Tahoma"/>
          </rPr>
          <t>VP:</t>
        </r>
        <r>
          <rPr>
            <sz val="8"/>
            <color indexed="81"/>
            <rFont val="Tahoma"/>
          </rPr>
          <t xml:space="preserve">
This should tie to the balance sheet.  This assumes the founders have 6 million shares at $.01 per share.</t>
        </r>
      </text>
    </comment>
    <comment ref="A15" authorId="0" shapeId="0">
      <text>
        <r>
          <rPr>
            <b/>
            <sz val="8"/>
            <color indexed="81"/>
            <rFont val="Tahoma"/>
          </rPr>
          <t>VP:</t>
        </r>
        <r>
          <rPr>
            <sz val="8"/>
            <color indexed="81"/>
            <rFont val="Tahoma"/>
          </rPr>
          <t xml:space="preserve">
We are assuming the option pool is roughly 15-20% of the total shares outstanding.</t>
        </r>
      </text>
    </comment>
    <comment ref="A17" authorId="0" shapeId="0">
      <text>
        <r>
          <rPr>
            <b/>
            <sz val="8"/>
            <color indexed="81"/>
            <rFont val="Tahoma"/>
          </rPr>
          <t>VP:</t>
        </r>
        <r>
          <rPr>
            <sz val="8"/>
            <color indexed="81"/>
            <rFont val="Tahoma"/>
          </rPr>
          <t xml:space="preserve">
Includes all shares outstanding including preferred stock, common, options and warrants (if any).</t>
        </r>
      </text>
    </comment>
  </commentList>
</comments>
</file>

<file path=xl/sharedStrings.xml><?xml version="1.0" encoding="utf-8"?>
<sst xmlns="http://schemas.openxmlformats.org/spreadsheetml/2006/main" count="832" uniqueCount="445">
  <si>
    <t>Employee Expenses</t>
  </si>
  <si>
    <t>General &amp; Administrative</t>
  </si>
  <si>
    <t>CEO</t>
  </si>
  <si>
    <t>Monthly Expense</t>
  </si>
  <si>
    <t>Administrative Assistant</t>
  </si>
  <si>
    <t>Insurance &amp; Tax true up</t>
  </si>
  <si>
    <t>G&amp;A Total</t>
  </si>
  <si>
    <t>Sales &amp; Marketing</t>
  </si>
  <si>
    <t>General Assumptions:</t>
  </si>
  <si>
    <t>Sales Associate</t>
  </si>
  <si>
    <t>Inside Sales Associate</t>
  </si>
  <si>
    <t>Sales Engineer</t>
  </si>
  <si>
    <t>Subtotal</t>
  </si>
  <si>
    <t>Insurance &amp; Payroll Tax</t>
  </si>
  <si>
    <t>Sales and Marketing Total</t>
  </si>
  <si>
    <t>VP of Sales and Marketing</t>
  </si>
  <si>
    <t>Marketing Associate</t>
  </si>
  <si>
    <t>Research &amp; Development</t>
  </si>
  <si>
    <t>Bonuses are divided by 12 months since they are annual payments</t>
  </si>
  <si>
    <t>Senior Developer</t>
  </si>
  <si>
    <t>Developer</t>
  </si>
  <si>
    <t>Yes</t>
  </si>
  <si>
    <t>Senior Q&amp;A Analyst</t>
  </si>
  <si>
    <t>Q&amp;A Analyst</t>
  </si>
  <si>
    <t>Q&amp;A Analyst/ Documentation</t>
  </si>
  <si>
    <t>Professional Services</t>
  </si>
  <si>
    <t>Director of Professional Services</t>
  </si>
  <si>
    <t>Consultant</t>
  </si>
  <si>
    <t>Total Employee Costs</t>
  </si>
  <si>
    <t>Bonus (Non sales team)</t>
  </si>
  <si>
    <t>Bonus</t>
  </si>
  <si>
    <t>Equipment &amp; Software Expenses</t>
  </si>
  <si>
    <t>Assumptions:</t>
  </si>
  <si>
    <t>Interest Rate (monthly)</t>
  </si>
  <si>
    <t>Cisco Router</t>
  </si>
  <si>
    <t>Total</t>
  </si>
  <si>
    <t>Controller</t>
  </si>
  <si>
    <t>LAN Help Desk</t>
  </si>
  <si>
    <t>Monthly Payment</t>
  </si>
  <si>
    <t>Percent Allocation to Sales</t>
  </si>
  <si>
    <t>Percent Allocation to R&amp;D</t>
  </si>
  <si>
    <t>Percent Allocation to G&amp;A</t>
  </si>
  <si>
    <t>Customer Support Specialist</t>
  </si>
  <si>
    <t>Office Space</t>
  </si>
  <si>
    <t>Utilities</t>
  </si>
  <si>
    <t>Telecom &amp; Internet Expenses</t>
  </si>
  <si>
    <t>Office Supplies</t>
  </si>
  <si>
    <t>Group Specific Expenses</t>
  </si>
  <si>
    <t>Mail &amp; email campaigns</t>
  </si>
  <si>
    <t>Conference Expenses</t>
  </si>
  <si>
    <t>Travel</t>
  </si>
  <si>
    <t>Wireless Charges</t>
  </si>
  <si>
    <t>Sales &amp; Marketing Expenses</t>
  </si>
  <si>
    <t>Research &amp; Development Expenses</t>
  </si>
  <si>
    <t>OEM Software Licenses</t>
  </si>
  <si>
    <t>Web Marketing and Advertising</t>
  </si>
  <si>
    <t>RIMM Pager Services</t>
  </si>
  <si>
    <t>Recruiting</t>
  </si>
  <si>
    <t>Mail</t>
  </si>
  <si>
    <t>Training</t>
  </si>
  <si>
    <t>Percent of Overhead Above</t>
  </si>
  <si>
    <t>Overhead Total</t>
  </si>
  <si>
    <t>Group Total</t>
  </si>
  <si>
    <t>Pre-Capital Raise</t>
  </si>
  <si>
    <t>Post-Capital Raise</t>
  </si>
  <si>
    <t>Incremental Hires</t>
  </si>
  <si>
    <t>CFO</t>
  </si>
  <si>
    <t>Director of Marketing</t>
  </si>
  <si>
    <t>G&amp;A Incremental Total</t>
  </si>
  <si>
    <t>Incremental Subtotal</t>
  </si>
  <si>
    <t>Total G&amp;A Post Capital Raise</t>
  </si>
  <si>
    <t>Sales &amp; Mkting Incremental Total</t>
  </si>
  <si>
    <t>Total Sales &amp; Mkting Post Raise</t>
  </si>
  <si>
    <t>Head of Business Development</t>
  </si>
  <si>
    <t>Total Incremental Prof Services</t>
  </si>
  <si>
    <t>Total Employee Costs Post Raise</t>
  </si>
  <si>
    <t>New Equipment Post-Raise</t>
  </si>
  <si>
    <t>Incremental Monthly Payment</t>
  </si>
  <si>
    <t>Total Monthly Payment</t>
  </si>
  <si>
    <t>Pre-Raise</t>
  </si>
  <si>
    <t>Post-Raise</t>
  </si>
  <si>
    <t>Enterprise Pipeline</t>
  </si>
  <si>
    <t>Status</t>
  </si>
  <si>
    <t>Closed</t>
  </si>
  <si>
    <t>Contract</t>
  </si>
  <si>
    <t>Response</t>
  </si>
  <si>
    <t>Deal signed</t>
  </si>
  <si>
    <t>Contract Negotiation</t>
  </si>
  <si>
    <t>Eval</t>
  </si>
  <si>
    <t>Reviewing responses to RFPs</t>
  </si>
  <si>
    <t>Proposal</t>
  </si>
  <si>
    <t>Response to email or sales call</t>
  </si>
  <si>
    <t>Up front License</t>
  </si>
  <si>
    <t>Up front charge per user</t>
  </si>
  <si>
    <t>Monthly Recurring Charge per user</t>
  </si>
  <si>
    <t>Liklihood deal closes this Quarter</t>
  </si>
  <si>
    <t>Liklihood deal closes next Quarter</t>
  </si>
  <si>
    <t>Evaluating and piloting software</t>
  </si>
  <si>
    <t>Prospect</t>
  </si>
  <si>
    <t>Potential Users</t>
  </si>
  <si>
    <t>Potential Contract Size</t>
  </si>
  <si>
    <t>Recurring Rev per month</t>
  </si>
  <si>
    <t>Potential Rev this Quarter</t>
  </si>
  <si>
    <t>Potential Rev Next Quarter</t>
  </si>
  <si>
    <t>Sales Contact</t>
  </si>
  <si>
    <t>Description</t>
  </si>
  <si>
    <t>VP Sales</t>
  </si>
  <si>
    <t>NY Financial Institution</t>
  </si>
  <si>
    <t>License Fee</t>
  </si>
  <si>
    <t>Lead Generation</t>
  </si>
  <si>
    <t>Require</t>
  </si>
  <si>
    <t>Establishing requirements</t>
  </si>
  <si>
    <t>IT Services firm</t>
  </si>
  <si>
    <t>Software firm</t>
  </si>
  <si>
    <t>Manufacturer sales force</t>
  </si>
  <si>
    <t>Southern Fin Institution</t>
  </si>
  <si>
    <t>Sales cycle 5 months</t>
  </si>
  <si>
    <t>CEO contact</t>
  </si>
  <si>
    <t>Sales cycle 4 months</t>
  </si>
  <si>
    <t>Sales cycle 3 months</t>
  </si>
  <si>
    <t>Conference contact</t>
  </si>
  <si>
    <t>Regional Airline</t>
  </si>
  <si>
    <t>Sales contact</t>
  </si>
  <si>
    <t>Sales call</t>
  </si>
  <si>
    <t>Hardware sales force</t>
  </si>
  <si>
    <r>
      <t xml:space="preserve">Discount </t>
    </r>
    <r>
      <rPr>
        <sz val="7.5"/>
        <rFont val="Arial"/>
        <family val="2"/>
      </rPr>
      <t>(needs CEO approval)</t>
    </r>
  </si>
  <si>
    <t>email</t>
  </si>
  <si>
    <t>Law enforcement group</t>
  </si>
  <si>
    <t>Conglomerate Mgmt team</t>
  </si>
  <si>
    <t>Pharma Sales</t>
  </si>
  <si>
    <t>Pilot in place</t>
  </si>
  <si>
    <t>Testing integration</t>
  </si>
  <si>
    <t>Cold call</t>
  </si>
  <si>
    <t>Wireless Provider</t>
  </si>
  <si>
    <t>mailing</t>
  </si>
  <si>
    <t>Hardware install team</t>
  </si>
  <si>
    <t>Logistics &amp; Moving</t>
  </si>
  <si>
    <t>Law firm</t>
  </si>
  <si>
    <t>In bake off w/ wireless asp</t>
  </si>
  <si>
    <t>Looking at ROI</t>
  </si>
  <si>
    <t>sales call</t>
  </si>
  <si>
    <t>Western Fin Institution</t>
  </si>
  <si>
    <t>Healthcare provider</t>
  </si>
  <si>
    <t>News Media</t>
  </si>
  <si>
    <t>Inside Sales</t>
  </si>
  <si>
    <t>Appliance Field Service</t>
  </si>
  <si>
    <t>Need solution to help IT group</t>
  </si>
  <si>
    <t>Value add service for consumers</t>
  </si>
  <si>
    <t>Looking at solution</t>
  </si>
  <si>
    <t>Gov inspection</t>
  </si>
  <si>
    <t>Insurance firm</t>
  </si>
  <si>
    <t>Sales Assoc2</t>
  </si>
  <si>
    <t>Utility field service</t>
  </si>
  <si>
    <t>In talks with R&amp;D team</t>
  </si>
  <si>
    <t>Looking for solution</t>
  </si>
  <si>
    <t>Looking at multiple solutions</t>
  </si>
  <si>
    <t>Talking with IT manager</t>
  </si>
  <si>
    <t>In early stages of looking</t>
  </si>
  <si>
    <t>Unhappy with current solution</t>
  </si>
  <si>
    <t>Enterprise Pipeline Assumptions</t>
  </si>
  <si>
    <t>Tech Software</t>
  </si>
  <si>
    <t>Looking for short impl time</t>
  </si>
  <si>
    <t>Educating them on solutions</t>
  </si>
  <si>
    <t>New Eng Fin Institution</t>
  </si>
  <si>
    <t>Referral</t>
  </si>
  <si>
    <t>Beginning talks</t>
  </si>
  <si>
    <t>Print Advertising</t>
  </si>
  <si>
    <t>Installation and Maintenance</t>
  </si>
  <si>
    <t>Energy Services</t>
  </si>
  <si>
    <t>Sales Call</t>
  </si>
  <si>
    <t>Going through organization</t>
  </si>
  <si>
    <t>Enterprise Sales</t>
  </si>
  <si>
    <t>Q1 Sales</t>
  </si>
  <si>
    <t>New Eng Fin Instit</t>
  </si>
  <si>
    <t>Users</t>
  </si>
  <si>
    <t>Tech Hardware Sales</t>
  </si>
  <si>
    <t>Sales Cycle 3 months</t>
  </si>
  <si>
    <t>Mgmt team of Tech firm</t>
  </si>
  <si>
    <t>Sales Assoc1</t>
  </si>
  <si>
    <t>Revenue</t>
  </si>
  <si>
    <t>Sales Cycle 2 months</t>
  </si>
  <si>
    <t>Q2 Sales</t>
  </si>
  <si>
    <t>Sales Cycle 5 months</t>
  </si>
  <si>
    <t>Equipment Sales</t>
  </si>
  <si>
    <t>Sales Cycle 4 months</t>
  </si>
  <si>
    <t>Insurance Firm</t>
  </si>
  <si>
    <t>Insurance</t>
  </si>
  <si>
    <t>Fiscal 2002</t>
  </si>
  <si>
    <t>Q1-2001</t>
  </si>
  <si>
    <t>Q2-2001</t>
  </si>
  <si>
    <t>Q3-2001</t>
  </si>
  <si>
    <t>Q4-2001</t>
  </si>
  <si>
    <t>FY 2001</t>
  </si>
  <si>
    <t>Q1-2002</t>
  </si>
  <si>
    <t>Q2-2002</t>
  </si>
  <si>
    <t>Q3-2002</t>
  </si>
  <si>
    <t>Q4-2002</t>
  </si>
  <si>
    <t>FY 2002</t>
  </si>
  <si>
    <t>Revenues</t>
  </si>
  <si>
    <t>Total Revenue</t>
  </si>
  <si>
    <t>License Revenues</t>
  </si>
  <si>
    <t>Prof Services</t>
  </si>
  <si>
    <t>Prof Services Rev as % of License Rev</t>
  </si>
  <si>
    <t>* Assumes Capital Raise</t>
  </si>
  <si>
    <t>Sales</t>
  </si>
  <si>
    <t>Yearly Total</t>
  </si>
  <si>
    <t>*Note:  Sale Commisions paid on a quarterly basis, see Quota worksheet</t>
  </si>
  <si>
    <t>Q1</t>
  </si>
  <si>
    <t>Q2</t>
  </si>
  <si>
    <t>Q3</t>
  </si>
  <si>
    <t>Q4</t>
  </si>
  <si>
    <t>Assumptions</t>
  </si>
  <si>
    <t>Sales Associates Sales Based on Individual Sales and Team Sales Quota</t>
  </si>
  <si>
    <t>VP of Sales Quota based on Firm wide sales</t>
  </si>
  <si>
    <t>Bonus for Firm Wide Sales</t>
  </si>
  <si>
    <t>Sales team Quota per Quarter</t>
  </si>
  <si>
    <t>Inside Sales, Sales Engineers, and Marketing receive bonus for Firm Wide Sales Quota</t>
  </si>
  <si>
    <t>VP Sales Commision:</t>
  </si>
  <si>
    <t>Sales Associate Commision:</t>
  </si>
  <si>
    <t>Quotas based on Quarterly Sales</t>
  </si>
  <si>
    <t>Commision on sales below Quota</t>
  </si>
  <si>
    <t>Commision on sales above Quota</t>
  </si>
  <si>
    <t>For all Sales</t>
  </si>
  <si>
    <t>Incremental % increase for sales above quota</t>
  </si>
  <si>
    <t>Commision on Firm wide Sales</t>
  </si>
  <si>
    <t>Sales Associate 1</t>
  </si>
  <si>
    <t>Quota</t>
  </si>
  <si>
    <t>Commision</t>
  </si>
  <si>
    <t>Sales Associate 2</t>
  </si>
  <si>
    <t>Life of Assets (in months)</t>
  </si>
  <si>
    <t>Term of Operating Lease</t>
  </si>
  <si>
    <t>Term of Capital Lease</t>
  </si>
  <si>
    <t>Present Value</t>
  </si>
  <si>
    <t>Beginning Balance</t>
  </si>
  <si>
    <t>Interest</t>
  </si>
  <si>
    <t>Principal</t>
  </si>
  <si>
    <t>Ending Balance</t>
  </si>
  <si>
    <t>Month</t>
  </si>
  <si>
    <t>Payment</t>
  </si>
  <si>
    <t>Depreciation</t>
  </si>
  <si>
    <t>Term (months)</t>
  </si>
  <si>
    <t>Rate (month)</t>
  </si>
  <si>
    <t>Cost of Revenue</t>
  </si>
  <si>
    <t>Total Cost of Revenue</t>
  </si>
  <si>
    <t>Gross Profit</t>
  </si>
  <si>
    <t>Operating Expenses</t>
  </si>
  <si>
    <t>Sales and Marketing</t>
  </si>
  <si>
    <t>Research and Development</t>
  </si>
  <si>
    <t>General and Administrative</t>
  </si>
  <si>
    <t>Total Operating Expenses</t>
  </si>
  <si>
    <t>Operating Income</t>
  </si>
  <si>
    <t>Other income, net</t>
  </si>
  <si>
    <t>Income Before Taxes</t>
  </si>
  <si>
    <t>Income Tax Provision</t>
  </si>
  <si>
    <t>Net Income</t>
  </si>
  <si>
    <t>License Revenue</t>
  </si>
  <si>
    <t>Cost of Licenses</t>
  </si>
  <si>
    <t>Cost of Services</t>
  </si>
  <si>
    <t xml:space="preserve">Total </t>
  </si>
  <si>
    <t>Legal Expenses</t>
  </si>
  <si>
    <t>Accounting</t>
  </si>
  <si>
    <t>Legal</t>
  </si>
  <si>
    <t>Assets</t>
  </si>
  <si>
    <t>Current Assets</t>
  </si>
  <si>
    <t xml:space="preserve">   Cash and Cash Equivalents</t>
  </si>
  <si>
    <t xml:space="preserve">   Accounts Receivable</t>
  </si>
  <si>
    <t xml:space="preserve">      Total Current Assets</t>
  </si>
  <si>
    <t xml:space="preserve">      Total Assets</t>
  </si>
  <si>
    <t>Liabilities &amp; Shareholders' Equity</t>
  </si>
  <si>
    <t>Current Liabilities</t>
  </si>
  <si>
    <t xml:space="preserve">   Accounts Payable</t>
  </si>
  <si>
    <t xml:space="preserve">   Accrued Liabilities</t>
  </si>
  <si>
    <t xml:space="preserve">   Deferred Revenue</t>
  </si>
  <si>
    <t xml:space="preserve">      Total Current Liabilities</t>
  </si>
  <si>
    <t>Long Term Liabilities</t>
  </si>
  <si>
    <t xml:space="preserve">      Total Long Term Liabilities</t>
  </si>
  <si>
    <t xml:space="preserve">      Total Liabilities</t>
  </si>
  <si>
    <t>Shareholders' Equity</t>
  </si>
  <si>
    <t xml:space="preserve">   Common Stock</t>
  </si>
  <si>
    <t xml:space="preserve">   Retained Earnings</t>
  </si>
  <si>
    <t xml:space="preserve">   Accumulated Deficit</t>
  </si>
  <si>
    <t xml:space="preserve">      Total Shareholders' Equity</t>
  </si>
  <si>
    <t xml:space="preserve">   Other Assets</t>
  </si>
  <si>
    <t>Less:  Accumulated Depreciation</t>
  </si>
  <si>
    <t>Net Property and Equipment</t>
  </si>
  <si>
    <t>Property and Equipment</t>
  </si>
  <si>
    <t xml:space="preserve">   Current Portion of Capital lease</t>
  </si>
  <si>
    <t xml:space="preserve">   Long Term Portion of Capital Lease</t>
  </si>
  <si>
    <t xml:space="preserve">   Series A Preferred</t>
  </si>
  <si>
    <t xml:space="preserve">   Series B Preferred</t>
  </si>
  <si>
    <t xml:space="preserve"> Forecast Statements of Cashflows</t>
  </si>
  <si>
    <t>Cashflows from operating activities</t>
  </si>
  <si>
    <t>Net income (loss)</t>
  </si>
  <si>
    <t>Non-cash income &amp; expenses</t>
  </si>
  <si>
    <t>Deferred revenues</t>
  </si>
  <si>
    <t>Changes in non-cash assets &amp; liabilities</t>
  </si>
  <si>
    <t>Decrease (increase) in accounts receivable</t>
  </si>
  <si>
    <t>Decrease (increase) in other current assets</t>
  </si>
  <si>
    <t>Increase (decrease) in current liabilities</t>
  </si>
  <si>
    <t>Net Cash provided by (used in) operations</t>
  </si>
  <si>
    <t>Cashflows from investing activities</t>
  </si>
  <si>
    <t>Capital expenditures</t>
  </si>
  <si>
    <t>Net Cash used in investing activities</t>
  </si>
  <si>
    <t>Cashflows from financing activities</t>
  </si>
  <si>
    <t>Proceeds from issuance of preferred stock, net</t>
  </si>
  <si>
    <t>Net Cash provided by financing activities</t>
  </si>
  <si>
    <t>Increase (decrease) in cash and cash equivalents</t>
  </si>
  <si>
    <t>Beginning balance, cash and cash equivalents</t>
  </si>
  <si>
    <t>Ending balance, cash and cash equivalents</t>
  </si>
  <si>
    <t>Actual</t>
  </si>
  <si>
    <t>Estimate</t>
  </si>
  <si>
    <t>Quarterly</t>
  </si>
  <si>
    <t>Monthly</t>
  </si>
  <si>
    <t>For Individual Sales Below Quota</t>
  </si>
  <si>
    <t>Incremental % increase for individual sales above quota</t>
  </si>
  <si>
    <t>Total Employees</t>
  </si>
  <si>
    <t>Total Employees Post Raise</t>
  </si>
  <si>
    <t>Capitalization Table</t>
  </si>
  <si>
    <t>Holdings</t>
  </si>
  <si>
    <t>Series A Senior Convertible Preferred Stock</t>
  </si>
  <si>
    <t>Common Stock</t>
  </si>
  <si>
    <t>Common Stock reserved for Stock Option Plan</t>
  </si>
  <si>
    <t>Shares of Stock</t>
  </si>
  <si>
    <t>-</t>
  </si>
  <si>
    <t>Capitalization Structure</t>
  </si>
  <si>
    <t>Total Shares Outstanding (Fully Diluted)</t>
  </si>
  <si>
    <t>Cost per unit</t>
  </si>
  <si>
    <t>Quantity</t>
  </si>
  <si>
    <t>Workstations</t>
  </si>
  <si>
    <t>Laptops</t>
  </si>
  <si>
    <t>PDAs</t>
  </si>
  <si>
    <t>Printers</t>
  </si>
  <si>
    <t>Copier/Scanners</t>
  </si>
  <si>
    <t>Desk Chairs</t>
  </si>
  <si>
    <t>Sun Servers</t>
  </si>
  <si>
    <t>Cost per Unit</t>
  </si>
  <si>
    <t>Beginning Bal</t>
  </si>
  <si>
    <t>Total Interest</t>
  </si>
  <si>
    <t>Total Principal</t>
  </si>
  <si>
    <t>Total Depreciation</t>
  </si>
  <si>
    <t>Ending Bal</t>
  </si>
  <si>
    <t>1st Set of Servers</t>
  </si>
  <si>
    <t>2nd Set of Servers</t>
  </si>
  <si>
    <t>Combined Schedule for Servers</t>
  </si>
  <si>
    <t>Bonus Payment per month (Non sales team)</t>
  </si>
  <si>
    <t>all costs on a per month basis</t>
  </si>
  <si>
    <t>Capital Leases</t>
  </si>
  <si>
    <t>Operating Leases</t>
  </si>
  <si>
    <t>Going in with integration partner</t>
  </si>
  <si>
    <t>Partner bringing us in</t>
  </si>
  <si>
    <t>Partner</t>
  </si>
  <si>
    <t>Total obligation over term</t>
  </si>
  <si>
    <t xml:space="preserve">      Total Liab &amp; Shareholders' Equity</t>
  </si>
  <si>
    <t>CTO</t>
  </si>
  <si>
    <t>Q3 Sales</t>
  </si>
  <si>
    <t>Q1 Total</t>
  </si>
  <si>
    <t>Q2 Total</t>
  </si>
  <si>
    <t>Q3 Total</t>
  </si>
  <si>
    <t>Manufact firm sales force</t>
  </si>
  <si>
    <t>Service Expenses per Month</t>
  </si>
  <si>
    <t>Quarter over Quarter growth from Q102*</t>
  </si>
  <si>
    <t>Service Expenses per month</t>
  </si>
  <si>
    <t>Our Model is made up of the following worksheets:</t>
  </si>
  <si>
    <t>Employees</t>
  </si>
  <si>
    <t>Equipment Expense</t>
  </si>
  <si>
    <t>Cap Lease</t>
  </si>
  <si>
    <t>Service Expense</t>
  </si>
  <si>
    <t>Pipeline assumptions</t>
  </si>
  <si>
    <t>Closed Sales</t>
  </si>
  <si>
    <t>Monthly P&amp;L</t>
  </si>
  <si>
    <t>Quarterly P&amp;L</t>
  </si>
  <si>
    <t>Balance Sheet</t>
  </si>
  <si>
    <t>Stmt of CF</t>
  </si>
  <si>
    <t>Cap Table</t>
  </si>
  <si>
    <t xml:space="preserve">Pipeline </t>
  </si>
  <si>
    <t>Amortization Schedule</t>
  </si>
  <si>
    <t>Combined Amortization Schedule</t>
  </si>
  <si>
    <t>Recurring Rev Next Quarter</t>
  </si>
  <si>
    <t>You may use this model as the basis for your own, or just use it as a point of reference.</t>
  </si>
  <si>
    <t>Worksheets from "Employees" to "Service Expenses" define the expense side of the business.</t>
  </si>
  <si>
    <t>Worksheets From "Pipeline Assumptions" to "Revenue" define the Revenue side of the business</t>
  </si>
  <si>
    <t>Worksheets "Monthly P&amp;L" to "Cap Table" are the financial statements that VCs and investors will want to see.</t>
  </si>
  <si>
    <t xml:space="preserve">Worksheets "Bal Sheet for Offer Memo" through "P&amp;L summ for Offer Memo" are copies of the Balance Sheet and Quarterly P&amp;L sheets in order to format these statements for the presentation in the offering memorandum.  </t>
  </si>
  <si>
    <t xml:space="preserve">Investors will probably also want to see the pipeline. </t>
  </si>
  <si>
    <t>This model is representative of our fictional company: MobileCord Inc.</t>
  </si>
  <si>
    <t>License Rev Growth</t>
  </si>
  <si>
    <t>Prof Service Growth</t>
  </si>
  <si>
    <t>Costs as % of sales</t>
  </si>
  <si>
    <t>Licenses</t>
  </si>
  <si>
    <t>Services</t>
  </si>
  <si>
    <t>R&amp;D</t>
  </si>
  <si>
    <t>G&amp;A</t>
  </si>
  <si>
    <t>FY 2003</t>
  </si>
  <si>
    <t>Tax Rate</t>
  </si>
  <si>
    <t>FY 2004</t>
  </si>
  <si>
    <t>FY 2005</t>
  </si>
  <si>
    <t>Annual P&amp;L</t>
  </si>
  <si>
    <t>VenturePresentation.com</t>
  </si>
  <si>
    <t>Sales cycle 6 months</t>
  </si>
  <si>
    <t>Q4 Total</t>
  </si>
  <si>
    <t>Q4 Sales</t>
  </si>
  <si>
    <t>SE Financial Institution</t>
  </si>
  <si>
    <t>Retail firm</t>
  </si>
  <si>
    <t>Software sales force</t>
  </si>
  <si>
    <t>Fast tracking though approval</t>
  </si>
  <si>
    <t>Finalizing details</t>
  </si>
  <si>
    <t>Need C-level approval</t>
  </si>
  <si>
    <t>Working out logistics</t>
  </si>
  <si>
    <t>Balance Sheet as of 12/31/01 (unaudited)</t>
  </si>
  <si>
    <t>Total Professional Services (COGS)</t>
  </si>
  <si>
    <t>Total R&amp;D  Post Raise</t>
  </si>
  <si>
    <t xml:space="preserve">Total R&amp;D </t>
  </si>
  <si>
    <t xml:space="preserve">Total Incremental  R&amp;D </t>
  </si>
  <si>
    <t>Total Prof Services (post raise)</t>
  </si>
  <si>
    <t>Note:  Employee Expenses feed into the Monthly P&amp;L</t>
  </si>
  <si>
    <t>Note:  Equipment Expenses feed into the Monthly P&amp;L</t>
  </si>
  <si>
    <t>Note:  Service Expenses feed into the Monthly P&amp;L</t>
  </si>
  <si>
    <t>Revenue feeds into monthly P&amp;L</t>
  </si>
  <si>
    <t>Raise Amount in Round</t>
  </si>
  <si>
    <t>Series A</t>
  </si>
  <si>
    <t>Series B</t>
  </si>
  <si>
    <t>Shares in Offering</t>
  </si>
  <si>
    <t>Series B Senior Convertible Preferred Stock</t>
  </si>
  <si>
    <t xml:space="preserve">Offering Price per share </t>
  </si>
  <si>
    <t>Post Money Value</t>
  </si>
  <si>
    <t>After Series A</t>
  </si>
  <si>
    <t>After Series B</t>
  </si>
  <si>
    <t>% after Series A Offering</t>
  </si>
  <si>
    <t>% After Series B Offering</t>
  </si>
  <si>
    <t>As of:</t>
  </si>
  <si>
    <t>Q1 2002</t>
  </si>
  <si>
    <t>Total Oper Expenses</t>
  </si>
  <si>
    <t>*closed sales feed into revenue, closed sales are in 2002, 2003 revs based on pipeline projections.</t>
  </si>
  <si>
    <t>Fiscal 2003</t>
  </si>
  <si>
    <t>Q1-2003</t>
  </si>
  <si>
    <t>Q2-2003</t>
  </si>
  <si>
    <t>Q3-2003</t>
  </si>
  <si>
    <t>Q4-2003</t>
  </si>
  <si>
    <t>FY 2006</t>
  </si>
  <si>
    <t>2005 &amp; 06</t>
  </si>
  <si>
    <t xml:space="preserve">Revenue for 2002 represents closed sales, revenue for 2003 represents projected sales.  </t>
  </si>
  <si>
    <t>Quotas for Fiscal 2002</t>
  </si>
  <si>
    <t>Quotas for 2002</t>
  </si>
  <si>
    <t>Historical and Projected Income Statement as of December 31, 2002 (unaudited)</t>
  </si>
  <si>
    <t>Balance Sheet as of 12/31/02 (unaudited)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</si>
</sst>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5" formatCode="&quot;$&quot;#,##0_);\(&quot;$&quot;#,##0\)"/>
    <numFmt numFmtId="166" formatCode="0_);[Red]\(0\)"/>
    <numFmt numFmtId="167" formatCode="&quot;$&quot;#,##0"/>
    <numFmt numFmtId="168" formatCode="0.0%"/>
    <numFmt numFmtId="169" formatCode="&quot;$&quot;#,##0.00"/>
  </numFmts>
  <fonts count="21" x14ac:knownFonts="1">
    <font>
      <sz val="10"/>
      <name val="Arial"/>
    </font>
    <font>
      <b/>
      <sz val="10"/>
      <name val="Arial"/>
      <family val="2"/>
    </font>
    <font>
      <sz val="10"/>
      <color indexed="12"/>
      <name val="Arial"/>
      <family val="2"/>
    </font>
    <font>
      <sz val="10"/>
      <name val="Arial"/>
      <family val="2"/>
    </font>
    <font>
      <i/>
      <sz val="10"/>
      <name val="Arial"/>
      <family val="2"/>
    </font>
    <font>
      <b/>
      <sz val="10"/>
      <color indexed="12"/>
      <name val="Arial"/>
      <family val="2"/>
    </font>
    <font>
      <sz val="7.5"/>
      <name val="Arial"/>
      <family val="2"/>
    </font>
    <font>
      <b/>
      <i/>
      <sz val="10"/>
      <name val="Arial"/>
      <family val="2"/>
    </font>
    <font>
      <b/>
      <sz val="11"/>
      <name val="Arial"/>
      <family val="2"/>
    </font>
    <font>
      <b/>
      <sz val="10"/>
      <name val="Garamond"/>
      <family val="1"/>
    </font>
    <font>
      <sz val="10"/>
      <name val="Garamond"/>
      <family val="1"/>
    </font>
    <font>
      <b/>
      <sz val="8"/>
      <name val="Arial"/>
    </font>
    <font>
      <sz val="8"/>
      <name val="Arial"/>
      <family val="2"/>
    </font>
    <font>
      <sz val="8"/>
      <color indexed="81"/>
      <name val="Tahoma"/>
    </font>
    <font>
      <b/>
      <sz val="8"/>
      <color indexed="81"/>
      <name val="Tahoma"/>
    </font>
    <font>
      <sz val="9"/>
      <color indexed="81"/>
      <name val="Tahoma"/>
      <family val="2"/>
    </font>
    <font>
      <b/>
      <sz val="9"/>
      <color indexed="81"/>
      <name val="Tahoma"/>
      <family val="2"/>
    </font>
    <font>
      <sz val="8"/>
      <color indexed="81"/>
      <name val="Tahoma"/>
      <family val="2"/>
    </font>
    <font>
      <b/>
      <sz val="8"/>
      <color indexed="81"/>
      <name val="Tahoma"/>
      <family val="2"/>
    </font>
    <font>
      <u/>
      <sz val="10"/>
      <name val="Arial"/>
      <family val="2"/>
    </font>
    <font>
      <sz val="11"/>
      <name val="Arial"/>
      <family val="2"/>
    </font>
  </fonts>
  <fills count="2">
    <fill>
      <patternFill patternType="none"/>
    </fill>
    <fill>
      <patternFill patternType="gray125"/>
    </fill>
  </fills>
  <borders count="27">
    <border>
      <left/>
      <right/>
      <top/>
      <bottom/>
      <diagonal/>
    </border>
    <border>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right/>
      <top/>
      <bottom style="double">
        <color indexed="64"/>
      </bottom>
      <diagonal/>
    </border>
    <border>
      <left/>
      <right/>
      <top style="thin">
        <color indexed="64"/>
      </top>
      <bottom style="double">
        <color indexed="64"/>
      </bottom>
      <diagonal/>
    </border>
    <border>
      <left/>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s>
  <cellStyleXfs count="1">
    <xf numFmtId="0" fontId="0" fillId="0" borderId="0"/>
  </cellStyleXfs>
  <cellXfs count="163">
    <xf numFmtId="0" fontId="0" fillId="0" borderId="0" xfId="0"/>
    <xf numFmtId="5" fontId="0" fillId="0" borderId="0" xfId="0" applyNumberFormat="1"/>
    <xf numFmtId="5" fontId="1" fillId="0" borderId="0" xfId="0" applyNumberFormat="1" applyFont="1"/>
    <xf numFmtId="5" fontId="0" fillId="0" borderId="1" xfId="0" applyNumberFormat="1" applyBorder="1"/>
    <xf numFmtId="9" fontId="2" fillId="0" borderId="0" xfId="0" applyNumberFormat="1" applyFont="1"/>
    <xf numFmtId="5" fontId="2" fillId="0" borderId="0" xfId="0" applyNumberFormat="1" applyFont="1"/>
    <xf numFmtId="5" fontId="2" fillId="0" borderId="1" xfId="0" applyNumberFormat="1" applyFont="1" applyBorder="1"/>
    <xf numFmtId="5" fontId="3" fillId="0" borderId="0" xfId="0" applyNumberFormat="1" applyFont="1"/>
    <xf numFmtId="5" fontId="4" fillId="0" borderId="0" xfId="0" applyNumberFormat="1" applyFont="1"/>
    <xf numFmtId="5" fontId="3" fillId="0" borderId="1" xfId="0" applyNumberFormat="1" applyFont="1" applyBorder="1"/>
    <xf numFmtId="5" fontId="1" fillId="0" borderId="2" xfId="0" applyNumberFormat="1" applyFont="1" applyBorder="1"/>
    <xf numFmtId="5" fontId="1" fillId="0" borderId="3" xfId="0" applyNumberFormat="1" applyFont="1" applyBorder="1"/>
    <xf numFmtId="0" fontId="0" fillId="0" borderId="0" xfId="0" applyNumberFormat="1"/>
    <xf numFmtId="5" fontId="0" fillId="0" borderId="4" xfId="0" applyNumberFormat="1" applyBorder="1"/>
    <xf numFmtId="9" fontId="2" fillId="0" borderId="5" xfId="0" applyNumberFormat="1" applyFont="1" applyBorder="1"/>
    <xf numFmtId="5" fontId="0" fillId="0" borderId="6" xfId="0" applyNumberFormat="1" applyBorder="1"/>
    <xf numFmtId="9" fontId="2" fillId="0" borderId="7" xfId="0" applyNumberFormat="1" applyFont="1" applyBorder="1"/>
    <xf numFmtId="5" fontId="2" fillId="0" borderId="7" xfId="0" applyNumberFormat="1" applyFont="1" applyBorder="1"/>
    <xf numFmtId="5" fontId="0" fillId="0" borderId="8" xfId="0" applyNumberFormat="1" applyBorder="1"/>
    <xf numFmtId="5" fontId="2" fillId="0" borderId="9" xfId="0" applyNumberFormat="1" applyFont="1" applyBorder="1" applyAlignment="1">
      <alignment horizontal="right"/>
    </xf>
    <xf numFmtId="5" fontId="0" fillId="0" borderId="0" xfId="0" applyNumberFormat="1" applyBorder="1"/>
    <xf numFmtId="5" fontId="2" fillId="0" borderId="0" xfId="0" applyNumberFormat="1" applyFont="1" applyBorder="1"/>
    <xf numFmtId="5" fontId="3" fillId="0" borderId="0" xfId="0" applyNumberFormat="1" applyFont="1" applyBorder="1"/>
    <xf numFmtId="0" fontId="0" fillId="0" borderId="4" xfId="0" applyBorder="1"/>
    <xf numFmtId="0" fontId="0" fillId="0" borderId="8" xfId="0" applyBorder="1"/>
    <xf numFmtId="0" fontId="2" fillId="0" borderId="5" xfId="0" applyFont="1" applyBorder="1"/>
    <xf numFmtId="10" fontId="2" fillId="0" borderId="9" xfId="0" applyNumberFormat="1" applyFont="1" applyBorder="1"/>
    <xf numFmtId="9" fontId="2" fillId="0" borderId="0" xfId="0" applyNumberFormat="1" applyFont="1" applyAlignment="1">
      <alignment horizontal="left"/>
    </xf>
    <xf numFmtId="9" fontId="5" fillId="0" borderId="0" xfId="0" applyNumberFormat="1" applyFont="1" applyAlignment="1">
      <alignment horizontal="left"/>
    </xf>
    <xf numFmtId="5" fontId="0" fillId="0" borderId="5" xfId="0" applyNumberFormat="1" applyBorder="1"/>
    <xf numFmtId="5" fontId="1" fillId="0" borderId="6" xfId="0" applyNumberFormat="1" applyFont="1" applyBorder="1"/>
    <xf numFmtId="5" fontId="3" fillId="0" borderId="6" xfId="0" applyNumberFormat="1" applyFont="1" applyBorder="1"/>
    <xf numFmtId="5" fontId="1" fillId="0" borderId="10" xfId="0" applyNumberFormat="1" applyFont="1" applyBorder="1"/>
    <xf numFmtId="5" fontId="1" fillId="0" borderId="11" xfId="0" applyNumberFormat="1" applyFont="1" applyBorder="1"/>
    <xf numFmtId="5" fontId="1" fillId="0" borderId="0" xfId="0" applyNumberFormat="1" applyFont="1" applyBorder="1"/>
    <xf numFmtId="5" fontId="0" fillId="0" borderId="0" xfId="0" applyNumberFormat="1" applyAlignment="1">
      <alignment horizontal="left"/>
    </xf>
    <xf numFmtId="5" fontId="2" fillId="0" borderId="0" xfId="0" applyNumberFormat="1" applyFont="1" applyAlignment="1">
      <alignment horizontal="left"/>
    </xf>
    <xf numFmtId="0" fontId="0" fillId="0" borderId="0" xfId="0" applyAlignment="1">
      <alignment wrapText="1"/>
    </xf>
    <xf numFmtId="9" fontId="0" fillId="0" borderId="0" xfId="0" applyNumberFormat="1"/>
    <xf numFmtId="0" fontId="0" fillId="0" borderId="0" xfId="0" applyAlignment="1">
      <alignment horizontal="left"/>
    </xf>
    <xf numFmtId="0" fontId="1" fillId="0" borderId="0" xfId="0" applyFont="1" applyAlignment="1">
      <alignment wrapText="1"/>
    </xf>
    <xf numFmtId="0" fontId="1" fillId="0" borderId="0" xfId="0" applyFont="1" applyAlignment="1">
      <alignment horizontal="left" wrapText="1"/>
    </xf>
    <xf numFmtId="9" fontId="0" fillId="0" borderId="0" xfId="0" applyNumberFormat="1" applyAlignment="1">
      <alignment horizontal="left"/>
    </xf>
    <xf numFmtId="0" fontId="0" fillId="0" borderId="1" xfId="0" applyBorder="1"/>
    <xf numFmtId="0" fontId="0" fillId="0" borderId="1" xfId="0" applyBorder="1" applyAlignment="1">
      <alignment wrapText="1"/>
    </xf>
    <xf numFmtId="0" fontId="0" fillId="0" borderId="12" xfId="0" applyBorder="1"/>
    <xf numFmtId="0" fontId="0" fillId="0" borderId="13" xfId="0" applyBorder="1"/>
    <xf numFmtId="0" fontId="0" fillId="0" borderId="14" xfId="0" applyBorder="1"/>
    <xf numFmtId="0" fontId="0" fillId="0" borderId="13" xfId="0" applyBorder="1" applyAlignment="1">
      <alignment wrapText="1"/>
    </xf>
    <xf numFmtId="0" fontId="0" fillId="0" borderId="15" xfId="0" applyBorder="1" applyAlignment="1">
      <alignment wrapText="1"/>
    </xf>
    <xf numFmtId="0" fontId="2" fillId="0" borderId="6" xfId="0" applyFont="1" applyBorder="1"/>
    <xf numFmtId="0" fontId="0" fillId="0" borderId="0" xfId="0" applyBorder="1"/>
    <xf numFmtId="9" fontId="2" fillId="0" borderId="0" xfId="0" applyNumberFormat="1" applyFont="1" applyBorder="1" applyAlignment="1">
      <alignment horizontal="left"/>
    </xf>
    <xf numFmtId="9" fontId="2" fillId="0" borderId="7" xfId="0" applyNumberFormat="1" applyFont="1" applyBorder="1" applyAlignment="1">
      <alignment horizontal="left"/>
    </xf>
    <xf numFmtId="0" fontId="0" fillId="0" borderId="6" xfId="0" applyBorder="1"/>
    <xf numFmtId="0" fontId="0" fillId="0" borderId="7" xfId="0" applyBorder="1"/>
    <xf numFmtId="5" fontId="2" fillId="0" borderId="6" xfId="0" applyNumberFormat="1" applyFont="1" applyBorder="1" applyAlignment="1">
      <alignment horizontal="left"/>
    </xf>
    <xf numFmtId="0" fontId="0" fillId="0" borderId="0" xfId="0" applyBorder="1" applyAlignment="1">
      <alignment wrapText="1"/>
    </xf>
    <xf numFmtId="5" fontId="2" fillId="0" borderId="8" xfId="0" applyNumberFormat="1" applyFont="1" applyBorder="1" applyAlignment="1">
      <alignment horizontal="left"/>
    </xf>
    <xf numFmtId="0" fontId="0" fillId="0" borderId="9" xfId="0" applyBorder="1"/>
    <xf numFmtId="5" fontId="1" fillId="0" borderId="0" xfId="0" applyNumberFormat="1" applyFont="1" applyAlignment="1">
      <alignment wrapText="1"/>
    </xf>
    <xf numFmtId="5" fontId="1" fillId="0" borderId="0" xfId="0" applyNumberFormat="1" applyFont="1" applyAlignment="1">
      <alignment horizontal="left"/>
    </xf>
    <xf numFmtId="0" fontId="1" fillId="0" borderId="0" xfId="0" applyFont="1" applyAlignment="1">
      <alignment horizontal="left"/>
    </xf>
    <xf numFmtId="0" fontId="1" fillId="0" borderId="0" xfId="0" applyFont="1"/>
    <xf numFmtId="0" fontId="3" fillId="0" borderId="0" xfId="0" applyFont="1" applyAlignment="1">
      <alignment wrapText="1"/>
    </xf>
    <xf numFmtId="0" fontId="3" fillId="0" borderId="0" xfId="0" applyFont="1" applyAlignment="1">
      <alignment horizontal="left" wrapText="1"/>
    </xf>
    <xf numFmtId="5" fontId="3" fillId="0" borderId="0" xfId="0" applyNumberFormat="1" applyFont="1" applyAlignment="1">
      <alignment horizontal="left" wrapText="1"/>
    </xf>
    <xf numFmtId="5" fontId="3" fillId="0" borderId="0" xfId="0" applyNumberFormat="1" applyFont="1" applyAlignment="1">
      <alignment horizontal="left"/>
    </xf>
    <xf numFmtId="9" fontId="3" fillId="0" borderId="0" xfId="0" applyNumberFormat="1" applyFont="1" applyAlignment="1">
      <alignment horizontal="left"/>
    </xf>
    <xf numFmtId="0" fontId="0" fillId="0" borderId="0" xfId="0" applyAlignment="1">
      <alignment vertical="top"/>
    </xf>
    <xf numFmtId="17" fontId="0" fillId="0" borderId="0" xfId="0" applyNumberFormat="1" applyAlignment="1">
      <alignment vertical="top"/>
    </xf>
    <xf numFmtId="17" fontId="0" fillId="0" borderId="0" xfId="0" applyNumberFormat="1" applyBorder="1" applyAlignment="1">
      <alignment vertical="top"/>
    </xf>
    <xf numFmtId="0" fontId="3" fillId="0" borderId="0" xfId="0" applyFont="1" applyAlignment="1">
      <alignment vertical="top"/>
    </xf>
    <xf numFmtId="0" fontId="0" fillId="0" borderId="0" xfId="0" applyBorder="1" applyAlignment="1">
      <alignment vertical="top"/>
    </xf>
    <xf numFmtId="166" fontId="3" fillId="0" borderId="0" xfId="0" applyNumberFormat="1" applyFont="1" applyBorder="1" applyAlignment="1">
      <alignment vertical="top"/>
    </xf>
    <xf numFmtId="17" fontId="0" fillId="0" borderId="1" xfId="0" applyNumberFormat="1" applyBorder="1" applyAlignment="1">
      <alignment vertical="top"/>
    </xf>
    <xf numFmtId="0" fontId="7" fillId="0" borderId="0" xfId="0" applyFont="1"/>
    <xf numFmtId="166" fontId="3" fillId="0" borderId="0" xfId="0" applyNumberFormat="1" applyFont="1" applyAlignment="1">
      <alignment vertical="top"/>
    </xf>
    <xf numFmtId="0" fontId="8" fillId="0" borderId="0" xfId="0" applyFont="1"/>
    <xf numFmtId="0" fontId="3" fillId="0" borderId="0" xfId="0" applyFont="1"/>
    <xf numFmtId="166" fontId="0" fillId="0" borderId="0" xfId="0" applyNumberFormat="1" applyBorder="1" applyAlignment="1">
      <alignment vertical="top"/>
    </xf>
    <xf numFmtId="0" fontId="3" fillId="0" borderId="0" xfId="0" applyFont="1" applyBorder="1"/>
    <xf numFmtId="5" fontId="3" fillId="0" borderId="0" xfId="0" applyNumberFormat="1" applyFont="1" applyBorder="1" applyAlignment="1">
      <alignment vertical="top"/>
    </xf>
    <xf numFmtId="5" fontId="3" fillId="0" borderId="16" xfId="0" applyNumberFormat="1" applyFont="1" applyBorder="1" applyAlignment="1">
      <alignment vertical="top"/>
    </xf>
    <xf numFmtId="5" fontId="3" fillId="0" borderId="1" xfId="0" applyNumberFormat="1" applyFont="1" applyBorder="1" applyAlignment="1">
      <alignment vertical="top"/>
    </xf>
    <xf numFmtId="5" fontId="3" fillId="0" borderId="17" xfId="0" applyNumberFormat="1" applyFont="1" applyBorder="1" applyAlignment="1">
      <alignment vertical="top"/>
    </xf>
    <xf numFmtId="5" fontId="3" fillId="0" borderId="0" xfId="0" applyNumberFormat="1" applyFont="1" applyAlignment="1">
      <alignment vertical="top"/>
    </xf>
    <xf numFmtId="5" fontId="3" fillId="0" borderId="18" xfId="0" applyNumberFormat="1" applyFont="1" applyBorder="1" applyAlignment="1">
      <alignment vertical="top"/>
    </xf>
    <xf numFmtId="9" fontId="2" fillId="0" borderId="0" xfId="0" applyNumberFormat="1" applyFont="1" applyAlignment="1">
      <alignment vertical="top"/>
    </xf>
    <xf numFmtId="17" fontId="0" fillId="0" borderId="0" xfId="0" applyNumberFormat="1" applyAlignment="1">
      <alignment horizontal="left" vertical="top"/>
    </xf>
    <xf numFmtId="17" fontId="0" fillId="0" borderId="0" xfId="0" applyNumberFormat="1" applyBorder="1" applyAlignment="1">
      <alignment horizontal="left" vertical="top"/>
    </xf>
    <xf numFmtId="0" fontId="0" fillId="0" borderId="0" xfId="0" applyAlignment="1">
      <alignment vertical="top" wrapText="1"/>
    </xf>
    <xf numFmtId="5" fontId="1" fillId="0" borderId="0" xfId="0" applyNumberFormat="1" applyFont="1" applyAlignment="1">
      <alignment horizontal="left" wrapText="1"/>
    </xf>
    <xf numFmtId="5" fontId="3" fillId="0" borderId="0" xfId="0" applyNumberFormat="1" applyFont="1" applyAlignment="1">
      <alignment wrapText="1"/>
    </xf>
    <xf numFmtId="5" fontId="0" fillId="0" borderId="0" xfId="0" applyNumberFormat="1" applyAlignment="1">
      <alignment wrapText="1"/>
    </xf>
    <xf numFmtId="5" fontId="0" fillId="0" borderId="0" xfId="0" applyNumberFormat="1" applyBorder="1" applyAlignment="1">
      <alignment wrapText="1"/>
    </xf>
    <xf numFmtId="168" fontId="2" fillId="0" borderId="0" xfId="0" applyNumberFormat="1" applyFont="1"/>
    <xf numFmtId="0" fontId="2" fillId="0" borderId="7" xfId="0" applyFont="1" applyBorder="1"/>
    <xf numFmtId="10" fontId="2" fillId="0" borderId="0" xfId="0" applyNumberFormat="1" applyFont="1" applyBorder="1"/>
    <xf numFmtId="10" fontId="0" fillId="0" borderId="0" xfId="0" applyNumberFormat="1"/>
    <xf numFmtId="37" fontId="0" fillId="0" borderId="0" xfId="0" applyNumberFormat="1"/>
    <xf numFmtId="10" fontId="0" fillId="0" borderId="7" xfId="0" applyNumberFormat="1" applyBorder="1"/>
    <xf numFmtId="5" fontId="0" fillId="0" borderId="9" xfId="0" applyNumberFormat="1" applyBorder="1"/>
    <xf numFmtId="0" fontId="0" fillId="0" borderId="5" xfId="0" applyBorder="1"/>
    <xf numFmtId="37" fontId="0" fillId="0" borderId="1" xfId="0" applyNumberFormat="1" applyBorder="1"/>
    <xf numFmtId="37" fontId="0" fillId="0" borderId="19" xfId="0" applyNumberFormat="1" applyBorder="1"/>
    <xf numFmtId="37" fontId="0" fillId="0" borderId="13" xfId="0" applyNumberFormat="1" applyBorder="1"/>
    <xf numFmtId="37" fontId="9" fillId="0" borderId="0" xfId="0" applyNumberFormat="1" applyFont="1"/>
    <xf numFmtId="37" fontId="10" fillId="0" borderId="0" xfId="0" applyNumberFormat="1" applyFont="1"/>
    <xf numFmtId="17" fontId="0" fillId="0" borderId="0" xfId="0" applyNumberFormat="1"/>
    <xf numFmtId="37" fontId="0" fillId="0" borderId="20" xfId="0" applyNumberFormat="1" applyBorder="1"/>
    <xf numFmtId="5" fontId="0" fillId="0" borderId="13" xfId="0" applyNumberFormat="1" applyBorder="1"/>
    <xf numFmtId="5" fontId="0" fillId="0" borderId="20" xfId="0" applyNumberFormat="1" applyBorder="1"/>
    <xf numFmtId="5" fontId="9" fillId="0" borderId="0" xfId="0" applyNumberFormat="1" applyFont="1"/>
    <xf numFmtId="5" fontId="10" fillId="0" borderId="0" xfId="0" applyNumberFormat="1" applyFont="1"/>
    <xf numFmtId="37" fontId="0" fillId="0" borderId="21" xfId="0" applyNumberFormat="1" applyBorder="1"/>
    <xf numFmtId="0" fontId="11" fillId="0" borderId="0" xfId="0" applyFont="1" applyBorder="1"/>
    <xf numFmtId="0" fontId="12" fillId="0" borderId="0" xfId="0" applyFont="1"/>
    <xf numFmtId="0" fontId="11" fillId="0" borderId="14" xfId="0" applyFont="1" applyBorder="1"/>
    <xf numFmtId="0" fontId="12" fillId="0" borderId="0" xfId="0" applyFont="1" applyBorder="1"/>
    <xf numFmtId="166" fontId="0" fillId="0" borderId="0" xfId="0" applyNumberFormat="1" applyAlignment="1">
      <alignment vertical="top"/>
    </xf>
    <xf numFmtId="0" fontId="1" fillId="0" borderId="0" xfId="0" applyFont="1" applyAlignment="1">
      <alignment vertical="top"/>
    </xf>
    <xf numFmtId="0" fontId="1" fillId="0" borderId="0" xfId="0" applyFont="1" applyBorder="1"/>
    <xf numFmtId="0" fontId="0" fillId="0" borderId="0" xfId="0" applyAlignment="1">
      <alignment horizontal="center"/>
    </xf>
    <xf numFmtId="0" fontId="0" fillId="0" borderId="22" xfId="0" applyBorder="1" applyAlignment="1">
      <alignment horizontal="center"/>
    </xf>
    <xf numFmtId="0" fontId="0" fillId="0" borderId="23" xfId="0" applyBorder="1"/>
    <xf numFmtId="5" fontId="0" fillId="0" borderId="23" xfId="0" applyNumberFormat="1" applyBorder="1"/>
    <xf numFmtId="37" fontId="0" fillId="0" borderId="24" xfId="0" applyNumberFormat="1" applyBorder="1"/>
    <xf numFmtId="37" fontId="0" fillId="0" borderId="23" xfId="0" applyNumberFormat="1" applyBorder="1"/>
    <xf numFmtId="37" fontId="0" fillId="0" borderId="25" xfId="0" applyNumberFormat="1" applyBorder="1"/>
    <xf numFmtId="37" fontId="0" fillId="0" borderId="26" xfId="0" applyNumberFormat="1" applyBorder="1"/>
    <xf numFmtId="5" fontId="1" fillId="0" borderId="1" xfId="0" applyNumberFormat="1" applyFont="1" applyBorder="1"/>
    <xf numFmtId="167" fontId="0" fillId="0" borderId="0" xfId="0" applyNumberFormat="1"/>
    <xf numFmtId="0" fontId="2" fillId="0" borderId="0" xfId="0" applyFont="1"/>
    <xf numFmtId="0" fontId="0" fillId="0" borderId="1" xfId="0" applyBorder="1" applyAlignment="1">
      <alignment horizontal="center"/>
    </xf>
    <xf numFmtId="167" fontId="2" fillId="0" borderId="0" xfId="0" applyNumberFormat="1" applyFont="1"/>
    <xf numFmtId="167" fontId="2" fillId="0" borderId="0" xfId="0" applyNumberFormat="1" applyFont="1" applyAlignment="1">
      <alignment vertical="top"/>
    </xf>
    <xf numFmtId="167" fontId="0" fillId="0" borderId="0" xfId="0" applyNumberFormat="1" applyAlignment="1">
      <alignment vertical="top"/>
    </xf>
    <xf numFmtId="169" fontId="2" fillId="0" borderId="0" xfId="0" applyNumberFormat="1" applyFont="1" applyAlignment="1">
      <alignment vertical="top"/>
    </xf>
    <xf numFmtId="169" fontId="0" fillId="0" borderId="0" xfId="0" applyNumberFormat="1" applyAlignment="1">
      <alignment vertical="top"/>
    </xf>
    <xf numFmtId="3" fontId="2" fillId="0" borderId="0" xfId="0" applyNumberFormat="1" applyFont="1" applyAlignment="1">
      <alignment vertical="top"/>
    </xf>
    <xf numFmtId="168" fontId="3" fillId="0" borderId="0" xfId="0" applyNumberFormat="1" applyFont="1" applyAlignment="1">
      <alignment vertical="top"/>
    </xf>
    <xf numFmtId="3" fontId="3" fillId="0" borderId="0" xfId="0" applyNumberFormat="1" applyFont="1" applyAlignment="1">
      <alignment vertical="top"/>
    </xf>
    <xf numFmtId="3" fontId="2" fillId="0" borderId="1" xfId="0" applyNumberFormat="1" applyFont="1" applyBorder="1" applyAlignment="1">
      <alignment vertical="top"/>
    </xf>
    <xf numFmtId="168" fontId="3" fillId="0" borderId="1" xfId="0" applyNumberFormat="1" applyFont="1" applyBorder="1" applyAlignment="1">
      <alignment vertical="top"/>
    </xf>
    <xf numFmtId="0" fontId="2" fillId="0" borderId="0" xfId="0" applyFont="1" applyAlignment="1">
      <alignment vertical="top"/>
    </xf>
    <xf numFmtId="9" fontId="3" fillId="0" borderId="0" xfId="0" applyNumberFormat="1" applyFont="1" applyAlignment="1">
      <alignment vertical="top"/>
    </xf>
    <xf numFmtId="3" fontId="0" fillId="0" borderId="0" xfId="0" applyNumberFormat="1" applyAlignment="1">
      <alignment horizontal="center" vertical="top"/>
    </xf>
    <xf numFmtId="0" fontId="0" fillId="0" borderId="1" xfId="0" applyBorder="1" applyAlignment="1">
      <alignment horizontal="center" vertical="top" wrapText="1"/>
    </xf>
    <xf numFmtId="37" fontId="0" fillId="0" borderId="0" xfId="0" applyNumberFormat="1" applyBorder="1"/>
    <xf numFmtId="5" fontId="0" fillId="0" borderId="26" xfId="0" applyNumberFormat="1" applyBorder="1"/>
    <xf numFmtId="5" fontId="2" fillId="0" borderId="0" xfId="0" applyNumberFormat="1" applyFont="1" applyAlignment="1">
      <alignment horizontal="right"/>
    </xf>
    <xf numFmtId="0" fontId="19" fillId="0" borderId="0" xfId="0" applyFont="1" applyBorder="1"/>
    <xf numFmtId="10" fontId="2" fillId="0" borderId="0" xfId="0" applyNumberFormat="1" applyFont="1"/>
    <xf numFmtId="0" fontId="0" fillId="0" borderId="1" xfId="0" applyBorder="1" applyAlignment="1">
      <alignment horizontal="center" vertical="top"/>
    </xf>
    <xf numFmtId="0" fontId="0" fillId="0" borderId="0" xfId="0" applyAlignment="1">
      <alignment horizontal="center" vertical="top"/>
    </xf>
    <xf numFmtId="168" fontId="3" fillId="0" borderId="0" xfId="0" applyNumberFormat="1" applyFont="1" applyAlignment="1">
      <alignment horizontal="center" vertical="top"/>
    </xf>
    <xf numFmtId="0" fontId="19" fillId="0" borderId="0" xfId="0" applyFont="1" applyAlignment="1">
      <alignment wrapText="1"/>
    </xf>
    <xf numFmtId="14" fontId="0" fillId="0" borderId="0" xfId="0" applyNumberFormat="1"/>
    <xf numFmtId="0" fontId="1" fillId="0" borderId="0" xfId="0" applyFont="1" applyAlignment="1">
      <alignment horizontal="center" wrapText="1"/>
    </xf>
    <xf numFmtId="0" fontId="1" fillId="0" borderId="0" xfId="0" applyFont="1" applyAlignment="1">
      <alignment horizontal="center"/>
    </xf>
    <xf numFmtId="0" fontId="20" fillId="0" borderId="0" xfId="0" applyFont="1"/>
    <xf numFmtId="0" fontId="20" fillId="0" borderId="0" xfId="0"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4"/>
  <sheetViews>
    <sheetView tabSelected="1" workbookViewId="0">
      <selection activeCell="A22" sqref="A22"/>
    </sheetView>
  </sheetViews>
  <sheetFormatPr defaultRowHeight="13.2" x14ac:dyDescent="0.25"/>
  <cols>
    <col min="1" max="1" width="60.44140625" style="37" customWidth="1"/>
  </cols>
  <sheetData>
    <row r="1" spans="1:1" x14ac:dyDescent="0.25">
      <c r="A1" s="40" t="s">
        <v>397</v>
      </c>
    </row>
    <row r="2" spans="1:1" ht="19.5" customHeight="1" x14ac:dyDescent="0.25">
      <c r="A2" s="37" t="s">
        <v>384</v>
      </c>
    </row>
    <row r="3" spans="1:1" ht="26.4" x14ac:dyDescent="0.25">
      <c r="A3" s="37" t="s">
        <v>378</v>
      </c>
    </row>
    <row r="5" spans="1:1" x14ac:dyDescent="0.25">
      <c r="A5" s="37" t="s">
        <v>362</v>
      </c>
    </row>
    <row r="7" spans="1:1" x14ac:dyDescent="0.25">
      <c r="A7" s="37" t="s">
        <v>363</v>
      </c>
    </row>
    <row r="8" spans="1:1" x14ac:dyDescent="0.25">
      <c r="A8" s="37" t="s">
        <v>364</v>
      </c>
    </row>
    <row r="9" spans="1:1" x14ac:dyDescent="0.25">
      <c r="A9" s="37" t="s">
        <v>365</v>
      </c>
    </row>
    <row r="10" spans="1:1" x14ac:dyDescent="0.25">
      <c r="A10" s="37" t="s">
        <v>366</v>
      </c>
    </row>
    <row r="11" spans="1:1" x14ac:dyDescent="0.25">
      <c r="A11" s="37" t="s">
        <v>367</v>
      </c>
    </row>
    <row r="12" spans="1:1" x14ac:dyDescent="0.25">
      <c r="A12" s="37" t="s">
        <v>374</v>
      </c>
    </row>
    <row r="13" spans="1:1" x14ac:dyDescent="0.25">
      <c r="A13" s="37" t="s">
        <v>368</v>
      </c>
    </row>
    <row r="14" spans="1:1" x14ac:dyDescent="0.25">
      <c r="A14" s="37" t="s">
        <v>226</v>
      </c>
    </row>
    <row r="15" spans="1:1" x14ac:dyDescent="0.25">
      <c r="A15" s="37" t="s">
        <v>179</v>
      </c>
    </row>
    <row r="16" spans="1:1" x14ac:dyDescent="0.25">
      <c r="A16" s="37" t="s">
        <v>369</v>
      </c>
    </row>
    <row r="17" spans="1:1" x14ac:dyDescent="0.25">
      <c r="A17" s="37" t="s">
        <v>396</v>
      </c>
    </row>
    <row r="18" spans="1:1" x14ac:dyDescent="0.25">
      <c r="A18" s="37" t="s">
        <v>370</v>
      </c>
    </row>
    <row r="19" spans="1:1" x14ac:dyDescent="0.25">
      <c r="A19" s="37" t="s">
        <v>371</v>
      </c>
    </row>
    <row r="20" spans="1:1" x14ac:dyDescent="0.25">
      <c r="A20" s="37" t="s">
        <v>372</v>
      </c>
    </row>
    <row r="21" spans="1:1" x14ac:dyDescent="0.25">
      <c r="A21" s="37" t="s">
        <v>373</v>
      </c>
    </row>
    <row r="26" spans="1:1" ht="26.4" x14ac:dyDescent="0.25">
      <c r="A26" s="37" t="s">
        <v>379</v>
      </c>
    </row>
    <row r="28" spans="1:1" ht="26.4" x14ac:dyDescent="0.25">
      <c r="A28" s="37" t="s">
        <v>380</v>
      </c>
    </row>
    <row r="30" spans="1:1" ht="26.4" x14ac:dyDescent="0.25">
      <c r="A30" s="37" t="s">
        <v>381</v>
      </c>
    </row>
    <row r="32" spans="1:1" x14ac:dyDescent="0.25">
      <c r="A32" s="37" t="s">
        <v>383</v>
      </c>
    </row>
    <row r="34" spans="1:1" ht="52.8" x14ac:dyDescent="0.25">
      <c r="A34" s="37" t="s">
        <v>382</v>
      </c>
    </row>
  </sheetData>
  <phoneticPr fontId="0" type="noConversion"/>
  <pageMargins left="0.75" right="0.75" top="1" bottom="1" header="0.5" footer="0.5"/>
  <pageSetup orientation="portrait" horizontalDpi="0" verticalDpi="0" copies="0" r:id="rId1"/>
  <headerFooter alignWithMargins="0">
    <oddFooter>&amp;CProperty of VenturePresentation.com</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T40"/>
  <sheetViews>
    <sheetView zoomScale="75" workbookViewId="0">
      <selection activeCell="F4" sqref="F4"/>
    </sheetView>
  </sheetViews>
  <sheetFormatPr defaultColWidth="9.109375" defaultRowHeight="13.2" x14ac:dyDescent="0.25"/>
  <cols>
    <col min="1" max="1" width="2.44140625" style="69" customWidth="1"/>
    <col min="2" max="2" width="1.6640625" style="69" customWidth="1"/>
    <col min="3" max="3" width="27.88671875" style="69" customWidth="1"/>
    <col min="4" max="4" width="6.5546875" style="69" customWidth="1"/>
    <col min="5" max="5" width="1.88671875" style="69" customWidth="1"/>
    <col min="6" max="9" width="11.109375" style="69" customWidth="1"/>
    <col min="10" max="10" width="10.6640625" style="69" customWidth="1"/>
    <col min="11" max="14" width="11.109375" style="69" customWidth="1"/>
    <col min="15" max="15" width="11.33203125" style="69" customWidth="1"/>
    <col min="16" max="16384" width="9.109375" style="69"/>
  </cols>
  <sheetData>
    <row r="2" spans="1:20" ht="13.8" x14ac:dyDescent="0.25">
      <c r="C2" s="162" t="s">
        <v>417</v>
      </c>
      <c r="F2" s="69" t="s">
        <v>440</v>
      </c>
    </row>
    <row r="4" spans="1:20" x14ac:dyDescent="0.25">
      <c r="C4" s="69" t="s">
        <v>32</v>
      </c>
    </row>
    <row r="5" spans="1:20" ht="26.4" x14ac:dyDescent="0.25">
      <c r="C5" s="91" t="s">
        <v>202</v>
      </c>
      <c r="D5" s="88">
        <v>0.1</v>
      </c>
    </row>
    <row r="6" spans="1:20" ht="26.4" x14ac:dyDescent="0.25">
      <c r="C6" s="91" t="s">
        <v>360</v>
      </c>
      <c r="D6" s="88">
        <v>0.15</v>
      </c>
    </row>
    <row r="7" spans="1:20" x14ac:dyDescent="0.25">
      <c r="C7" s="69" t="s">
        <v>203</v>
      </c>
    </row>
    <row r="9" spans="1:20" x14ac:dyDescent="0.25">
      <c r="C9" s="121"/>
    </row>
    <row r="10" spans="1:20" x14ac:dyDescent="0.25">
      <c r="C10" s="121" t="s">
        <v>311</v>
      </c>
      <c r="E10" s="70"/>
      <c r="F10" s="89">
        <v>37346</v>
      </c>
      <c r="G10" s="89">
        <v>37437</v>
      </c>
      <c r="H10" s="89">
        <v>37529</v>
      </c>
      <c r="I10" s="89">
        <v>37621</v>
      </c>
      <c r="J10" s="90" t="s">
        <v>187</v>
      </c>
      <c r="K10" s="89">
        <v>37711</v>
      </c>
      <c r="L10" s="89">
        <v>37802</v>
      </c>
      <c r="M10" s="89">
        <v>37894</v>
      </c>
      <c r="N10" s="89">
        <v>37986</v>
      </c>
      <c r="O10" s="90" t="s">
        <v>433</v>
      </c>
    </row>
    <row r="11" spans="1:20" x14ac:dyDescent="0.25">
      <c r="E11" s="70"/>
      <c r="F11" s="70" t="s">
        <v>188</v>
      </c>
      <c r="G11" s="70" t="s">
        <v>189</v>
      </c>
      <c r="H11" s="70" t="s">
        <v>190</v>
      </c>
      <c r="I11" s="70" t="s">
        <v>191</v>
      </c>
      <c r="J11" s="71" t="s">
        <v>192</v>
      </c>
      <c r="K11" s="70" t="s">
        <v>193</v>
      </c>
      <c r="L11" s="70" t="s">
        <v>194</v>
      </c>
      <c r="M11" s="70" t="s">
        <v>195</v>
      </c>
      <c r="N11" s="70" t="s">
        <v>196</v>
      </c>
      <c r="O11" s="71" t="s">
        <v>197</v>
      </c>
      <c r="P11" s="70"/>
      <c r="Q11" s="70"/>
      <c r="R11" s="70"/>
      <c r="S11" s="70"/>
      <c r="T11" s="70"/>
    </row>
    <row r="12" spans="1:20" x14ac:dyDescent="0.25">
      <c r="E12" s="70"/>
      <c r="F12" s="70"/>
      <c r="G12" s="70"/>
      <c r="H12" s="70"/>
      <c r="I12" s="70"/>
      <c r="J12" s="71"/>
      <c r="K12" s="70"/>
      <c r="L12" s="70"/>
      <c r="M12" s="70"/>
      <c r="N12" s="70"/>
      <c r="O12" s="70"/>
      <c r="P12" s="70"/>
      <c r="Q12" s="70"/>
      <c r="R12" s="70"/>
      <c r="S12" s="70"/>
      <c r="T12" s="70"/>
    </row>
    <row r="13" spans="1:20" ht="13.8" thickBot="1" x14ac:dyDescent="0.3">
      <c r="A13" s="72" t="s">
        <v>198</v>
      </c>
      <c r="B13" s="72"/>
      <c r="C13" s="72"/>
      <c r="E13" s="70"/>
      <c r="J13" s="73"/>
    </row>
    <row r="14" spans="1:20" x14ac:dyDescent="0.25">
      <c r="A14" s="72"/>
      <c r="B14" s="72" t="s">
        <v>200</v>
      </c>
      <c r="C14" s="72"/>
      <c r="E14" s="71"/>
      <c r="F14" s="82">
        <f>'Closed Sales'!E8+'Closed Sales'!E9</f>
        <v>87000</v>
      </c>
      <c r="G14" s="82">
        <f>'Closed Sales'!H16+SUM('Closed Sales'!I8:I9)</f>
        <v>141325</v>
      </c>
      <c r="H14" s="82">
        <f>'Closed Sales'!H21+SUM('Closed Sales'!I8:I15)</f>
        <v>141150</v>
      </c>
      <c r="I14" s="82">
        <f>'Closed Sales'!H30+SUM('Closed Sales'!I8:I29)</f>
        <v>372725</v>
      </c>
      <c r="J14" s="83">
        <f>SUM(F14:I14)</f>
        <v>742200</v>
      </c>
      <c r="K14" s="82">
        <f>Pipeline!H34+SUM('Closed Sales'!I8:I29)</f>
        <v>440095</v>
      </c>
      <c r="L14" s="82">
        <f>Revenue!K14*(1+D6)</f>
        <v>506109.24999999994</v>
      </c>
      <c r="M14" s="82">
        <f>Revenue!L14*(1+D6)</f>
        <v>582025.63749999984</v>
      </c>
      <c r="N14" s="82">
        <f>Revenue!M14*(1+D6)</f>
        <v>669329.4831249998</v>
      </c>
      <c r="O14" s="83">
        <f>SUM(K14:N14)</f>
        <v>2197559.3706249995</v>
      </c>
    </row>
    <row r="15" spans="1:20" x14ac:dyDescent="0.25">
      <c r="A15" s="72"/>
      <c r="B15" s="72" t="s">
        <v>201</v>
      </c>
      <c r="C15" s="72"/>
      <c r="E15" s="75"/>
      <c r="F15" s="84">
        <v>12000</v>
      </c>
      <c r="G15" s="84">
        <f>20000</f>
        <v>20000</v>
      </c>
      <c r="H15" s="84">
        <f>H14*D5</f>
        <v>14115</v>
      </c>
      <c r="I15" s="84">
        <f>I14*D5</f>
        <v>37272.5</v>
      </c>
      <c r="J15" s="85">
        <f>SUM(F15:I15)</f>
        <v>83387.5</v>
      </c>
      <c r="K15" s="84">
        <f>K14*$D$5</f>
        <v>44009.5</v>
      </c>
      <c r="L15" s="84">
        <f>L14*$D$5</f>
        <v>50610.924999999996</v>
      </c>
      <c r="M15" s="84">
        <f>M14*$D$5</f>
        <v>58202.563749999987</v>
      </c>
      <c r="N15" s="84">
        <f>N14*$D$5</f>
        <v>66932.948312499982</v>
      </c>
      <c r="O15" s="85">
        <f>SUM(K15:N15)</f>
        <v>219755.93706249993</v>
      </c>
    </row>
    <row r="16" spans="1:20" ht="13.8" thickBot="1" x14ac:dyDescent="0.3">
      <c r="A16" s="72"/>
      <c r="B16" s="72"/>
      <c r="C16" s="76" t="s">
        <v>199</v>
      </c>
      <c r="E16" s="70"/>
      <c r="F16" s="86">
        <f t="shared" ref="F16:O16" si="0">SUM(F14:F15)</f>
        <v>99000</v>
      </c>
      <c r="G16" s="86">
        <f t="shared" si="0"/>
        <v>161325</v>
      </c>
      <c r="H16" s="86">
        <f t="shared" si="0"/>
        <v>155265</v>
      </c>
      <c r="I16" s="86">
        <f t="shared" si="0"/>
        <v>409997.5</v>
      </c>
      <c r="J16" s="87">
        <f t="shared" si="0"/>
        <v>825587.5</v>
      </c>
      <c r="K16" s="86">
        <f t="shared" si="0"/>
        <v>484104.5</v>
      </c>
      <c r="L16" s="86">
        <f t="shared" si="0"/>
        <v>556720.17499999993</v>
      </c>
      <c r="M16" s="86">
        <f t="shared" si="0"/>
        <v>640228.20124999981</v>
      </c>
      <c r="N16" s="86">
        <f t="shared" si="0"/>
        <v>736262.43143749982</v>
      </c>
      <c r="O16" s="87">
        <f t="shared" si="0"/>
        <v>2417315.3076874996</v>
      </c>
    </row>
    <row r="17" spans="1:20" x14ac:dyDescent="0.25">
      <c r="A17" s="72"/>
      <c r="B17" s="72"/>
      <c r="C17" s="72"/>
      <c r="E17" s="70"/>
      <c r="F17" s="77"/>
      <c r="G17" s="77"/>
      <c r="H17" s="77"/>
      <c r="I17" s="77"/>
      <c r="J17" s="74"/>
      <c r="K17" s="77"/>
      <c r="L17" s="77"/>
      <c r="M17" s="77"/>
      <c r="N17" s="77"/>
      <c r="O17" s="74"/>
    </row>
    <row r="18" spans="1:20" ht="13.8" x14ac:dyDescent="0.25">
      <c r="A18" s="78"/>
      <c r="B18" s="79"/>
      <c r="C18" s="81"/>
      <c r="D18" s="73"/>
      <c r="E18" s="71"/>
      <c r="F18" s="74"/>
      <c r="G18" s="74"/>
      <c r="H18" s="74"/>
      <c r="I18" s="74"/>
      <c r="J18" s="74"/>
      <c r="K18" s="74"/>
      <c r="L18" s="74"/>
      <c r="M18" s="74"/>
      <c r="N18" s="74"/>
      <c r="O18" s="74"/>
      <c r="P18" s="73"/>
      <c r="Q18" s="73"/>
    </row>
    <row r="19" spans="1:20" ht="13.8" x14ac:dyDescent="0.25">
      <c r="A19" s="78"/>
      <c r="B19" s="79"/>
      <c r="C19" s="81"/>
      <c r="D19" s="73"/>
      <c r="E19" s="71"/>
      <c r="F19" s="74"/>
      <c r="G19" s="74"/>
      <c r="H19" s="74"/>
      <c r="I19" s="74"/>
      <c r="J19" s="74"/>
      <c r="K19" s="74"/>
      <c r="L19" s="74"/>
      <c r="M19" s="74"/>
      <c r="N19" s="74"/>
      <c r="O19" s="74"/>
      <c r="P19" s="73"/>
      <c r="Q19" s="73"/>
    </row>
    <row r="20" spans="1:20" ht="13.8" x14ac:dyDescent="0.25">
      <c r="A20" s="78"/>
      <c r="B20" s="79"/>
      <c r="C20" s="122" t="s">
        <v>312</v>
      </c>
      <c r="D20" s="73"/>
      <c r="E20" s="71"/>
      <c r="F20" s="89">
        <v>37257</v>
      </c>
      <c r="G20" s="89">
        <v>37288</v>
      </c>
      <c r="H20" s="89">
        <v>37316</v>
      </c>
      <c r="I20" s="89">
        <v>37347</v>
      </c>
      <c r="J20" s="89">
        <v>37377</v>
      </c>
      <c r="K20" s="89">
        <v>37408</v>
      </c>
      <c r="L20" s="89">
        <v>37438</v>
      </c>
      <c r="M20" s="89">
        <v>37469</v>
      </c>
      <c r="N20" s="89">
        <v>37500</v>
      </c>
      <c r="O20" s="89">
        <v>37530</v>
      </c>
      <c r="P20" s="89">
        <v>37561</v>
      </c>
      <c r="Q20" s="89">
        <v>37591</v>
      </c>
      <c r="S20" s="73"/>
      <c r="T20" s="73"/>
    </row>
    <row r="21" spans="1:20" ht="13.8" x14ac:dyDescent="0.25">
      <c r="A21" s="78"/>
      <c r="B21" s="79"/>
      <c r="C21" s="81"/>
      <c r="D21" s="73"/>
      <c r="E21" s="71"/>
      <c r="F21" s="70"/>
      <c r="G21" s="70"/>
      <c r="H21" s="70"/>
      <c r="I21" s="70"/>
      <c r="J21" s="74"/>
      <c r="K21" s="74"/>
      <c r="L21" s="74"/>
      <c r="M21" s="74"/>
      <c r="N21" s="74"/>
      <c r="O21" s="74"/>
      <c r="P21" s="73"/>
      <c r="Q21" s="73"/>
      <c r="S21" s="73"/>
      <c r="T21" s="73"/>
    </row>
    <row r="22" spans="1:20" x14ac:dyDescent="0.25">
      <c r="A22" s="72" t="s">
        <v>198</v>
      </c>
      <c r="B22" s="72"/>
      <c r="C22" s="72"/>
      <c r="D22" s="73"/>
      <c r="E22" s="71"/>
      <c r="F22" s="74"/>
      <c r="G22" s="74"/>
      <c r="H22" s="74"/>
      <c r="I22" s="74"/>
      <c r="J22" s="74"/>
      <c r="K22" s="74"/>
      <c r="L22" s="74"/>
      <c r="M22" s="74"/>
      <c r="N22" s="74"/>
      <c r="O22" s="74"/>
      <c r="P22" s="73"/>
      <c r="Q22" s="73"/>
      <c r="S22" s="73"/>
      <c r="T22" s="73"/>
    </row>
    <row r="23" spans="1:20" x14ac:dyDescent="0.25">
      <c r="A23" s="72"/>
      <c r="B23" s="72" t="s">
        <v>200</v>
      </c>
      <c r="C23" s="72"/>
      <c r="D23" s="73"/>
      <c r="E23" s="71"/>
      <c r="F23" s="82">
        <f>$F14*0.2</f>
        <v>17400</v>
      </c>
      <c r="G23" s="82">
        <f>$F14*0.3</f>
        <v>26100</v>
      </c>
      <c r="H23" s="82">
        <f>$F14*0.5</f>
        <v>43500</v>
      </c>
      <c r="I23" s="82">
        <f>$G14*0.2</f>
        <v>28265</v>
      </c>
      <c r="J23" s="82">
        <f>$G14*0.3</f>
        <v>42397.5</v>
      </c>
      <c r="K23" s="82">
        <f>$G14*0.5</f>
        <v>70662.5</v>
      </c>
      <c r="L23" s="82">
        <f>$H14*0.2</f>
        <v>28230</v>
      </c>
      <c r="M23" s="82">
        <f>$H14*0.3</f>
        <v>42345</v>
      </c>
      <c r="N23" s="82">
        <f>$H14*0.5</f>
        <v>70575</v>
      </c>
      <c r="O23" s="82">
        <f>$I14*0.2</f>
        <v>74545</v>
      </c>
      <c r="P23" s="82">
        <f>$I14*0.3</f>
        <v>111817.5</v>
      </c>
      <c r="Q23" s="82">
        <f>$I14*0.5</f>
        <v>186362.5</v>
      </c>
      <c r="R23" s="120"/>
      <c r="S23" s="80"/>
      <c r="T23" s="80"/>
    </row>
    <row r="24" spans="1:20" x14ac:dyDescent="0.25">
      <c r="A24" s="72"/>
      <c r="B24" s="72" t="s">
        <v>201</v>
      </c>
      <c r="C24" s="72"/>
      <c r="D24" s="73"/>
      <c r="E24" s="71"/>
      <c r="F24" s="84">
        <f>$F15*0.2</f>
        <v>2400</v>
      </c>
      <c r="G24" s="84">
        <f>$F15*0.3</f>
        <v>3600</v>
      </c>
      <c r="H24" s="84">
        <f>$F15*0.5</f>
        <v>6000</v>
      </c>
      <c r="I24" s="84">
        <f>$G15*0.2</f>
        <v>4000</v>
      </c>
      <c r="J24" s="84">
        <f>$G15*0.3</f>
        <v>6000</v>
      </c>
      <c r="K24" s="84">
        <f>$G15*0.5</f>
        <v>10000</v>
      </c>
      <c r="L24" s="84">
        <f>$H15*0.2</f>
        <v>2823</v>
      </c>
      <c r="M24" s="84">
        <f>$H15*0.3</f>
        <v>4234.5</v>
      </c>
      <c r="N24" s="84">
        <f>$H15*0.5</f>
        <v>7057.5</v>
      </c>
      <c r="O24" s="84">
        <f>$I15*0.2</f>
        <v>7454.5</v>
      </c>
      <c r="P24" s="84">
        <f>$I15*0.3</f>
        <v>11181.75</v>
      </c>
      <c r="Q24" s="84">
        <f>$I15*0.5</f>
        <v>18636.25</v>
      </c>
    </row>
    <row r="25" spans="1:20" x14ac:dyDescent="0.25">
      <c r="A25" s="72"/>
      <c r="B25" s="72"/>
      <c r="C25" s="76" t="s">
        <v>199</v>
      </c>
      <c r="D25" s="73"/>
      <c r="E25" s="71"/>
      <c r="F25" s="86">
        <f>SUM(F23:F24)</f>
        <v>19800</v>
      </c>
      <c r="G25" s="86">
        <f t="shared" ref="G25:Q25" si="1">SUM(G23:G24)</f>
        <v>29700</v>
      </c>
      <c r="H25" s="86">
        <f t="shared" si="1"/>
        <v>49500</v>
      </c>
      <c r="I25" s="86">
        <f t="shared" si="1"/>
        <v>32265</v>
      </c>
      <c r="J25" s="86">
        <f t="shared" si="1"/>
        <v>48397.5</v>
      </c>
      <c r="K25" s="86">
        <f t="shared" si="1"/>
        <v>80662.5</v>
      </c>
      <c r="L25" s="86">
        <f t="shared" si="1"/>
        <v>31053</v>
      </c>
      <c r="M25" s="86">
        <f t="shared" si="1"/>
        <v>46579.5</v>
      </c>
      <c r="N25" s="86">
        <f t="shared" si="1"/>
        <v>77632.5</v>
      </c>
      <c r="O25" s="86">
        <f t="shared" si="1"/>
        <v>81999.5</v>
      </c>
      <c r="P25" s="86">
        <f t="shared" si="1"/>
        <v>122999.25</v>
      </c>
      <c r="Q25" s="86">
        <f t="shared" si="1"/>
        <v>204998.75</v>
      </c>
    </row>
    <row r="26" spans="1:20" ht="13.8" x14ac:dyDescent="0.25">
      <c r="A26" s="78"/>
      <c r="B26" s="79"/>
      <c r="C26" s="81"/>
      <c r="D26" s="73"/>
      <c r="E26" s="71"/>
      <c r="F26" s="74"/>
      <c r="G26" s="74"/>
      <c r="H26" s="74"/>
      <c r="I26" s="74"/>
      <c r="J26" s="74"/>
      <c r="K26" s="74"/>
      <c r="L26" s="74"/>
      <c r="M26" s="74"/>
      <c r="N26" s="74"/>
      <c r="O26" s="74"/>
      <c r="P26" s="73"/>
      <c r="Q26" s="73"/>
    </row>
    <row r="27" spans="1:20" ht="13.8" x14ac:dyDescent="0.25">
      <c r="A27" s="78"/>
      <c r="B27" s="79"/>
      <c r="C27" s="81"/>
      <c r="D27" s="73"/>
      <c r="E27" s="71"/>
      <c r="F27" s="74"/>
      <c r="G27" s="74"/>
      <c r="H27" s="74"/>
      <c r="I27" s="74"/>
      <c r="J27" s="74"/>
      <c r="K27" s="74"/>
      <c r="L27" s="74"/>
      <c r="M27" s="74"/>
      <c r="N27" s="74"/>
      <c r="O27" s="74"/>
      <c r="P27" s="73"/>
      <c r="Q27" s="73"/>
    </row>
    <row r="28" spans="1:20" ht="13.8" x14ac:dyDescent="0.25">
      <c r="A28" s="78"/>
      <c r="B28" s="79"/>
      <c r="C28" s="81"/>
      <c r="D28" s="73"/>
      <c r="E28" s="71"/>
      <c r="F28" s="74"/>
      <c r="G28" s="74"/>
      <c r="H28" s="74"/>
      <c r="I28" s="74"/>
      <c r="J28" s="74"/>
      <c r="K28" s="74"/>
      <c r="L28" s="74"/>
      <c r="M28" s="74"/>
      <c r="N28" s="74"/>
      <c r="O28" s="74"/>
      <c r="P28" s="73"/>
      <c r="Q28" s="73"/>
    </row>
    <row r="29" spans="1:20" ht="13.8" x14ac:dyDescent="0.25">
      <c r="A29" s="78"/>
      <c r="B29" s="79"/>
      <c r="C29" s="122" t="s">
        <v>312</v>
      </c>
      <c r="D29" s="73"/>
      <c r="E29" s="71"/>
      <c r="F29" s="89">
        <v>37622</v>
      </c>
      <c r="G29" s="89">
        <v>37653</v>
      </c>
      <c r="H29" s="89">
        <v>37681</v>
      </c>
      <c r="I29" s="89">
        <v>37712</v>
      </c>
      <c r="J29" s="89">
        <v>37742</v>
      </c>
      <c r="K29" s="89">
        <v>37773</v>
      </c>
      <c r="L29" s="89">
        <v>37803</v>
      </c>
      <c r="M29" s="89">
        <v>37834</v>
      </c>
      <c r="N29" s="89">
        <v>37865</v>
      </c>
      <c r="O29" s="89">
        <v>37895</v>
      </c>
      <c r="P29" s="89">
        <v>37926</v>
      </c>
      <c r="Q29" s="89">
        <v>37956</v>
      </c>
      <c r="S29" s="73"/>
      <c r="T29" s="73"/>
    </row>
    <row r="30" spans="1:20" ht="13.8" x14ac:dyDescent="0.25">
      <c r="A30" s="78"/>
      <c r="B30" s="79"/>
      <c r="C30" s="81"/>
      <c r="D30" s="73"/>
      <c r="E30" s="71"/>
      <c r="F30" s="70"/>
      <c r="G30" s="70"/>
      <c r="H30" s="70"/>
      <c r="I30" s="70"/>
      <c r="J30" s="74"/>
      <c r="K30" s="74"/>
      <c r="L30" s="74"/>
      <c r="M30" s="74"/>
      <c r="N30" s="74"/>
      <c r="O30" s="74"/>
      <c r="P30" s="73"/>
      <c r="Q30" s="73"/>
      <c r="S30" s="73"/>
      <c r="T30" s="73"/>
    </row>
    <row r="31" spans="1:20" x14ac:dyDescent="0.25">
      <c r="A31" s="72" t="s">
        <v>198</v>
      </c>
      <c r="B31" s="72"/>
      <c r="C31" s="72"/>
      <c r="D31" s="73"/>
      <c r="E31" s="71"/>
      <c r="F31" s="74"/>
      <c r="G31" s="74"/>
      <c r="H31" s="74"/>
      <c r="I31" s="74"/>
      <c r="J31" s="74"/>
      <c r="K31" s="74"/>
      <c r="L31" s="74"/>
      <c r="M31" s="74"/>
      <c r="N31" s="74"/>
      <c r="O31" s="74"/>
      <c r="P31" s="73"/>
      <c r="Q31" s="73"/>
      <c r="S31" s="73"/>
      <c r="T31" s="73"/>
    </row>
    <row r="32" spans="1:20" x14ac:dyDescent="0.25">
      <c r="A32" s="72"/>
      <c r="B32" s="72" t="s">
        <v>200</v>
      </c>
      <c r="C32" s="72"/>
      <c r="D32" s="73"/>
      <c r="E32" s="71"/>
      <c r="F32" s="82">
        <f>$K14*0.2</f>
        <v>88019</v>
      </c>
      <c r="G32" s="82">
        <f>$K14*0.3</f>
        <v>132028.5</v>
      </c>
      <c r="H32" s="82">
        <f>$K14*0.5</f>
        <v>220047.5</v>
      </c>
      <c r="I32" s="82">
        <f>$L14*0.2</f>
        <v>101221.84999999999</v>
      </c>
      <c r="J32" s="82">
        <f>$L14*0.3</f>
        <v>151832.77499999997</v>
      </c>
      <c r="K32" s="82">
        <f>$L14*0.5</f>
        <v>253054.62499999997</v>
      </c>
      <c r="L32" s="82">
        <f>$M14*0.2</f>
        <v>116405.12749999997</v>
      </c>
      <c r="M32" s="82">
        <f>$M14*0.3</f>
        <v>174607.69124999995</v>
      </c>
      <c r="N32" s="82">
        <f>$M14*0.5</f>
        <v>291012.81874999992</v>
      </c>
      <c r="O32" s="82">
        <f>$N14*0.2</f>
        <v>133865.89662499996</v>
      </c>
      <c r="P32" s="82">
        <f>$N14*0.3</f>
        <v>200798.84493749993</v>
      </c>
      <c r="Q32" s="82">
        <f>$N14*0.5</f>
        <v>334664.7415624999</v>
      </c>
      <c r="R32" s="120"/>
      <c r="S32" s="80"/>
      <c r="T32" s="80"/>
    </row>
    <row r="33" spans="1:17" x14ac:dyDescent="0.25">
      <c r="A33" s="72"/>
      <c r="B33" s="72" t="s">
        <v>201</v>
      </c>
      <c r="C33" s="72"/>
      <c r="D33" s="73"/>
      <c r="E33" s="71"/>
      <c r="F33" s="84">
        <f>$K15*0.2</f>
        <v>8801.9</v>
      </c>
      <c r="G33" s="84">
        <f>$K15*0.3</f>
        <v>13202.85</v>
      </c>
      <c r="H33" s="84">
        <f>$K15*0.5</f>
        <v>22004.75</v>
      </c>
      <c r="I33" s="84">
        <f>$L15*0.2</f>
        <v>10122.184999999999</v>
      </c>
      <c r="J33" s="84">
        <f>$L15*0.3</f>
        <v>15183.277499999998</v>
      </c>
      <c r="K33" s="84">
        <f>$L15*0.5</f>
        <v>25305.462499999998</v>
      </c>
      <c r="L33" s="84">
        <f>$M15*0.2</f>
        <v>11640.512749999998</v>
      </c>
      <c r="M33" s="84">
        <f>$M15*0.3</f>
        <v>17460.769124999995</v>
      </c>
      <c r="N33" s="84">
        <f>$M15*0.5</f>
        <v>29101.281874999993</v>
      </c>
      <c r="O33" s="84">
        <f>$N15*0.2</f>
        <v>13386.589662499997</v>
      </c>
      <c r="P33" s="84">
        <f>$N15*0.3</f>
        <v>20079.884493749993</v>
      </c>
      <c r="Q33" s="84">
        <f>$N15*0.5</f>
        <v>33466.474156249991</v>
      </c>
    </row>
    <row r="34" spans="1:17" x14ac:dyDescent="0.25">
      <c r="A34" s="72"/>
      <c r="B34" s="72"/>
      <c r="C34" s="76" t="s">
        <v>199</v>
      </c>
      <c r="D34" s="73"/>
      <c r="E34" s="71"/>
      <c r="F34" s="86">
        <f t="shared" ref="F34:Q34" si="2">SUM(F32:F33)</f>
        <v>96820.9</v>
      </c>
      <c r="G34" s="86">
        <f t="shared" si="2"/>
        <v>145231.35</v>
      </c>
      <c r="H34" s="86">
        <f t="shared" si="2"/>
        <v>242052.25</v>
      </c>
      <c r="I34" s="86">
        <f t="shared" si="2"/>
        <v>111344.03499999999</v>
      </c>
      <c r="J34" s="86">
        <f t="shared" si="2"/>
        <v>167016.05249999996</v>
      </c>
      <c r="K34" s="86">
        <f t="shared" si="2"/>
        <v>278360.08749999997</v>
      </c>
      <c r="L34" s="86">
        <f t="shared" si="2"/>
        <v>128045.64024999997</v>
      </c>
      <c r="M34" s="86">
        <f t="shared" si="2"/>
        <v>192068.46037499994</v>
      </c>
      <c r="N34" s="86">
        <f t="shared" si="2"/>
        <v>320114.1006249999</v>
      </c>
      <c r="O34" s="86">
        <f t="shared" si="2"/>
        <v>147252.48628749995</v>
      </c>
      <c r="P34" s="86">
        <f t="shared" si="2"/>
        <v>220878.72943124993</v>
      </c>
      <c r="Q34" s="86">
        <f t="shared" si="2"/>
        <v>368131.21571874991</v>
      </c>
    </row>
    <row r="35" spans="1:17" ht="13.8" x14ac:dyDescent="0.25">
      <c r="A35" s="78"/>
      <c r="B35" s="79"/>
      <c r="C35" s="81"/>
      <c r="D35" s="73"/>
      <c r="E35" s="71"/>
      <c r="F35" s="74"/>
      <c r="G35" s="74"/>
      <c r="H35" s="74"/>
      <c r="I35" s="74"/>
      <c r="J35" s="74"/>
      <c r="K35" s="74"/>
      <c r="L35" s="74"/>
      <c r="M35" s="74"/>
      <c r="N35" s="74"/>
      <c r="O35" s="74"/>
      <c r="P35" s="73"/>
      <c r="Q35" s="73"/>
    </row>
    <row r="36" spans="1:17" ht="13.8" x14ac:dyDescent="0.25">
      <c r="A36" s="78"/>
      <c r="B36" s="79"/>
      <c r="C36" s="81"/>
      <c r="D36" s="73"/>
      <c r="E36" s="71"/>
      <c r="F36" s="74"/>
      <c r="G36" s="74"/>
      <c r="H36" s="74"/>
      <c r="I36" s="74"/>
      <c r="J36" s="74"/>
      <c r="K36" s="74"/>
      <c r="L36" s="74"/>
      <c r="M36" s="74"/>
      <c r="N36" s="74"/>
      <c r="O36" s="74"/>
      <c r="P36" s="73"/>
      <c r="Q36" s="73"/>
    </row>
    <row r="37" spans="1:17" ht="13.8" x14ac:dyDescent="0.25">
      <c r="A37" s="78"/>
      <c r="B37" s="79"/>
      <c r="C37" s="81"/>
      <c r="D37" s="73"/>
      <c r="E37" s="71"/>
      <c r="F37" s="74"/>
      <c r="G37" s="74"/>
      <c r="H37" s="74"/>
      <c r="I37" s="74"/>
      <c r="J37" s="74"/>
      <c r="K37" s="74"/>
      <c r="L37" s="74"/>
      <c r="M37" s="74"/>
      <c r="N37" s="74"/>
      <c r="O37" s="74"/>
      <c r="P37" s="73"/>
      <c r="Q37" s="73"/>
    </row>
    <row r="38" spans="1:17" ht="13.8" x14ac:dyDescent="0.25">
      <c r="A38" s="78"/>
      <c r="B38" s="79"/>
      <c r="C38" s="81"/>
      <c r="D38" s="73"/>
      <c r="E38" s="71"/>
      <c r="F38" s="74"/>
      <c r="G38" s="74"/>
      <c r="H38" s="74"/>
      <c r="I38" s="74"/>
      <c r="J38" s="74"/>
      <c r="K38" s="74"/>
      <c r="L38" s="74"/>
      <c r="M38" s="74"/>
      <c r="N38" s="74"/>
      <c r="O38" s="74"/>
      <c r="P38" s="73"/>
      <c r="Q38" s="73"/>
    </row>
    <row r="39" spans="1:17" ht="13.8" x14ac:dyDescent="0.25">
      <c r="A39" s="78"/>
      <c r="B39" s="79"/>
      <c r="C39" s="81"/>
      <c r="D39" s="73"/>
      <c r="E39" s="71"/>
      <c r="F39" s="74"/>
      <c r="G39" s="74"/>
      <c r="H39" s="74"/>
      <c r="I39" s="74"/>
      <c r="J39" s="74"/>
      <c r="K39" s="74"/>
      <c r="L39" s="74"/>
      <c r="M39" s="74"/>
      <c r="N39" s="74"/>
      <c r="O39" s="74"/>
      <c r="P39" s="73"/>
      <c r="Q39" s="73"/>
    </row>
    <row r="40" spans="1:17" ht="13.8" x14ac:dyDescent="0.25">
      <c r="A40" s="78"/>
      <c r="B40" s="79"/>
      <c r="C40" s="81"/>
      <c r="D40" s="73"/>
      <c r="E40" s="71"/>
      <c r="F40" s="74"/>
      <c r="G40" s="74"/>
      <c r="H40" s="74"/>
      <c r="I40" s="74"/>
      <c r="J40" s="74"/>
      <c r="K40" s="74"/>
      <c r="L40" s="74"/>
      <c r="M40" s="74"/>
      <c r="N40" s="74"/>
      <c r="O40" s="74"/>
      <c r="P40" s="73"/>
      <c r="Q40" s="73"/>
    </row>
  </sheetData>
  <phoneticPr fontId="0" type="noConversion"/>
  <pageMargins left="0.5" right="0.5" top="1" bottom="1" header="0.5" footer="0.5"/>
  <pageSetup scale="50" orientation="portrait" r:id="rId1"/>
  <headerFooter alignWithMargins="0"/>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AA28"/>
  <sheetViews>
    <sheetView zoomScale="75" workbookViewId="0">
      <pane xSplit="3" ySplit="4" topLeftCell="D5" activePane="bottomRight" state="frozen"/>
      <selection pane="topRight" activeCell="D1" sqref="D1"/>
      <selection pane="bottomLeft" activeCell="A5" sqref="A5"/>
      <selection pane="bottomRight" activeCell="A18" sqref="A18"/>
    </sheetView>
  </sheetViews>
  <sheetFormatPr defaultRowHeight="13.2" x14ac:dyDescent="0.25"/>
  <cols>
    <col min="1" max="1" width="1.6640625" customWidth="1"/>
    <col min="2" max="2" width="2.109375" customWidth="1"/>
    <col min="3" max="3" width="28" customWidth="1"/>
    <col min="4" max="27" width="12.6640625" customWidth="1"/>
  </cols>
  <sheetData>
    <row r="3" spans="1:27" x14ac:dyDescent="0.25">
      <c r="D3" t="s">
        <v>309</v>
      </c>
      <c r="E3" t="s">
        <v>309</v>
      </c>
      <c r="F3" t="s">
        <v>309</v>
      </c>
      <c r="G3" t="s">
        <v>309</v>
      </c>
      <c r="H3" t="s">
        <v>309</v>
      </c>
      <c r="I3" t="s">
        <v>309</v>
      </c>
      <c r="J3" t="s">
        <v>309</v>
      </c>
      <c r="K3" t="s">
        <v>309</v>
      </c>
      <c r="L3" t="s">
        <v>309</v>
      </c>
      <c r="M3" t="s">
        <v>309</v>
      </c>
      <c r="N3" t="s">
        <v>309</v>
      </c>
      <c r="O3" t="s">
        <v>309</v>
      </c>
      <c r="P3" t="s">
        <v>310</v>
      </c>
      <c r="Q3" t="s">
        <v>310</v>
      </c>
      <c r="R3" t="s">
        <v>310</v>
      </c>
      <c r="S3" t="s">
        <v>310</v>
      </c>
      <c r="T3" t="s">
        <v>310</v>
      </c>
      <c r="U3" t="s">
        <v>310</v>
      </c>
      <c r="V3" t="s">
        <v>310</v>
      </c>
      <c r="W3" t="s">
        <v>310</v>
      </c>
      <c r="X3" t="s">
        <v>310</v>
      </c>
      <c r="Y3" t="s">
        <v>310</v>
      </c>
      <c r="Z3" t="s">
        <v>310</v>
      </c>
      <c r="AA3" t="s">
        <v>310</v>
      </c>
    </row>
    <row r="4" spans="1:27" x14ac:dyDescent="0.25">
      <c r="D4" s="109">
        <v>37257</v>
      </c>
      <c r="E4" s="109">
        <v>37288</v>
      </c>
      <c r="F4" s="109">
        <v>37316</v>
      </c>
      <c r="G4" s="109">
        <v>37347</v>
      </c>
      <c r="H4" s="109">
        <v>37377</v>
      </c>
      <c r="I4" s="109">
        <v>37408</v>
      </c>
      <c r="J4" s="109">
        <v>37438</v>
      </c>
      <c r="K4" s="109">
        <v>37469</v>
      </c>
      <c r="L4" s="109">
        <v>37500</v>
      </c>
      <c r="M4" s="109">
        <v>37530</v>
      </c>
      <c r="N4" s="109">
        <v>37561</v>
      </c>
      <c r="O4" s="109">
        <v>37591</v>
      </c>
      <c r="P4" s="109">
        <v>37622</v>
      </c>
      <c r="Q4" s="109">
        <v>37653</v>
      </c>
      <c r="R4" s="109">
        <v>37681</v>
      </c>
      <c r="S4" s="109">
        <v>37712</v>
      </c>
      <c r="T4" s="109">
        <v>37742</v>
      </c>
      <c r="U4" s="109">
        <v>37773</v>
      </c>
      <c r="V4" s="109">
        <v>37803</v>
      </c>
      <c r="W4" s="109">
        <v>37834</v>
      </c>
      <c r="X4" s="109">
        <v>37865</v>
      </c>
      <c r="Y4" s="109">
        <v>37895</v>
      </c>
      <c r="Z4" s="109">
        <v>37926</v>
      </c>
      <c r="AA4" s="109">
        <v>37956</v>
      </c>
    </row>
    <row r="5" spans="1:27" x14ac:dyDescent="0.25">
      <c r="A5" s="121" t="s">
        <v>198</v>
      </c>
      <c r="B5" s="72"/>
      <c r="C5" s="72"/>
    </row>
    <row r="6" spans="1:27" x14ac:dyDescent="0.25">
      <c r="A6" s="72"/>
      <c r="B6" s="72" t="s">
        <v>255</v>
      </c>
      <c r="C6" s="72"/>
      <c r="D6" s="1">
        <f>Revenue!F23</f>
        <v>17400</v>
      </c>
      <c r="E6" s="1">
        <f>Revenue!G23</f>
        <v>26100</v>
      </c>
      <c r="F6" s="1">
        <f>Revenue!H23</f>
        <v>43500</v>
      </c>
      <c r="G6" s="1">
        <f>Revenue!I23</f>
        <v>28265</v>
      </c>
      <c r="H6" s="1">
        <f>Revenue!J23</f>
        <v>42397.5</v>
      </c>
      <c r="I6" s="1">
        <f>Revenue!K23</f>
        <v>70662.5</v>
      </c>
      <c r="J6" s="1">
        <f>Revenue!L23</f>
        <v>28230</v>
      </c>
      <c r="K6" s="1">
        <f>Revenue!M23</f>
        <v>42345</v>
      </c>
      <c r="L6" s="1">
        <f>Revenue!N23</f>
        <v>70575</v>
      </c>
      <c r="M6" s="1">
        <f>Revenue!O23</f>
        <v>74545</v>
      </c>
      <c r="N6" s="1">
        <f>Revenue!P23</f>
        <v>111817.5</v>
      </c>
      <c r="O6" s="1">
        <f>Revenue!Q23</f>
        <v>186362.5</v>
      </c>
      <c r="P6" s="1">
        <f>Revenue!F32</f>
        <v>88019</v>
      </c>
      <c r="Q6" s="1">
        <f>Revenue!G32</f>
        <v>132028.5</v>
      </c>
      <c r="R6" s="1">
        <f>Revenue!H32</f>
        <v>220047.5</v>
      </c>
      <c r="S6" s="1">
        <f>Revenue!I32</f>
        <v>101221.84999999999</v>
      </c>
      <c r="T6" s="1">
        <f>Revenue!J32</f>
        <v>151832.77499999997</v>
      </c>
      <c r="U6" s="1">
        <f>Revenue!K32</f>
        <v>253054.62499999997</v>
      </c>
      <c r="V6" s="1">
        <f>Revenue!L32</f>
        <v>116405.12749999997</v>
      </c>
      <c r="W6" s="1">
        <f>Revenue!M32</f>
        <v>174607.69124999995</v>
      </c>
      <c r="X6" s="1">
        <f>Revenue!N32</f>
        <v>291012.81874999992</v>
      </c>
      <c r="Y6" s="1">
        <f>Revenue!O32</f>
        <v>133865.89662499996</v>
      </c>
      <c r="Z6" s="1">
        <f>Revenue!P32</f>
        <v>200798.84493749993</v>
      </c>
      <c r="AA6" s="1">
        <f>Revenue!Q32</f>
        <v>334664.7415624999</v>
      </c>
    </row>
    <row r="7" spans="1:27" x14ac:dyDescent="0.25">
      <c r="A7" s="72"/>
      <c r="B7" s="72" t="s">
        <v>25</v>
      </c>
      <c r="C7" s="72"/>
      <c r="D7" s="104">
        <f>Revenue!F24</f>
        <v>2400</v>
      </c>
      <c r="E7" s="104">
        <f>Revenue!G24</f>
        <v>3600</v>
      </c>
      <c r="F7" s="104">
        <f>Revenue!H24</f>
        <v>6000</v>
      </c>
      <c r="G7" s="104">
        <f>Revenue!I24</f>
        <v>4000</v>
      </c>
      <c r="H7" s="104">
        <f>Revenue!J24</f>
        <v>6000</v>
      </c>
      <c r="I7" s="104">
        <f>Revenue!K24</f>
        <v>10000</v>
      </c>
      <c r="J7" s="104">
        <f>Revenue!L24</f>
        <v>2823</v>
      </c>
      <c r="K7" s="104">
        <f>Revenue!M24</f>
        <v>4234.5</v>
      </c>
      <c r="L7" s="104">
        <f>Revenue!N24</f>
        <v>7057.5</v>
      </c>
      <c r="M7" s="104">
        <f>Revenue!O24</f>
        <v>7454.5</v>
      </c>
      <c r="N7" s="104">
        <f>Revenue!P24</f>
        <v>11181.75</v>
      </c>
      <c r="O7" s="104">
        <f>Revenue!Q24</f>
        <v>18636.25</v>
      </c>
      <c r="P7" s="104">
        <f>Revenue!F33</f>
        <v>8801.9</v>
      </c>
      <c r="Q7" s="3">
        <f>Revenue!G33</f>
        <v>13202.85</v>
      </c>
      <c r="R7" s="3">
        <f>Revenue!H33</f>
        <v>22004.75</v>
      </c>
      <c r="S7" s="3">
        <f>Revenue!I33</f>
        <v>10122.184999999999</v>
      </c>
      <c r="T7" s="3">
        <f>Revenue!J33</f>
        <v>15183.277499999998</v>
      </c>
      <c r="U7" s="3">
        <f>Revenue!K33</f>
        <v>25305.462499999998</v>
      </c>
      <c r="V7" s="3">
        <f>Revenue!L33</f>
        <v>11640.512749999998</v>
      </c>
      <c r="W7" s="3">
        <f>Revenue!M33</f>
        <v>17460.769124999995</v>
      </c>
      <c r="X7" s="3">
        <f>Revenue!N33</f>
        <v>29101.281874999993</v>
      </c>
      <c r="Y7" s="3">
        <f>Revenue!O33</f>
        <v>13386.589662499997</v>
      </c>
      <c r="Z7" s="3">
        <f>Revenue!P33</f>
        <v>20079.884493749993</v>
      </c>
      <c r="AA7" s="3">
        <f>Revenue!Q33</f>
        <v>33466.474156249991</v>
      </c>
    </row>
    <row r="8" spans="1:27" x14ac:dyDescent="0.25">
      <c r="A8" s="72"/>
      <c r="B8" s="72"/>
      <c r="C8" s="76" t="s">
        <v>199</v>
      </c>
      <c r="D8" s="100">
        <f t="shared" ref="D8:P8" si="0">SUM(D6:D7)</f>
        <v>19800</v>
      </c>
      <c r="E8" s="100">
        <f t="shared" si="0"/>
        <v>29700</v>
      </c>
      <c r="F8" s="100">
        <f t="shared" si="0"/>
        <v>49500</v>
      </c>
      <c r="G8" s="100">
        <f t="shared" si="0"/>
        <v>32265</v>
      </c>
      <c r="H8" s="100">
        <f t="shared" si="0"/>
        <v>48397.5</v>
      </c>
      <c r="I8" s="100">
        <f t="shared" si="0"/>
        <v>80662.5</v>
      </c>
      <c r="J8" s="100">
        <f t="shared" si="0"/>
        <v>31053</v>
      </c>
      <c r="K8" s="100">
        <f t="shared" si="0"/>
        <v>46579.5</v>
      </c>
      <c r="L8" s="100">
        <f t="shared" si="0"/>
        <v>77632.5</v>
      </c>
      <c r="M8" s="100">
        <f t="shared" si="0"/>
        <v>81999.5</v>
      </c>
      <c r="N8" s="100">
        <f t="shared" si="0"/>
        <v>122999.25</v>
      </c>
      <c r="O8" s="100">
        <f t="shared" si="0"/>
        <v>204998.75</v>
      </c>
      <c r="P8" s="100">
        <f t="shared" si="0"/>
        <v>96820.9</v>
      </c>
      <c r="Q8" s="100">
        <f t="shared" ref="Q8:AA8" si="1">SUM(Q6:Q7)</f>
        <v>145231.35</v>
      </c>
      <c r="R8" s="100">
        <f t="shared" si="1"/>
        <v>242052.25</v>
      </c>
      <c r="S8" s="100">
        <f t="shared" si="1"/>
        <v>111344.03499999999</v>
      </c>
      <c r="T8" s="100">
        <f t="shared" si="1"/>
        <v>167016.05249999996</v>
      </c>
      <c r="U8" s="100">
        <f t="shared" si="1"/>
        <v>278360.08749999997</v>
      </c>
      <c r="V8" s="100">
        <f t="shared" si="1"/>
        <v>128045.64024999997</v>
      </c>
      <c r="W8" s="100">
        <f t="shared" si="1"/>
        <v>192068.46037499994</v>
      </c>
      <c r="X8" s="100">
        <f t="shared" si="1"/>
        <v>320114.1006249999</v>
      </c>
      <c r="Y8" s="100">
        <f t="shared" si="1"/>
        <v>147252.48628749995</v>
      </c>
      <c r="Z8" s="100">
        <f t="shared" si="1"/>
        <v>220878.72943124993</v>
      </c>
      <c r="AA8" s="100">
        <f t="shared" si="1"/>
        <v>368131.21571874991</v>
      </c>
    </row>
    <row r="9" spans="1:27" x14ac:dyDescent="0.25">
      <c r="A9" s="72"/>
      <c r="B9" s="72"/>
      <c r="C9" s="72"/>
    </row>
    <row r="10" spans="1:27" x14ac:dyDescent="0.25">
      <c r="A10" s="63" t="s">
        <v>242</v>
      </c>
      <c r="B10" s="79"/>
      <c r="C10" s="79"/>
    </row>
    <row r="11" spans="1:27" x14ac:dyDescent="0.25">
      <c r="A11" s="63"/>
      <c r="B11" s="79" t="s">
        <v>256</v>
      </c>
      <c r="C11" s="79"/>
      <c r="D11" s="100">
        <f t="shared" ref="D11:AA11" si="2">1%*D6</f>
        <v>174</v>
      </c>
      <c r="E11" s="100">
        <f t="shared" si="2"/>
        <v>261</v>
      </c>
      <c r="F11" s="100">
        <f t="shared" si="2"/>
        <v>435</v>
      </c>
      <c r="G11" s="100">
        <f t="shared" si="2"/>
        <v>282.65000000000003</v>
      </c>
      <c r="H11" s="100">
        <f t="shared" si="2"/>
        <v>423.97500000000002</v>
      </c>
      <c r="I11" s="100">
        <f t="shared" si="2"/>
        <v>706.625</v>
      </c>
      <c r="J11" s="100">
        <f t="shared" si="2"/>
        <v>282.3</v>
      </c>
      <c r="K11" s="100">
        <f t="shared" si="2"/>
        <v>423.45</v>
      </c>
      <c r="L11" s="100">
        <f t="shared" si="2"/>
        <v>705.75</v>
      </c>
      <c r="M11" s="100">
        <f t="shared" si="2"/>
        <v>745.45</v>
      </c>
      <c r="N11" s="100">
        <f t="shared" si="2"/>
        <v>1118.175</v>
      </c>
      <c r="O11" s="100">
        <f t="shared" si="2"/>
        <v>1863.625</v>
      </c>
      <c r="P11" s="100">
        <f t="shared" si="2"/>
        <v>880.19</v>
      </c>
      <c r="Q11" s="100">
        <f t="shared" si="2"/>
        <v>1320.2850000000001</v>
      </c>
      <c r="R11" s="100">
        <f t="shared" si="2"/>
        <v>2200.4749999999999</v>
      </c>
      <c r="S11" s="100">
        <f t="shared" si="2"/>
        <v>1012.2184999999999</v>
      </c>
      <c r="T11" s="100">
        <f t="shared" si="2"/>
        <v>1518.3277499999997</v>
      </c>
      <c r="U11" s="100">
        <f t="shared" si="2"/>
        <v>2530.5462499999999</v>
      </c>
      <c r="V11" s="100">
        <f t="shared" si="2"/>
        <v>1164.0512749999998</v>
      </c>
      <c r="W11" s="100">
        <f t="shared" si="2"/>
        <v>1746.0769124999995</v>
      </c>
      <c r="X11" s="100">
        <f t="shared" si="2"/>
        <v>2910.1281874999991</v>
      </c>
      <c r="Y11" s="100">
        <f t="shared" si="2"/>
        <v>1338.6589662499996</v>
      </c>
      <c r="Z11" s="100">
        <f t="shared" si="2"/>
        <v>2007.9884493749994</v>
      </c>
      <c r="AA11" s="100">
        <f t="shared" si="2"/>
        <v>3346.6474156249992</v>
      </c>
    </row>
    <row r="12" spans="1:27" x14ac:dyDescent="0.25">
      <c r="A12" s="63"/>
      <c r="B12" s="79" t="s">
        <v>257</v>
      </c>
      <c r="C12" s="79"/>
      <c r="D12" s="104">
        <f>Employees!$B$110</f>
        <v>21385</v>
      </c>
      <c r="E12" s="104">
        <f>Employees!$B$110</f>
        <v>21385</v>
      </c>
      <c r="F12" s="104">
        <f>Employees!$B$110</f>
        <v>21385</v>
      </c>
      <c r="G12" s="104">
        <f>Employees!$B$110</f>
        <v>21385</v>
      </c>
      <c r="H12" s="104">
        <f>Employees!$B$110</f>
        <v>21385</v>
      </c>
      <c r="I12" s="104">
        <f>Employees!$B$110</f>
        <v>21385</v>
      </c>
      <c r="J12" s="104">
        <f>Employees!$B$110</f>
        <v>21385</v>
      </c>
      <c r="K12" s="104">
        <f>Employees!$B$110</f>
        <v>21385</v>
      </c>
      <c r="L12" s="104">
        <f>Employees!$B$110</f>
        <v>21385</v>
      </c>
      <c r="M12" s="104">
        <f>Employees!$B$110</f>
        <v>21385</v>
      </c>
      <c r="N12" s="104">
        <f>Employees!$B$110</f>
        <v>21385</v>
      </c>
      <c r="O12" s="104">
        <f>Employees!$B$110</f>
        <v>21385</v>
      </c>
      <c r="P12" s="104">
        <f>Employees!$B$110</f>
        <v>21385</v>
      </c>
      <c r="Q12" s="104">
        <f>Employees!$B$110</f>
        <v>21385</v>
      </c>
      <c r="R12" s="104">
        <f>Employees!$B$110</f>
        <v>21385</v>
      </c>
      <c r="S12" s="3">
        <f>Employees!$G$110</f>
        <v>33735</v>
      </c>
      <c r="T12" s="3">
        <f>Employees!$G$110</f>
        <v>33735</v>
      </c>
      <c r="U12" s="3">
        <f>Employees!$G$110</f>
        <v>33735</v>
      </c>
      <c r="V12" s="3">
        <f>Employees!$G$110</f>
        <v>33735</v>
      </c>
      <c r="W12" s="3">
        <f>Employees!$G$110</f>
        <v>33735</v>
      </c>
      <c r="X12" s="3">
        <f>Employees!$G$110</f>
        <v>33735</v>
      </c>
      <c r="Y12" s="3">
        <f>Employees!$G$110</f>
        <v>33735</v>
      </c>
      <c r="Z12" s="3">
        <f>Employees!$G$110</f>
        <v>33735</v>
      </c>
      <c r="AA12" s="3">
        <f>Employees!$G$110</f>
        <v>33735</v>
      </c>
    </row>
    <row r="13" spans="1:27" x14ac:dyDescent="0.25">
      <c r="A13" s="63"/>
      <c r="B13" s="79"/>
      <c r="C13" s="76" t="s">
        <v>243</v>
      </c>
      <c r="D13" s="104">
        <f t="shared" ref="D13:P13" si="3">SUM(D11:D12)</f>
        <v>21559</v>
      </c>
      <c r="E13" s="104">
        <f t="shared" si="3"/>
        <v>21646</v>
      </c>
      <c r="F13" s="104">
        <f t="shared" si="3"/>
        <v>21820</v>
      </c>
      <c r="G13" s="104">
        <f t="shared" si="3"/>
        <v>21667.65</v>
      </c>
      <c r="H13" s="104">
        <f t="shared" si="3"/>
        <v>21808.974999999999</v>
      </c>
      <c r="I13" s="104">
        <f t="shared" si="3"/>
        <v>22091.625</v>
      </c>
      <c r="J13" s="104">
        <f t="shared" si="3"/>
        <v>21667.3</v>
      </c>
      <c r="K13" s="104">
        <f t="shared" si="3"/>
        <v>21808.45</v>
      </c>
      <c r="L13" s="104">
        <f t="shared" si="3"/>
        <v>22090.75</v>
      </c>
      <c r="M13" s="104">
        <f t="shared" si="3"/>
        <v>22130.45</v>
      </c>
      <c r="N13" s="104">
        <f t="shared" si="3"/>
        <v>22503.174999999999</v>
      </c>
      <c r="O13" s="104">
        <f t="shared" si="3"/>
        <v>23248.625</v>
      </c>
      <c r="P13" s="104">
        <f t="shared" si="3"/>
        <v>22265.19</v>
      </c>
      <c r="Q13" s="104">
        <f t="shared" ref="Q13:AA13" si="4">SUM(Q11:Q12)</f>
        <v>22705.285</v>
      </c>
      <c r="R13" s="104">
        <f t="shared" si="4"/>
        <v>23585.474999999999</v>
      </c>
      <c r="S13" s="104">
        <f t="shared" si="4"/>
        <v>34747.218500000003</v>
      </c>
      <c r="T13" s="104">
        <f t="shared" si="4"/>
        <v>35253.327749999997</v>
      </c>
      <c r="U13" s="104">
        <f t="shared" si="4"/>
        <v>36265.546249999999</v>
      </c>
      <c r="V13" s="104">
        <f t="shared" si="4"/>
        <v>34899.051274999998</v>
      </c>
      <c r="W13" s="104">
        <f t="shared" si="4"/>
        <v>35481.076912500001</v>
      </c>
      <c r="X13" s="104">
        <f t="shared" si="4"/>
        <v>36645.128187499999</v>
      </c>
      <c r="Y13" s="104">
        <f t="shared" si="4"/>
        <v>35073.658966249997</v>
      </c>
      <c r="Z13" s="104">
        <f t="shared" si="4"/>
        <v>35742.988449375</v>
      </c>
      <c r="AA13" s="104">
        <f t="shared" si="4"/>
        <v>37081.647415624997</v>
      </c>
    </row>
    <row r="14" spans="1:27" x14ac:dyDescent="0.25">
      <c r="A14" s="63"/>
      <c r="B14" s="79"/>
      <c r="C14" s="76"/>
    </row>
    <row r="15" spans="1:27" ht="13.8" thickBot="1" x14ac:dyDescent="0.3">
      <c r="A15" s="63" t="s">
        <v>244</v>
      </c>
      <c r="B15" s="72"/>
      <c r="C15" s="76"/>
      <c r="D15" s="105">
        <f t="shared" ref="D15:AA15" si="5">D8-D13</f>
        <v>-1759</v>
      </c>
      <c r="E15" s="105">
        <f t="shared" si="5"/>
        <v>8054</v>
      </c>
      <c r="F15" s="105">
        <f t="shared" si="5"/>
        <v>27680</v>
      </c>
      <c r="G15" s="105">
        <f t="shared" si="5"/>
        <v>10597.349999999999</v>
      </c>
      <c r="H15" s="105">
        <f t="shared" si="5"/>
        <v>26588.525000000001</v>
      </c>
      <c r="I15" s="105">
        <f t="shared" si="5"/>
        <v>58570.875</v>
      </c>
      <c r="J15" s="105">
        <f t="shared" si="5"/>
        <v>9385.7000000000007</v>
      </c>
      <c r="K15" s="105">
        <f t="shared" si="5"/>
        <v>24771.05</v>
      </c>
      <c r="L15" s="105">
        <f t="shared" si="5"/>
        <v>55541.75</v>
      </c>
      <c r="M15" s="105">
        <f t="shared" si="5"/>
        <v>59869.05</v>
      </c>
      <c r="N15" s="105">
        <f t="shared" si="5"/>
        <v>100496.075</v>
      </c>
      <c r="O15" s="105">
        <f t="shared" si="5"/>
        <v>181750.125</v>
      </c>
      <c r="P15" s="105">
        <f t="shared" si="5"/>
        <v>74555.709999999992</v>
      </c>
      <c r="Q15" s="105">
        <f t="shared" si="5"/>
        <v>122526.065</v>
      </c>
      <c r="R15" s="105">
        <f t="shared" si="5"/>
        <v>218466.77499999999</v>
      </c>
      <c r="S15" s="105">
        <f t="shared" si="5"/>
        <v>76596.816499999986</v>
      </c>
      <c r="T15" s="105">
        <f t="shared" si="5"/>
        <v>131762.72474999996</v>
      </c>
      <c r="U15" s="105">
        <f t="shared" si="5"/>
        <v>242094.54124999995</v>
      </c>
      <c r="V15" s="105">
        <f t="shared" si="5"/>
        <v>93146.588974999962</v>
      </c>
      <c r="W15" s="105">
        <f t="shared" si="5"/>
        <v>156587.38346249994</v>
      </c>
      <c r="X15" s="105">
        <f t="shared" si="5"/>
        <v>283468.97243749991</v>
      </c>
      <c r="Y15" s="105">
        <f t="shared" si="5"/>
        <v>112178.82732124996</v>
      </c>
      <c r="Z15" s="105">
        <f t="shared" si="5"/>
        <v>185135.74098187493</v>
      </c>
      <c r="AA15" s="105">
        <f t="shared" si="5"/>
        <v>331049.56830312492</v>
      </c>
    </row>
    <row r="16" spans="1:27" ht="13.8" thickTop="1" x14ac:dyDescent="0.25">
      <c r="A16" s="72"/>
      <c r="B16" s="72"/>
      <c r="C16" s="72"/>
    </row>
    <row r="17" spans="1:27" x14ac:dyDescent="0.25">
      <c r="A17" s="63" t="s">
        <v>245</v>
      </c>
      <c r="B17" s="79"/>
      <c r="C17" s="79"/>
    </row>
    <row r="18" spans="1:27" x14ac:dyDescent="0.25">
      <c r="A18" s="63"/>
      <c r="B18" s="79" t="s">
        <v>246</v>
      </c>
      <c r="C18" s="79"/>
      <c r="D18" s="100">
        <f>((Employees!$B$60+'Service Expense'!$B$25+'Equipment Expense'!$D$29)+Quota!$B$53/3)*0.5</f>
        <v>46334.797684836514</v>
      </c>
      <c r="E18" s="100">
        <f>((Employees!$B$60+'Service Expense'!$B$25+'Equipment Expense'!$D$29)+Quota!$B$53/3)*0.75</f>
        <v>69502.196527254768</v>
      </c>
      <c r="F18" s="100">
        <f>(Employees!$B$60+'Service Expense'!$B$25+'Equipment Expense'!$D$29)+Quota!$B$53/3</f>
        <v>92669.595369673028</v>
      </c>
      <c r="G18" s="100">
        <f>(Employees!$B$60+'Service Expense'!$B$25+'Equipment Expense'!$D$29)+Quota!$C$53/3</f>
        <v>93862.428703006357</v>
      </c>
      <c r="H18" s="100">
        <f>(Employees!$B$60+'Service Expense'!$B$25+'Equipment Expense'!$D$29)+Quota!$C$53/3</f>
        <v>93862.428703006357</v>
      </c>
      <c r="I18" s="100">
        <f>(Employees!$B$60+'Service Expense'!$B$25+'Equipment Expense'!$D$29)+Quota!$C$53/3</f>
        <v>93862.428703006357</v>
      </c>
      <c r="J18" s="100">
        <f>(Employees!$B$60+'Service Expense'!$B$25+'Equipment Expense'!$D$29)+Quota!$D$53/3</f>
        <v>92784.428703006357</v>
      </c>
      <c r="K18" s="100">
        <f>(Employees!$B$60+'Service Expense'!$B$25+'Equipment Expense'!$D$29)+Quota!$D$53/3</f>
        <v>92784.428703006357</v>
      </c>
      <c r="L18" s="100">
        <f>(Employees!$B$60+'Service Expense'!$B$25+'Equipment Expense'!$D$29)+Quota!$D$53/3</f>
        <v>92784.428703006357</v>
      </c>
      <c r="M18" s="100">
        <f>(Employees!$B$60+'Service Expense'!$B$25+'Equipment Expense'!$D$29)+Quota!$E$53/3</f>
        <v>95032.262036339685</v>
      </c>
      <c r="N18" s="100">
        <f>(Employees!$B$60+'Service Expense'!$B$25+'Equipment Expense'!$D$29)+Quota!$E$53/3</f>
        <v>95032.262036339685</v>
      </c>
      <c r="O18" s="100">
        <f>(Employees!$B$60+'Service Expense'!$B$25+'Equipment Expense'!$D$29)+Quota!$E$53/3</f>
        <v>95032.262036339685</v>
      </c>
      <c r="P18" s="100">
        <f>(Employees!$B$60+'Service Expense'!$B$25+'Equipment Expense'!$D$29)+P6*0.05</f>
        <v>96048.378703006354</v>
      </c>
      <c r="Q18" s="100">
        <f>(Employees!$B$60+'Service Expense'!$B$25+'Equipment Expense'!$D$29)+Q6*0.05</f>
        <v>98248.85370300636</v>
      </c>
      <c r="R18" s="100">
        <f>(Employees!$B$60+'Service Expense'!$B$25+'Equipment Expense'!$D$29)+R6*0.05</f>
        <v>102649.80370300636</v>
      </c>
      <c r="S18" s="100">
        <f>(Employees!$B$60+'Service Expense'!$B$25+'Equipment Expense'!$D$29)+S6*0.05</f>
        <v>96708.521203006356</v>
      </c>
      <c r="T18" s="100">
        <f>(Employees!$G$60+'Equipment Expense'!$J$29+'Service Expense'!$F$25)+T6*0.05</f>
        <v>161796.68449994968</v>
      </c>
      <c r="U18" s="100">
        <f>(Employees!$G$60+'Equipment Expense'!$J$29+'Service Expense'!$F$25)+U6*0.05</f>
        <v>166857.77699994971</v>
      </c>
      <c r="V18" s="100">
        <f>(Employees!$G$60+'Equipment Expense'!$J$29+'Service Expense'!$F$25)+V6*0.05</f>
        <v>160025.3021249497</v>
      </c>
      <c r="W18" s="100">
        <f>(Employees!$G$60+'Equipment Expense'!$J$29+'Service Expense'!$F$25)+W6*0.05</f>
        <v>162935.43031244969</v>
      </c>
      <c r="X18" s="100">
        <f>(Employees!$G$60+'Equipment Expense'!$J$29+'Service Expense'!$F$25)+X6*0.05</f>
        <v>168755.68668744969</v>
      </c>
      <c r="Y18" s="100">
        <f>(Employees!$G$60+'Equipment Expense'!$J$29+'Service Expense'!$F$25)+Y6*0.05</f>
        <v>160898.34058119971</v>
      </c>
      <c r="Z18" s="100">
        <f>(Employees!$G$60+'Equipment Expense'!$J$29+'Service Expense'!$F$25)+Z6*0.05</f>
        <v>164244.9879968247</v>
      </c>
      <c r="AA18" s="100">
        <f>(Employees!$G$60+'Equipment Expense'!$J$29+'Service Expense'!$F$25)+AA6*0.05</f>
        <v>170938.28282807471</v>
      </c>
    </row>
    <row r="19" spans="1:27" x14ac:dyDescent="0.25">
      <c r="A19" s="63"/>
      <c r="B19" s="79" t="s">
        <v>247</v>
      </c>
      <c r="C19" s="79"/>
      <c r="D19" s="100">
        <f>((Employees!$B$95+'Equipment Expense'!$D$32+'Service Expense'!$B$33))*0.5</f>
        <v>55024.857406012714</v>
      </c>
      <c r="E19" s="100">
        <f>((Employees!$B$95+'Equipment Expense'!$D$32+'Service Expense'!$B$33))*0.75</f>
        <v>82537.286109019071</v>
      </c>
      <c r="F19" s="100">
        <f>(Employees!$B$95+'Equipment Expense'!$D$32+'Service Expense'!$B$33)</f>
        <v>110049.71481202543</v>
      </c>
      <c r="G19" s="100">
        <f>(Employees!$B$95+'Equipment Expense'!$D$32+'Service Expense'!$B$33)</f>
        <v>110049.71481202543</v>
      </c>
      <c r="H19" s="100">
        <f>(Employees!$B$95+'Equipment Expense'!$D$32+'Service Expense'!$B$33)</f>
        <v>110049.71481202543</v>
      </c>
      <c r="I19" s="100">
        <f>(Employees!$B$95+'Equipment Expense'!$D$32+'Service Expense'!$B$33)</f>
        <v>110049.71481202543</v>
      </c>
      <c r="J19" s="100">
        <f>(Employees!$B$95+'Equipment Expense'!$D$32+'Service Expense'!$B$33)</f>
        <v>110049.71481202543</v>
      </c>
      <c r="K19" s="100">
        <f>(Employees!$B$95+'Equipment Expense'!$D$32+'Service Expense'!$B$33)</f>
        <v>110049.71481202543</v>
      </c>
      <c r="L19" s="100">
        <f>(Employees!$B$95+'Equipment Expense'!$D$32+'Service Expense'!$B$33)</f>
        <v>110049.71481202543</v>
      </c>
      <c r="M19" s="100">
        <f>(Employees!$B$95+'Equipment Expense'!$D$32+'Service Expense'!$B$33)</f>
        <v>110049.71481202543</v>
      </c>
      <c r="N19" s="100">
        <f>(Employees!$B$95+'Equipment Expense'!$D$32+'Service Expense'!$B$33)</f>
        <v>110049.71481202543</v>
      </c>
      <c r="O19" s="100">
        <f>(Employees!$B$95+'Equipment Expense'!$D$32+'Service Expense'!$B$33)</f>
        <v>110049.71481202543</v>
      </c>
      <c r="P19" s="100">
        <f>(Employees!$B$95+'Equipment Expense'!$D$32+'Service Expense'!$B$33)</f>
        <v>110049.71481202543</v>
      </c>
      <c r="Q19" s="100">
        <f>(Employees!$B$95+'Equipment Expense'!$D$32+'Service Expense'!$B$33)</f>
        <v>110049.71481202543</v>
      </c>
      <c r="R19" s="100">
        <f>(Employees!$B$95+'Equipment Expense'!$D$32+'Service Expense'!$B$33)</f>
        <v>110049.71481202543</v>
      </c>
      <c r="S19" s="100">
        <f>(Employees!$B$95+'Equipment Expense'!$D$32+'Service Expense'!$B$33)</f>
        <v>110049.71481202543</v>
      </c>
      <c r="T19" s="100">
        <f>Employees!$G$95+'Equipment Expense'!$J$25+'Service Expense'!$F$33</f>
        <v>144656.97166633117</v>
      </c>
      <c r="U19" s="100">
        <f>Employees!$G$95+'Equipment Expense'!$J$25+'Service Expense'!$F$33</f>
        <v>144656.97166633117</v>
      </c>
      <c r="V19" s="100">
        <f>Employees!$G$95+'Equipment Expense'!$J$25+'Service Expense'!$F$33</f>
        <v>144656.97166633117</v>
      </c>
      <c r="W19" s="100">
        <f>Employees!$G$95+'Equipment Expense'!$J$25+'Service Expense'!$F$33</f>
        <v>144656.97166633117</v>
      </c>
      <c r="X19" s="100">
        <f>Employees!$G$95+'Equipment Expense'!$J$25+'Service Expense'!$F$33</f>
        <v>144656.97166633117</v>
      </c>
      <c r="Y19" s="100">
        <f>Employees!$G$95+'Equipment Expense'!$J$25+'Service Expense'!$F$33</f>
        <v>144656.97166633117</v>
      </c>
      <c r="Z19" s="100">
        <f>Employees!$G$95+'Equipment Expense'!$J$25+'Service Expense'!$F$33</f>
        <v>144656.97166633117</v>
      </c>
      <c r="AA19" s="100">
        <f>Employees!$G$95+'Equipment Expense'!$J$25+'Service Expense'!$F$33</f>
        <v>144656.97166633117</v>
      </c>
    </row>
    <row r="20" spans="1:27" x14ac:dyDescent="0.25">
      <c r="A20" s="63"/>
      <c r="B20" s="79" t="s">
        <v>248</v>
      </c>
      <c r="C20" s="79"/>
      <c r="D20" s="100">
        <f>((Employees!$B$34+'Equipment Expense'!$D$35+'Service Expense'!$B$44))*0.5</f>
        <v>31640.357252505295</v>
      </c>
      <c r="E20" s="100">
        <f>(Employees!$B$34+'Equipment Expense'!$D$35+'Service Expense'!$B$44)*0.75</f>
        <v>47460.535878757946</v>
      </c>
      <c r="F20" s="100">
        <f>(Employees!$B$34+'Equipment Expense'!$D$35+'Service Expense'!$B$44)</f>
        <v>63280.71450501059</v>
      </c>
      <c r="G20" s="100">
        <f>(Employees!$B$34+'Equipment Expense'!$D$35+'Service Expense'!$B$44)</f>
        <v>63280.71450501059</v>
      </c>
      <c r="H20" s="100">
        <f>(Employees!$B$34+'Equipment Expense'!$D$35+'Service Expense'!$B$44)</f>
        <v>63280.71450501059</v>
      </c>
      <c r="I20" s="100">
        <f>(Employees!$B$34+'Equipment Expense'!$D$35+'Service Expense'!$B$44)</f>
        <v>63280.71450501059</v>
      </c>
      <c r="J20" s="100">
        <f>(Employees!$B$34+'Equipment Expense'!$D$35+'Service Expense'!$B$44)</f>
        <v>63280.71450501059</v>
      </c>
      <c r="K20" s="100">
        <f>(Employees!$B$34+'Equipment Expense'!$D$35+'Service Expense'!$B$44)</f>
        <v>63280.71450501059</v>
      </c>
      <c r="L20" s="100">
        <f>(Employees!$B$34+'Equipment Expense'!$D$35+'Service Expense'!$B$44)</f>
        <v>63280.71450501059</v>
      </c>
      <c r="M20" s="100">
        <f>(Employees!$B$34+'Equipment Expense'!$D$35+'Service Expense'!$B$44)</f>
        <v>63280.71450501059</v>
      </c>
      <c r="N20" s="100">
        <f>(Employees!$B$34+'Equipment Expense'!$D$35+'Service Expense'!$B$44)</f>
        <v>63280.71450501059</v>
      </c>
      <c r="O20" s="100">
        <f>(Employees!$B$34+'Equipment Expense'!$D$35+'Service Expense'!$B$44)</f>
        <v>63280.71450501059</v>
      </c>
      <c r="P20" s="100">
        <f>(Employees!$B$34+'Equipment Expense'!$D$35+'Service Expense'!$B$44)</f>
        <v>63280.71450501059</v>
      </c>
      <c r="Q20" s="100">
        <f>(Employees!$B$34+'Equipment Expense'!$D$35+'Service Expense'!$B$44)</f>
        <v>63280.71450501059</v>
      </c>
      <c r="R20" s="100">
        <f>(Employees!$B$34+'Equipment Expense'!$D$35+'Service Expense'!$B$44)</f>
        <v>63280.71450501059</v>
      </c>
      <c r="S20" s="100">
        <f>(Employees!$B$34+'Equipment Expense'!$D$35+'Service Expense'!$B$44)</f>
        <v>63280.71450501059</v>
      </c>
      <c r="T20" s="100">
        <f>Employees!$G$36+'Equipment Expense'!$J$35+'Service Expense'!$F$44</f>
        <v>76466.742916582793</v>
      </c>
      <c r="U20" s="100">
        <f>Employees!$G$36+'Equipment Expense'!$J$35+'Service Expense'!$F$44</f>
        <v>76466.742916582793</v>
      </c>
      <c r="V20" s="100">
        <f>Employees!$G$36+'Equipment Expense'!$J$35+'Service Expense'!$F$44</f>
        <v>76466.742916582793</v>
      </c>
      <c r="W20" s="100">
        <f>Employees!$G$36+'Equipment Expense'!$J$35+'Service Expense'!$F$44</f>
        <v>76466.742916582793</v>
      </c>
      <c r="X20" s="100">
        <f>Employees!$G$36+'Equipment Expense'!$J$35+'Service Expense'!$F$44</f>
        <v>76466.742916582793</v>
      </c>
      <c r="Y20" s="100">
        <f>Employees!$G$36+'Equipment Expense'!$J$35+'Service Expense'!$F$44</f>
        <v>76466.742916582793</v>
      </c>
      <c r="Z20" s="100">
        <f>Employees!$G$36+'Equipment Expense'!$J$35+'Service Expense'!$F$44</f>
        <v>76466.742916582793</v>
      </c>
      <c r="AA20" s="100">
        <f>Employees!$G$36+'Equipment Expense'!$J$35+'Service Expense'!$F$44</f>
        <v>76466.742916582793</v>
      </c>
    </row>
    <row r="21" spans="1:27" x14ac:dyDescent="0.25">
      <c r="A21" s="63"/>
      <c r="B21" s="79" t="s">
        <v>239</v>
      </c>
      <c r="C21" s="79"/>
      <c r="D21" s="104">
        <f>'Cap Lease'!U11</f>
        <v>4861.1111111111113</v>
      </c>
      <c r="E21" s="104">
        <f>'Cap Lease'!U12</f>
        <v>4861.1111111111113</v>
      </c>
      <c r="F21" s="104">
        <f>'Cap Lease'!U13</f>
        <v>4861.1111111111113</v>
      </c>
      <c r="G21" s="104">
        <f>'Cap Lease'!U14</f>
        <v>4861.1111111111113</v>
      </c>
      <c r="H21" s="104">
        <f>'Cap Lease'!U15</f>
        <v>4861.1111111111113</v>
      </c>
      <c r="I21" s="104">
        <f>'Cap Lease'!U16</f>
        <v>4861.1111111111113</v>
      </c>
      <c r="J21" s="104">
        <f>'Cap Lease'!U17</f>
        <v>4861.1111111111113</v>
      </c>
      <c r="K21" s="104">
        <f>'Cap Lease'!U18</f>
        <v>4861.1111111111113</v>
      </c>
      <c r="L21" s="104">
        <f>'Cap Lease'!U19</f>
        <v>4861.1111111111113</v>
      </c>
      <c r="M21" s="104">
        <f>'Cap Lease'!U20</f>
        <v>4861.1111111111113</v>
      </c>
      <c r="N21" s="104">
        <f>'Cap Lease'!U21</f>
        <v>4861.1111111111113</v>
      </c>
      <c r="O21" s="104">
        <f>'Cap Lease'!U22</f>
        <v>4861.1111111111113</v>
      </c>
      <c r="P21" s="104">
        <f>'Cap Lease'!U23</f>
        <v>6250</v>
      </c>
      <c r="Q21" s="104">
        <f>'Cap Lease'!U24</f>
        <v>6250</v>
      </c>
      <c r="R21" s="104">
        <f>'Cap Lease'!U25</f>
        <v>6250</v>
      </c>
      <c r="S21" s="104">
        <f>'Cap Lease'!U26</f>
        <v>6250</v>
      </c>
      <c r="T21" s="104">
        <f>'Cap Lease'!U27</f>
        <v>6250</v>
      </c>
      <c r="U21" s="104">
        <f>'Cap Lease'!U28</f>
        <v>6250</v>
      </c>
      <c r="V21" s="104">
        <f>'Cap Lease'!U29</f>
        <v>6250</v>
      </c>
      <c r="W21" s="104">
        <f>'Cap Lease'!U30</f>
        <v>6250</v>
      </c>
      <c r="X21" s="104">
        <f>'Cap Lease'!U31</f>
        <v>6250</v>
      </c>
      <c r="Y21" s="104">
        <f>'Cap Lease'!U32</f>
        <v>6250</v>
      </c>
      <c r="Z21" s="104">
        <f>'Cap Lease'!U33</f>
        <v>6250</v>
      </c>
      <c r="AA21" s="104">
        <f>'Cap Lease'!U34</f>
        <v>6250</v>
      </c>
    </row>
    <row r="22" spans="1:27" x14ac:dyDescent="0.25">
      <c r="A22" s="63"/>
      <c r="B22" s="79"/>
      <c r="C22" s="76" t="s">
        <v>249</v>
      </c>
      <c r="D22" s="106">
        <f t="shared" ref="D22:P22" si="6">SUM(D18:D21)</f>
        <v>137861.12345446565</v>
      </c>
      <c r="E22" s="106">
        <f t="shared" si="6"/>
        <v>204361.12962614291</v>
      </c>
      <c r="F22" s="106">
        <f t="shared" si="6"/>
        <v>270861.13579782017</v>
      </c>
      <c r="G22" s="106">
        <f t="shared" si="6"/>
        <v>272053.96913115348</v>
      </c>
      <c r="H22" s="106">
        <f t="shared" si="6"/>
        <v>272053.96913115348</v>
      </c>
      <c r="I22" s="106">
        <f t="shared" si="6"/>
        <v>272053.96913115348</v>
      </c>
      <c r="J22" s="106">
        <f t="shared" si="6"/>
        <v>270975.96913115348</v>
      </c>
      <c r="K22" s="106">
        <f t="shared" si="6"/>
        <v>270975.96913115348</v>
      </c>
      <c r="L22" s="106">
        <f t="shared" si="6"/>
        <v>270975.96913115348</v>
      </c>
      <c r="M22" s="106">
        <f t="shared" si="6"/>
        <v>273223.8024644868</v>
      </c>
      <c r="N22" s="106">
        <f t="shared" si="6"/>
        <v>273223.8024644868</v>
      </c>
      <c r="O22" s="106">
        <f t="shared" si="6"/>
        <v>273223.8024644868</v>
      </c>
      <c r="P22" s="106">
        <f t="shared" si="6"/>
        <v>275628.80802004237</v>
      </c>
      <c r="Q22" s="106">
        <f t="shared" ref="Q22:AA22" si="7">SUM(Q18:Q21)</f>
        <v>277829.28302004235</v>
      </c>
      <c r="R22" s="106">
        <f t="shared" si="7"/>
        <v>282230.23302004236</v>
      </c>
      <c r="S22" s="106">
        <f t="shared" si="7"/>
        <v>276288.95052004239</v>
      </c>
      <c r="T22" s="106">
        <f t="shared" si="7"/>
        <v>389170.39908286365</v>
      </c>
      <c r="U22" s="106">
        <f t="shared" si="7"/>
        <v>394231.49158286367</v>
      </c>
      <c r="V22" s="106">
        <f t="shared" si="7"/>
        <v>387399.01670786366</v>
      </c>
      <c r="W22" s="106">
        <f t="shared" si="7"/>
        <v>390309.14489536366</v>
      </c>
      <c r="X22" s="106">
        <f t="shared" si="7"/>
        <v>396129.40127036365</v>
      </c>
      <c r="Y22" s="106">
        <f t="shared" si="7"/>
        <v>388272.0551641137</v>
      </c>
      <c r="Z22" s="106">
        <f t="shared" si="7"/>
        <v>391618.70257973863</v>
      </c>
      <c r="AA22" s="106">
        <f t="shared" si="7"/>
        <v>398311.99741098867</v>
      </c>
    </row>
    <row r="23" spans="1:27" ht="13.8" thickBot="1" x14ac:dyDescent="0.3">
      <c r="A23" s="63" t="s">
        <v>250</v>
      </c>
      <c r="B23" s="63"/>
      <c r="C23" s="63"/>
      <c r="D23" s="110">
        <f t="shared" ref="D23:Q23" si="8">D15-D22</f>
        <v>-139620.12345446565</v>
      </c>
      <c r="E23" s="110">
        <f t="shared" si="8"/>
        <v>-196307.12962614291</v>
      </c>
      <c r="F23" s="100">
        <f t="shared" si="8"/>
        <v>-243181.13579782017</v>
      </c>
      <c r="G23" s="100">
        <f t="shared" si="8"/>
        <v>-261456.61913115348</v>
      </c>
      <c r="H23" s="100">
        <f t="shared" si="8"/>
        <v>-245465.44413115349</v>
      </c>
      <c r="I23" s="100">
        <f t="shared" si="8"/>
        <v>-213483.09413115348</v>
      </c>
      <c r="J23" s="100">
        <f t="shared" si="8"/>
        <v>-261590.26913115347</v>
      </c>
      <c r="K23" s="100">
        <f t="shared" si="8"/>
        <v>-246204.9191311535</v>
      </c>
      <c r="L23" s="100">
        <f t="shared" si="8"/>
        <v>-215434.21913115348</v>
      </c>
      <c r="M23" s="100">
        <f t="shared" si="8"/>
        <v>-213354.75246448681</v>
      </c>
      <c r="N23" s="100">
        <f t="shared" si="8"/>
        <v>-172727.72746448679</v>
      </c>
      <c r="O23" s="100">
        <f t="shared" si="8"/>
        <v>-91473.677464486798</v>
      </c>
      <c r="P23" s="100">
        <f t="shared" si="8"/>
        <v>-201073.09802004238</v>
      </c>
      <c r="Q23" s="110">
        <f t="shared" si="8"/>
        <v>-155303.21802004235</v>
      </c>
      <c r="R23" s="110">
        <f t="shared" ref="R23:AA23" si="9">R15-R22</f>
        <v>-63763.458020042366</v>
      </c>
      <c r="S23" s="110">
        <f t="shared" si="9"/>
        <v>-199692.1340200424</v>
      </c>
      <c r="T23" s="110">
        <f t="shared" si="9"/>
        <v>-257407.67433286368</v>
      </c>
      <c r="U23" s="110">
        <f t="shared" si="9"/>
        <v>-152136.95033286372</v>
      </c>
      <c r="V23" s="110">
        <f t="shared" si="9"/>
        <v>-294252.4277328637</v>
      </c>
      <c r="W23" s="110">
        <f t="shared" si="9"/>
        <v>-233721.76143286371</v>
      </c>
      <c r="X23" s="110">
        <f t="shared" si="9"/>
        <v>-112660.42883286375</v>
      </c>
      <c r="Y23" s="110">
        <f t="shared" si="9"/>
        <v>-276093.22784286377</v>
      </c>
      <c r="Z23" s="110">
        <f t="shared" si="9"/>
        <v>-206482.9615978637</v>
      </c>
      <c r="AA23" s="110">
        <f t="shared" si="9"/>
        <v>-67262.429107863747</v>
      </c>
    </row>
    <row r="24" spans="1:27" ht="13.8" thickTop="1" x14ac:dyDescent="0.25">
      <c r="A24" s="79"/>
      <c r="B24" s="79" t="s">
        <v>251</v>
      </c>
      <c r="C24" s="79"/>
      <c r="D24" s="115">
        <f>(3000000*0.0025)-'Cap Lease'!S11</f>
        <v>5750</v>
      </c>
      <c r="E24" s="115">
        <f>('Balance Sheet'!E6*0.0025)-'Cap Lease'!$S$12</f>
        <v>5544.2087507709812</v>
      </c>
      <c r="F24" s="115">
        <f>('Balance Sheet'!F6*0.0025)-'Cap Lease'!$S$13</f>
        <v>5109.6089458059896</v>
      </c>
      <c r="G24" s="115">
        <f>('Balance Sheet'!G6*0.0025)-'Cap Lease'!$S$14</f>
        <v>4556.4266105938505</v>
      </c>
      <c r="H24" s="115">
        <f>('Balance Sheet'!H6*0.0025)-'Cap Lease'!$S$15</f>
        <v>3958.798110751748</v>
      </c>
      <c r="I24" s="115">
        <f>('Balance Sheet'!I6*0.0025)-'Cap Lease'!$S$16</f>
        <v>3397.8819285718555</v>
      </c>
      <c r="J24" s="115">
        <f>('Balance Sheet'!J6*0.0025)-'Cap Lease'!$S$17</f>
        <v>2914.8281090499459</v>
      </c>
      <c r="K24" s="115">
        <f>('Balance Sheet'!K6*0.0025)-'Cap Lease'!$S$18</f>
        <v>2315.7361036862994</v>
      </c>
      <c r="L24" s="115">
        <f>('Balance Sheet'!L6*0.0025)-'Cap Lease'!$S$19</f>
        <v>1749.8621755658826</v>
      </c>
      <c r="M24" s="115">
        <f>('Balance Sheet'!M6*0.0025)-'Cap Lease'!$S$20</f>
        <v>1258.8565729543689</v>
      </c>
      <c r="N24" s="115">
        <f>('Balance Sheet'!N6*0.0025)-'Cap Lease'!$S$21</f>
        <v>773.81993124799033</v>
      </c>
      <c r="O24" s="115">
        <f>('Balance Sheet'!O6*0.0025)-'Cap Lease'!$S$22</f>
        <v>387.18194613979244</v>
      </c>
      <c r="P24" s="115">
        <f>('Balance Sheet'!P6*0.0025)-'Cap Lease'!$S$22</f>
        <v>155.16249796325496</v>
      </c>
      <c r="Q24" s="115">
        <f>('Balance Sheet'!Q6*0.0025)-'Cap Lease'!$S$22</f>
        <v>-339.09234253608111</v>
      </c>
      <c r="R24" s="115">
        <f>('Balance Sheet'!R6*0.0025)-'Cap Lease'!$S$22</f>
        <v>-730.08835005985691</v>
      </c>
      <c r="S24" s="115">
        <f>('Balance Sheet'!S6*0.0025)-'Cap Lease'!$S$22</f>
        <v>-896.38299651236571</v>
      </c>
      <c r="T24" s="115">
        <f>('Balance Sheet'!T6*0.0025)-'Cap Lease'!$S$22</f>
        <v>11111.159155363723</v>
      </c>
      <c r="U24" s="115">
        <f>('Balance Sheet'!U6*0.0025)-'Cap Lease'!$S$22</f>
        <v>10492.634739115998</v>
      </c>
      <c r="V24" s="115">
        <f>('Balance Sheet'!V6*0.0025)-'Cap Lease'!$S$22</f>
        <v>10132.112034461799</v>
      </c>
      <c r="W24" s="115">
        <f>('Balance Sheet'!W6*0.0025)-'Cap Lease'!$S$22</f>
        <v>9431.6022055517678</v>
      </c>
      <c r="X24" s="115">
        <f>('Balance Sheet'!X6*0.0025)-'Cap Lease'!$S$22</f>
        <v>8867.1194016823538</v>
      </c>
      <c r="Y24" s="115">
        <f>('Balance Sheet'!Y6*0.0025)-'Cap Lease'!$S$22</f>
        <v>8599.7234862500191</v>
      </c>
      <c r="Z24" s="115">
        <f>('Balance Sheet'!Z6*0.0025)-'Cap Lease'!$S$22</f>
        <v>7941.728439022434</v>
      </c>
      <c r="AA24" s="115">
        <f>('Balance Sheet'!AA6*0.0025)-'Cap Lease'!$S$22</f>
        <v>7440.5516773243817</v>
      </c>
    </row>
    <row r="25" spans="1:27" x14ac:dyDescent="0.25">
      <c r="A25" s="63" t="s">
        <v>252</v>
      </c>
      <c r="B25" s="79"/>
      <c r="C25" s="79"/>
      <c r="D25" s="100">
        <f>D23+D24</f>
        <v>-133870.12345446565</v>
      </c>
      <c r="E25" s="100">
        <f t="shared" ref="E25:Q25" si="10">E23+E24</f>
        <v>-190762.92087537193</v>
      </c>
      <c r="F25" s="100">
        <f t="shared" si="10"/>
        <v>-238071.52685201418</v>
      </c>
      <c r="G25" s="100">
        <f t="shared" si="10"/>
        <v>-256900.19252055962</v>
      </c>
      <c r="H25" s="100">
        <f t="shared" si="10"/>
        <v>-241506.64602040173</v>
      </c>
      <c r="I25" s="100">
        <f t="shared" si="10"/>
        <v>-210085.21220258164</v>
      </c>
      <c r="J25" s="100">
        <f t="shared" si="10"/>
        <v>-258675.44102210354</v>
      </c>
      <c r="K25" s="100">
        <f t="shared" si="10"/>
        <v>-243889.1830274672</v>
      </c>
      <c r="L25" s="100">
        <f t="shared" si="10"/>
        <v>-213684.3569555876</v>
      </c>
      <c r="M25" s="100">
        <f t="shared" si="10"/>
        <v>-212095.89589153245</v>
      </c>
      <c r="N25" s="100">
        <f t="shared" si="10"/>
        <v>-171953.90753323879</v>
      </c>
      <c r="O25" s="100">
        <f t="shared" si="10"/>
        <v>-91086.495518347001</v>
      </c>
      <c r="P25" s="100">
        <f t="shared" si="10"/>
        <v>-200917.93552207912</v>
      </c>
      <c r="Q25" s="100">
        <f t="shared" si="10"/>
        <v>-155642.31036257843</v>
      </c>
      <c r="R25" s="100">
        <f t="shared" ref="R25:AA25" si="11">R23+R24</f>
        <v>-64493.546370102224</v>
      </c>
      <c r="S25" s="100">
        <f t="shared" si="11"/>
        <v>-200588.51701655478</v>
      </c>
      <c r="T25" s="100">
        <f t="shared" si="11"/>
        <v>-246296.51517749997</v>
      </c>
      <c r="U25" s="100">
        <f t="shared" si="11"/>
        <v>-141644.31559374771</v>
      </c>
      <c r="V25" s="100">
        <f t="shared" si="11"/>
        <v>-284120.31569840189</v>
      </c>
      <c r="W25" s="100">
        <f t="shared" si="11"/>
        <v>-224290.15922731196</v>
      </c>
      <c r="X25" s="100">
        <f t="shared" si="11"/>
        <v>-103793.30943118139</v>
      </c>
      <c r="Y25" s="100">
        <f t="shared" si="11"/>
        <v>-267493.50435661373</v>
      </c>
      <c r="Z25" s="100">
        <f t="shared" si="11"/>
        <v>-198541.23315884126</v>
      </c>
      <c r="AA25" s="100">
        <f t="shared" si="11"/>
        <v>-59821.877430539367</v>
      </c>
    </row>
    <row r="26" spans="1:27" x14ac:dyDescent="0.25">
      <c r="A26" s="63"/>
      <c r="B26" s="79" t="s">
        <v>253</v>
      </c>
      <c r="C26" s="79"/>
      <c r="D26" s="104">
        <v>0</v>
      </c>
      <c r="E26" s="104">
        <v>0</v>
      </c>
      <c r="F26" s="104">
        <v>0</v>
      </c>
      <c r="G26" s="104">
        <v>0</v>
      </c>
      <c r="H26" s="104">
        <v>0</v>
      </c>
      <c r="I26" s="104">
        <v>0</v>
      </c>
      <c r="J26" s="104">
        <v>0</v>
      </c>
      <c r="K26" s="104">
        <v>0</v>
      </c>
      <c r="L26" s="104">
        <v>0</v>
      </c>
      <c r="M26" s="104">
        <v>0</v>
      </c>
      <c r="N26" s="104">
        <v>0</v>
      </c>
      <c r="O26" s="104">
        <v>0</v>
      </c>
      <c r="P26" s="104">
        <v>0</v>
      </c>
      <c r="Q26" s="104">
        <v>0</v>
      </c>
      <c r="R26" s="104">
        <v>0</v>
      </c>
      <c r="S26" s="104">
        <v>0</v>
      </c>
      <c r="T26" s="104">
        <v>0</v>
      </c>
      <c r="U26" s="104">
        <v>0</v>
      </c>
      <c r="V26" s="104">
        <v>0</v>
      </c>
      <c r="W26" s="104">
        <v>0</v>
      </c>
      <c r="X26" s="104">
        <v>0</v>
      </c>
      <c r="Y26" s="104">
        <v>0</v>
      </c>
      <c r="Z26" s="104">
        <v>0</v>
      </c>
      <c r="AA26" s="104">
        <v>0</v>
      </c>
    </row>
    <row r="27" spans="1:27" ht="13.8" thickBot="1" x14ac:dyDescent="0.3">
      <c r="A27" s="63" t="s">
        <v>254</v>
      </c>
      <c r="B27" s="63"/>
      <c r="C27" s="63"/>
      <c r="D27" s="112">
        <f t="shared" ref="D27:Q27" si="12">D25</f>
        <v>-133870.12345446565</v>
      </c>
      <c r="E27" s="112">
        <f t="shared" si="12"/>
        <v>-190762.92087537193</v>
      </c>
      <c r="F27" s="112">
        <f t="shared" si="12"/>
        <v>-238071.52685201418</v>
      </c>
      <c r="G27" s="112">
        <f t="shared" si="12"/>
        <v>-256900.19252055962</v>
      </c>
      <c r="H27" s="112">
        <f t="shared" si="12"/>
        <v>-241506.64602040173</v>
      </c>
      <c r="I27" s="112">
        <f t="shared" si="12"/>
        <v>-210085.21220258164</v>
      </c>
      <c r="J27" s="112">
        <f t="shared" si="12"/>
        <v>-258675.44102210354</v>
      </c>
      <c r="K27" s="112">
        <f t="shared" si="12"/>
        <v>-243889.1830274672</v>
      </c>
      <c r="L27" s="112">
        <f t="shared" si="12"/>
        <v>-213684.3569555876</v>
      </c>
      <c r="M27" s="112">
        <f t="shared" si="12"/>
        <v>-212095.89589153245</v>
      </c>
      <c r="N27" s="112">
        <f t="shared" si="12"/>
        <v>-171953.90753323879</v>
      </c>
      <c r="O27" s="112">
        <f t="shared" si="12"/>
        <v>-91086.495518347001</v>
      </c>
      <c r="P27" s="112">
        <f t="shared" si="12"/>
        <v>-200917.93552207912</v>
      </c>
      <c r="Q27" s="112">
        <f t="shared" si="12"/>
        <v>-155642.31036257843</v>
      </c>
      <c r="R27" s="112">
        <f t="shared" ref="R27:AA27" si="13">R25</f>
        <v>-64493.546370102224</v>
      </c>
      <c r="S27" s="112">
        <f t="shared" si="13"/>
        <v>-200588.51701655478</v>
      </c>
      <c r="T27" s="112">
        <f t="shared" si="13"/>
        <v>-246296.51517749997</v>
      </c>
      <c r="U27" s="112">
        <f t="shared" si="13"/>
        <v>-141644.31559374771</v>
      </c>
      <c r="V27" s="112">
        <f t="shared" si="13"/>
        <v>-284120.31569840189</v>
      </c>
      <c r="W27" s="112">
        <f t="shared" si="13"/>
        <v>-224290.15922731196</v>
      </c>
      <c r="X27" s="112">
        <f t="shared" si="13"/>
        <v>-103793.30943118139</v>
      </c>
      <c r="Y27" s="112">
        <f t="shared" si="13"/>
        <v>-267493.50435661373</v>
      </c>
      <c r="Z27" s="112">
        <f t="shared" si="13"/>
        <v>-198541.23315884126</v>
      </c>
      <c r="AA27" s="112">
        <f t="shared" si="13"/>
        <v>-59821.877430539367</v>
      </c>
    </row>
    <row r="28" spans="1:27" ht="13.8" thickTop="1" x14ac:dyDescent="0.25"/>
  </sheetData>
  <phoneticPr fontId="0" type="noConversion"/>
  <pageMargins left="0.5" right="0.5" top="1" bottom="1" header="0.5" footer="0.5"/>
  <pageSetup orientation="landscape" r:id="rId1"/>
  <headerFooter alignWithMargins="0"/>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
  <sheetViews>
    <sheetView showGridLines="0" zoomScale="90" workbookViewId="0">
      <selection activeCell="A2" sqref="A2"/>
    </sheetView>
  </sheetViews>
  <sheetFormatPr defaultRowHeight="13.2" x14ac:dyDescent="0.25"/>
  <cols>
    <col min="1" max="2" width="1.44140625" customWidth="1"/>
    <col min="3" max="3" width="22.6640625" customWidth="1"/>
    <col min="4" max="7" width="10.5546875" customWidth="1"/>
    <col min="8" max="8" width="12.44140625" customWidth="1"/>
    <col min="9" max="9" width="1.33203125" customWidth="1"/>
    <col min="10" max="13" width="10.5546875" customWidth="1"/>
    <col min="14" max="14" width="12.44140625" customWidth="1"/>
  </cols>
  <sheetData>
    <row r="1" spans="1:14" x14ac:dyDescent="0.25">
      <c r="A1" s="63" t="s">
        <v>443</v>
      </c>
      <c r="C1" s="63"/>
    </row>
    <row r="3" spans="1:14" x14ac:dyDescent="0.25">
      <c r="D3" s="123" t="s">
        <v>309</v>
      </c>
      <c r="E3" s="123" t="s">
        <v>309</v>
      </c>
      <c r="F3" s="123" t="s">
        <v>309</v>
      </c>
      <c r="G3" s="123" t="s">
        <v>309</v>
      </c>
      <c r="H3" s="123" t="s">
        <v>309</v>
      </c>
      <c r="I3" s="123"/>
      <c r="J3" s="123" t="s">
        <v>310</v>
      </c>
      <c r="K3" s="123" t="s">
        <v>310</v>
      </c>
      <c r="L3" s="123" t="s">
        <v>310</v>
      </c>
      <c r="M3" s="123" t="s">
        <v>310</v>
      </c>
      <c r="N3" s="123" t="s">
        <v>310</v>
      </c>
    </row>
    <row r="4" spans="1:14" x14ac:dyDescent="0.25">
      <c r="D4" s="123" t="s">
        <v>193</v>
      </c>
      <c r="E4" s="123" t="s">
        <v>194</v>
      </c>
      <c r="F4" s="123" t="s">
        <v>195</v>
      </c>
      <c r="G4" s="123" t="s">
        <v>196</v>
      </c>
      <c r="H4" s="124" t="s">
        <v>197</v>
      </c>
      <c r="I4" s="123"/>
      <c r="J4" s="123" t="s">
        <v>434</v>
      </c>
      <c r="K4" s="123" t="s">
        <v>435</v>
      </c>
      <c r="L4" s="123" t="s">
        <v>436</v>
      </c>
      <c r="M4" s="123" t="s">
        <v>437</v>
      </c>
      <c r="N4" s="124" t="s">
        <v>392</v>
      </c>
    </row>
    <row r="5" spans="1:14" x14ac:dyDescent="0.25">
      <c r="A5" s="121" t="s">
        <v>198</v>
      </c>
      <c r="B5" s="72"/>
      <c r="C5" s="72"/>
      <c r="H5" s="125"/>
      <c r="N5" s="125"/>
    </row>
    <row r="6" spans="1:14" x14ac:dyDescent="0.25">
      <c r="A6" s="72"/>
      <c r="B6" s="72" t="s">
        <v>255</v>
      </c>
      <c r="C6" s="72"/>
      <c r="D6" s="1">
        <f>SUM('Monthly P&amp;L'!D6:F6)</f>
        <v>87000</v>
      </c>
      <c r="E6" s="1">
        <f>SUM('Monthly P&amp;L'!G6:I6)</f>
        <v>141325</v>
      </c>
      <c r="F6" s="1">
        <f>SUM('Monthly P&amp;L'!J6:L6)</f>
        <v>141150</v>
      </c>
      <c r="G6" s="1">
        <f>SUM('Monthly P&amp;L'!M6:O6)</f>
        <v>372725</v>
      </c>
      <c r="H6" s="126">
        <f>SUM(D6:G6)</f>
        <v>742200</v>
      </c>
      <c r="J6" s="1">
        <f>SUM('Monthly P&amp;L'!P6:R6)</f>
        <v>440095</v>
      </c>
      <c r="K6" s="1">
        <f>SUM('Monthly P&amp;L'!S6:U6)</f>
        <v>506109.24999999988</v>
      </c>
      <c r="L6" s="1">
        <f>SUM('Monthly P&amp;L'!V6:X6)</f>
        <v>582025.63749999984</v>
      </c>
      <c r="M6" s="1">
        <f>SUM('Monthly P&amp;L'!Y6:AA6)</f>
        <v>669329.4831249998</v>
      </c>
      <c r="N6" s="126">
        <f>SUM(J6:M6)</f>
        <v>2197559.3706249995</v>
      </c>
    </row>
    <row r="7" spans="1:14" x14ac:dyDescent="0.25">
      <c r="A7" s="72"/>
      <c r="B7" s="72" t="s">
        <v>25</v>
      </c>
      <c r="C7" s="72"/>
      <c r="D7" s="104">
        <f>SUM('Monthly P&amp;L'!D7:F7)</f>
        <v>12000</v>
      </c>
      <c r="E7" s="104">
        <f>SUM('Monthly P&amp;L'!G7:I7)</f>
        <v>20000</v>
      </c>
      <c r="F7" s="104">
        <f>SUM('Monthly P&amp;L'!J7:L7)</f>
        <v>14115</v>
      </c>
      <c r="G7" s="104">
        <f>SUM('Monthly P&amp;L'!M7:O7)</f>
        <v>37272.5</v>
      </c>
      <c r="H7" s="127">
        <f>SUM(D7:G7)</f>
        <v>83387.5</v>
      </c>
      <c r="J7" s="104">
        <f>SUM('Monthly P&amp;L'!P7:R7)</f>
        <v>44009.5</v>
      </c>
      <c r="K7" s="104">
        <f>SUM('Monthly P&amp;L'!S7:U7)</f>
        <v>50610.924999999996</v>
      </c>
      <c r="L7" s="104">
        <f>SUM('Monthly P&amp;L'!V7:X7)</f>
        <v>58202.563749999987</v>
      </c>
      <c r="M7" s="104">
        <f>SUM('Monthly P&amp;L'!Y7:AA7)</f>
        <v>66932.948312499982</v>
      </c>
      <c r="N7" s="127">
        <f>SUM(J7:M7)</f>
        <v>219755.93706249993</v>
      </c>
    </row>
    <row r="8" spans="1:14" x14ac:dyDescent="0.25">
      <c r="A8" s="72"/>
      <c r="B8" s="72"/>
      <c r="C8" s="76" t="s">
        <v>199</v>
      </c>
      <c r="D8" s="100">
        <f>SUM(D6:D7)</f>
        <v>99000</v>
      </c>
      <c r="E8" s="100">
        <f>SUM('Monthly P&amp;L'!G8:I8)</f>
        <v>161325</v>
      </c>
      <c r="F8" s="100">
        <f>SUM(F6:F7)</f>
        <v>155265</v>
      </c>
      <c r="G8" s="100">
        <f>SUM('Monthly P&amp;L'!M8:O8)</f>
        <v>409997.5</v>
      </c>
      <c r="H8" s="128">
        <f t="shared" ref="H8:H27" si="0">SUM(D8:G8)</f>
        <v>825587.5</v>
      </c>
      <c r="J8" s="100">
        <f>SUM(J6:J7)</f>
        <v>484104.5</v>
      </c>
      <c r="K8" s="100">
        <f>SUM('Monthly P&amp;L'!S8:U8)</f>
        <v>556720.17499999993</v>
      </c>
      <c r="L8" s="100">
        <f>SUM('Monthly P&amp;L'!V8:X8)</f>
        <v>640228.20124999981</v>
      </c>
      <c r="M8" s="100">
        <f>SUM('Monthly P&amp;L'!Y8:AA8)</f>
        <v>736262.43143749982</v>
      </c>
      <c r="N8" s="128">
        <f t="shared" ref="N8:N26" si="1">SUM(J8:M8)</f>
        <v>2417315.3076874996</v>
      </c>
    </row>
    <row r="9" spans="1:14" x14ac:dyDescent="0.25">
      <c r="A9" s="72"/>
      <c r="B9" s="72"/>
      <c r="C9" s="72"/>
      <c r="H9" s="125"/>
      <c r="N9" s="125"/>
    </row>
    <row r="10" spans="1:14" x14ac:dyDescent="0.25">
      <c r="A10" s="63" t="s">
        <v>242</v>
      </c>
      <c r="B10" s="79"/>
      <c r="C10" s="79"/>
      <c r="H10" s="125"/>
      <c r="N10" s="125"/>
    </row>
    <row r="11" spans="1:14" x14ac:dyDescent="0.25">
      <c r="A11" s="63"/>
      <c r="B11" s="79" t="s">
        <v>256</v>
      </c>
      <c r="C11" s="79"/>
      <c r="D11" s="100">
        <f>SUM('Monthly P&amp;L'!D11:F11)</f>
        <v>870</v>
      </c>
      <c r="E11" s="100">
        <f>SUM('Monthly P&amp;L'!G11:I11)</f>
        <v>1413.25</v>
      </c>
      <c r="F11" s="100">
        <f>SUM('Monthly P&amp;L'!J11:L11)</f>
        <v>1411.5</v>
      </c>
      <c r="G11" s="100">
        <f>SUM('Monthly P&amp;L'!M11:O11)</f>
        <v>3727.25</v>
      </c>
      <c r="H11" s="128">
        <f t="shared" si="0"/>
        <v>7422</v>
      </c>
      <c r="J11" s="100">
        <f>SUM('Monthly P&amp;L'!P11:R11)</f>
        <v>4400.9500000000007</v>
      </c>
      <c r="K11" s="100">
        <f>SUM('Monthly P&amp;L'!S11:U11)</f>
        <v>5061.0924999999988</v>
      </c>
      <c r="L11" s="100">
        <f>SUM('Monthly P&amp;L'!V11:X11)</f>
        <v>5820.256374999999</v>
      </c>
      <c r="M11" s="100">
        <f>SUM('Monthly P&amp;L'!Y11:AA11)</f>
        <v>6693.2948312499975</v>
      </c>
      <c r="N11" s="128">
        <f t="shared" si="1"/>
        <v>21975.593706249994</v>
      </c>
    </row>
    <row r="12" spans="1:14" x14ac:dyDescent="0.25">
      <c r="A12" s="63"/>
      <c r="B12" s="79" t="s">
        <v>257</v>
      </c>
      <c r="C12" s="79"/>
      <c r="D12" s="104">
        <f>SUM('Monthly P&amp;L'!D12:F12)</f>
        <v>64155</v>
      </c>
      <c r="E12" s="104">
        <f>SUM('Monthly P&amp;L'!G12:I12)</f>
        <v>64155</v>
      </c>
      <c r="F12" s="104">
        <f>SUM('Monthly P&amp;L'!J12:L12)</f>
        <v>64155</v>
      </c>
      <c r="G12" s="104">
        <f>SUM('Monthly P&amp;L'!M12:O12)</f>
        <v>64155</v>
      </c>
      <c r="H12" s="127">
        <f t="shared" si="0"/>
        <v>256620</v>
      </c>
      <c r="J12" s="104">
        <f>SUM('Monthly P&amp;L'!P12:R12)</f>
        <v>64155</v>
      </c>
      <c r="K12" s="104">
        <f>SUM('Monthly P&amp;L'!S12:U12)</f>
        <v>101205</v>
      </c>
      <c r="L12" s="104">
        <f>SUM('Monthly P&amp;L'!V12:X12)</f>
        <v>101205</v>
      </c>
      <c r="M12" s="104">
        <f>SUM('Monthly P&amp;L'!Y12:AA12)</f>
        <v>101205</v>
      </c>
      <c r="N12" s="127">
        <f t="shared" si="1"/>
        <v>367770</v>
      </c>
    </row>
    <row r="13" spans="1:14" x14ac:dyDescent="0.25">
      <c r="A13" s="63"/>
      <c r="B13" s="79"/>
      <c r="C13" s="76" t="s">
        <v>243</v>
      </c>
      <c r="D13" s="104">
        <f>SUM(D11:D12)</f>
        <v>65025</v>
      </c>
      <c r="E13" s="104">
        <f>SUM(E11:E12)</f>
        <v>65568.25</v>
      </c>
      <c r="F13" s="104">
        <f>SUM('Monthly P&amp;L'!J13:L13)</f>
        <v>65566.5</v>
      </c>
      <c r="G13" s="104">
        <f>SUM('Monthly P&amp;L'!M13:O13)</f>
        <v>67882.25</v>
      </c>
      <c r="H13" s="127">
        <f t="shared" si="0"/>
        <v>264042</v>
      </c>
      <c r="J13" s="104">
        <f>SUM('Monthly P&amp;L'!P13:R13)</f>
        <v>68555.95</v>
      </c>
      <c r="K13" s="104">
        <f>SUM('Monthly P&amp;L'!S13:U13)</f>
        <v>106266.0925</v>
      </c>
      <c r="L13" s="104">
        <f>SUM('Monthly P&amp;L'!V13:X13)</f>
        <v>107025.256375</v>
      </c>
      <c r="M13" s="104">
        <f>SUM('Monthly P&amp;L'!Y13:AA13)</f>
        <v>107898.29483124998</v>
      </c>
      <c r="N13" s="127">
        <f t="shared" si="1"/>
        <v>389745.59370624996</v>
      </c>
    </row>
    <row r="14" spans="1:14" x14ac:dyDescent="0.25">
      <c r="A14" s="63"/>
      <c r="B14" s="79"/>
      <c r="C14" s="76"/>
      <c r="H14" s="125"/>
      <c r="N14" s="125"/>
    </row>
    <row r="15" spans="1:14" ht="13.8" thickBot="1" x14ac:dyDescent="0.3">
      <c r="A15" s="63" t="s">
        <v>244</v>
      </c>
      <c r="B15" s="72"/>
      <c r="C15" s="76"/>
      <c r="D15" s="105">
        <f>D8-D13</f>
        <v>33975</v>
      </c>
      <c r="E15" s="105">
        <f>SUM('Monthly P&amp;L'!G15:I15)</f>
        <v>95756.75</v>
      </c>
      <c r="F15" s="105">
        <f>SUM('Monthly P&amp;L'!J15:L15)</f>
        <v>89698.5</v>
      </c>
      <c r="G15" s="105">
        <f>SUM('Monthly P&amp;L'!M15:O15)</f>
        <v>342115.25</v>
      </c>
      <c r="H15" s="129">
        <f t="shared" si="0"/>
        <v>561545.5</v>
      </c>
      <c r="J15" s="105">
        <f>SUM('Monthly P&amp;L'!P15:R15)</f>
        <v>415548.55</v>
      </c>
      <c r="K15" s="105">
        <f>SUM('Monthly P&amp;L'!S15:U15)</f>
        <v>450454.0824999999</v>
      </c>
      <c r="L15" s="105">
        <f>SUM('Monthly P&amp;L'!V15:X15)</f>
        <v>533202.94487499981</v>
      </c>
      <c r="M15" s="105">
        <f>SUM('Monthly P&amp;L'!Y15:AA15)</f>
        <v>628364.13660624973</v>
      </c>
      <c r="N15" s="129">
        <f t="shared" si="1"/>
        <v>2027569.7139812494</v>
      </c>
    </row>
    <row r="16" spans="1:14" ht="13.8" thickTop="1" x14ac:dyDescent="0.25">
      <c r="A16" s="72"/>
      <c r="B16" s="72"/>
      <c r="C16" s="72"/>
      <c r="H16" s="125"/>
      <c r="N16" s="125"/>
    </row>
    <row r="17" spans="1:14" x14ac:dyDescent="0.25">
      <c r="A17" s="63" t="s">
        <v>245</v>
      </c>
      <c r="B17" s="79"/>
      <c r="C17" s="79"/>
      <c r="H17" s="125"/>
      <c r="N17" s="125"/>
    </row>
    <row r="18" spans="1:14" x14ac:dyDescent="0.25">
      <c r="A18" s="63"/>
      <c r="B18" s="79" t="s">
        <v>246</v>
      </c>
      <c r="C18" s="79"/>
      <c r="D18" s="100">
        <f>SUM('Monthly P&amp;L'!D18:F18)</f>
        <v>208506.5895817643</v>
      </c>
      <c r="E18" s="100">
        <f>SUM('Monthly P&amp;L'!G18:I18)</f>
        <v>281587.28610901907</v>
      </c>
      <c r="F18" s="100">
        <f>SUM('Monthly P&amp;L'!J18:L18)</f>
        <v>278353.28610901907</v>
      </c>
      <c r="G18" s="100">
        <f>SUM('Monthly P&amp;L'!M18:O18)</f>
        <v>285096.78610901907</v>
      </c>
      <c r="H18" s="128">
        <f t="shared" si="0"/>
        <v>1053543.9479088215</v>
      </c>
      <c r="J18" s="100">
        <f>SUM('Monthly P&amp;L'!P18:R18)</f>
        <v>296947.03610901907</v>
      </c>
      <c r="K18" s="100">
        <f>SUM('Monthly P&amp;L'!S18:U18)</f>
        <v>425362.98270290578</v>
      </c>
      <c r="L18" s="100">
        <f>SUM('Monthly P&amp;L'!V18:X18)</f>
        <v>491716.41912484908</v>
      </c>
      <c r="M18" s="100">
        <f>SUM('Monthly P&amp;L'!Y18:AA18)</f>
        <v>496081.61140609911</v>
      </c>
      <c r="N18" s="128">
        <f t="shared" si="1"/>
        <v>1710108.049342873</v>
      </c>
    </row>
    <row r="19" spans="1:14" x14ac:dyDescent="0.25">
      <c r="A19" s="63"/>
      <c r="B19" s="79" t="s">
        <v>17</v>
      </c>
      <c r="C19" s="79"/>
      <c r="D19" s="100">
        <f>SUM('Monthly P&amp;L'!D19:F19)</f>
        <v>247611.85832705721</v>
      </c>
      <c r="E19" s="100">
        <f>SUM('Monthly P&amp;L'!G19:I19)</f>
        <v>330149.14443607628</v>
      </c>
      <c r="F19" s="100">
        <f>SUM('Monthly P&amp;L'!J19:L19)</f>
        <v>330149.14443607628</v>
      </c>
      <c r="G19" s="100">
        <f>SUM('Monthly P&amp;L'!M19:O19)</f>
        <v>330149.14443607628</v>
      </c>
      <c r="H19" s="128">
        <f t="shared" si="0"/>
        <v>1238059.2916352861</v>
      </c>
      <c r="J19" s="100">
        <f>SUM('Monthly P&amp;L'!P19:R19)</f>
        <v>330149.14443607628</v>
      </c>
      <c r="K19" s="100">
        <f>SUM('Monthly P&amp;L'!S19:U19)</f>
        <v>399363.65814468777</v>
      </c>
      <c r="L19" s="100">
        <f>SUM('Monthly P&amp;L'!V19:X19)</f>
        <v>433970.91499899351</v>
      </c>
      <c r="M19" s="100">
        <f>SUM('Monthly P&amp;L'!Y19:AA19)</f>
        <v>433970.91499899351</v>
      </c>
      <c r="N19" s="128">
        <f t="shared" si="1"/>
        <v>1597454.6325787511</v>
      </c>
    </row>
    <row r="20" spans="1:14" x14ac:dyDescent="0.25">
      <c r="A20" s="63"/>
      <c r="B20" s="79" t="s">
        <v>1</v>
      </c>
      <c r="C20" s="79"/>
      <c r="D20" s="100">
        <f>SUM('Monthly P&amp;L'!D20:F20)</f>
        <v>142381.60763627384</v>
      </c>
      <c r="E20" s="100">
        <f>SUM('Monthly P&amp;L'!G20:I20)</f>
        <v>189842.14351503178</v>
      </c>
      <c r="F20" s="100">
        <f>SUM('Monthly P&amp;L'!J20:L20)</f>
        <v>189842.14351503178</v>
      </c>
      <c r="G20" s="100">
        <f>SUM('Monthly P&amp;L'!M20:O20)</f>
        <v>189842.14351503178</v>
      </c>
      <c r="H20" s="128">
        <f t="shared" si="0"/>
        <v>711908.03818136919</v>
      </c>
      <c r="J20" s="100">
        <f>SUM('Monthly P&amp;L'!P20:R20)</f>
        <v>189842.14351503178</v>
      </c>
      <c r="K20" s="100">
        <f>SUM('Monthly P&amp;L'!S20:U20)</f>
        <v>216214.20033817616</v>
      </c>
      <c r="L20" s="100">
        <f>SUM('Monthly P&amp;L'!V20:X20)</f>
        <v>229400.22874974838</v>
      </c>
      <c r="M20" s="100">
        <f>SUM('Monthly P&amp;L'!Y20:AA20)</f>
        <v>229400.22874974838</v>
      </c>
      <c r="N20" s="128">
        <f t="shared" si="1"/>
        <v>864856.80135270464</v>
      </c>
    </row>
    <row r="21" spans="1:14" x14ac:dyDescent="0.25">
      <c r="A21" s="63"/>
      <c r="B21" s="79" t="s">
        <v>239</v>
      </c>
      <c r="C21" s="79"/>
      <c r="D21" s="104">
        <f>SUM('Monthly P&amp;L'!D21:F21)</f>
        <v>14583.333333333334</v>
      </c>
      <c r="E21" s="104">
        <f>SUM('Monthly P&amp;L'!G21:I21)</f>
        <v>14583.333333333334</v>
      </c>
      <c r="F21" s="104">
        <f>SUM('Monthly P&amp;L'!J21:L21)</f>
        <v>14583.333333333334</v>
      </c>
      <c r="G21" s="104">
        <f>SUM('Monthly P&amp;L'!M21:O21)</f>
        <v>14583.333333333334</v>
      </c>
      <c r="H21" s="127">
        <f t="shared" si="0"/>
        <v>58333.333333333336</v>
      </c>
      <c r="J21" s="104">
        <f>SUM('Monthly P&amp;L'!P21:R21)</f>
        <v>18750</v>
      </c>
      <c r="K21" s="104">
        <f>SUM('Monthly P&amp;L'!S21:U21)</f>
        <v>18750</v>
      </c>
      <c r="L21" s="104">
        <f>SUM('Monthly P&amp;L'!V21:X21)</f>
        <v>18750</v>
      </c>
      <c r="M21" s="104">
        <f>SUM('Monthly P&amp;L'!Y21:AA21)</f>
        <v>18750</v>
      </c>
      <c r="N21" s="127">
        <f t="shared" si="1"/>
        <v>75000</v>
      </c>
    </row>
    <row r="22" spans="1:14" ht="15.75" customHeight="1" x14ac:dyDescent="0.25">
      <c r="A22" s="63"/>
      <c r="B22" s="79"/>
      <c r="C22" s="76" t="s">
        <v>431</v>
      </c>
      <c r="D22" s="104">
        <f>SUM('Monthly P&amp;L'!D22:F22)</f>
        <v>613083.38887842873</v>
      </c>
      <c r="E22" s="104">
        <f>SUM('Monthly P&amp;L'!G22:I22)</f>
        <v>816161.90739346039</v>
      </c>
      <c r="F22" s="104">
        <f>SUM('Monthly P&amp;L'!J22:L22)</f>
        <v>812927.90739346039</v>
      </c>
      <c r="G22" s="104">
        <f>SUM('Monthly P&amp;L'!M22:O22)</f>
        <v>819671.40739346039</v>
      </c>
      <c r="H22" s="127">
        <f t="shared" si="0"/>
        <v>3061844.6110588098</v>
      </c>
      <c r="J22" s="104">
        <f>SUM('Monthly P&amp;L'!P22:R22)</f>
        <v>835688.32406012714</v>
      </c>
      <c r="K22" s="104">
        <f>SUM('Monthly P&amp;L'!S22:U22)</f>
        <v>1059690.8411857698</v>
      </c>
      <c r="L22" s="104">
        <f>SUM('Monthly P&amp;L'!V22:X22)</f>
        <v>1173837.562873591</v>
      </c>
      <c r="M22" s="104">
        <f>SUM('Monthly P&amp;L'!Y22:AA22)</f>
        <v>1178202.7551548411</v>
      </c>
      <c r="N22" s="127">
        <f t="shared" si="1"/>
        <v>4247419.4832743295</v>
      </c>
    </row>
    <row r="23" spans="1:14" ht="18.75" customHeight="1" thickBot="1" x14ac:dyDescent="0.3">
      <c r="A23" s="63" t="s">
        <v>250</v>
      </c>
      <c r="B23" s="63"/>
      <c r="C23" s="63"/>
      <c r="D23" s="110">
        <f>SUM('Monthly P&amp;L'!D23:F23)</f>
        <v>-579108.38887842873</v>
      </c>
      <c r="E23" s="110">
        <f>SUM('Monthly P&amp;L'!G23:I23)</f>
        <v>-720405.15739346039</v>
      </c>
      <c r="F23" s="110">
        <f>SUM('Monthly P&amp;L'!J23:L23)</f>
        <v>-723229.40739346039</v>
      </c>
      <c r="G23" s="110">
        <f>SUM('Monthly P&amp;L'!M23:O23)</f>
        <v>-477556.15739346039</v>
      </c>
      <c r="H23" s="130">
        <f t="shared" si="0"/>
        <v>-2500299.1110588098</v>
      </c>
      <c r="J23" s="110">
        <f>SUM('Monthly P&amp;L'!P23:R23)</f>
        <v>-420139.77406012709</v>
      </c>
      <c r="K23" s="110">
        <f>SUM('Monthly P&amp;L'!S23:U23)</f>
        <v>-609236.75868576975</v>
      </c>
      <c r="L23" s="110">
        <f>SUM('Monthly P&amp;L'!V23:X23)</f>
        <v>-640634.61799859116</v>
      </c>
      <c r="M23" s="110">
        <f>SUM('Monthly P&amp;L'!Y23:AA23)</f>
        <v>-549838.61854859116</v>
      </c>
      <c r="N23" s="130">
        <f t="shared" si="1"/>
        <v>-2219849.7692930792</v>
      </c>
    </row>
    <row r="24" spans="1:14" ht="18" customHeight="1" thickTop="1" x14ac:dyDescent="0.25">
      <c r="A24" s="79"/>
      <c r="B24" s="79" t="s">
        <v>251</v>
      </c>
      <c r="C24" s="79"/>
      <c r="D24" s="104">
        <f>SUM('Monthly P&amp;L'!D24:F24)</f>
        <v>16403.817696576971</v>
      </c>
      <c r="E24" s="104">
        <f>SUM('Monthly P&amp;L'!G24:I24)</f>
        <v>11913.106649917456</v>
      </c>
      <c r="F24" s="104">
        <f>SUM('Monthly P&amp;L'!J24:L24)</f>
        <v>6980.4263883021276</v>
      </c>
      <c r="G24" s="104">
        <f>SUM('Monthly P&amp;L'!M24:O24)</f>
        <v>2419.8584503421516</v>
      </c>
      <c r="H24" s="127">
        <f t="shared" si="0"/>
        <v>37717.209185138709</v>
      </c>
      <c r="J24" s="104">
        <f>SUM('Monthly P&amp;L'!P24:R24)</f>
        <v>-914.01819463268305</v>
      </c>
      <c r="K24" s="104">
        <f>SUM('Monthly P&amp;L'!S24:U24)</f>
        <v>20707.410897967355</v>
      </c>
      <c r="L24" s="104">
        <f>SUM('Monthly P&amp;L'!V24:X24)</f>
        <v>28430.833641695921</v>
      </c>
      <c r="M24" s="104">
        <f>SUM('Monthly P&amp;L'!Y24:AA24)</f>
        <v>23982.003602596837</v>
      </c>
      <c r="N24" s="127">
        <f t="shared" si="1"/>
        <v>72206.229947627435</v>
      </c>
    </row>
    <row r="25" spans="1:14" x14ac:dyDescent="0.25">
      <c r="A25" s="63" t="s">
        <v>252</v>
      </c>
      <c r="B25" s="79"/>
      <c r="C25" s="79"/>
      <c r="D25" s="100">
        <f>SUM('Monthly P&amp;L'!D25:F25)</f>
        <v>-562704.57118185167</v>
      </c>
      <c r="E25" s="100">
        <f>SUM('Monthly P&amp;L'!G25:I25)</f>
        <v>-708492.05074354308</v>
      </c>
      <c r="F25" s="100">
        <f>SUM('Monthly P&amp;L'!J25:L25)</f>
        <v>-716248.98100515839</v>
      </c>
      <c r="G25" s="100">
        <f>SUM('Monthly P&amp;L'!M25:O25)</f>
        <v>-475136.29894311825</v>
      </c>
      <c r="H25" s="128">
        <f t="shared" si="0"/>
        <v>-2462581.9018736714</v>
      </c>
      <c r="J25" s="100">
        <f>SUM('Monthly P&amp;L'!P25:R25)</f>
        <v>-421053.79225475976</v>
      </c>
      <c r="K25" s="100">
        <f>SUM('Monthly P&amp;L'!S25:U25)</f>
        <v>-588529.34778780246</v>
      </c>
      <c r="L25" s="100">
        <f>SUM('Monthly P&amp;L'!V25:X25)</f>
        <v>-612203.78435689525</v>
      </c>
      <c r="M25" s="100">
        <f>SUM('Monthly P&amp;L'!Y25:AA25)</f>
        <v>-525856.61494599434</v>
      </c>
      <c r="N25" s="128">
        <f t="shared" si="1"/>
        <v>-2147643.5393454516</v>
      </c>
    </row>
    <row r="26" spans="1:14" x14ac:dyDescent="0.25">
      <c r="A26" s="63"/>
      <c r="B26" s="79" t="s">
        <v>253</v>
      </c>
      <c r="C26" s="79"/>
      <c r="D26" s="100">
        <f>SUM('Monthly P&amp;L'!D26:F26)</f>
        <v>0</v>
      </c>
      <c r="E26" s="100">
        <f>SUM('Monthly P&amp;L'!G26:I26)</f>
        <v>0</v>
      </c>
      <c r="F26" s="100">
        <f>SUM('Monthly P&amp;L'!J26:L26)</f>
        <v>0</v>
      </c>
      <c r="G26" s="100">
        <f>SUM('Monthly P&amp;L'!M26:O26)</f>
        <v>0</v>
      </c>
      <c r="H26" s="128">
        <f t="shared" si="0"/>
        <v>0</v>
      </c>
      <c r="J26" s="100">
        <f>SUM('Monthly P&amp;L'!P26:R26)</f>
        <v>0</v>
      </c>
      <c r="K26" s="100">
        <v>0</v>
      </c>
      <c r="L26" s="100">
        <f>SUM('Monthly P&amp;L'!V26:X26)</f>
        <v>0</v>
      </c>
      <c r="M26" s="100">
        <f>SUM('Monthly P&amp;L'!Y26:AA26)</f>
        <v>0</v>
      </c>
      <c r="N26" s="128">
        <f t="shared" si="1"/>
        <v>0</v>
      </c>
    </row>
    <row r="27" spans="1:14" ht="16.5" customHeight="1" thickBot="1" x14ac:dyDescent="0.3">
      <c r="A27" s="63" t="s">
        <v>254</v>
      </c>
      <c r="B27" s="63"/>
      <c r="C27" s="63"/>
      <c r="D27" s="112">
        <f>SUM('Monthly P&amp;L'!D27:F27)</f>
        <v>-562704.57118185167</v>
      </c>
      <c r="E27" s="112">
        <f>SUM('Monthly P&amp;L'!G27:I27)</f>
        <v>-708492.05074354308</v>
      </c>
      <c r="F27" s="112">
        <f>SUM('Monthly P&amp;L'!J27:L27)</f>
        <v>-716248.98100515839</v>
      </c>
      <c r="G27" s="112">
        <f>SUM('Monthly P&amp;L'!M27:O27)</f>
        <v>-475136.29894311825</v>
      </c>
      <c r="H27" s="150">
        <f t="shared" si="0"/>
        <v>-2462581.9018736714</v>
      </c>
      <c r="I27" s="1"/>
      <c r="J27" s="112">
        <f>SUM('Monthly P&amp;L'!P27:R27)</f>
        <v>-421053.79225475976</v>
      </c>
      <c r="K27" s="112">
        <f>SUM('Monthly P&amp;L'!S27:U27)</f>
        <v>-588529.34778780246</v>
      </c>
      <c r="L27" s="112">
        <f>SUM('Monthly P&amp;L'!V27:X27)</f>
        <v>-612203.78435689525</v>
      </c>
      <c r="M27" s="112">
        <f>SUM('Monthly P&amp;L'!Y27:AA27)</f>
        <v>-525856.61494599434</v>
      </c>
      <c r="N27" s="150">
        <f>SUM(J27:M27)</f>
        <v>-2147643.5393454516</v>
      </c>
    </row>
    <row r="28" spans="1:14" ht="13.8" thickTop="1" x14ac:dyDescent="0.25"/>
  </sheetData>
  <dataConsolidate/>
  <phoneticPr fontId="0" type="noConversion"/>
  <pageMargins left="0.75" right="0.75" top="1" bottom="1" header="0.5" footer="0.5"/>
  <pageSetup scale="75" orientation="landscape" r:id="rId1"/>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28"/>
  <sheetViews>
    <sheetView showGridLines="0" zoomScale="90" workbookViewId="0">
      <selection activeCell="N24" sqref="N24"/>
    </sheetView>
  </sheetViews>
  <sheetFormatPr defaultRowHeight="13.2" x14ac:dyDescent="0.25"/>
  <cols>
    <col min="1" max="2" width="1.6640625" customWidth="1"/>
    <col min="3" max="3" width="24.5546875" customWidth="1"/>
    <col min="4" max="4" width="13.109375" customWidth="1"/>
    <col min="5" max="5" width="1.33203125" customWidth="1"/>
    <col min="6" max="6" width="13.109375" customWidth="1"/>
    <col min="7" max="7" width="1.33203125" customWidth="1"/>
    <col min="8" max="8" width="13.109375" customWidth="1"/>
    <col min="9" max="9" width="1.33203125" customWidth="1"/>
    <col min="10" max="10" width="13.109375" customWidth="1"/>
    <col min="11" max="11" width="1.33203125" customWidth="1"/>
    <col min="12" max="12" width="13.109375" customWidth="1"/>
    <col min="13" max="13" width="3" customWidth="1"/>
    <col min="14" max="14" width="22.44140625" customWidth="1"/>
    <col min="15" max="15" width="12.44140625" customWidth="1"/>
    <col min="16" max="16" width="3" customWidth="1"/>
    <col min="17" max="17" width="10.109375" customWidth="1"/>
  </cols>
  <sheetData>
    <row r="1" spans="1:17" x14ac:dyDescent="0.25">
      <c r="A1" s="63" t="s">
        <v>443</v>
      </c>
      <c r="C1" s="63"/>
    </row>
    <row r="3" spans="1:17" x14ac:dyDescent="0.25">
      <c r="D3" s="123" t="str">
        <f>'Quarterly P&amp;L'!H3</f>
        <v>Actual</v>
      </c>
      <c r="E3" s="123"/>
      <c r="F3" s="123" t="str">
        <f>'Quarterly P&amp;L'!N3:N27</f>
        <v>Estimate</v>
      </c>
      <c r="G3" s="123"/>
      <c r="H3" s="123" t="s">
        <v>310</v>
      </c>
      <c r="I3" s="123"/>
      <c r="J3" s="123" t="s">
        <v>310</v>
      </c>
      <c r="K3" s="123"/>
      <c r="L3" s="123" t="s">
        <v>310</v>
      </c>
    </row>
    <row r="4" spans="1:17" x14ac:dyDescent="0.25">
      <c r="D4" s="124" t="str">
        <f>'Quarterly P&amp;L'!H4</f>
        <v>FY 2002</v>
      </c>
      <c r="E4" s="123"/>
      <c r="F4" s="124" t="str">
        <f>'Quarterly P&amp;L'!N4</f>
        <v>FY 2003</v>
      </c>
      <c r="G4" s="123"/>
      <c r="H4" s="124" t="s">
        <v>394</v>
      </c>
      <c r="I4" s="123"/>
      <c r="J4" s="124" t="s">
        <v>395</v>
      </c>
      <c r="K4" s="123"/>
      <c r="L4" s="124" t="s">
        <v>438</v>
      </c>
      <c r="N4" s="63" t="s">
        <v>211</v>
      </c>
      <c r="O4" s="43">
        <v>2004</v>
      </c>
      <c r="P4" s="43"/>
      <c r="Q4" s="43" t="s">
        <v>439</v>
      </c>
    </row>
    <row r="5" spans="1:17" x14ac:dyDescent="0.25">
      <c r="A5" s="121" t="s">
        <v>198</v>
      </c>
      <c r="B5" s="72"/>
      <c r="C5" s="72"/>
      <c r="D5" s="125"/>
      <c r="F5" s="125"/>
      <c r="H5" s="125"/>
      <c r="J5" s="125"/>
      <c r="L5" s="125"/>
      <c r="N5" t="s">
        <v>385</v>
      </c>
      <c r="O5" s="153">
        <v>0.85</v>
      </c>
      <c r="Q5" s="153">
        <v>0.5</v>
      </c>
    </row>
    <row r="6" spans="1:17" x14ac:dyDescent="0.25">
      <c r="A6" s="72"/>
      <c r="B6" s="72" t="s">
        <v>255</v>
      </c>
      <c r="C6" s="72"/>
      <c r="D6" s="126">
        <f>'Quarterly P&amp;L'!H6</f>
        <v>742200</v>
      </c>
      <c r="F6" s="126">
        <f>'Quarterly P&amp;L'!N6</f>
        <v>2197559.3706249995</v>
      </c>
      <c r="H6" s="126">
        <f>F6*(1+$O$5)</f>
        <v>4065484.8356562494</v>
      </c>
      <c r="J6" s="126">
        <f>H6*(1+$Q$5)</f>
        <v>6098227.2534843739</v>
      </c>
      <c r="L6" s="126">
        <f>J6*(1+$Q$5)</f>
        <v>9147340.8802265599</v>
      </c>
      <c r="N6" t="s">
        <v>386</v>
      </c>
      <c r="O6" s="153">
        <v>0.25</v>
      </c>
      <c r="Q6" s="153">
        <v>0.15</v>
      </c>
    </row>
    <row r="7" spans="1:17" x14ac:dyDescent="0.25">
      <c r="A7" s="72"/>
      <c r="B7" s="72" t="s">
        <v>25</v>
      </c>
      <c r="C7" s="72"/>
      <c r="D7" s="127">
        <f>'Quarterly P&amp;L'!H7</f>
        <v>83387.5</v>
      </c>
      <c r="F7" s="127">
        <f>'Quarterly P&amp;L'!N7</f>
        <v>219755.93706249993</v>
      </c>
      <c r="H7" s="127">
        <f>F7*(1+$O$6)</f>
        <v>274694.92132812494</v>
      </c>
      <c r="J7" s="127">
        <f>H7*(1+$Q$6)</f>
        <v>315899.15952734364</v>
      </c>
      <c r="L7" s="127">
        <f>J7*(1+$Q$6)</f>
        <v>363284.03345644515</v>
      </c>
      <c r="O7" s="153"/>
      <c r="Q7" s="153"/>
    </row>
    <row r="8" spans="1:17" x14ac:dyDescent="0.25">
      <c r="A8" s="72"/>
      <c r="B8" s="72"/>
      <c r="C8" s="76" t="s">
        <v>199</v>
      </c>
      <c r="D8" s="128">
        <f>'Quarterly P&amp;L'!H8</f>
        <v>825587.5</v>
      </c>
      <c r="F8" s="128">
        <f>'Quarterly P&amp;L'!N8</f>
        <v>2417315.3076874996</v>
      </c>
      <c r="H8" s="128">
        <f>SUM(H6:H7)</f>
        <v>4340179.7569843745</v>
      </c>
      <c r="J8" s="128">
        <f>SUM(J6:J7)</f>
        <v>6414126.4130117176</v>
      </c>
      <c r="L8" s="128">
        <f>SUM(L6:L7)</f>
        <v>9510624.9136830047</v>
      </c>
      <c r="N8" t="s">
        <v>387</v>
      </c>
      <c r="O8" s="153"/>
      <c r="Q8" s="153"/>
    </row>
    <row r="9" spans="1:17" x14ac:dyDescent="0.25">
      <c r="A9" s="72"/>
      <c r="B9" s="72"/>
      <c r="C9" s="72"/>
      <c r="D9" s="125"/>
      <c r="F9" s="125"/>
      <c r="H9" s="125"/>
      <c r="J9" s="125"/>
      <c r="L9" s="125"/>
      <c r="N9" t="s">
        <v>388</v>
      </c>
      <c r="O9" s="153">
        <v>0.01</v>
      </c>
      <c r="Q9" s="153">
        <v>0.02</v>
      </c>
    </row>
    <row r="10" spans="1:17" x14ac:dyDescent="0.25">
      <c r="A10" s="63" t="s">
        <v>242</v>
      </c>
      <c r="B10" s="79"/>
      <c r="C10" s="79"/>
      <c r="D10" s="125"/>
      <c r="F10" s="125"/>
      <c r="H10" s="125"/>
      <c r="J10" s="125"/>
      <c r="L10" s="125"/>
      <c r="N10" t="s">
        <v>389</v>
      </c>
      <c r="O10" s="153">
        <v>0.06</v>
      </c>
      <c r="Q10" s="153">
        <v>0.05</v>
      </c>
    </row>
    <row r="11" spans="1:17" x14ac:dyDescent="0.25">
      <c r="A11" s="63"/>
      <c r="B11" s="79" t="s">
        <v>256</v>
      </c>
      <c r="C11" s="79"/>
      <c r="D11" s="128">
        <f>'Quarterly P&amp;L'!H11</f>
        <v>7422</v>
      </c>
      <c r="F11" s="128">
        <f>'Quarterly P&amp;L'!N11</f>
        <v>21975.593706249994</v>
      </c>
      <c r="H11" s="128">
        <f>H8*$O$9</f>
        <v>43401.797569843744</v>
      </c>
      <c r="J11" s="128">
        <f>J8*$Q$9</f>
        <v>128282.52826023435</v>
      </c>
      <c r="L11" s="128">
        <f>L8*$Q$9</f>
        <v>190212.49827366011</v>
      </c>
      <c r="N11" t="s">
        <v>246</v>
      </c>
      <c r="O11" s="153">
        <v>0.45</v>
      </c>
      <c r="Q11" s="153">
        <v>0.35</v>
      </c>
    </row>
    <row r="12" spans="1:17" x14ac:dyDescent="0.25">
      <c r="A12" s="63"/>
      <c r="B12" s="79" t="s">
        <v>257</v>
      </c>
      <c r="C12" s="79"/>
      <c r="D12" s="127">
        <f>'Quarterly P&amp;L'!H12</f>
        <v>256620</v>
      </c>
      <c r="F12" s="127">
        <f>'Quarterly P&amp;L'!N12</f>
        <v>367770</v>
      </c>
      <c r="H12" s="127">
        <f>H8*$O$10</f>
        <v>260410.78541906245</v>
      </c>
      <c r="J12" s="127">
        <f>J8*$Q$10</f>
        <v>320706.32065058593</v>
      </c>
      <c r="L12" s="127">
        <f>L8*$Q$10</f>
        <v>475531.24568415026</v>
      </c>
      <c r="N12" t="s">
        <v>390</v>
      </c>
      <c r="O12" s="153">
        <v>0.35</v>
      </c>
      <c r="Q12" s="153">
        <v>0.26</v>
      </c>
    </row>
    <row r="13" spans="1:17" x14ac:dyDescent="0.25">
      <c r="A13" s="63"/>
      <c r="B13" s="79"/>
      <c r="C13" s="76" t="s">
        <v>243</v>
      </c>
      <c r="D13" s="127">
        <f>'Quarterly P&amp;L'!H13</f>
        <v>264042</v>
      </c>
      <c r="F13" s="127">
        <f>'Quarterly P&amp;L'!N13</f>
        <v>389745.59370624996</v>
      </c>
      <c r="H13" s="127">
        <f>SUM(H11:H12)</f>
        <v>303812.58298890619</v>
      </c>
      <c r="J13" s="127">
        <f>SUM(J11:J12)</f>
        <v>448988.84891082026</v>
      </c>
      <c r="L13" s="127">
        <f>SUM(L11:L12)</f>
        <v>665743.74395781034</v>
      </c>
      <c r="N13" t="s">
        <v>391</v>
      </c>
      <c r="O13" s="153">
        <v>0.18</v>
      </c>
      <c r="Q13" s="153">
        <v>0.15</v>
      </c>
    </row>
    <row r="14" spans="1:17" x14ac:dyDescent="0.25">
      <c r="A14" s="63"/>
      <c r="B14" s="79"/>
      <c r="C14" s="76"/>
      <c r="D14" s="125"/>
      <c r="F14" s="125"/>
      <c r="H14" s="125"/>
      <c r="J14" s="125"/>
      <c r="L14" s="125"/>
      <c r="N14" t="s">
        <v>393</v>
      </c>
      <c r="O14" s="153">
        <v>0</v>
      </c>
      <c r="Q14" s="153">
        <v>0.25</v>
      </c>
    </row>
    <row r="15" spans="1:17" ht="13.8" thickBot="1" x14ac:dyDescent="0.3">
      <c r="A15" s="63" t="s">
        <v>244</v>
      </c>
      <c r="B15" s="72"/>
      <c r="C15" s="76"/>
      <c r="D15" s="129">
        <f>'Quarterly P&amp;L'!H15</f>
        <v>561545.5</v>
      </c>
      <c r="F15" s="129">
        <f>'Quarterly P&amp;L'!N15</f>
        <v>2027569.7139812494</v>
      </c>
      <c r="H15" s="129">
        <f>H8-H13</f>
        <v>4036367.1739954683</v>
      </c>
      <c r="J15" s="129">
        <f>J8-J13</f>
        <v>5965137.5641008969</v>
      </c>
      <c r="L15" s="129">
        <f>L8-L13</f>
        <v>8844881.1697251946</v>
      </c>
    </row>
    <row r="16" spans="1:17" ht="13.8" thickTop="1" x14ac:dyDescent="0.25">
      <c r="A16" s="72"/>
      <c r="B16" s="72"/>
      <c r="C16" s="72"/>
      <c r="D16" s="125"/>
      <c r="F16" s="125"/>
      <c r="H16" s="125"/>
      <c r="J16" s="125"/>
      <c r="L16" s="125"/>
    </row>
    <row r="17" spans="1:12" x14ac:dyDescent="0.25">
      <c r="A17" s="63" t="s">
        <v>245</v>
      </c>
      <c r="B17" s="79"/>
      <c r="C17" s="79"/>
      <c r="D17" s="125"/>
      <c r="F17" s="125"/>
      <c r="H17" s="125"/>
      <c r="J17" s="125"/>
      <c r="L17" s="125"/>
    </row>
    <row r="18" spans="1:12" x14ac:dyDescent="0.25">
      <c r="A18" s="63"/>
      <c r="B18" s="79" t="s">
        <v>246</v>
      </c>
      <c r="C18" s="79"/>
      <c r="D18" s="128">
        <f>'Quarterly P&amp;L'!H18</f>
        <v>1053543.9479088215</v>
      </c>
      <c r="F18" s="128">
        <f>'Quarterly P&amp;L'!N18</f>
        <v>1710108.049342873</v>
      </c>
      <c r="H18" s="128">
        <f>H8*O11</f>
        <v>1953080.8906429685</v>
      </c>
      <c r="J18" s="128">
        <f>J8*$Q$11</f>
        <v>2244944.244554101</v>
      </c>
      <c r="L18" s="128">
        <f>L8*$Q$11</f>
        <v>3328718.7197890515</v>
      </c>
    </row>
    <row r="19" spans="1:12" x14ac:dyDescent="0.25">
      <c r="A19" s="63"/>
      <c r="B19" s="79" t="s">
        <v>247</v>
      </c>
      <c r="C19" s="79"/>
      <c r="D19" s="128">
        <f>'Quarterly P&amp;L'!H19</f>
        <v>1238059.2916352861</v>
      </c>
      <c r="F19" s="128">
        <f>'Quarterly P&amp;L'!N19</f>
        <v>1597454.6325787511</v>
      </c>
      <c r="H19" s="128">
        <f>H8*O12</f>
        <v>1519062.9149445309</v>
      </c>
      <c r="J19" s="128">
        <f>J8*$Q$12</f>
        <v>1667672.8673830465</v>
      </c>
      <c r="L19" s="128">
        <f>L8*$Q$12</f>
        <v>2472762.4775575814</v>
      </c>
    </row>
    <row r="20" spans="1:12" x14ac:dyDescent="0.25">
      <c r="A20" s="63"/>
      <c r="B20" s="79" t="s">
        <v>248</v>
      </c>
      <c r="C20" s="79"/>
      <c r="D20" s="128">
        <f>'Quarterly P&amp;L'!H20</f>
        <v>711908.03818136919</v>
      </c>
      <c r="F20" s="128">
        <f>'Quarterly P&amp;L'!N20</f>
        <v>864856.80135270464</v>
      </c>
      <c r="H20" s="128">
        <f>H8*O13</f>
        <v>781232.35625718744</v>
      </c>
      <c r="J20" s="128">
        <f>J8*$Q$13</f>
        <v>962118.96195175755</v>
      </c>
      <c r="L20" s="128">
        <f>L8*$Q$13</f>
        <v>1426593.7370524507</v>
      </c>
    </row>
    <row r="21" spans="1:12" x14ac:dyDescent="0.25">
      <c r="A21" s="63"/>
      <c r="B21" s="79" t="s">
        <v>239</v>
      </c>
      <c r="C21" s="79"/>
      <c r="D21" s="127">
        <f>'Quarterly P&amp;L'!H21</f>
        <v>58333.333333333336</v>
      </c>
      <c r="F21" s="127">
        <f>'Quarterly P&amp;L'!N21</f>
        <v>75000</v>
      </c>
      <c r="H21" s="127">
        <v>75000</v>
      </c>
      <c r="J21" s="127">
        <v>75000</v>
      </c>
      <c r="L21" s="127">
        <v>75000</v>
      </c>
    </row>
    <row r="22" spans="1:12" ht="15.75" customHeight="1" x14ac:dyDescent="0.25">
      <c r="A22" s="63"/>
      <c r="B22" s="79"/>
      <c r="C22" s="76" t="s">
        <v>249</v>
      </c>
      <c r="D22" s="127">
        <f>'Quarterly P&amp;L'!H22</f>
        <v>3061844.6110588098</v>
      </c>
      <c r="F22" s="127">
        <f>'Quarterly P&amp;L'!N22</f>
        <v>4247419.4832743295</v>
      </c>
      <c r="H22" s="127">
        <f>SUM(H18:H21)</f>
        <v>4328376.1618446866</v>
      </c>
      <c r="J22" s="127">
        <f>SUM(J18:J21)</f>
        <v>4949736.0738889053</v>
      </c>
      <c r="L22" s="127">
        <f>SUM(L18:L21)</f>
        <v>7303074.9343990842</v>
      </c>
    </row>
    <row r="23" spans="1:12" ht="18.75" customHeight="1" thickBot="1" x14ac:dyDescent="0.3">
      <c r="A23" s="63" t="s">
        <v>250</v>
      </c>
      <c r="B23" s="63"/>
      <c r="C23" s="63"/>
      <c r="D23" s="130">
        <f>'Quarterly P&amp;L'!H23</f>
        <v>-2500299.1110588098</v>
      </c>
      <c r="F23" s="130">
        <f>'Quarterly P&amp;L'!N23</f>
        <v>-2219849.7692930792</v>
      </c>
      <c r="H23" s="130">
        <f>H15-H22</f>
        <v>-292008.98784921831</v>
      </c>
      <c r="J23" s="130">
        <f>J15-J22</f>
        <v>1015401.4902119916</v>
      </c>
      <c r="L23" s="130">
        <f>L15-L22</f>
        <v>1541806.2353261104</v>
      </c>
    </row>
    <row r="24" spans="1:12" ht="18" customHeight="1" thickTop="1" x14ac:dyDescent="0.25">
      <c r="A24" s="79"/>
      <c r="B24" s="79" t="s">
        <v>251</v>
      </c>
      <c r="C24" s="79"/>
      <c r="D24" s="127">
        <f>'Quarterly P&amp;L'!H24</f>
        <v>37717.209185138709</v>
      </c>
      <c r="F24" s="127">
        <f>'Quarterly P&amp;L'!N24</f>
        <v>72206.229947627435</v>
      </c>
      <c r="H24" s="127">
        <v>100000</v>
      </c>
      <c r="J24" s="127">
        <v>100000</v>
      </c>
      <c r="L24" s="127">
        <v>100000</v>
      </c>
    </row>
    <row r="25" spans="1:12" x14ac:dyDescent="0.25">
      <c r="A25" s="63" t="s">
        <v>252</v>
      </c>
      <c r="B25" s="79"/>
      <c r="C25" s="79"/>
      <c r="D25" s="128">
        <f>'Quarterly P&amp;L'!H25</f>
        <v>-2462581.9018736714</v>
      </c>
      <c r="F25" s="128">
        <f>'Quarterly P&amp;L'!N25</f>
        <v>-2147643.5393454516</v>
      </c>
      <c r="H25" s="128">
        <f>H23+H24</f>
        <v>-192008.98784921831</v>
      </c>
      <c r="J25" s="128">
        <f>J23+J24</f>
        <v>1115401.4902119916</v>
      </c>
      <c r="L25" s="128">
        <f>L23+L24</f>
        <v>1641806.2353261104</v>
      </c>
    </row>
    <row r="26" spans="1:12" x14ac:dyDescent="0.25">
      <c r="A26" s="63"/>
      <c r="B26" s="79" t="s">
        <v>253</v>
      </c>
      <c r="C26" s="79"/>
      <c r="D26" s="128">
        <f>'Quarterly P&amp;L'!H26</f>
        <v>0</v>
      </c>
      <c r="F26" s="128">
        <f>'Quarterly P&amp;L'!N26</f>
        <v>0</v>
      </c>
      <c r="H26" s="128">
        <f>H25*(O14)</f>
        <v>0</v>
      </c>
      <c r="J26" s="128">
        <f>J25*($Q$14)</f>
        <v>278850.3725529979</v>
      </c>
      <c r="L26" s="128">
        <f>L25*($Q$14)</f>
        <v>410451.5588315276</v>
      </c>
    </row>
    <row r="27" spans="1:12" ht="16.5" customHeight="1" thickBot="1" x14ac:dyDescent="0.3">
      <c r="A27" s="63" t="s">
        <v>254</v>
      </c>
      <c r="B27" s="63"/>
      <c r="C27" s="63"/>
      <c r="D27" s="150">
        <f>'Quarterly P&amp;L'!H27</f>
        <v>-2462581.9018736714</v>
      </c>
      <c r="E27" s="1"/>
      <c r="F27" s="150">
        <f>'Quarterly P&amp;L'!N27</f>
        <v>-2147643.5393454516</v>
      </c>
      <c r="G27" s="1"/>
      <c r="H27" s="150">
        <f>H25-H26</f>
        <v>-192008.98784921831</v>
      </c>
      <c r="I27" s="1"/>
      <c r="J27" s="150">
        <f>J25-J26</f>
        <v>836551.11765899369</v>
      </c>
      <c r="K27" s="1"/>
      <c r="L27" s="150">
        <f>L25-L26</f>
        <v>1231354.6764945828</v>
      </c>
    </row>
    <row r="28" spans="1:12" ht="13.8" thickTop="1" x14ac:dyDescent="0.25"/>
  </sheetData>
  <dataConsolidate/>
  <phoneticPr fontId="0" type="noConversion"/>
  <pageMargins left="0.75" right="0.75" top="1" bottom="1" header="0.5" footer="0.5"/>
  <pageSetup scale="75" orientation="landscape" r:id="rId1"/>
  <headerFooter alignWithMargins="0"/>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39"/>
  <sheetViews>
    <sheetView showGridLines="0" zoomScale="75" workbookViewId="0">
      <pane xSplit="3" ySplit="3" topLeftCell="D4" activePane="bottomRight" state="frozen"/>
      <selection activeCell="B24" sqref="B24"/>
      <selection pane="topRight" activeCell="B24" sqref="B24"/>
      <selection pane="bottomLeft" activeCell="B24" sqref="B24"/>
      <selection pane="bottomRight" activeCell="A2" sqref="A2"/>
    </sheetView>
  </sheetViews>
  <sheetFormatPr defaultRowHeight="13.2" x14ac:dyDescent="0.25"/>
  <cols>
    <col min="1" max="1" width="2.5546875" customWidth="1"/>
    <col min="2" max="2" width="33.109375" customWidth="1"/>
    <col min="3" max="3" width="3.88671875" customWidth="1"/>
    <col min="4" max="30" width="12.109375" customWidth="1"/>
  </cols>
  <sheetData>
    <row r="1" spans="1:30" x14ac:dyDescent="0.25">
      <c r="A1" s="63" t="s">
        <v>444</v>
      </c>
    </row>
    <row r="2" spans="1:30" x14ac:dyDescent="0.25">
      <c r="A2" s="63"/>
    </row>
    <row r="3" spans="1:30" x14ac:dyDescent="0.25">
      <c r="D3" s="109">
        <v>37226</v>
      </c>
      <c r="E3" s="109">
        <v>37257</v>
      </c>
      <c r="F3" s="109">
        <v>37288</v>
      </c>
      <c r="G3" s="109">
        <v>37316</v>
      </c>
      <c r="H3" s="109">
        <v>37347</v>
      </c>
      <c r="I3" s="109">
        <v>37377</v>
      </c>
      <c r="J3" s="109">
        <v>37408</v>
      </c>
      <c r="K3" s="109">
        <v>37438</v>
      </c>
      <c r="L3" s="109">
        <v>37469</v>
      </c>
      <c r="M3" s="109">
        <v>37500</v>
      </c>
      <c r="N3" s="109">
        <v>37530</v>
      </c>
      <c r="O3" s="109">
        <v>37561</v>
      </c>
      <c r="P3" s="109">
        <v>37591</v>
      </c>
      <c r="Q3" s="109">
        <v>37622</v>
      </c>
      <c r="R3" s="109">
        <v>37653</v>
      </c>
      <c r="S3" s="109">
        <v>37681</v>
      </c>
      <c r="T3" s="109">
        <v>37712</v>
      </c>
      <c r="U3" s="109">
        <v>37742</v>
      </c>
      <c r="V3" s="109">
        <v>37773</v>
      </c>
      <c r="W3" s="109">
        <v>37803</v>
      </c>
      <c r="X3" s="109">
        <v>37834</v>
      </c>
      <c r="Y3" s="109">
        <v>37865</v>
      </c>
      <c r="Z3" s="109">
        <v>37895</v>
      </c>
      <c r="AA3" s="109">
        <v>37926</v>
      </c>
      <c r="AB3" s="109">
        <v>37956</v>
      </c>
      <c r="AC3" s="109"/>
      <c r="AD3" s="109"/>
    </row>
    <row r="4" spans="1:30" x14ac:dyDescent="0.25">
      <c r="A4" s="107" t="s">
        <v>262</v>
      </c>
    </row>
    <row r="5" spans="1:30" x14ac:dyDescent="0.25">
      <c r="A5" s="108" t="s">
        <v>263</v>
      </c>
    </row>
    <row r="6" spans="1:30" x14ac:dyDescent="0.25">
      <c r="A6" s="108" t="s">
        <v>264</v>
      </c>
      <c r="D6" s="1">
        <v>3060000</v>
      </c>
      <c r="E6" s="1">
        <f>'Stmt of CF'!E29</f>
        <v>2901433.4834393966</v>
      </c>
      <c r="F6" s="1">
        <f>'Stmt of CF'!F29</f>
        <v>2711181.0444157142</v>
      </c>
      <c r="G6" s="1">
        <f>'Stmt of CF'!G29</f>
        <v>2473331.4681227957</v>
      </c>
      <c r="H6" s="1">
        <f>'Stmt of CF'!H29</f>
        <v>2217537.6595558114</v>
      </c>
      <c r="I6" s="1">
        <f>'Stmt of CF'!I29</f>
        <v>1976261.3539674096</v>
      </c>
      <c r="J6" s="1">
        <f>'Stmt of CF'!J29</f>
        <v>1765960.8951150368</v>
      </c>
      <c r="K6" s="1">
        <f>'Stmt of CF'!K29</f>
        <v>1509074.3726155329</v>
      </c>
      <c r="L6" s="1">
        <f>'Stmt of CF'!L29</f>
        <v>1265302.5838097804</v>
      </c>
      <c r="M6" s="1">
        <f>'Stmt of CF'!M29</f>
        <v>1051303.9030320134</v>
      </c>
      <c r="N6" s="1">
        <f>'Stmt of CF'!N29</f>
        <v>839516.84221896878</v>
      </c>
      <c r="O6" s="1">
        <f>'Stmt of CF'!O29</f>
        <v>666911.52000389155</v>
      </c>
      <c r="P6" s="1">
        <f>'Stmt of CF'!P29</f>
        <v>574103.74073327659</v>
      </c>
      <c r="Q6" s="1">
        <f>'Stmt of CF'!Q29</f>
        <v>376401.80453354213</v>
      </c>
      <c r="R6" s="1">
        <f>'Stmt of CF'!R29</f>
        <v>220003.4015240318</v>
      </c>
      <c r="S6" s="1">
        <f>'Stmt of CF'!S29</f>
        <v>153485.54294302833</v>
      </c>
      <c r="T6" s="1">
        <f>'Stmt of CF'!T29</f>
        <v>4956502.4036934637</v>
      </c>
      <c r="U6" s="1">
        <f>'Stmt of CF'!U29</f>
        <v>4709092.6371943736</v>
      </c>
      <c r="V6" s="1">
        <f>'Stmt of CF'!V29</f>
        <v>4564883.5553326942</v>
      </c>
      <c r="W6" s="1">
        <f>'Stmt of CF'!W29</f>
        <v>4284679.6237686817</v>
      </c>
      <c r="X6" s="1">
        <f>'Stmt of CF'!X29</f>
        <v>4058886.5022209156</v>
      </c>
      <c r="Y6" s="1">
        <f>'Stmt of CF'!Y29</f>
        <v>3951928.1360479817</v>
      </c>
      <c r="Z6" s="1">
        <f>'Stmt of CF'!Z29</f>
        <v>3688730.117156948</v>
      </c>
      <c r="AA6" s="1">
        <f>'Stmt of CF'!AA29</f>
        <v>3488259.412477727</v>
      </c>
      <c r="AB6" s="1">
        <f>'Stmt of CF'!AB29</f>
        <v>3424604.0192937963</v>
      </c>
      <c r="AC6" s="1"/>
      <c r="AD6" s="1"/>
    </row>
    <row r="7" spans="1:30" s="100" customFormat="1" x14ac:dyDescent="0.25">
      <c r="A7" s="108" t="s">
        <v>265</v>
      </c>
      <c r="D7" s="100">
        <v>0</v>
      </c>
      <c r="E7" s="100">
        <f>0.2*'Monthly P&amp;L'!D$8</f>
        <v>3960</v>
      </c>
      <c r="F7" s="100">
        <f>0.2*'Monthly P&amp;L'!E$8</f>
        <v>5940</v>
      </c>
      <c r="G7" s="100">
        <f>0.2*'Monthly P&amp;L'!F$8</f>
        <v>9900</v>
      </c>
      <c r="H7" s="100">
        <f>0.2*'Monthly P&amp;L'!G$8</f>
        <v>6453</v>
      </c>
      <c r="I7" s="100">
        <f>0.2*'Monthly P&amp;L'!H$8</f>
        <v>9679.5</v>
      </c>
      <c r="J7" s="100">
        <f>0.2*'Monthly P&amp;L'!I$8</f>
        <v>16132.5</v>
      </c>
      <c r="K7" s="100">
        <f>0.2*'Monthly P&amp;L'!J$8</f>
        <v>6210.6</v>
      </c>
      <c r="L7" s="100">
        <f>0.2*'Monthly P&amp;L'!K$8</f>
        <v>9315.9</v>
      </c>
      <c r="M7" s="100">
        <f>0.2*'Monthly P&amp;L'!L$8</f>
        <v>15526.5</v>
      </c>
      <c r="N7" s="100">
        <f>0.2*'Monthly P&amp;L'!M$8</f>
        <v>16399.900000000001</v>
      </c>
      <c r="O7" s="100">
        <f>0.2*'Monthly P&amp;L'!N$8</f>
        <v>24599.850000000002</v>
      </c>
      <c r="P7" s="100">
        <f>0.2*'Monthly P&amp;L'!O$8</f>
        <v>40999.75</v>
      </c>
      <c r="Q7" s="100">
        <f>0.2*'Monthly P&amp;L'!P$8</f>
        <v>19364.18</v>
      </c>
      <c r="R7" s="100">
        <f>0.2*'Monthly P&amp;L'!Q$8</f>
        <v>29046.270000000004</v>
      </c>
      <c r="S7" s="100">
        <f>0.2*'Monthly P&amp;L'!R$8</f>
        <v>48410.450000000004</v>
      </c>
      <c r="T7" s="100">
        <f>0.2*'Monthly P&amp;L'!S$8</f>
        <v>22268.807000000001</v>
      </c>
      <c r="U7" s="100">
        <f>0.2*'Monthly P&amp;L'!T$8</f>
        <v>33403.210499999994</v>
      </c>
      <c r="V7" s="100">
        <f>0.2*'Monthly P&amp;L'!U$8</f>
        <v>55672.017499999994</v>
      </c>
      <c r="W7" s="100">
        <f>0.2*'Monthly P&amp;L'!V$8</f>
        <v>25609.128049999996</v>
      </c>
      <c r="X7" s="100">
        <f>0.2*'Monthly P&amp;L'!W$8</f>
        <v>38413.692074999992</v>
      </c>
      <c r="Y7" s="100">
        <f>0.2*'Monthly P&amp;L'!X$8</f>
        <v>64022.820124999984</v>
      </c>
      <c r="Z7" s="100">
        <f>0.2*'Monthly P&amp;L'!Y$8</f>
        <v>29450.497257499992</v>
      </c>
      <c r="AA7" s="100">
        <f>0.2*'Monthly P&amp;L'!Z$8</f>
        <v>44175.745886249992</v>
      </c>
      <c r="AB7" s="100">
        <f>0.2*'Monthly P&amp;L'!AA$8</f>
        <v>73626.243143749991</v>
      </c>
    </row>
    <row r="8" spans="1:30" s="100" customFormat="1" x14ac:dyDescent="0.25">
      <c r="A8" s="108" t="s">
        <v>282</v>
      </c>
      <c r="D8" s="104">
        <v>0</v>
      </c>
      <c r="E8" s="104">
        <v>25000</v>
      </c>
      <c r="F8" s="104">
        <f t="shared" ref="F8:AB8" si="0">E8</f>
        <v>25000</v>
      </c>
      <c r="G8" s="104">
        <f t="shared" si="0"/>
        <v>25000</v>
      </c>
      <c r="H8" s="104">
        <f t="shared" si="0"/>
        <v>25000</v>
      </c>
      <c r="I8" s="104">
        <f t="shared" si="0"/>
        <v>25000</v>
      </c>
      <c r="J8" s="104">
        <f t="shared" si="0"/>
        <v>25000</v>
      </c>
      <c r="K8" s="104">
        <f t="shared" si="0"/>
        <v>25000</v>
      </c>
      <c r="L8" s="104">
        <f t="shared" si="0"/>
        <v>25000</v>
      </c>
      <c r="M8" s="104">
        <f t="shared" si="0"/>
        <v>25000</v>
      </c>
      <c r="N8" s="104">
        <f t="shared" si="0"/>
        <v>25000</v>
      </c>
      <c r="O8" s="104">
        <f t="shared" si="0"/>
        <v>25000</v>
      </c>
      <c r="P8" s="104">
        <f t="shared" si="0"/>
        <v>25000</v>
      </c>
      <c r="Q8" s="104">
        <f t="shared" si="0"/>
        <v>25000</v>
      </c>
      <c r="R8" s="104">
        <f t="shared" si="0"/>
        <v>25000</v>
      </c>
      <c r="S8" s="104">
        <f t="shared" si="0"/>
        <v>25000</v>
      </c>
      <c r="T8" s="104">
        <f t="shared" si="0"/>
        <v>25000</v>
      </c>
      <c r="U8" s="104">
        <f t="shared" si="0"/>
        <v>25000</v>
      </c>
      <c r="V8" s="104">
        <f t="shared" si="0"/>
        <v>25000</v>
      </c>
      <c r="W8" s="104">
        <f t="shared" si="0"/>
        <v>25000</v>
      </c>
      <c r="X8" s="104">
        <f t="shared" si="0"/>
        <v>25000</v>
      </c>
      <c r="Y8" s="104">
        <f t="shared" si="0"/>
        <v>25000</v>
      </c>
      <c r="Z8" s="104">
        <f t="shared" si="0"/>
        <v>25000</v>
      </c>
      <c r="AA8" s="104">
        <f t="shared" si="0"/>
        <v>25000</v>
      </c>
      <c r="AB8" s="104">
        <f t="shared" si="0"/>
        <v>25000</v>
      </c>
      <c r="AC8" s="149"/>
      <c r="AD8" s="149"/>
    </row>
    <row r="9" spans="1:30" s="100" customFormat="1" x14ac:dyDescent="0.25">
      <c r="A9" s="108" t="s">
        <v>266</v>
      </c>
      <c r="D9" s="106">
        <f t="shared" ref="D9:P9" si="1">SUM(D6:D8)</f>
        <v>3060000</v>
      </c>
      <c r="E9" s="106">
        <f t="shared" si="1"/>
        <v>2930393.4834393966</v>
      </c>
      <c r="F9" s="106">
        <f t="shared" si="1"/>
        <v>2742121.0444157142</v>
      </c>
      <c r="G9" s="106">
        <f t="shared" si="1"/>
        <v>2508231.4681227957</v>
      </c>
      <c r="H9" s="106">
        <f t="shared" si="1"/>
        <v>2248990.6595558114</v>
      </c>
      <c r="I9" s="106">
        <f t="shared" si="1"/>
        <v>2010940.8539674096</v>
      </c>
      <c r="J9" s="106">
        <f t="shared" si="1"/>
        <v>1807093.3951150368</v>
      </c>
      <c r="K9" s="106">
        <f t="shared" si="1"/>
        <v>1540284.972615533</v>
      </c>
      <c r="L9" s="106">
        <f t="shared" si="1"/>
        <v>1299618.4838097803</v>
      </c>
      <c r="M9" s="106">
        <f t="shared" si="1"/>
        <v>1091830.4030320134</v>
      </c>
      <c r="N9" s="106">
        <f t="shared" si="1"/>
        <v>880916.74221896881</v>
      </c>
      <c r="O9" s="106">
        <f t="shared" si="1"/>
        <v>716511.37000389153</v>
      </c>
      <c r="P9" s="106">
        <f t="shared" si="1"/>
        <v>640103.49073327659</v>
      </c>
      <c r="Q9" s="106">
        <f t="shared" ref="Q9:AB9" si="2">SUM(Q6:Q8)</f>
        <v>420765.98453354213</v>
      </c>
      <c r="R9" s="106">
        <f t="shared" si="2"/>
        <v>274049.67152403179</v>
      </c>
      <c r="S9" s="106">
        <f t="shared" si="2"/>
        <v>226895.99294302834</v>
      </c>
      <c r="T9" s="106">
        <f t="shared" si="2"/>
        <v>5003771.2106934637</v>
      </c>
      <c r="U9" s="106">
        <f t="shared" si="2"/>
        <v>4767495.8476943737</v>
      </c>
      <c r="V9" s="106">
        <f t="shared" si="2"/>
        <v>4645555.5728326943</v>
      </c>
      <c r="W9" s="106">
        <f t="shared" si="2"/>
        <v>4335288.7518186821</v>
      </c>
      <c r="X9" s="106">
        <f t="shared" si="2"/>
        <v>4122300.1942959158</v>
      </c>
      <c r="Y9" s="106">
        <f t="shared" si="2"/>
        <v>4040950.9561729818</v>
      </c>
      <c r="Z9" s="106">
        <f t="shared" si="2"/>
        <v>3743180.6144144479</v>
      </c>
      <c r="AA9" s="106">
        <f t="shared" si="2"/>
        <v>3557435.158363977</v>
      </c>
      <c r="AB9" s="106">
        <f t="shared" si="2"/>
        <v>3523230.2624375462</v>
      </c>
      <c r="AC9" s="149"/>
      <c r="AD9" s="149"/>
    </row>
    <row r="10" spans="1:30" s="100" customFormat="1" x14ac:dyDescent="0.25">
      <c r="A10" s="108"/>
      <c r="AC10" s="149"/>
      <c r="AD10" s="149"/>
    </row>
    <row r="11" spans="1:30" s="100" customFormat="1" x14ac:dyDescent="0.25">
      <c r="A11" s="108" t="s">
        <v>285</v>
      </c>
      <c r="D11" s="100">
        <f>'Cap Lease'!E3</f>
        <v>175000</v>
      </c>
      <c r="E11" s="100">
        <f>D11</f>
        <v>175000</v>
      </c>
      <c r="F11" s="100">
        <f t="shared" ref="F11:M11" si="3">E11</f>
        <v>175000</v>
      </c>
      <c r="G11" s="100">
        <f t="shared" si="3"/>
        <v>175000</v>
      </c>
      <c r="H11" s="100">
        <f t="shared" si="3"/>
        <v>175000</v>
      </c>
      <c r="I11" s="100">
        <f t="shared" si="3"/>
        <v>175000</v>
      </c>
      <c r="J11" s="100">
        <f t="shared" si="3"/>
        <v>175000</v>
      </c>
      <c r="K11" s="100">
        <f t="shared" si="3"/>
        <v>175000</v>
      </c>
      <c r="L11" s="100">
        <f t="shared" si="3"/>
        <v>175000</v>
      </c>
      <c r="M11" s="100">
        <f t="shared" si="3"/>
        <v>175000</v>
      </c>
      <c r="N11" s="100">
        <f>M11</f>
        <v>175000</v>
      </c>
      <c r="O11" s="100">
        <f>N11</f>
        <v>175000</v>
      </c>
      <c r="P11" s="100">
        <f>O11</f>
        <v>175000</v>
      </c>
      <c r="Q11" s="100">
        <f t="shared" ref="Q11:AB11" si="4">P11</f>
        <v>175000</v>
      </c>
      <c r="R11" s="100">
        <f t="shared" si="4"/>
        <v>175000</v>
      </c>
      <c r="S11" s="100">
        <f t="shared" si="4"/>
        <v>175000</v>
      </c>
      <c r="T11" s="100">
        <f t="shared" si="4"/>
        <v>175000</v>
      </c>
      <c r="U11" s="100">
        <f t="shared" si="4"/>
        <v>175000</v>
      </c>
      <c r="V11" s="100">
        <f t="shared" si="4"/>
        <v>175000</v>
      </c>
      <c r="W11" s="100">
        <f t="shared" si="4"/>
        <v>175000</v>
      </c>
      <c r="X11" s="100">
        <f t="shared" si="4"/>
        <v>175000</v>
      </c>
      <c r="Y11" s="100">
        <f t="shared" si="4"/>
        <v>175000</v>
      </c>
      <c r="Z11" s="100">
        <f t="shared" si="4"/>
        <v>175000</v>
      </c>
      <c r="AA11" s="100">
        <f t="shared" si="4"/>
        <v>175000</v>
      </c>
      <c r="AB11" s="100">
        <f t="shared" si="4"/>
        <v>175000</v>
      </c>
      <c r="AC11" s="149"/>
      <c r="AD11" s="149"/>
    </row>
    <row r="12" spans="1:30" s="100" customFormat="1" x14ac:dyDescent="0.25">
      <c r="A12" s="108" t="s">
        <v>283</v>
      </c>
      <c r="D12" s="104">
        <v>0</v>
      </c>
      <c r="E12" s="104">
        <f>'Cap Lease'!$H$5*'Cap Lease'!$I11</f>
        <v>4861.1111111111113</v>
      </c>
      <c r="F12" s="104">
        <f>'Cap Lease'!$H$5*'Cap Lease'!$I12</f>
        <v>9722.2222222222226</v>
      </c>
      <c r="G12" s="104">
        <f>'Cap Lease'!$H$5*'Cap Lease'!$I13</f>
        <v>14583.333333333334</v>
      </c>
      <c r="H12" s="104">
        <f>'Cap Lease'!$H$5*'Cap Lease'!$I14</f>
        <v>19444.444444444445</v>
      </c>
      <c r="I12" s="104">
        <f>'Cap Lease'!$H$5*'Cap Lease'!$I15</f>
        <v>24305.555555555555</v>
      </c>
      <c r="J12" s="104">
        <f>'Cap Lease'!$H$5*'Cap Lease'!$I16</f>
        <v>29166.666666666668</v>
      </c>
      <c r="K12" s="104">
        <f>'Cap Lease'!$H$5*'Cap Lease'!$I17</f>
        <v>34027.777777777781</v>
      </c>
      <c r="L12" s="104">
        <f>'Cap Lease'!$H$5*'Cap Lease'!$I18</f>
        <v>38888.888888888891</v>
      </c>
      <c r="M12" s="104">
        <f>'Cap Lease'!$H$5*'Cap Lease'!$I19</f>
        <v>43750</v>
      </c>
      <c r="N12" s="104">
        <f>'Cap Lease'!$H$5*'Cap Lease'!$I20</f>
        <v>48611.111111111109</v>
      </c>
      <c r="O12" s="104">
        <f>'Cap Lease'!$H$5*'Cap Lease'!$I21</f>
        <v>53472.222222222226</v>
      </c>
      <c r="P12" s="104">
        <f>'Cap Lease'!$H$5*'Cap Lease'!$I22</f>
        <v>58333.333333333336</v>
      </c>
      <c r="Q12" s="104">
        <f>'Cap Lease'!$H$5*'Cap Lease'!$I23</f>
        <v>63194.444444444445</v>
      </c>
      <c r="R12" s="104">
        <f>'Cap Lease'!$H$5*'Cap Lease'!$I24</f>
        <v>68055.555555555562</v>
      </c>
      <c r="S12" s="104">
        <f>'Cap Lease'!$H$5*'Cap Lease'!$I25</f>
        <v>72916.666666666672</v>
      </c>
      <c r="T12" s="104">
        <f>'Cap Lease'!$H$5*'Cap Lease'!$I26</f>
        <v>77777.777777777781</v>
      </c>
      <c r="U12" s="104">
        <f>'Cap Lease'!$H$5*'Cap Lease'!$I27</f>
        <v>82638.888888888891</v>
      </c>
      <c r="V12" s="104">
        <f>'Cap Lease'!$H$5*'Cap Lease'!$I28</f>
        <v>87500</v>
      </c>
      <c r="W12" s="104">
        <f>'Cap Lease'!$H$5*'Cap Lease'!$I29</f>
        <v>92361.111111111109</v>
      </c>
      <c r="X12" s="104">
        <f>'Cap Lease'!$H$5*'Cap Lease'!$I30</f>
        <v>97222.222222222219</v>
      </c>
      <c r="Y12" s="104">
        <f>'Cap Lease'!$H$5*'Cap Lease'!$I31</f>
        <v>102083.33333333334</v>
      </c>
      <c r="Z12" s="104">
        <f>'Cap Lease'!$H$5*'Cap Lease'!$I32</f>
        <v>106944.44444444445</v>
      </c>
      <c r="AA12" s="104">
        <f>'Cap Lease'!$H$5*'Cap Lease'!$I33</f>
        <v>111805.55555555556</v>
      </c>
      <c r="AB12" s="104">
        <f>'Cap Lease'!$H$5*'Cap Lease'!$I34</f>
        <v>116666.66666666667</v>
      </c>
      <c r="AC12" s="149"/>
      <c r="AD12" s="149"/>
    </row>
    <row r="13" spans="1:30" s="100" customFormat="1" x14ac:dyDescent="0.25">
      <c r="A13" s="108" t="s">
        <v>284</v>
      </c>
      <c r="D13" s="104">
        <f>SUM(D11:D12)</f>
        <v>175000</v>
      </c>
      <c r="E13" s="104">
        <f t="shared" ref="E13:P13" si="5">E11-E12</f>
        <v>170138.88888888888</v>
      </c>
      <c r="F13" s="104">
        <f t="shared" si="5"/>
        <v>165277.77777777778</v>
      </c>
      <c r="G13" s="104">
        <f t="shared" si="5"/>
        <v>160416.66666666666</v>
      </c>
      <c r="H13" s="104">
        <f t="shared" si="5"/>
        <v>155555.55555555556</v>
      </c>
      <c r="I13" s="104">
        <f t="shared" si="5"/>
        <v>150694.44444444444</v>
      </c>
      <c r="J13" s="104">
        <f t="shared" si="5"/>
        <v>145833.33333333334</v>
      </c>
      <c r="K13" s="104">
        <f t="shared" si="5"/>
        <v>140972.22222222222</v>
      </c>
      <c r="L13" s="104">
        <f t="shared" si="5"/>
        <v>136111.11111111112</v>
      </c>
      <c r="M13" s="104">
        <f t="shared" si="5"/>
        <v>131250</v>
      </c>
      <c r="N13" s="104">
        <f t="shared" si="5"/>
        <v>126388.88888888889</v>
      </c>
      <c r="O13" s="104">
        <f t="shared" si="5"/>
        <v>121527.77777777778</v>
      </c>
      <c r="P13" s="104">
        <f t="shared" si="5"/>
        <v>116666.66666666666</v>
      </c>
      <c r="Q13" s="104">
        <f t="shared" ref="Q13:AB13" si="6">Q11-Q12</f>
        <v>111805.55555555556</v>
      </c>
      <c r="R13" s="104">
        <f t="shared" si="6"/>
        <v>106944.44444444444</v>
      </c>
      <c r="S13" s="104">
        <f t="shared" si="6"/>
        <v>102083.33333333333</v>
      </c>
      <c r="T13" s="104">
        <f t="shared" si="6"/>
        <v>97222.222222222219</v>
      </c>
      <c r="U13" s="104">
        <f t="shared" si="6"/>
        <v>92361.111111111109</v>
      </c>
      <c r="V13" s="104">
        <f t="shared" si="6"/>
        <v>87500</v>
      </c>
      <c r="W13" s="104">
        <f t="shared" si="6"/>
        <v>82638.888888888891</v>
      </c>
      <c r="X13" s="104">
        <f t="shared" si="6"/>
        <v>77777.777777777781</v>
      </c>
      <c r="Y13" s="104">
        <f t="shared" si="6"/>
        <v>72916.666666666657</v>
      </c>
      <c r="Z13" s="104">
        <f t="shared" si="6"/>
        <v>68055.555555555547</v>
      </c>
      <c r="AA13" s="104">
        <f t="shared" si="6"/>
        <v>63194.444444444438</v>
      </c>
      <c r="AB13" s="104">
        <f t="shared" si="6"/>
        <v>58333.333333333328</v>
      </c>
      <c r="AC13" s="149"/>
      <c r="AD13" s="149"/>
    </row>
    <row r="14" spans="1:30" s="1" customFormat="1" ht="13.8" thickBot="1" x14ac:dyDescent="0.3">
      <c r="A14" s="113" t="s">
        <v>267</v>
      </c>
      <c r="D14" s="112">
        <f t="shared" ref="D14:P14" si="7">SUM(D9,D13)</f>
        <v>3235000</v>
      </c>
      <c r="E14" s="112">
        <f t="shared" si="7"/>
        <v>3100532.3723282856</v>
      </c>
      <c r="F14" s="112">
        <f t="shared" si="7"/>
        <v>2907398.8221934922</v>
      </c>
      <c r="G14" s="112">
        <f t="shared" si="7"/>
        <v>2668648.1347894622</v>
      </c>
      <c r="H14" s="112">
        <f t="shared" si="7"/>
        <v>2404546.2151113669</v>
      </c>
      <c r="I14" s="112">
        <f t="shared" si="7"/>
        <v>2161635.2984118541</v>
      </c>
      <c r="J14" s="112">
        <f t="shared" si="7"/>
        <v>1952926.72844837</v>
      </c>
      <c r="K14" s="112">
        <f t="shared" si="7"/>
        <v>1681257.1948377553</v>
      </c>
      <c r="L14" s="112">
        <f t="shared" si="7"/>
        <v>1435729.5949208913</v>
      </c>
      <c r="M14" s="112">
        <f t="shared" si="7"/>
        <v>1223080.4030320134</v>
      </c>
      <c r="N14" s="112">
        <f t="shared" si="7"/>
        <v>1007305.6311078577</v>
      </c>
      <c r="O14" s="112">
        <f t="shared" si="7"/>
        <v>838039.14778166928</v>
      </c>
      <c r="P14" s="112">
        <f t="shared" si="7"/>
        <v>756770.15739994321</v>
      </c>
      <c r="Q14" s="112">
        <f t="shared" ref="Q14:AB14" si="8">SUM(Q9,Q13)</f>
        <v>532571.54008909769</v>
      </c>
      <c r="R14" s="112">
        <f t="shared" si="8"/>
        <v>380994.11596847622</v>
      </c>
      <c r="S14" s="112">
        <f t="shared" si="8"/>
        <v>328979.32627636165</v>
      </c>
      <c r="T14" s="112">
        <f t="shared" si="8"/>
        <v>5100993.4329156857</v>
      </c>
      <c r="U14" s="112">
        <f t="shared" si="8"/>
        <v>4859856.9588054847</v>
      </c>
      <c r="V14" s="112">
        <f t="shared" si="8"/>
        <v>4733055.5728326943</v>
      </c>
      <c r="W14" s="112">
        <f t="shared" si="8"/>
        <v>4417927.6407075711</v>
      </c>
      <c r="X14" s="112">
        <f t="shared" si="8"/>
        <v>4200077.9720736938</v>
      </c>
      <c r="Y14" s="112">
        <f t="shared" si="8"/>
        <v>4113867.6228396483</v>
      </c>
      <c r="Z14" s="112">
        <f t="shared" si="8"/>
        <v>3811236.1699700034</v>
      </c>
      <c r="AA14" s="112">
        <f t="shared" si="8"/>
        <v>3620629.6028084215</v>
      </c>
      <c r="AB14" s="112">
        <f t="shared" si="8"/>
        <v>3581563.5957708796</v>
      </c>
      <c r="AC14" s="20"/>
      <c r="AD14" s="20"/>
    </row>
    <row r="15" spans="1:30" ht="13.8" thickTop="1" x14ac:dyDescent="0.25">
      <c r="A15" s="108"/>
      <c r="AC15" s="51"/>
      <c r="AD15" s="51"/>
    </row>
    <row r="16" spans="1:30" x14ac:dyDescent="0.25">
      <c r="A16" s="107" t="s">
        <v>268</v>
      </c>
      <c r="AC16" s="51"/>
      <c r="AD16" s="51"/>
    </row>
    <row r="17" spans="1:30" x14ac:dyDescent="0.25">
      <c r="A17" s="108" t="s">
        <v>269</v>
      </c>
      <c r="AC17" s="51"/>
      <c r="AD17" s="51"/>
    </row>
    <row r="18" spans="1:30" s="1" customFormat="1" x14ac:dyDescent="0.25">
      <c r="A18" s="114" t="s">
        <v>270</v>
      </c>
      <c r="D18" s="1">
        <v>0</v>
      </c>
      <c r="E18" s="1">
        <f>0.15*'Monthly P&amp;L'!D$8</f>
        <v>2970</v>
      </c>
      <c r="F18" s="1">
        <f>0.15*'Monthly P&amp;L'!E$8</f>
        <v>4455</v>
      </c>
      <c r="G18" s="1">
        <f>0.15*'Monthly P&amp;L'!F$8</f>
        <v>7425</v>
      </c>
      <c r="H18" s="1">
        <f>0.15*'Monthly P&amp;L'!G$8</f>
        <v>4839.75</v>
      </c>
      <c r="I18" s="1">
        <f>0.15*'Monthly P&amp;L'!H$8</f>
        <v>7259.625</v>
      </c>
      <c r="J18" s="1">
        <f>0.15*'Monthly P&amp;L'!I$8</f>
        <v>12099.375</v>
      </c>
      <c r="K18" s="1">
        <f>0.15*'Monthly P&amp;L'!J$8</f>
        <v>4657.95</v>
      </c>
      <c r="L18" s="1">
        <f>0.15*'Monthly P&amp;L'!K$8</f>
        <v>6986.9250000000002</v>
      </c>
      <c r="M18" s="1">
        <f>0.15*'Monthly P&amp;L'!L$8</f>
        <v>11644.875</v>
      </c>
      <c r="N18" s="1">
        <f>0.15*'Monthly P&amp;L'!M$8</f>
        <v>12299.924999999999</v>
      </c>
      <c r="O18" s="1">
        <f>0.15*'Monthly P&amp;L'!N$8</f>
        <v>18449.887500000001</v>
      </c>
      <c r="P18" s="1">
        <f>0.15*'Monthly P&amp;L'!O$8</f>
        <v>30749.8125</v>
      </c>
      <c r="Q18" s="1">
        <f>0.15*'Monthly P&amp;L'!P$8</f>
        <v>14523.134999999998</v>
      </c>
      <c r="R18" s="1">
        <f>0.15*'Monthly P&amp;L'!Q$8</f>
        <v>21784.702499999999</v>
      </c>
      <c r="S18" s="1">
        <f>0.15*'Monthly P&amp;L'!R$8</f>
        <v>36307.837500000001</v>
      </c>
      <c r="T18" s="1">
        <f>0.15*'Monthly P&amp;L'!S$8</f>
        <v>16701.605249999997</v>
      </c>
      <c r="U18" s="1">
        <f>0.15*'Monthly P&amp;L'!T$8</f>
        <v>25052.407874999994</v>
      </c>
      <c r="V18" s="1">
        <f>0.15*'Monthly P&amp;L'!U$8</f>
        <v>41754.01312499999</v>
      </c>
      <c r="W18" s="1">
        <f>0.15*'Monthly P&amp;L'!V$8</f>
        <v>19206.846037499996</v>
      </c>
      <c r="X18" s="1">
        <f>0.15*'Monthly P&amp;L'!W$8</f>
        <v>28810.269056249988</v>
      </c>
      <c r="Y18" s="1">
        <f>0.15*'Monthly P&amp;L'!X$8</f>
        <v>48017.115093749984</v>
      </c>
      <c r="Z18" s="1">
        <f>0.15*'Monthly P&amp;L'!Y$8</f>
        <v>22087.872943124992</v>
      </c>
      <c r="AA18" s="1">
        <f>0.15*'Monthly P&amp;L'!Z$8</f>
        <v>33131.809414687486</v>
      </c>
      <c r="AB18" s="1">
        <f>0.15*'Monthly P&amp;L'!AA$8</f>
        <v>55219.682357812482</v>
      </c>
      <c r="AC18" s="20"/>
      <c r="AD18" s="20"/>
    </row>
    <row r="19" spans="1:30" s="100" customFormat="1" x14ac:dyDescent="0.25">
      <c r="A19" s="108" t="s">
        <v>271</v>
      </c>
      <c r="D19" s="100">
        <v>0</v>
      </c>
      <c r="E19" s="100">
        <f>0.025*'Monthly P&amp;L'!D8</f>
        <v>495</v>
      </c>
      <c r="F19" s="100">
        <f>0.025*'Monthly P&amp;L'!E8</f>
        <v>742.5</v>
      </c>
      <c r="G19" s="100">
        <f>0.025*'Monthly P&amp;L'!F8</f>
        <v>1237.5</v>
      </c>
      <c r="H19" s="100">
        <f>0.025*'Monthly P&amp;L'!G8</f>
        <v>806.625</v>
      </c>
      <c r="I19" s="100">
        <f>0.025*'Monthly P&amp;L'!H8</f>
        <v>1209.9375</v>
      </c>
      <c r="J19" s="100">
        <f>0.025*'Monthly P&amp;L'!I8</f>
        <v>2016.5625</v>
      </c>
      <c r="K19" s="100">
        <f>0.025*'Monthly P&amp;L'!J8</f>
        <v>776.32500000000005</v>
      </c>
      <c r="L19" s="100">
        <f>0.025*'Monthly P&amp;L'!K8</f>
        <v>1164.4875</v>
      </c>
      <c r="M19" s="100">
        <f>0.025*'Monthly P&amp;L'!L8</f>
        <v>1940.8125</v>
      </c>
      <c r="N19" s="100">
        <f>0.025*'Monthly P&amp;L'!M8</f>
        <v>2049.9875000000002</v>
      </c>
      <c r="O19" s="100">
        <f>0.025*'Monthly P&amp;L'!N8</f>
        <v>3074.9812500000003</v>
      </c>
      <c r="P19" s="100">
        <f>0.025*'Monthly P&amp;L'!O8</f>
        <v>5124.96875</v>
      </c>
      <c r="Q19" s="100">
        <f>0.025*'Monthly P&amp;L'!P8</f>
        <v>2420.5225</v>
      </c>
      <c r="R19" s="100">
        <f>0.025*'Monthly P&amp;L'!Q8</f>
        <v>3630.7837500000005</v>
      </c>
      <c r="S19" s="100">
        <f>0.025*'Monthly P&amp;L'!R8</f>
        <v>6051.3062500000005</v>
      </c>
      <c r="T19" s="100">
        <f>0.025*'Monthly P&amp;L'!S8</f>
        <v>2783.6008750000001</v>
      </c>
      <c r="U19" s="100">
        <f>0.025*'Monthly P&amp;L'!T8</f>
        <v>4175.4013124999992</v>
      </c>
      <c r="V19" s="100">
        <f>0.025*'Monthly P&amp;L'!U8</f>
        <v>6959.0021874999993</v>
      </c>
      <c r="W19" s="100">
        <f>0.025*'Monthly P&amp;L'!V8</f>
        <v>3201.1410062499995</v>
      </c>
      <c r="X19" s="100">
        <f>0.025*'Monthly P&amp;L'!W8</f>
        <v>4801.711509374999</v>
      </c>
      <c r="Y19" s="100">
        <f>0.025*'Monthly P&amp;L'!X8</f>
        <v>8002.852515624998</v>
      </c>
      <c r="Z19" s="100">
        <f>0.025*'Monthly P&amp;L'!Y8</f>
        <v>3681.312157187499</v>
      </c>
      <c r="AA19" s="100">
        <f>0.025*'Monthly P&amp;L'!Z8</f>
        <v>5521.9682357812489</v>
      </c>
      <c r="AB19" s="100">
        <f>0.025*'Monthly P&amp;L'!AA8</f>
        <v>9203.2803929687489</v>
      </c>
      <c r="AC19" s="149"/>
      <c r="AD19" s="149"/>
    </row>
    <row r="20" spans="1:30" s="100" customFormat="1" x14ac:dyDescent="0.25">
      <c r="A20" s="108" t="s">
        <v>272</v>
      </c>
      <c r="D20" s="100">
        <v>0</v>
      </c>
      <c r="E20" s="100">
        <f>D20</f>
        <v>0</v>
      </c>
      <c r="F20" s="100">
        <f t="shared" ref="F20:AB20" si="9">E20</f>
        <v>0</v>
      </c>
      <c r="G20" s="100">
        <f t="shared" si="9"/>
        <v>0</v>
      </c>
      <c r="H20" s="100">
        <f t="shared" si="9"/>
        <v>0</v>
      </c>
      <c r="I20" s="100">
        <f t="shared" si="9"/>
        <v>0</v>
      </c>
      <c r="J20" s="100">
        <f t="shared" si="9"/>
        <v>0</v>
      </c>
      <c r="K20" s="100">
        <f t="shared" si="9"/>
        <v>0</v>
      </c>
      <c r="L20" s="100">
        <f t="shared" si="9"/>
        <v>0</v>
      </c>
      <c r="M20" s="100">
        <f t="shared" si="9"/>
        <v>0</v>
      </c>
      <c r="N20" s="100">
        <f t="shared" si="9"/>
        <v>0</v>
      </c>
      <c r="O20" s="100">
        <f t="shared" si="9"/>
        <v>0</v>
      </c>
      <c r="P20" s="100">
        <f t="shared" si="9"/>
        <v>0</v>
      </c>
      <c r="Q20" s="100">
        <f t="shared" si="9"/>
        <v>0</v>
      </c>
      <c r="R20" s="100">
        <f t="shared" si="9"/>
        <v>0</v>
      </c>
      <c r="S20" s="100">
        <f t="shared" si="9"/>
        <v>0</v>
      </c>
      <c r="T20" s="100">
        <f t="shared" si="9"/>
        <v>0</v>
      </c>
      <c r="U20" s="100">
        <f t="shared" si="9"/>
        <v>0</v>
      </c>
      <c r="V20" s="100">
        <f t="shared" si="9"/>
        <v>0</v>
      </c>
      <c r="W20" s="100">
        <f t="shared" si="9"/>
        <v>0</v>
      </c>
      <c r="X20" s="100">
        <f t="shared" si="9"/>
        <v>0</v>
      </c>
      <c r="Y20" s="100">
        <f t="shared" si="9"/>
        <v>0</v>
      </c>
      <c r="Z20" s="100">
        <f t="shared" si="9"/>
        <v>0</v>
      </c>
      <c r="AA20" s="100">
        <f t="shared" si="9"/>
        <v>0</v>
      </c>
      <c r="AB20" s="100">
        <f t="shared" si="9"/>
        <v>0</v>
      </c>
      <c r="AC20" s="149"/>
      <c r="AD20" s="149"/>
    </row>
    <row r="21" spans="1:30" s="100" customFormat="1" x14ac:dyDescent="0.25">
      <c r="A21" s="108" t="s">
        <v>286</v>
      </c>
      <c r="D21" s="104">
        <v>0</v>
      </c>
      <c r="E21" s="104">
        <f>'Cap Lease'!$R$11</f>
        <v>4062.5042172489584</v>
      </c>
      <c r="F21" s="104">
        <f>'Cap Lease'!$R$12</f>
        <v>4103.1292594214483</v>
      </c>
      <c r="G21" s="104">
        <f>'Cap Lease'!$R$13</f>
        <v>4144.1605520156627</v>
      </c>
      <c r="H21" s="104">
        <f>'Cap Lease'!$R$14</f>
        <v>4185.6021575358191</v>
      </c>
      <c r="I21" s="104">
        <f>'Cap Lease'!$R$15</f>
        <v>4227.4581791111777</v>
      </c>
      <c r="J21" s="104">
        <f>'Cap Lease'!$R$16</f>
        <v>4269.7327609022896</v>
      </c>
      <c r="K21" s="104">
        <f>'Cap Lease'!$R$17</f>
        <v>4312.4300885113125</v>
      </c>
      <c r="L21" s="104">
        <f>'Cap Lease'!$R$18</f>
        <v>4355.5543893964259</v>
      </c>
      <c r="M21" s="104">
        <f>'Cap Lease'!$R$19</f>
        <v>4399.1099332903896</v>
      </c>
      <c r="N21" s="104">
        <f>'Cap Lease'!$R$20</f>
        <v>4443.1010326232936</v>
      </c>
      <c r="O21" s="104">
        <f>'Cap Lease'!$R$21</f>
        <v>4487.5320429495268</v>
      </c>
      <c r="P21" s="104">
        <f>'Cap Lease'!$R$22</f>
        <v>4532.4073633790222</v>
      </c>
      <c r="Q21" s="104">
        <f>'Cap Lease'!$R$23</f>
        <v>5738.4469276553718</v>
      </c>
      <c r="R21" s="104">
        <f>'Cap Lease'!$R$24</f>
        <v>5795.8313969319261</v>
      </c>
      <c r="S21" s="104">
        <f>'Cap Lease'!$R$25</f>
        <v>5853.7897109012447</v>
      </c>
      <c r="T21" s="104">
        <f>'Cap Lease'!$R$26</f>
        <v>5912.3276080102578</v>
      </c>
      <c r="U21" s="104">
        <f>'Cap Lease'!$R$27</f>
        <v>5971.45088409036</v>
      </c>
      <c r="V21" s="104">
        <f>'Cap Lease'!$R$28</f>
        <v>6031.1653929312633</v>
      </c>
      <c r="W21" s="104">
        <f>'Cap Lease'!$R$29</f>
        <v>6091.4770468605766</v>
      </c>
      <c r="X21" s="104">
        <f>'Cap Lease'!$R$30</f>
        <v>6152.3918173291822</v>
      </c>
      <c r="Y21" s="104">
        <f>'Cap Lease'!$R$31</f>
        <v>6213.9157355024727</v>
      </c>
      <c r="Z21" s="104">
        <f>'Cap Lease'!$R$32</f>
        <v>6276.054892857499</v>
      </c>
      <c r="AA21" s="104">
        <f>'Cap Lease'!$R$33</f>
        <v>6338.8154417860733</v>
      </c>
      <c r="AB21" s="104">
        <f>'Cap Lease'!$R$34</f>
        <v>6402.2035962039336</v>
      </c>
      <c r="AC21" s="149"/>
      <c r="AD21" s="149"/>
    </row>
    <row r="22" spans="1:30" s="100" customFormat="1" ht="13.8" thickBot="1" x14ac:dyDescent="0.3">
      <c r="A22" s="108" t="s">
        <v>273</v>
      </c>
      <c r="D22" s="110">
        <f t="shared" ref="D22:P22" si="10">SUM(D18:D21)</f>
        <v>0</v>
      </c>
      <c r="E22" s="110">
        <f t="shared" si="10"/>
        <v>7527.5042172489584</v>
      </c>
      <c r="F22" s="110">
        <f t="shared" si="10"/>
        <v>9300.6292594214483</v>
      </c>
      <c r="G22" s="110">
        <f t="shared" si="10"/>
        <v>12806.660552015663</v>
      </c>
      <c r="H22" s="110">
        <f t="shared" si="10"/>
        <v>9831.9771575358191</v>
      </c>
      <c r="I22" s="110">
        <f t="shared" si="10"/>
        <v>12697.020679111178</v>
      </c>
      <c r="J22" s="110">
        <f t="shared" si="10"/>
        <v>18385.67026090229</v>
      </c>
      <c r="K22" s="110">
        <f t="shared" si="10"/>
        <v>9746.7050885113131</v>
      </c>
      <c r="L22" s="110">
        <f t="shared" si="10"/>
        <v>12506.966889396426</v>
      </c>
      <c r="M22" s="110">
        <f t="shared" si="10"/>
        <v>17984.79743329039</v>
      </c>
      <c r="N22" s="110">
        <f t="shared" si="10"/>
        <v>18793.013532623292</v>
      </c>
      <c r="O22" s="110">
        <f t="shared" si="10"/>
        <v>26012.400792949527</v>
      </c>
      <c r="P22" s="110">
        <f t="shared" si="10"/>
        <v>40407.188613379025</v>
      </c>
      <c r="Q22" s="110">
        <f t="shared" ref="Q22:AB22" si="11">SUM(Q18:Q21)</f>
        <v>22682.104427655369</v>
      </c>
      <c r="R22" s="110">
        <f t="shared" si="11"/>
        <v>31211.31764693193</v>
      </c>
      <c r="S22" s="110">
        <f t="shared" si="11"/>
        <v>48212.933460901244</v>
      </c>
      <c r="T22" s="110">
        <f t="shared" si="11"/>
        <v>25397.533733010256</v>
      </c>
      <c r="U22" s="110">
        <f t="shared" si="11"/>
        <v>35199.260071590354</v>
      </c>
      <c r="V22" s="110">
        <f t="shared" si="11"/>
        <v>54744.180705431252</v>
      </c>
      <c r="W22" s="110">
        <f t="shared" si="11"/>
        <v>28499.464090610571</v>
      </c>
      <c r="X22" s="110">
        <f t="shared" si="11"/>
        <v>39764.37238295417</v>
      </c>
      <c r="Y22" s="110">
        <f t="shared" si="11"/>
        <v>62233.883344877453</v>
      </c>
      <c r="Z22" s="110">
        <f t="shared" si="11"/>
        <v>32045.239993169991</v>
      </c>
      <c r="AA22" s="110">
        <f t="shared" si="11"/>
        <v>44992.593092254807</v>
      </c>
      <c r="AB22" s="110">
        <f t="shared" si="11"/>
        <v>70825.166346985163</v>
      </c>
      <c r="AC22" s="149"/>
      <c r="AD22" s="149"/>
    </row>
    <row r="23" spans="1:30" s="100" customFormat="1" ht="13.8" thickTop="1" x14ac:dyDescent="0.25">
      <c r="A23" s="108"/>
      <c r="AC23" s="149"/>
      <c r="AD23" s="149"/>
    </row>
    <row r="24" spans="1:30" s="100" customFormat="1" x14ac:dyDescent="0.25">
      <c r="A24" s="108" t="s">
        <v>274</v>
      </c>
      <c r="AC24" s="149"/>
      <c r="AD24" s="149"/>
    </row>
    <row r="25" spans="1:30" s="100" customFormat="1" x14ac:dyDescent="0.25">
      <c r="A25" s="108" t="s">
        <v>287</v>
      </c>
      <c r="D25" s="104">
        <f>'Cap Lease'!T11</f>
        <v>170937.49578275104</v>
      </c>
      <c r="E25" s="104">
        <f>'Cap Lease'!$T$12</f>
        <v>166834.36652332958</v>
      </c>
      <c r="F25" s="104">
        <f>'Cap Lease'!$T$13</f>
        <v>162690.2059713139</v>
      </c>
      <c r="G25" s="104">
        <f>'Cap Lease'!$T$14</f>
        <v>158504.60381377809</v>
      </c>
      <c r="H25" s="104">
        <f>'Cap Lease'!$T$15</f>
        <v>154277.1456346669</v>
      </c>
      <c r="I25" s="104">
        <f>'Cap Lease'!$T$16</f>
        <v>150007.41287376461</v>
      </c>
      <c r="J25" s="104">
        <f>'Cap Lease'!$T$17</f>
        <v>145694.98278525329</v>
      </c>
      <c r="K25" s="104">
        <f>'Cap Lease'!$T$18</f>
        <v>141339.42839585687</v>
      </c>
      <c r="L25" s="104">
        <f>'Cap Lease'!$T$19</f>
        <v>136940.31846256647</v>
      </c>
      <c r="M25" s="104">
        <f>'Cap Lease'!$T$20</f>
        <v>132497.21742994318</v>
      </c>
      <c r="N25" s="104">
        <f>'Cap Lease'!$T$21</f>
        <v>128009.68538699365</v>
      </c>
      <c r="O25" s="104">
        <f>'Cap Lease'!$T$22</f>
        <v>123477.27802361462</v>
      </c>
      <c r="P25" s="104">
        <f>'Cap Lease'!$T$23</f>
        <v>167738.83109595923</v>
      </c>
      <c r="Q25" s="104">
        <f>'Cap Lease'!$T$24</f>
        <v>161942.99969902734</v>
      </c>
      <c r="R25" s="104">
        <f>'Cap Lease'!$T$25</f>
        <v>156089.20998812607</v>
      </c>
      <c r="S25" s="104">
        <f>'Cap Lease'!$T$26</f>
        <v>150176.88238011583</v>
      </c>
      <c r="T25" s="104">
        <f>'Cap Lease'!$T$27</f>
        <v>144205.43149602547</v>
      </c>
      <c r="U25" s="104">
        <f>'Cap Lease'!$T$28</f>
        <v>138174.26610309421</v>
      </c>
      <c r="V25" s="104">
        <f>'Cap Lease'!$T$29</f>
        <v>132082.78905623363</v>
      </c>
      <c r="W25" s="104">
        <f>'Cap Lease'!$T$30</f>
        <v>125930.39723890445</v>
      </c>
      <c r="X25" s="104">
        <f>'Cap Lease'!$T$31</f>
        <v>119716.48150340197</v>
      </c>
      <c r="Y25" s="104">
        <f>'Cap Lease'!$T$32</f>
        <v>113440.42661054447</v>
      </c>
      <c r="Z25" s="104">
        <f>'Cap Lease'!$T$33</f>
        <v>107101.61116875841</v>
      </c>
      <c r="AA25" s="104">
        <f>'Cap Lease'!$T$34</f>
        <v>100699.40757255448</v>
      </c>
      <c r="AB25" s="104">
        <f>'Cap Lease'!$T$35</f>
        <v>94233.181940388502</v>
      </c>
      <c r="AC25" s="149"/>
      <c r="AD25" s="149"/>
    </row>
    <row r="26" spans="1:30" s="100" customFormat="1" x14ac:dyDescent="0.25">
      <c r="A26" s="108" t="s">
        <v>275</v>
      </c>
      <c r="D26" s="106">
        <f t="shared" ref="D26:P26" si="12">D25</f>
        <v>170937.49578275104</v>
      </c>
      <c r="E26" s="106">
        <f t="shared" si="12"/>
        <v>166834.36652332958</v>
      </c>
      <c r="F26" s="106">
        <f t="shared" si="12"/>
        <v>162690.2059713139</v>
      </c>
      <c r="G26" s="106">
        <f t="shared" si="12"/>
        <v>158504.60381377809</v>
      </c>
      <c r="H26" s="106">
        <f t="shared" si="12"/>
        <v>154277.1456346669</v>
      </c>
      <c r="I26" s="106">
        <f t="shared" si="12"/>
        <v>150007.41287376461</v>
      </c>
      <c r="J26" s="106">
        <f t="shared" si="12"/>
        <v>145694.98278525329</v>
      </c>
      <c r="K26" s="106">
        <f t="shared" si="12"/>
        <v>141339.42839585687</v>
      </c>
      <c r="L26" s="106">
        <f t="shared" si="12"/>
        <v>136940.31846256647</v>
      </c>
      <c r="M26" s="106">
        <f t="shared" si="12"/>
        <v>132497.21742994318</v>
      </c>
      <c r="N26" s="106">
        <f t="shared" si="12"/>
        <v>128009.68538699365</v>
      </c>
      <c r="O26" s="106">
        <f t="shared" si="12"/>
        <v>123477.27802361462</v>
      </c>
      <c r="P26" s="106">
        <f t="shared" si="12"/>
        <v>167738.83109595923</v>
      </c>
      <c r="Q26" s="106">
        <f t="shared" ref="Q26:AB26" si="13">Q25</f>
        <v>161942.99969902734</v>
      </c>
      <c r="R26" s="106">
        <f t="shared" si="13"/>
        <v>156089.20998812607</v>
      </c>
      <c r="S26" s="106">
        <f t="shared" si="13"/>
        <v>150176.88238011583</v>
      </c>
      <c r="T26" s="106">
        <f t="shared" si="13"/>
        <v>144205.43149602547</v>
      </c>
      <c r="U26" s="106">
        <f t="shared" si="13"/>
        <v>138174.26610309421</v>
      </c>
      <c r="V26" s="106">
        <f t="shared" si="13"/>
        <v>132082.78905623363</v>
      </c>
      <c r="W26" s="106">
        <f t="shared" si="13"/>
        <v>125930.39723890445</v>
      </c>
      <c r="X26" s="106">
        <f t="shared" si="13"/>
        <v>119716.48150340197</v>
      </c>
      <c r="Y26" s="106">
        <f t="shared" si="13"/>
        <v>113440.42661054447</v>
      </c>
      <c r="Z26" s="106">
        <f t="shared" si="13"/>
        <v>107101.61116875841</v>
      </c>
      <c r="AA26" s="106">
        <f t="shared" si="13"/>
        <v>100699.40757255448</v>
      </c>
      <c r="AB26" s="106">
        <f t="shared" si="13"/>
        <v>94233.181940388502</v>
      </c>
      <c r="AC26" s="149"/>
      <c r="AD26" s="149"/>
    </row>
    <row r="27" spans="1:30" s="1" customFormat="1" ht="13.8" thickBot="1" x14ac:dyDescent="0.3">
      <c r="A27" s="113" t="s">
        <v>276</v>
      </c>
      <c r="D27" s="112">
        <f t="shared" ref="D27:P27" si="14">D26+D22</f>
        <v>170937.49578275104</v>
      </c>
      <c r="E27" s="112">
        <f t="shared" si="14"/>
        <v>174361.87074057854</v>
      </c>
      <c r="F27" s="112">
        <f t="shared" si="14"/>
        <v>171990.83523073536</v>
      </c>
      <c r="G27" s="112">
        <f t="shared" si="14"/>
        <v>171311.26436579376</v>
      </c>
      <c r="H27" s="112">
        <f t="shared" si="14"/>
        <v>164109.12279220272</v>
      </c>
      <c r="I27" s="112">
        <f t="shared" si="14"/>
        <v>162704.43355287579</v>
      </c>
      <c r="J27" s="112">
        <f t="shared" si="14"/>
        <v>164080.65304615558</v>
      </c>
      <c r="K27" s="112">
        <f t="shared" si="14"/>
        <v>151086.13348436818</v>
      </c>
      <c r="L27" s="112">
        <f t="shared" si="14"/>
        <v>149447.2853519629</v>
      </c>
      <c r="M27" s="112">
        <f t="shared" si="14"/>
        <v>150482.01486323358</v>
      </c>
      <c r="N27" s="112">
        <f t="shared" si="14"/>
        <v>146802.69891961693</v>
      </c>
      <c r="O27" s="112">
        <f t="shared" si="14"/>
        <v>149489.67881656415</v>
      </c>
      <c r="P27" s="112">
        <f t="shared" si="14"/>
        <v>208146.01970933826</v>
      </c>
      <c r="Q27" s="112">
        <f t="shared" ref="Q27:AB27" si="15">Q26+Q22</f>
        <v>184625.10412668271</v>
      </c>
      <c r="R27" s="112">
        <f t="shared" si="15"/>
        <v>187300.52763505798</v>
      </c>
      <c r="S27" s="112">
        <f t="shared" si="15"/>
        <v>198389.81584101706</v>
      </c>
      <c r="T27" s="112">
        <f t="shared" si="15"/>
        <v>169602.96522903573</v>
      </c>
      <c r="U27" s="112">
        <f t="shared" si="15"/>
        <v>173373.52617468458</v>
      </c>
      <c r="V27" s="112">
        <f t="shared" si="15"/>
        <v>186826.96976166486</v>
      </c>
      <c r="W27" s="112">
        <f t="shared" si="15"/>
        <v>154429.86132951503</v>
      </c>
      <c r="X27" s="112">
        <f t="shared" si="15"/>
        <v>159480.85388635614</v>
      </c>
      <c r="Y27" s="112">
        <f t="shared" si="15"/>
        <v>175674.30995542192</v>
      </c>
      <c r="Z27" s="112">
        <f t="shared" si="15"/>
        <v>139146.85116192838</v>
      </c>
      <c r="AA27" s="112">
        <f t="shared" si="15"/>
        <v>145692.00066480928</v>
      </c>
      <c r="AB27" s="112">
        <f t="shared" si="15"/>
        <v>165058.34828737366</v>
      </c>
      <c r="AC27" s="20"/>
      <c r="AD27" s="20"/>
    </row>
    <row r="28" spans="1:30" ht="13.8" thickTop="1" x14ac:dyDescent="0.25">
      <c r="A28" s="108"/>
      <c r="AC28" s="51"/>
      <c r="AD28" s="51"/>
    </row>
    <row r="29" spans="1:30" x14ac:dyDescent="0.25">
      <c r="A29" s="108"/>
      <c r="AC29" s="51"/>
      <c r="AD29" s="51"/>
    </row>
    <row r="30" spans="1:30" x14ac:dyDescent="0.25">
      <c r="A30" s="108" t="s">
        <v>277</v>
      </c>
      <c r="AC30" s="51"/>
      <c r="AD30" s="51"/>
    </row>
    <row r="31" spans="1:30" s="1" customFormat="1" x14ac:dyDescent="0.25">
      <c r="A31" s="114" t="s">
        <v>288</v>
      </c>
      <c r="D31" s="1">
        <v>3000000</v>
      </c>
      <c r="E31" s="1">
        <f>D31</f>
        <v>3000000</v>
      </c>
      <c r="F31" s="1">
        <f t="shared" ref="F31:Q31" si="16">E31</f>
        <v>3000000</v>
      </c>
      <c r="G31" s="1">
        <f t="shared" si="16"/>
        <v>3000000</v>
      </c>
      <c r="H31" s="1">
        <f t="shared" si="16"/>
        <v>3000000</v>
      </c>
      <c r="I31" s="1">
        <f t="shared" si="16"/>
        <v>3000000</v>
      </c>
      <c r="J31" s="1">
        <f t="shared" si="16"/>
        <v>3000000</v>
      </c>
      <c r="K31" s="1">
        <f t="shared" si="16"/>
        <v>3000000</v>
      </c>
      <c r="L31" s="1">
        <f t="shared" si="16"/>
        <v>3000000</v>
      </c>
      <c r="M31" s="1">
        <f t="shared" si="16"/>
        <v>3000000</v>
      </c>
      <c r="N31" s="1">
        <f t="shared" si="16"/>
        <v>3000000</v>
      </c>
      <c r="O31" s="1">
        <f t="shared" si="16"/>
        <v>3000000</v>
      </c>
      <c r="P31" s="1">
        <f t="shared" si="16"/>
        <v>3000000</v>
      </c>
      <c r="Q31" s="1">
        <f t="shared" si="16"/>
        <v>3000000</v>
      </c>
      <c r="R31" s="1">
        <f t="shared" ref="R31:AB31" si="17">Q31</f>
        <v>3000000</v>
      </c>
      <c r="S31" s="1">
        <f t="shared" si="17"/>
        <v>3000000</v>
      </c>
      <c r="T31" s="1">
        <f t="shared" si="17"/>
        <v>3000000</v>
      </c>
      <c r="U31" s="1">
        <f t="shared" si="17"/>
        <v>3000000</v>
      </c>
      <c r="V31" s="1">
        <f t="shared" si="17"/>
        <v>3000000</v>
      </c>
      <c r="W31" s="1">
        <f t="shared" si="17"/>
        <v>3000000</v>
      </c>
      <c r="X31" s="1">
        <f t="shared" si="17"/>
        <v>3000000</v>
      </c>
      <c r="Y31" s="1">
        <f t="shared" si="17"/>
        <v>3000000</v>
      </c>
      <c r="Z31" s="1">
        <f t="shared" si="17"/>
        <v>3000000</v>
      </c>
      <c r="AA31" s="1">
        <f t="shared" si="17"/>
        <v>3000000</v>
      </c>
      <c r="AB31" s="1">
        <f t="shared" si="17"/>
        <v>3000000</v>
      </c>
      <c r="AC31" s="20"/>
      <c r="AD31" s="20"/>
    </row>
    <row r="32" spans="1:30" s="1" customFormat="1" x14ac:dyDescent="0.25">
      <c r="A32" s="114" t="s">
        <v>289</v>
      </c>
      <c r="Q32" s="1">
        <v>5000000</v>
      </c>
      <c r="R32" s="1">
        <v>5000000</v>
      </c>
      <c r="S32" s="1">
        <v>5000000</v>
      </c>
      <c r="T32" s="1">
        <v>5000000</v>
      </c>
      <c r="U32" s="1">
        <v>5000000</v>
      </c>
      <c r="V32" s="1">
        <v>5000000</v>
      </c>
      <c r="W32" s="1">
        <v>5000000</v>
      </c>
      <c r="X32" s="1">
        <v>5000000</v>
      </c>
      <c r="Y32" s="1">
        <v>5000000</v>
      </c>
      <c r="Z32" s="1">
        <v>5000000</v>
      </c>
      <c r="AA32" s="1">
        <v>5000000</v>
      </c>
      <c r="AB32" s="1">
        <v>5000000</v>
      </c>
      <c r="AC32" s="20"/>
      <c r="AD32" s="20"/>
    </row>
    <row r="33" spans="1:30" s="1" customFormat="1" x14ac:dyDescent="0.25">
      <c r="A33" s="114" t="s">
        <v>278</v>
      </c>
      <c r="D33" s="1">
        <v>60000</v>
      </c>
      <c r="E33" s="1">
        <v>60000</v>
      </c>
      <c r="F33" s="1">
        <v>60000</v>
      </c>
      <c r="G33" s="1">
        <v>60000</v>
      </c>
      <c r="H33" s="1">
        <v>60000</v>
      </c>
      <c r="I33" s="1">
        <v>60000</v>
      </c>
      <c r="J33" s="1">
        <v>60000</v>
      </c>
      <c r="K33" s="1">
        <v>60000</v>
      </c>
      <c r="L33" s="1">
        <v>60000</v>
      </c>
      <c r="M33" s="1">
        <v>60000</v>
      </c>
      <c r="N33" s="1">
        <v>60000</v>
      </c>
      <c r="O33" s="1">
        <v>60000</v>
      </c>
      <c r="P33" s="1">
        <v>60000</v>
      </c>
      <c r="Q33" s="1">
        <v>60000</v>
      </c>
      <c r="R33" s="1">
        <v>60000</v>
      </c>
      <c r="S33" s="1">
        <v>60000</v>
      </c>
      <c r="T33" s="1">
        <v>60000</v>
      </c>
      <c r="U33" s="1">
        <v>60000</v>
      </c>
      <c r="V33" s="1">
        <v>60000</v>
      </c>
      <c r="W33" s="1">
        <v>60000</v>
      </c>
      <c r="X33" s="1">
        <v>60000</v>
      </c>
      <c r="Y33" s="1">
        <v>60000</v>
      </c>
      <c r="Z33" s="1">
        <v>60000</v>
      </c>
      <c r="AA33" s="1">
        <v>60000</v>
      </c>
      <c r="AB33" s="1">
        <v>60000</v>
      </c>
      <c r="AC33" s="20"/>
      <c r="AD33" s="20"/>
    </row>
    <row r="34" spans="1:30" s="1" customFormat="1" x14ac:dyDescent="0.25">
      <c r="A34" s="114" t="s">
        <v>279</v>
      </c>
      <c r="AC34" s="20"/>
      <c r="AD34" s="20"/>
    </row>
    <row r="35" spans="1:30" s="1" customFormat="1" x14ac:dyDescent="0.25">
      <c r="A35" s="114" t="s">
        <v>280</v>
      </c>
      <c r="D35" s="3">
        <v>0</v>
      </c>
      <c r="E35" s="3">
        <f t="shared" ref="E35:P35" si="18">(E14-(E27+E33+E31))</f>
        <v>-133829.49841229292</v>
      </c>
      <c r="F35" s="3">
        <f t="shared" si="18"/>
        <v>-324592.01303724293</v>
      </c>
      <c r="G35" s="3">
        <f t="shared" si="18"/>
        <v>-562663.12957633147</v>
      </c>
      <c r="H35" s="3">
        <f t="shared" si="18"/>
        <v>-819562.90768083557</v>
      </c>
      <c r="I35" s="3">
        <f t="shared" si="18"/>
        <v>-1061069.1351410216</v>
      </c>
      <c r="J35" s="3">
        <f t="shared" si="18"/>
        <v>-1271153.9245977853</v>
      </c>
      <c r="K35" s="3">
        <f t="shared" si="18"/>
        <v>-1529828.9386466129</v>
      </c>
      <c r="L35" s="3">
        <f t="shared" si="18"/>
        <v>-1773717.6904310714</v>
      </c>
      <c r="M35" s="3">
        <f t="shared" si="18"/>
        <v>-1987401.6118312201</v>
      </c>
      <c r="N35" s="3">
        <f t="shared" si="18"/>
        <v>-2199497.0678117592</v>
      </c>
      <c r="O35" s="3">
        <f t="shared" si="18"/>
        <v>-2371450.5310348952</v>
      </c>
      <c r="P35" s="3">
        <f t="shared" si="18"/>
        <v>-2511375.8623093953</v>
      </c>
      <c r="Q35" s="3">
        <f>(Q14-(Q27+Q33+Q32+Q31))</f>
        <v>-7712053.5640375847</v>
      </c>
      <c r="R35" s="3">
        <f t="shared" ref="R35:AB35" si="19">(R14-(R27+R33+R32+R31))</f>
        <v>-7866306.4116665823</v>
      </c>
      <c r="S35" s="3">
        <f t="shared" si="19"/>
        <v>-7929410.4895646553</v>
      </c>
      <c r="T35" s="3">
        <f t="shared" si="19"/>
        <v>-3128609.5323133497</v>
      </c>
      <c r="U35" s="3">
        <f t="shared" si="19"/>
        <v>-3373516.5673692003</v>
      </c>
      <c r="V35" s="3">
        <f t="shared" si="19"/>
        <v>-3513771.3969289707</v>
      </c>
      <c r="W35" s="3">
        <f t="shared" si="19"/>
        <v>-3796502.2206219444</v>
      </c>
      <c r="X35" s="3">
        <f t="shared" si="19"/>
        <v>-4019402.8818126628</v>
      </c>
      <c r="Y35" s="3">
        <f t="shared" si="19"/>
        <v>-4121806.6871157736</v>
      </c>
      <c r="Z35" s="3">
        <f t="shared" si="19"/>
        <v>-4387910.681191925</v>
      </c>
      <c r="AA35" s="3">
        <f t="shared" si="19"/>
        <v>-4585062.3978563882</v>
      </c>
      <c r="AB35" s="3">
        <f t="shared" si="19"/>
        <v>-4643494.7525164941</v>
      </c>
      <c r="AC35" s="20"/>
      <c r="AD35" s="20"/>
    </row>
    <row r="36" spans="1:30" s="1" customFormat="1" x14ac:dyDescent="0.25">
      <c r="A36" s="113" t="s">
        <v>281</v>
      </c>
      <c r="D36" s="111">
        <f t="shared" ref="D36:P36" si="20">SUM(D31:D35)</f>
        <v>3060000</v>
      </c>
      <c r="E36" s="111">
        <f t="shared" si="20"/>
        <v>2926170.5015877071</v>
      </c>
      <c r="F36" s="111">
        <f t="shared" si="20"/>
        <v>2735407.9869627571</v>
      </c>
      <c r="G36" s="111">
        <f t="shared" si="20"/>
        <v>2497336.8704236685</v>
      </c>
      <c r="H36" s="111">
        <f t="shared" si="20"/>
        <v>2240437.0923191644</v>
      </c>
      <c r="I36" s="111">
        <f t="shared" si="20"/>
        <v>1998930.8648589784</v>
      </c>
      <c r="J36" s="111">
        <f t="shared" si="20"/>
        <v>1788846.0754022147</v>
      </c>
      <c r="K36" s="111">
        <f t="shared" si="20"/>
        <v>1530171.0613533871</v>
      </c>
      <c r="L36" s="111">
        <f t="shared" si="20"/>
        <v>1286282.3095689286</v>
      </c>
      <c r="M36" s="111">
        <f t="shared" si="20"/>
        <v>1072598.3881687799</v>
      </c>
      <c r="N36" s="111">
        <f t="shared" si="20"/>
        <v>860502.93218824081</v>
      </c>
      <c r="O36" s="111">
        <f t="shared" si="20"/>
        <v>688549.46896510478</v>
      </c>
      <c r="P36" s="111">
        <f t="shared" si="20"/>
        <v>548624.13769060466</v>
      </c>
      <c r="Q36" s="111">
        <f t="shared" ref="Q36:AB36" si="21">SUM(Q31:Q35)</f>
        <v>347946.4359624153</v>
      </c>
      <c r="R36" s="111">
        <f t="shared" si="21"/>
        <v>193693.58833341766</v>
      </c>
      <c r="S36" s="111">
        <f t="shared" si="21"/>
        <v>130589.51043534465</v>
      </c>
      <c r="T36" s="111">
        <f t="shared" si="21"/>
        <v>4931390.4676866503</v>
      </c>
      <c r="U36" s="111">
        <f t="shared" si="21"/>
        <v>4686483.4326307997</v>
      </c>
      <c r="V36" s="111">
        <f t="shared" si="21"/>
        <v>4546228.6030710293</v>
      </c>
      <c r="W36" s="111">
        <f t="shared" si="21"/>
        <v>4263497.7793780556</v>
      </c>
      <c r="X36" s="111">
        <f t="shared" si="21"/>
        <v>4040597.1181873372</v>
      </c>
      <c r="Y36" s="111">
        <f t="shared" si="21"/>
        <v>3938193.3128842264</v>
      </c>
      <c r="Z36" s="111">
        <f t="shared" si="21"/>
        <v>3672089.318808075</v>
      </c>
      <c r="AA36" s="111">
        <f t="shared" si="21"/>
        <v>3474937.6021436118</v>
      </c>
      <c r="AB36" s="111">
        <f t="shared" si="21"/>
        <v>3416505.2474835059</v>
      </c>
      <c r="AC36" s="20"/>
      <c r="AD36" s="20"/>
    </row>
    <row r="37" spans="1:30" s="1" customFormat="1" ht="13.8" thickBot="1" x14ac:dyDescent="0.3">
      <c r="A37" s="113" t="s">
        <v>352</v>
      </c>
      <c r="D37" s="112">
        <f t="shared" ref="D37:P37" si="22">SUM(D27+D36)</f>
        <v>3230937.4957827511</v>
      </c>
      <c r="E37" s="112">
        <f t="shared" si="22"/>
        <v>3100532.3723282856</v>
      </c>
      <c r="F37" s="112">
        <f t="shared" si="22"/>
        <v>2907398.8221934922</v>
      </c>
      <c r="G37" s="112">
        <f t="shared" si="22"/>
        <v>2668648.1347894622</v>
      </c>
      <c r="H37" s="112">
        <f t="shared" si="22"/>
        <v>2404546.2151113669</v>
      </c>
      <c r="I37" s="112">
        <f t="shared" si="22"/>
        <v>2161635.2984118541</v>
      </c>
      <c r="J37" s="112">
        <f t="shared" si="22"/>
        <v>1952926.7284483702</v>
      </c>
      <c r="K37" s="112">
        <f t="shared" si="22"/>
        <v>1681257.1948377553</v>
      </c>
      <c r="L37" s="112">
        <f t="shared" si="22"/>
        <v>1435729.5949208913</v>
      </c>
      <c r="M37" s="112">
        <f t="shared" si="22"/>
        <v>1223080.4030320134</v>
      </c>
      <c r="N37" s="112">
        <f t="shared" si="22"/>
        <v>1007305.6311078577</v>
      </c>
      <c r="O37" s="112">
        <f t="shared" si="22"/>
        <v>838039.14778166893</v>
      </c>
      <c r="P37" s="112">
        <f t="shared" si="22"/>
        <v>756770.15739994287</v>
      </c>
      <c r="Q37" s="112">
        <f t="shared" ref="Q37:AB37" si="23">SUM(Q27+Q36)</f>
        <v>532571.54008909804</v>
      </c>
      <c r="R37" s="112">
        <f t="shared" si="23"/>
        <v>380994.11596847564</v>
      </c>
      <c r="S37" s="112">
        <f t="shared" si="23"/>
        <v>328979.32627636171</v>
      </c>
      <c r="T37" s="112">
        <f t="shared" si="23"/>
        <v>5100993.4329156857</v>
      </c>
      <c r="U37" s="112">
        <f t="shared" si="23"/>
        <v>4859856.9588054847</v>
      </c>
      <c r="V37" s="112">
        <f t="shared" si="23"/>
        <v>4733055.5728326943</v>
      </c>
      <c r="W37" s="112">
        <f t="shared" si="23"/>
        <v>4417927.6407075711</v>
      </c>
      <c r="X37" s="112">
        <f t="shared" si="23"/>
        <v>4200077.9720736938</v>
      </c>
      <c r="Y37" s="112">
        <f t="shared" si="23"/>
        <v>4113867.6228396483</v>
      </c>
      <c r="Z37" s="112">
        <f t="shared" si="23"/>
        <v>3811236.1699700034</v>
      </c>
      <c r="AA37" s="112">
        <f t="shared" si="23"/>
        <v>3620629.602808421</v>
      </c>
      <c r="AB37" s="112">
        <f t="shared" si="23"/>
        <v>3581563.5957708796</v>
      </c>
      <c r="AC37" s="20"/>
      <c r="AD37" s="20"/>
    </row>
    <row r="38" spans="1:30" ht="13.8" thickTop="1" x14ac:dyDescent="0.25">
      <c r="AC38" s="51"/>
      <c r="AD38" s="51"/>
    </row>
    <row r="39" spans="1:30" x14ac:dyDescent="0.25">
      <c r="AC39" s="51"/>
      <c r="AD39" s="51"/>
    </row>
  </sheetData>
  <phoneticPr fontId="0" type="noConversion"/>
  <pageMargins left="0.5" right="0.5" top="0.75" bottom="0.75" header="0.5" footer="0.5"/>
  <pageSetup orientation="landscape" horizontalDpi="0" verticalDpi="0" copies="0" r:id="rId1"/>
  <headerFooter alignWithMargins="0"/>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B29"/>
  <sheetViews>
    <sheetView zoomScale="75" workbookViewId="0">
      <pane xSplit="2" ySplit="5" topLeftCell="C6" activePane="bottomRight" state="frozen"/>
      <selection pane="topRight" activeCell="C1" sqref="C1"/>
      <selection pane="bottomLeft" activeCell="A8" sqref="A8"/>
      <selection pane="bottomRight" activeCell="AC14" sqref="AC14"/>
    </sheetView>
  </sheetViews>
  <sheetFormatPr defaultRowHeight="13.2" x14ac:dyDescent="0.25"/>
  <cols>
    <col min="1" max="1" width="2.44140625" customWidth="1"/>
    <col min="2" max="2" width="37.44140625" customWidth="1"/>
    <col min="3" max="3" width="3.6640625" customWidth="1"/>
    <col min="4" max="4" width="10.6640625" customWidth="1"/>
    <col min="5" max="5" width="11.5546875" bestFit="1" customWidth="1"/>
    <col min="6" max="16" width="10.6640625" customWidth="1"/>
    <col min="17" max="17" width="10.5546875" customWidth="1"/>
    <col min="18" max="28" width="10.6640625" customWidth="1"/>
  </cols>
  <sheetData>
    <row r="3" spans="1:28" x14ac:dyDescent="0.25">
      <c r="A3" s="116" t="s">
        <v>290</v>
      </c>
      <c r="B3" s="116"/>
    </row>
    <row r="4" spans="1:28" x14ac:dyDescent="0.25">
      <c r="D4" s="109"/>
      <c r="E4" s="109"/>
      <c r="F4" s="109"/>
      <c r="G4" s="109"/>
      <c r="H4" s="109"/>
      <c r="I4" s="109"/>
      <c r="J4" s="109"/>
      <c r="K4" s="109"/>
      <c r="L4" s="109"/>
      <c r="M4" s="109"/>
      <c r="N4" s="109"/>
      <c r="O4" s="109"/>
      <c r="P4" s="109"/>
    </row>
    <row r="5" spans="1:28" x14ac:dyDescent="0.25">
      <c r="A5" s="116" t="s">
        <v>291</v>
      </c>
      <c r="B5" s="116"/>
      <c r="D5" s="109">
        <v>37226</v>
      </c>
      <c r="E5" s="109">
        <v>37257</v>
      </c>
      <c r="F5" s="109">
        <v>37288</v>
      </c>
      <c r="G5" s="109">
        <v>37316</v>
      </c>
      <c r="H5" s="109">
        <v>37347</v>
      </c>
      <c r="I5" s="109">
        <v>37377</v>
      </c>
      <c r="J5" s="109">
        <v>37408</v>
      </c>
      <c r="K5" s="109">
        <v>37438</v>
      </c>
      <c r="L5" s="109">
        <v>37469</v>
      </c>
      <c r="M5" s="109">
        <v>37500</v>
      </c>
      <c r="N5" s="109">
        <v>37530</v>
      </c>
      <c r="O5" s="109">
        <v>37561</v>
      </c>
      <c r="P5" s="109">
        <v>37591</v>
      </c>
      <c r="Q5" s="109">
        <v>37622</v>
      </c>
      <c r="R5" s="109">
        <v>37653</v>
      </c>
      <c r="S5" s="109">
        <v>37681</v>
      </c>
      <c r="T5" s="109">
        <v>37712</v>
      </c>
      <c r="U5" s="109">
        <v>37742</v>
      </c>
      <c r="V5" s="109">
        <v>37773</v>
      </c>
      <c r="W5" s="109">
        <v>37803</v>
      </c>
      <c r="X5" s="109">
        <v>37834</v>
      </c>
      <c r="Y5" s="109">
        <v>37865</v>
      </c>
      <c r="Z5" s="109">
        <v>37895</v>
      </c>
      <c r="AA5" s="109">
        <v>37926</v>
      </c>
      <c r="AB5" s="109">
        <v>37956</v>
      </c>
    </row>
    <row r="6" spans="1:28" x14ac:dyDescent="0.25">
      <c r="A6" s="117" t="s">
        <v>292</v>
      </c>
      <c r="B6" s="117"/>
      <c r="D6" s="1">
        <v>0</v>
      </c>
      <c r="E6" s="1">
        <f>'Monthly P&amp;L'!D27</f>
        <v>-133870.12345446565</v>
      </c>
      <c r="F6" s="1">
        <f>'Monthly P&amp;L'!E27</f>
        <v>-190762.92087537193</v>
      </c>
      <c r="G6" s="1">
        <f>'Monthly P&amp;L'!F27</f>
        <v>-238071.52685201418</v>
      </c>
      <c r="H6" s="1">
        <f>'Monthly P&amp;L'!G27</f>
        <v>-256900.19252055962</v>
      </c>
      <c r="I6" s="1">
        <f>'Monthly P&amp;L'!H27</f>
        <v>-241506.64602040173</v>
      </c>
      <c r="J6" s="1">
        <f>'Monthly P&amp;L'!I27</f>
        <v>-210085.21220258164</v>
      </c>
      <c r="K6" s="1">
        <f>'Monthly P&amp;L'!J27</f>
        <v>-258675.44102210354</v>
      </c>
      <c r="L6" s="1">
        <f>'Monthly P&amp;L'!K27</f>
        <v>-243889.1830274672</v>
      </c>
      <c r="M6" s="1">
        <f>'Monthly P&amp;L'!L27</f>
        <v>-213684.3569555876</v>
      </c>
      <c r="N6" s="1">
        <f>'Monthly P&amp;L'!M27</f>
        <v>-212095.89589153245</v>
      </c>
      <c r="O6" s="1">
        <f>'Monthly P&amp;L'!N27</f>
        <v>-171953.90753323879</v>
      </c>
      <c r="P6" s="1">
        <f>'Monthly P&amp;L'!O27</f>
        <v>-91086.495518347001</v>
      </c>
      <c r="Q6" s="1">
        <f>'Monthly P&amp;L'!P27</f>
        <v>-200917.93552207912</v>
      </c>
      <c r="R6" s="1">
        <f>'Monthly P&amp;L'!Q27</f>
        <v>-155642.31036257843</v>
      </c>
      <c r="S6" s="1">
        <f>'Monthly P&amp;L'!R27</f>
        <v>-64493.546370102224</v>
      </c>
      <c r="T6" s="1">
        <f>'Monthly P&amp;L'!S27</f>
        <v>-200588.51701655478</v>
      </c>
      <c r="U6" s="1">
        <f>'Monthly P&amp;L'!T27</f>
        <v>-246296.51517749997</v>
      </c>
      <c r="V6" s="1">
        <f>'Monthly P&amp;L'!U27</f>
        <v>-141644.31559374771</v>
      </c>
      <c r="W6" s="1">
        <f>'Monthly P&amp;L'!V27</f>
        <v>-284120.31569840189</v>
      </c>
      <c r="X6" s="1">
        <f>'Monthly P&amp;L'!W27</f>
        <v>-224290.15922731196</v>
      </c>
      <c r="Y6" s="1">
        <f>'Monthly P&amp;L'!X27</f>
        <v>-103793.30943118139</v>
      </c>
      <c r="Z6" s="1">
        <f>'Monthly P&amp;L'!Y27</f>
        <v>-267493.50435661373</v>
      </c>
      <c r="AA6" s="1">
        <f>'Monthly P&amp;L'!Z27</f>
        <v>-198541.23315884126</v>
      </c>
      <c r="AB6" s="1">
        <f>'Monthly P&amp;L'!AA27</f>
        <v>-59821.877430539367</v>
      </c>
    </row>
    <row r="7" spans="1:28" x14ac:dyDescent="0.25">
      <c r="A7" s="117" t="s">
        <v>293</v>
      </c>
      <c r="B7" s="117"/>
    </row>
    <row r="8" spans="1:28" x14ac:dyDescent="0.25">
      <c r="A8" s="117"/>
      <c r="B8" s="117" t="s">
        <v>239</v>
      </c>
      <c r="D8" s="100">
        <v>0</v>
      </c>
      <c r="E8" s="100">
        <f>'Monthly P&amp;L'!D21</f>
        <v>4861.1111111111113</v>
      </c>
      <c r="F8" s="100">
        <f>'Monthly P&amp;L'!E21</f>
        <v>4861.1111111111113</v>
      </c>
      <c r="G8" s="100">
        <f>'Monthly P&amp;L'!F21</f>
        <v>4861.1111111111113</v>
      </c>
      <c r="H8" s="100">
        <f>'Monthly P&amp;L'!G21</f>
        <v>4861.1111111111113</v>
      </c>
      <c r="I8" s="100">
        <f>'Monthly P&amp;L'!H21</f>
        <v>4861.1111111111113</v>
      </c>
      <c r="J8" s="100">
        <f>'Monthly P&amp;L'!I21</f>
        <v>4861.1111111111113</v>
      </c>
      <c r="K8" s="100">
        <f>'Monthly P&amp;L'!J21</f>
        <v>4861.1111111111113</v>
      </c>
      <c r="L8" s="100">
        <f>'Monthly P&amp;L'!K21</f>
        <v>4861.1111111111113</v>
      </c>
      <c r="M8" s="100">
        <f>'Monthly P&amp;L'!L21</f>
        <v>4861.1111111111113</v>
      </c>
      <c r="N8" s="100">
        <f>'Monthly P&amp;L'!M21</f>
        <v>4861.1111111111113</v>
      </c>
      <c r="O8" s="100">
        <f>'Monthly P&amp;L'!N21</f>
        <v>4861.1111111111113</v>
      </c>
      <c r="P8" s="100">
        <f>'Monthly P&amp;L'!O21</f>
        <v>4861.1111111111113</v>
      </c>
      <c r="Q8" s="100">
        <f>'Monthly P&amp;L'!P21</f>
        <v>6250</v>
      </c>
      <c r="R8" s="100">
        <f>'Monthly P&amp;L'!Q21</f>
        <v>6250</v>
      </c>
      <c r="S8" s="100">
        <f>'Monthly P&amp;L'!R21</f>
        <v>6250</v>
      </c>
      <c r="T8" s="100">
        <f>'Monthly P&amp;L'!S21</f>
        <v>6250</v>
      </c>
      <c r="U8" s="100">
        <f>'Monthly P&amp;L'!T21</f>
        <v>6250</v>
      </c>
      <c r="V8" s="100">
        <f>'Monthly P&amp;L'!U21</f>
        <v>6250</v>
      </c>
      <c r="W8" s="100">
        <f>'Monthly P&amp;L'!V21</f>
        <v>6250</v>
      </c>
      <c r="X8" s="100">
        <f>'Monthly P&amp;L'!W21</f>
        <v>6250</v>
      </c>
      <c r="Y8" s="100">
        <f>'Monthly P&amp;L'!X21</f>
        <v>6250</v>
      </c>
      <c r="Z8" s="100">
        <f>'Monthly P&amp;L'!Y21</f>
        <v>6250</v>
      </c>
      <c r="AA8" s="100">
        <f>'Monthly P&amp;L'!Z21</f>
        <v>6250</v>
      </c>
      <c r="AB8" s="100">
        <f>'Monthly P&amp;L'!AA21</f>
        <v>6250</v>
      </c>
    </row>
    <row r="9" spans="1:28" x14ac:dyDescent="0.25">
      <c r="A9" s="117"/>
      <c r="B9" s="117" t="s">
        <v>294</v>
      </c>
      <c r="D9" s="100">
        <v>0</v>
      </c>
      <c r="E9" s="100">
        <f>'Balance Sheet'!D20</f>
        <v>0</v>
      </c>
      <c r="F9" s="100">
        <f>'Balance Sheet'!E20</f>
        <v>0</v>
      </c>
      <c r="G9" s="100">
        <f>'Balance Sheet'!F20</f>
        <v>0</v>
      </c>
      <c r="H9" s="100">
        <f>'Balance Sheet'!G20</f>
        <v>0</v>
      </c>
      <c r="I9" s="100">
        <f>'Balance Sheet'!H20</f>
        <v>0</v>
      </c>
      <c r="J9" s="100">
        <f>'Balance Sheet'!I20</f>
        <v>0</v>
      </c>
      <c r="K9" s="100">
        <f>'Balance Sheet'!J20</f>
        <v>0</v>
      </c>
      <c r="L9" s="100">
        <f>'Balance Sheet'!K20</f>
        <v>0</v>
      </c>
      <c r="M9" s="100">
        <f>'Balance Sheet'!L20</f>
        <v>0</v>
      </c>
      <c r="N9" s="100">
        <f>'Balance Sheet'!M20</f>
        <v>0</v>
      </c>
      <c r="O9" s="100">
        <f>'Balance Sheet'!N20</f>
        <v>0</v>
      </c>
      <c r="P9" s="100">
        <f>'Balance Sheet'!O20</f>
        <v>0</v>
      </c>
    </row>
    <row r="10" spans="1:28" x14ac:dyDescent="0.25">
      <c r="A10" s="117" t="s">
        <v>295</v>
      </c>
      <c r="B10" s="117"/>
    </row>
    <row r="11" spans="1:28" x14ac:dyDescent="0.25">
      <c r="A11" s="117"/>
      <c r="B11" s="117" t="s">
        <v>296</v>
      </c>
      <c r="D11" s="100">
        <v>0</v>
      </c>
      <c r="E11" s="100">
        <f>'Balance Sheet'!D7-'Balance Sheet'!E7</f>
        <v>-3960</v>
      </c>
      <c r="F11" s="100">
        <f>'Balance Sheet'!E7-'Balance Sheet'!F7</f>
        <v>-1980</v>
      </c>
      <c r="G11" s="100">
        <f>'Balance Sheet'!F7-'Balance Sheet'!G7</f>
        <v>-3960</v>
      </c>
      <c r="H11" s="100">
        <f>'Balance Sheet'!G7-'Balance Sheet'!H7</f>
        <v>3447</v>
      </c>
      <c r="I11" s="100">
        <f>'Balance Sheet'!H7-'Balance Sheet'!I7</f>
        <v>-3226.5</v>
      </c>
      <c r="J11" s="100">
        <f>'Balance Sheet'!I7-'Balance Sheet'!J7</f>
        <v>-6453</v>
      </c>
      <c r="K11" s="100">
        <f>'Balance Sheet'!J7-'Balance Sheet'!K7</f>
        <v>9921.9</v>
      </c>
      <c r="L11" s="100">
        <f>'Balance Sheet'!K7-'Balance Sheet'!L7</f>
        <v>-3105.2999999999993</v>
      </c>
      <c r="M11" s="100">
        <f>'Balance Sheet'!L7-'Balance Sheet'!M7</f>
        <v>-6210.6</v>
      </c>
      <c r="N11" s="100">
        <f>'Balance Sheet'!M7-'Balance Sheet'!N7</f>
        <v>-873.40000000000146</v>
      </c>
      <c r="O11" s="100">
        <f>'Balance Sheet'!N7-'Balance Sheet'!O7</f>
        <v>-8199.9500000000007</v>
      </c>
      <c r="P11" s="100">
        <f>'Balance Sheet'!O7-'Balance Sheet'!P7</f>
        <v>-16399.899999999998</v>
      </c>
      <c r="Q11" s="100">
        <f>'Balance Sheet'!P7-'Balance Sheet'!Q7</f>
        <v>21635.57</v>
      </c>
      <c r="R11" s="100">
        <f>'Balance Sheet'!Q7-'Balance Sheet'!R7</f>
        <v>-9682.0900000000038</v>
      </c>
      <c r="S11" s="100">
        <f>'Balance Sheet'!R7-'Balance Sheet'!S7</f>
        <v>-19364.18</v>
      </c>
      <c r="T11" s="100">
        <f>'Balance Sheet'!S7-'Balance Sheet'!T7</f>
        <v>26141.643000000004</v>
      </c>
      <c r="U11" s="100">
        <f>'Balance Sheet'!T7-'Balance Sheet'!U7</f>
        <v>-11134.403499999993</v>
      </c>
      <c r="V11" s="100">
        <f>'Balance Sheet'!U7-'Balance Sheet'!V7</f>
        <v>-22268.807000000001</v>
      </c>
      <c r="W11" s="100">
        <f>'Balance Sheet'!V7-'Balance Sheet'!W7</f>
        <v>30062.889449999999</v>
      </c>
      <c r="X11" s="100">
        <f>'Balance Sheet'!W7-'Balance Sheet'!X7</f>
        <v>-12804.564024999996</v>
      </c>
      <c r="Y11" s="100">
        <f>'Balance Sheet'!X7-'Balance Sheet'!Y7</f>
        <v>-25609.128049999992</v>
      </c>
      <c r="Z11" s="100">
        <f>'Balance Sheet'!Y7-'Balance Sheet'!Z7</f>
        <v>34572.322867499992</v>
      </c>
      <c r="AA11" s="100">
        <f>'Balance Sheet'!Z7-'Balance Sheet'!AA7</f>
        <v>-14725.24862875</v>
      </c>
      <c r="AB11" s="100">
        <f>'Balance Sheet'!AA7-'Balance Sheet'!AB7</f>
        <v>-29450.497257499999</v>
      </c>
    </row>
    <row r="12" spans="1:28" x14ac:dyDescent="0.25">
      <c r="A12" s="117"/>
      <c r="B12" s="117" t="s">
        <v>297</v>
      </c>
      <c r="D12" s="100">
        <v>0</v>
      </c>
      <c r="E12" s="100">
        <f>'Balance Sheet'!D8-'Balance Sheet'!E8</f>
        <v>-25000</v>
      </c>
      <c r="F12" s="100">
        <f>'Balance Sheet'!E8-'Balance Sheet'!F8</f>
        <v>0</v>
      </c>
      <c r="G12" s="100">
        <f>'Balance Sheet'!F8-'Balance Sheet'!G8</f>
        <v>0</v>
      </c>
      <c r="H12" s="100">
        <f>'Balance Sheet'!G8-'Balance Sheet'!H8</f>
        <v>0</v>
      </c>
      <c r="I12" s="100">
        <f>'Balance Sheet'!H8-'Balance Sheet'!I8</f>
        <v>0</v>
      </c>
      <c r="J12" s="100">
        <f>'Balance Sheet'!I8-'Balance Sheet'!J8</f>
        <v>0</v>
      </c>
      <c r="K12" s="100">
        <f>'Balance Sheet'!J8-'Balance Sheet'!K8</f>
        <v>0</v>
      </c>
      <c r="L12" s="100">
        <f>'Balance Sheet'!K8-'Balance Sheet'!L8</f>
        <v>0</v>
      </c>
      <c r="M12" s="100">
        <f>'Balance Sheet'!L8-'Balance Sheet'!M8</f>
        <v>0</v>
      </c>
      <c r="N12" s="100">
        <f>'Balance Sheet'!M8-'Balance Sheet'!N8</f>
        <v>0</v>
      </c>
      <c r="O12" s="100">
        <f>'Balance Sheet'!N8-'Balance Sheet'!O8</f>
        <v>0</v>
      </c>
      <c r="P12" s="100">
        <f>'Balance Sheet'!O8-'Balance Sheet'!P8</f>
        <v>0</v>
      </c>
      <c r="Q12" s="100">
        <f>'Balance Sheet'!P8-'Balance Sheet'!Q8</f>
        <v>0</v>
      </c>
      <c r="R12" s="100">
        <f>'Balance Sheet'!Q8-'Balance Sheet'!R8</f>
        <v>0</v>
      </c>
      <c r="S12" s="100">
        <f>'Balance Sheet'!R8-'Balance Sheet'!S8</f>
        <v>0</v>
      </c>
      <c r="T12" s="100">
        <f>'Balance Sheet'!S8-'Balance Sheet'!T8</f>
        <v>0</v>
      </c>
      <c r="U12" s="100">
        <f>'Balance Sheet'!T8-'Balance Sheet'!U8</f>
        <v>0</v>
      </c>
      <c r="V12" s="100">
        <f>'Balance Sheet'!U8-'Balance Sheet'!V8</f>
        <v>0</v>
      </c>
      <c r="W12" s="100">
        <f>'Balance Sheet'!V8-'Balance Sheet'!W8</f>
        <v>0</v>
      </c>
      <c r="X12" s="100">
        <f>'Balance Sheet'!W8-'Balance Sheet'!X8</f>
        <v>0</v>
      </c>
      <c r="Y12" s="100">
        <f>'Balance Sheet'!X8-'Balance Sheet'!Y8</f>
        <v>0</v>
      </c>
      <c r="Z12" s="100">
        <f>'Balance Sheet'!Y8-'Balance Sheet'!Z8</f>
        <v>0</v>
      </c>
      <c r="AA12" s="100">
        <f>'Balance Sheet'!Z8-'Balance Sheet'!AA8</f>
        <v>0</v>
      </c>
      <c r="AB12" s="100">
        <f>'Balance Sheet'!AA8-'Balance Sheet'!AB8</f>
        <v>0</v>
      </c>
    </row>
    <row r="13" spans="1:28" x14ac:dyDescent="0.25">
      <c r="A13" s="117"/>
      <c r="B13" s="117" t="s">
        <v>298</v>
      </c>
      <c r="C13" s="51"/>
      <c r="D13" s="104">
        <v>0</v>
      </c>
      <c r="E13" s="104">
        <f>-(('Balance Sheet'!D18+'Balance Sheet'!D19)-('Balance Sheet'!E18+'Balance Sheet'!E19))</f>
        <v>3465</v>
      </c>
      <c r="F13" s="104">
        <f>-(('Balance Sheet'!E18+'Balance Sheet'!E19)-('Balance Sheet'!F18+'Balance Sheet'!F19))</f>
        <v>1732.5</v>
      </c>
      <c r="G13" s="104">
        <f>-(('Balance Sheet'!F18+'Balance Sheet'!F19)-('Balance Sheet'!G18+'Balance Sheet'!G19))</f>
        <v>3465</v>
      </c>
      <c r="H13" s="104">
        <f>-(('Balance Sheet'!G18+'Balance Sheet'!G19)-('Balance Sheet'!H18+'Balance Sheet'!H19))</f>
        <v>-3016.125</v>
      </c>
      <c r="I13" s="104">
        <f>-(('Balance Sheet'!H18+'Balance Sheet'!H19)-('Balance Sheet'!I18+'Balance Sheet'!I19))</f>
        <v>2823.1875</v>
      </c>
      <c r="J13" s="104">
        <f>-(('Balance Sheet'!I18+'Balance Sheet'!I19)-('Balance Sheet'!J18+'Balance Sheet'!J19))</f>
        <v>5646.375</v>
      </c>
      <c r="K13" s="104">
        <f>-(('Balance Sheet'!J18+'Balance Sheet'!J19)-('Balance Sheet'!K18+'Balance Sheet'!K19))</f>
        <v>-8681.6625000000004</v>
      </c>
      <c r="L13" s="104">
        <f>-(('Balance Sheet'!K18+'Balance Sheet'!K19)-('Balance Sheet'!L18+'Balance Sheet'!L19))</f>
        <v>2717.1375000000007</v>
      </c>
      <c r="M13" s="104">
        <f>-(('Balance Sheet'!L18+'Balance Sheet'!L19)-('Balance Sheet'!M18+'Balance Sheet'!M19))</f>
        <v>5434.2749999999996</v>
      </c>
      <c r="N13" s="104">
        <f>-(('Balance Sheet'!M18+'Balance Sheet'!M19)-('Balance Sheet'!N18+'Balance Sheet'!N19))</f>
        <v>764.22499999999854</v>
      </c>
      <c r="O13" s="104">
        <f>-(('Balance Sheet'!N18+'Balance Sheet'!N19)-('Balance Sheet'!O18+'Balance Sheet'!O19))</f>
        <v>7174.9562500000029</v>
      </c>
      <c r="P13" s="104">
        <f>-(('Balance Sheet'!O18+'Balance Sheet'!O19)-('Balance Sheet'!P18+'Balance Sheet'!P19))</f>
        <v>14349.912499999999</v>
      </c>
      <c r="Q13" s="104">
        <f>-(('Balance Sheet'!P18+'Balance Sheet'!P19)-('Balance Sheet'!Q18+'Balance Sheet'!Q19))</f>
        <v>-18931.123750000002</v>
      </c>
      <c r="R13" s="104">
        <f>-(('Balance Sheet'!Q18+'Balance Sheet'!Q19)-('Balance Sheet'!R18+'Balance Sheet'!R19))</f>
        <v>8471.8287500000042</v>
      </c>
      <c r="S13" s="104">
        <f>-(('Balance Sheet'!R18+'Balance Sheet'!R19)-('Balance Sheet'!S18+'Balance Sheet'!S19))</f>
        <v>16943.657500000001</v>
      </c>
      <c r="T13" s="104">
        <f>-(('Balance Sheet'!S18+'Balance Sheet'!S19)-('Balance Sheet'!T18+'Balance Sheet'!T19))</f>
        <v>-22873.937625000006</v>
      </c>
      <c r="U13" s="104">
        <f>-(('Balance Sheet'!T18+'Balance Sheet'!T19)-('Balance Sheet'!U18+'Balance Sheet'!U19))</f>
        <v>9742.6030624999948</v>
      </c>
      <c r="V13" s="104">
        <f>-(('Balance Sheet'!U18+'Balance Sheet'!U19)-('Balance Sheet'!V18+'Balance Sheet'!V19))</f>
        <v>19485.206125000001</v>
      </c>
      <c r="W13" s="104">
        <f>-(('Balance Sheet'!V18+'Balance Sheet'!V19)-('Balance Sheet'!W18+'Balance Sheet'!W19))</f>
        <v>-26305.028268749997</v>
      </c>
      <c r="X13" s="104">
        <f>-(('Balance Sheet'!W18+'Balance Sheet'!W19)-('Balance Sheet'!X18+'Balance Sheet'!X19))</f>
        <v>11203.993521874992</v>
      </c>
      <c r="Y13" s="104">
        <f>-(('Balance Sheet'!X18+'Balance Sheet'!X19)-('Balance Sheet'!Y18+'Balance Sheet'!Y19))</f>
        <v>22407.987043749992</v>
      </c>
      <c r="Z13" s="104">
        <f>-(('Balance Sheet'!Y18+'Balance Sheet'!Y19)-('Balance Sheet'!Z18+'Balance Sheet'!Z19))</f>
        <v>-30250.78250906249</v>
      </c>
      <c r="AA13" s="104">
        <f>-(('Balance Sheet'!Z18+'Balance Sheet'!Z19)-('Balance Sheet'!AA18+'Balance Sheet'!AA19))</f>
        <v>12884.592550156245</v>
      </c>
      <c r="AB13" s="104">
        <f>-(('Balance Sheet'!AA18+'Balance Sheet'!AA19)-('Balance Sheet'!AB18+'Balance Sheet'!AB19))</f>
        <v>25769.185100312498</v>
      </c>
    </row>
    <row r="14" spans="1:28" x14ac:dyDescent="0.25">
      <c r="A14" s="116"/>
      <c r="B14" s="118" t="s">
        <v>299</v>
      </c>
      <c r="D14" s="100">
        <f t="shared" ref="D14:Q14" si="0">SUM(D6:D13)</f>
        <v>0</v>
      </c>
      <c r="E14" s="100">
        <f t="shared" si="0"/>
        <v>-154504.01234335452</v>
      </c>
      <c r="F14" s="100">
        <f t="shared" si="0"/>
        <v>-186149.3097642608</v>
      </c>
      <c r="G14" s="100">
        <f t="shared" si="0"/>
        <v>-233705.41574090306</v>
      </c>
      <c r="H14" s="100">
        <f t="shared" si="0"/>
        <v>-251608.2064094485</v>
      </c>
      <c r="I14" s="100">
        <f t="shared" si="0"/>
        <v>-237048.84740929061</v>
      </c>
      <c r="J14" s="100">
        <f t="shared" si="0"/>
        <v>-206030.72609147051</v>
      </c>
      <c r="K14" s="100">
        <f t="shared" si="0"/>
        <v>-252574.09241099242</v>
      </c>
      <c r="L14" s="100">
        <f t="shared" si="0"/>
        <v>-239416.23441635605</v>
      </c>
      <c r="M14" s="100">
        <f t="shared" si="0"/>
        <v>-209599.57084447649</v>
      </c>
      <c r="N14" s="100">
        <f t="shared" si="0"/>
        <v>-207343.95978042131</v>
      </c>
      <c r="O14" s="100">
        <f t="shared" si="0"/>
        <v>-168117.79017212766</v>
      </c>
      <c r="P14" s="100">
        <f t="shared" si="0"/>
        <v>-88275.37190723588</v>
      </c>
      <c r="Q14" s="100">
        <f t="shared" si="0"/>
        <v>-191963.48927207911</v>
      </c>
      <c r="R14" s="100">
        <f t="shared" ref="R14:AB14" si="1">SUM(R6:R13)</f>
        <v>-150602.57161257841</v>
      </c>
      <c r="S14" s="100">
        <f t="shared" si="1"/>
        <v>-60664.06887010223</v>
      </c>
      <c r="T14" s="100">
        <f t="shared" si="1"/>
        <v>-191070.81164155476</v>
      </c>
      <c r="U14" s="100">
        <f t="shared" si="1"/>
        <v>-241438.31561499997</v>
      </c>
      <c r="V14" s="100">
        <f t="shared" si="1"/>
        <v>-138177.91646874772</v>
      </c>
      <c r="W14" s="100">
        <f t="shared" si="1"/>
        <v>-274112.45451715187</v>
      </c>
      <c r="X14" s="100">
        <f t="shared" si="1"/>
        <v>-219640.72973043696</v>
      </c>
      <c r="Y14" s="100">
        <f t="shared" si="1"/>
        <v>-100744.45043743138</v>
      </c>
      <c r="Z14" s="100">
        <f t="shared" si="1"/>
        <v>-256921.96399817624</v>
      </c>
      <c r="AA14" s="100">
        <f t="shared" si="1"/>
        <v>-194131.88923743501</v>
      </c>
      <c r="AB14" s="100">
        <f t="shared" si="1"/>
        <v>-57253.189587726862</v>
      </c>
    </row>
    <row r="17" spans="1:28" x14ac:dyDescent="0.25">
      <c r="A17" s="116" t="s">
        <v>300</v>
      </c>
      <c r="B17" s="116"/>
    </row>
    <row r="18" spans="1:28" x14ac:dyDescent="0.25">
      <c r="A18" s="116"/>
      <c r="B18" s="119" t="s">
        <v>301</v>
      </c>
      <c r="D18" s="104">
        <v>0</v>
      </c>
      <c r="E18" s="104">
        <f>'Balance Sheet'!E21</f>
        <v>4062.5042172489584</v>
      </c>
      <c r="F18" s="104">
        <f>'Balance Sheet'!F21</f>
        <v>4103.1292594214483</v>
      </c>
      <c r="G18" s="104">
        <f>'Balance Sheet'!G21</f>
        <v>4144.1605520156627</v>
      </c>
      <c r="H18" s="104">
        <f>'Balance Sheet'!H21</f>
        <v>4185.6021575358191</v>
      </c>
      <c r="I18" s="104">
        <f>'Balance Sheet'!I21</f>
        <v>4227.4581791111777</v>
      </c>
      <c r="J18" s="104">
        <f>'Balance Sheet'!J21</f>
        <v>4269.7327609022896</v>
      </c>
      <c r="K18" s="104">
        <f>'Balance Sheet'!K21</f>
        <v>4312.4300885113125</v>
      </c>
      <c r="L18" s="104">
        <f>'Balance Sheet'!L21</f>
        <v>4355.5543893964259</v>
      </c>
      <c r="M18" s="104">
        <f>'Balance Sheet'!M21</f>
        <v>4399.1099332903896</v>
      </c>
      <c r="N18" s="104">
        <f>'Balance Sheet'!N21</f>
        <v>4443.1010326232936</v>
      </c>
      <c r="O18" s="104">
        <f>'Balance Sheet'!O21</f>
        <v>4487.5320429495268</v>
      </c>
      <c r="P18" s="104">
        <f>'Balance Sheet'!P21</f>
        <v>4532.4073633790222</v>
      </c>
      <c r="Q18" s="104">
        <f>'Balance Sheet'!Q21</f>
        <v>5738.4469276553718</v>
      </c>
      <c r="R18" s="104">
        <f>'Balance Sheet'!R21</f>
        <v>5795.8313969319261</v>
      </c>
      <c r="S18" s="104">
        <f>'Balance Sheet'!S21</f>
        <v>5853.7897109012447</v>
      </c>
      <c r="T18" s="104">
        <f>'Balance Sheet'!T21</f>
        <v>5912.3276080102578</v>
      </c>
      <c r="U18" s="104">
        <f>'Balance Sheet'!U21</f>
        <v>5971.45088409036</v>
      </c>
      <c r="V18" s="104">
        <f>'Balance Sheet'!V21</f>
        <v>6031.1653929312633</v>
      </c>
      <c r="W18" s="104">
        <f>'Balance Sheet'!W21</f>
        <v>6091.4770468605766</v>
      </c>
      <c r="X18" s="104">
        <f>'Balance Sheet'!X21</f>
        <v>6152.3918173291822</v>
      </c>
      <c r="Y18" s="104">
        <f>'Balance Sheet'!Y21</f>
        <v>6213.9157355024727</v>
      </c>
      <c r="Z18" s="104">
        <f>'Balance Sheet'!Z21</f>
        <v>6276.054892857499</v>
      </c>
      <c r="AA18" s="104">
        <f>'Balance Sheet'!AA21</f>
        <v>6338.8154417860733</v>
      </c>
      <c r="AB18" s="104">
        <f>'Balance Sheet'!AB21</f>
        <v>6402.2035962039336</v>
      </c>
    </row>
    <row r="19" spans="1:28" x14ac:dyDescent="0.25">
      <c r="A19" s="116"/>
      <c r="B19" s="116" t="s">
        <v>302</v>
      </c>
      <c r="D19" s="100">
        <v>0</v>
      </c>
      <c r="E19" s="100">
        <f t="shared" ref="E19:Q19" si="2">E18</f>
        <v>4062.5042172489584</v>
      </c>
      <c r="F19" s="100">
        <f t="shared" si="2"/>
        <v>4103.1292594214483</v>
      </c>
      <c r="G19" s="100">
        <f t="shared" si="2"/>
        <v>4144.1605520156627</v>
      </c>
      <c r="H19" s="100">
        <f t="shared" si="2"/>
        <v>4185.6021575358191</v>
      </c>
      <c r="I19" s="100">
        <f t="shared" si="2"/>
        <v>4227.4581791111777</v>
      </c>
      <c r="J19" s="100">
        <f t="shared" si="2"/>
        <v>4269.7327609022896</v>
      </c>
      <c r="K19" s="100">
        <f t="shared" si="2"/>
        <v>4312.4300885113125</v>
      </c>
      <c r="L19" s="100">
        <f t="shared" si="2"/>
        <v>4355.5543893964259</v>
      </c>
      <c r="M19" s="100">
        <f t="shared" si="2"/>
        <v>4399.1099332903896</v>
      </c>
      <c r="N19" s="100">
        <f t="shared" si="2"/>
        <v>4443.1010326232936</v>
      </c>
      <c r="O19" s="100">
        <f t="shared" si="2"/>
        <v>4487.5320429495268</v>
      </c>
      <c r="P19" s="100">
        <f t="shared" si="2"/>
        <v>4532.4073633790222</v>
      </c>
      <c r="Q19" s="100">
        <f t="shared" si="2"/>
        <v>5738.4469276553718</v>
      </c>
      <c r="R19" s="100">
        <f t="shared" ref="R19:AB19" si="3">R18</f>
        <v>5795.8313969319261</v>
      </c>
      <c r="S19" s="100">
        <f t="shared" si="3"/>
        <v>5853.7897109012447</v>
      </c>
      <c r="T19" s="100">
        <f t="shared" si="3"/>
        <v>5912.3276080102578</v>
      </c>
      <c r="U19" s="100">
        <f t="shared" si="3"/>
        <v>5971.45088409036</v>
      </c>
      <c r="V19" s="100">
        <f t="shared" si="3"/>
        <v>6031.1653929312633</v>
      </c>
      <c r="W19" s="100">
        <f t="shared" si="3"/>
        <v>6091.4770468605766</v>
      </c>
      <c r="X19" s="100">
        <f t="shared" si="3"/>
        <v>6152.3918173291822</v>
      </c>
      <c r="Y19" s="100">
        <f t="shared" si="3"/>
        <v>6213.9157355024727</v>
      </c>
      <c r="Z19" s="100">
        <f t="shared" si="3"/>
        <v>6276.054892857499</v>
      </c>
      <c r="AA19" s="100">
        <f t="shared" si="3"/>
        <v>6338.8154417860733</v>
      </c>
      <c r="AB19" s="100">
        <f t="shared" si="3"/>
        <v>6402.2035962039336</v>
      </c>
    </row>
    <row r="20" spans="1:28" x14ac:dyDescent="0.25">
      <c r="A20" s="116"/>
      <c r="B20" s="117"/>
    </row>
    <row r="21" spans="1:28" x14ac:dyDescent="0.25">
      <c r="A21" s="117"/>
      <c r="B21" s="117"/>
    </row>
    <row r="22" spans="1:28" x14ac:dyDescent="0.25">
      <c r="A22" s="116" t="s">
        <v>303</v>
      </c>
      <c r="B22" s="116"/>
    </row>
    <row r="23" spans="1:28" x14ac:dyDescent="0.25">
      <c r="A23" s="117"/>
      <c r="B23" s="117" t="s">
        <v>304</v>
      </c>
      <c r="D23" s="104">
        <v>3060000</v>
      </c>
      <c r="E23" s="104">
        <v>0</v>
      </c>
      <c r="F23" s="104">
        <f t="shared" ref="F23:P23" si="4">E23</f>
        <v>0</v>
      </c>
      <c r="G23" s="104">
        <f t="shared" si="4"/>
        <v>0</v>
      </c>
      <c r="H23" s="104">
        <f t="shared" si="4"/>
        <v>0</v>
      </c>
      <c r="I23" s="104">
        <f t="shared" si="4"/>
        <v>0</v>
      </c>
      <c r="J23" s="104">
        <f t="shared" si="4"/>
        <v>0</v>
      </c>
      <c r="K23" s="104">
        <f t="shared" si="4"/>
        <v>0</v>
      </c>
      <c r="L23" s="104">
        <f t="shared" si="4"/>
        <v>0</v>
      </c>
      <c r="M23" s="104">
        <f t="shared" si="4"/>
        <v>0</v>
      </c>
      <c r="N23" s="104">
        <f t="shared" si="4"/>
        <v>0</v>
      </c>
      <c r="O23" s="104">
        <f t="shared" si="4"/>
        <v>0</v>
      </c>
      <c r="P23" s="104">
        <f t="shared" si="4"/>
        <v>0</v>
      </c>
      <c r="Q23" s="104">
        <v>0</v>
      </c>
      <c r="R23" s="104">
        <v>0</v>
      </c>
      <c r="S23" s="104">
        <v>0</v>
      </c>
      <c r="T23" s="104">
        <v>5000000</v>
      </c>
      <c r="U23" s="104">
        <v>0</v>
      </c>
      <c r="V23" s="104">
        <v>0</v>
      </c>
      <c r="W23" s="104">
        <v>0</v>
      </c>
      <c r="X23" s="104">
        <v>0</v>
      </c>
      <c r="Y23" s="104">
        <v>0</v>
      </c>
      <c r="Z23" s="104">
        <v>0</v>
      </c>
      <c r="AA23" s="104">
        <v>0</v>
      </c>
      <c r="AB23" s="104">
        <v>0</v>
      </c>
    </row>
    <row r="24" spans="1:28" x14ac:dyDescent="0.25">
      <c r="A24" s="116"/>
      <c r="B24" s="116" t="s">
        <v>305</v>
      </c>
      <c r="D24" s="100">
        <f>D23</f>
        <v>3060000</v>
      </c>
      <c r="E24" s="100">
        <f t="shared" ref="E24:P24" si="5">E23</f>
        <v>0</v>
      </c>
      <c r="F24" s="100">
        <f t="shared" si="5"/>
        <v>0</v>
      </c>
      <c r="G24" s="100">
        <f t="shared" si="5"/>
        <v>0</v>
      </c>
      <c r="H24" s="100">
        <f t="shared" si="5"/>
        <v>0</v>
      </c>
      <c r="I24" s="100">
        <f t="shared" si="5"/>
        <v>0</v>
      </c>
      <c r="J24" s="100">
        <f t="shared" si="5"/>
        <v>0</v>
      </c>
      <c r="K24" s="100">
        <f t="shared" si="5"/>
        <v>0</v>
      </c>
      <c r="L24" s="100">
        <f t="shared" si="5"/>
        <v>0</v>
      </c>
      <c r="M24" s="100">
        <f t="shared" si="5"/>
        <v>0</v>
      </c>
      <c r="N24" s="100">
        <f t="shared" si="5"/>
        <v>0</v>
      </c>
      <c r="O24" s="100">
        <f t="shared" si="5"/>
        <v>0</v>
      </c>
      <c r="P24" s="100">
        <f t="shared" si="5"/>
        <v>0</v>
      </c>
      <c r="Q24" s="100">
        <f>Q23</f>
        <v>0</v>
      </c>
      <c r="R24" s="100">
        <f>R23</f>
        <v>0</v>
      </c>
      <c r="S24" s="100">
        <f t="shared" ref="S24:AB24" si="6">S23</f>
        <v>0</v>
      </c>
      <c r="T24" s="100">
        <f t="shared" si="6"/>
        <v>5000000</v>
      </c>
      <c r="U24" s="100">
        <f t="shared" si="6"/>
        <v>0</v>
      </c>
      <c r="V24" s="100">
        <f t="shared" si="6"/>
        <v>0</v>
      </c>
      <c r="W24" s="100">
        <f t="shared" si="6"/>
        <v>0</v>
      </c>
      <c r="X24" s="100">
        <f t="shared" si="6"/>
        <v>0</v>
      </c>
      <c r="Y24" s="100">
        <f t="shared" si="6"/>
        <v>0</v>
      </c>
      <c r="Z24" s="100">
        <f t="shared" si="6"/>
        <v>0</v>
      </c>
      <c r="AA24" s="100">
        <f t="shared" si="6"/>
        <v>0</v>
      </c>
      <c r="AB24" s="100">
        <f t="shared" si="6"/>
        <v>0</v>
      </c>
    </row>
    <row r="25" spans="1:28" x14ac:dyDescent="0.25">
      <c r="A25" s="116"/>
      <c r="B25" s="116"/>
    </row>
    <row r="26" spans="1:28" x14ac:dyDescent="0.25">
      <c r="A26" s="117"/>
      <c r="B26" s="117"/>
    </row>
    <row r="27" spans="1:28" x14ac:dyDescent="0.25">
      <c r="A27" s="117" t="s">
        <v>306</v>
      </c>
      <c r="B27" s="117"/>
      <c r="D27" s="100">
        <v>0</v>
      </c>
      <c r="E27" s="100">
        <f>E14-E19+E24</f>
        <v>-158566.51656060349</v>
      </c>
      <c r="F27" s="100">
        <f t="shared" ref="F27:AB27" si="7">F14-F19+F24</f>
        <v>-190252.43902368227</v>
      </c>
      <c r="G27" s="100">
        <f t="shared" si="7"/>
        <v>-237849.57629291873</v>
      </c>
      <c r="H27" s="100">
        <f t="shared" si="7"/>
        <v>-255793.80856698431</v>
      </c>
      <c r="I27" s="100">
        <f t="shared" si="7"/>
        <v>-241276.3055884018</v>
      </c>
      <c r="J27" s="100">
        <f t="shared" si="7"/>
        <v>-210300.4588523728</v>
      </c>
      <c r="K27" s="100">
        <f t="shared" si="7"/>
        <v>-256886.52249950374</v>
      </c>
      <c r="L27" s="100">
        <f t="shared" si="7"/>
        <v>-243771.78880575247</v>
      </c>
      <c r="M27" s="100">
        <f t="shared" si="7"/>
        <v>-213998.68077776689</v>
      </c>
      <c r="N27" s="100">
        <f t="shared" si="7"/>
        <v>-211787.06081304461</v>
      </c>
      <c r="O27" s="100">
        <f t="shared" si="7"/>
        <v>-172605.32221507718</v>
      </c>
      <c r="P27" s="100">
        <f t="shared" si="7"/>
        <v>-92807.779270614905</v>
      </c>
      <c r="Q27" s="100">
        <f t="shared" si="7"/>
        <v>-197701.93619973448</v>
      </c>
      <c r="R27" s="100">
        <f t="shared" si="7"/>
        <v>-156398.40300951034</v>
      </c>
      <c r="S27" s="100">
        <f t="shared" si="7"/>
        <v>-66517.858581003471</v>
      </c>
      <c r="T27" s="100">
        <f t="shared" si="7"/>
        <v>4803016.8607504349</v>
      </c>
      <c r="U27" s="100">
        <f t="shared" si="7"/>
        <v>-247409.76649909033</v>
      </c>
      <c r="V27" s="100">
        <f t="shared" si="7"/>
        <v>-144209.08186167898</v>
      </c>
      <c r="W27" s="100">
        <f t="shared" si="7"/>
        <v>-280203.93156401243</v>
      </c>
      <c r="X27" s="100">
        <f t="shared" si="7"/>
        <v>-225793.12154776615</v>
      </c>
      <c r="Y27" s="100">
        <f t="shared" si="7"/>
        <v>-106958.36617293386</v>
      </c>
      <c r="Z27" s="100">
        <f t="shared" si="7"/>
        <v>-263198.01889103372</v>
      </c>
      <c r="AA27" s="100">
        <f t="shared" si="7"/>
        <v>-200470.70467922109</v>
      </c>
      <c r="AB27" s="100">
        <f t="shared" si="7"/>
        <v>-63655.393183930792</v>
      </c>
    </row>
    <row r="28" spans="1:28" x14ac:dyDescent="0.25">
      <c r="A28" s="117" t="s">
        <v>307</v>
      </c>
      <c r="B28" s="117"/>
      <c r="D28" s="104">
        <v>3060000</v>
      </c>
      <c r="E28" s="104">
        <f t="shared" ref="E28:Q28" si="8">D29</f>
        <v>3060000</v>
      </c>
      <c r="F28" s="104">
        <f t="shared" si="8"/>
        <v>2901433.4834393966</v>
      </c>
      <c r="G28" s="104">
        <f t="shared" si="8"/>
        <v>2711181.0444157142</v>
      </c>
      <c r="H28" s="104">
        <f t="shared" si="8"/>
        <v>2473331.4681227957</v>
      </c>
      <c r="I28" s="104">
        <f t="shared" si="8"/>
        <v>2217537.6595558114</v>
      </c>
      <c r="J28" s="104">
        <f t="shared" si="8"/>
        <v>1976261.3539674096</v>
      </c>
      <c r="K28" s="104">
        <f t="shared" si="8"/>
        <v>1765960.8951150368</v>
      </c>
      <c r="L28" s="104">
        <f t="shared" si="8"/>
        <v>1509074.3726155329</v>
      </c>
      <c r="M28" s="104">
        <f t="shared" si="8"/>
        <v>1265302.5838097804</v>
      </c>
      <c r="N28" s="104">
        <f t="shared" si="8"/>
        <v>1051303.9030320134</v>
      </c>
      <c r="O28" s="104">
        <f t="shared" si="8"/>
        <v>839516.84221896878</v>
      </c>
      <c r="P28" s="104">
        <f t="shared" si="8"/>
        <v>666911.52000389155</v>
      </c>
      <c r="Q28" s="104">
        <f t="shared" si="8"/>
        <v>574103.74073327659</v>
      </c>
      <c r="R28" s="104">
        <f t="shared" ref="R28:AB28" si="9">Q29</f>
        <v>376401.80453354213</v>
      </c>
      <c r="S28" s="104">
        <f t="shared" si="9"/>
        <v>220003.4015240318</v>
      </c>
      <c r="T28" s="104">
        <f t="shared" si="9"/>
        <v>153485.54294302833</v>
      </c>
      <c r="U28" s="104">
        <f t="shared" si="9"/>
        <v>4956502.4036934637</v>
      </c>
      <c r="V28" s="104">
        <f t="shared" si="9"/>
        <v>4709092.6371943736</v>
      </c>
      <c r="W28" s="104">
        <f t="shared" si="9"/>
        <v>4564883.5553326942</v>
      </c>
      <c r="X28" s="104">
        <f t="shared" si="9"/>
        <v>4284679.6237686817</v>
      </c>
      <c r="Y28" s="104">
        <f t="shared" si="9"/>
        <v>4058886.5022209156</v>
      </c>
      <c r="Z28" s="104">
        <f t="shared" si="9"/>
        <v>3951928.1360479817</v>
      </c>
      <c r="AA28" s="104">
        <f t="shared" si="9"/>
        <v>3688730.117156948</v>
      </c>
      <c r="AB28" s="104">
        <f t="shared" si="9"/>
        <v>3488259.412477727</v>
      </c>
    </row>
    <row r="29" spans="1:28" x14ac:dyDescent="0.25">
      <c r="A29" s="116"/>
      <c r="B29" s="116" t="s">
        <v>308</v>
      </c>
      <c r="C29" s="51"/>
      <c r="D29" s="1">
        <f t="shared" ref="D29:Q29" si="10">SUM(D27:D28)</f>
        <v>3060000</v>
      </c>
      <c r="E29" s="1">
        <f t="shared" si="10"/>
        <v>2901433.4834393966</v>
      </c>
      <c r="F29" s="1">
        <f t="shared" si="10"/>
        <v>2711181.0444157142</v>
      </c>
      <c r="G29" s="1">
        <f t="shared" si="10"/>
        <v>2473331.4681227957</v>
      </c>
      <c r="H29" s="1">
        <f t="shared" si="10"/>
        <v>2217537.6595558114</v>
      </c>
      <c r="I29" s="1">
        <f t="shared" si="10"/>
        <v>1976261.3539674096</v>
      </c>
      <c r="J29" s="1">
        <f t="shared" si="10"/>
        <v>1765960.8951150368</v>
      </c>
      <c r="K29" s="1">
        <f t="shared" si="10"/>
        <v>1509074.3726155329</v>
      </c>
      <c r="L29" s="1">
        <f t="shared" si="10"/>
        <v>1265302.5838097804</v>
      </c>
      <c r="M29" s="1">
        <f t="shared" si="10"/>
        <v>1051303.9030320134</v>
      </c>
      <c r="N29" s="1">
        <f t="shared" si="10"/>
        <v>839516.84221896878</v>
      </c>
      <c r="O29" s="1">
        <f t="shared" si="10"/>
        <v>666911.52000389155</v>
      </c>
      <c r="P29" s="1">
        <f t="shared" si="10"/>
        <v>574103.74073327659</v>
      </c>
      <c r="Q29" s="1">
        <f t="shared" si="10"/>
        <v>376401.80453354213</v>
      </c>
      <c r="R29" s="1">
        <f t="shared" ref="R29:AB29" si="11">SUM(R27:R28)</f>
        <v>220003.4015240318</v>
      </c>
      <c r="S29" s="1">
        <f t="shared" si="11"/>
        <v>153485.54294302833</v>
      </c>
      <c r="T29" s="1">
        <f t="shared" si="11"/>
        <v>4956502.4036934637</v>
      </c>
      <c r="U29" s="1">
        <f t="shared" si="11"/>
        <v>4709092.6371943736</v>
      </c>
      <c r="V29" s="1">
        <f t="shared" si="11"/>
        <v>4564883.5553326942</v>
      </c>
      <c r="W29" s="1">
        <f t="shared" si="11"/>
        <v>4284679.6237686817</v>
      </c>
      <c r="X29" s="1">
        <f t="shared" si="11"/>
        <v>4058886.5022209156</v>
      </c>
      <c r="Y29" s="1">
        <f t="shared" si="11"/>
        <v>3951928.1360479817</v>
      </c>
      <c r="Z29" s="1">
        <f t="shared" si="11"/>
        <v>3688730.117156948</v>
      </c>
      <c r="AA29" s="1">
        <f t="shared" si="11"/>
        <v>3488259.412477727</v>
      </c>
      <c r="AB29" s="1">
        <f t="shared" si="11"/>
        <v>3424604.0192937963</v>
      </c>
    </row>
  </sheetData>
  <phoneticPr fontId="0" type="noConversion"/>
  <pageMargins left="0.75" right="0.75" top="1" bottom="1" header="0.5" footer="0.5"/>
  <pageSetup orientation="landscape" horizontalDpi="0" verticalDpi="0" copies="0" r:id="rId1"/>
  <headerFooter alignWithMargins="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20"/>
  <sheetViews>
    <sheetView showGridLines="0" workbookViewId="0">
      <selection activeCell="E20" sqref="E20"/>
    </sheetView>
  </sheetViews>
  <sheetFormatPr defaultColWidth="9.109375" defaultRowHeight="13.2" x14ac:dyDescent="0.25"/>
  <cols>
    <col min="1" max="1" width="41.33203125" style="69" customWidth="1"/>
    <col min="2" max="2" width="4.6640625" style="69" customWidth="1"/>
    <col min="3" max="3" width="13.6640625" style="69" customWidth="1"/>
    <col min="4" max="4" width="15.44140625" style="69" customWidth="1"/>
    <col min="5" max="5" width="12.88671875" style="69" customWidth="1"/>
    <col min="6" max="6" width="16.44140625" style="69" customWidth="1"/>
    <col min="7" max="16384" width="9.109375" style="69"/>
  </cols>
  <sheetData>
    <row r="1" spans="1:6" x14ac:dyDescent="0.25">
      <c r="A1" s="121" t="s">
        <v>324</v>
      </c>
    </row>
    <row r="2" spans="1:6" x14ac:dyDescent="0.25">
      <c r="C2" s="155" t="s">
        <v>320</v>
      </c>
      <c r="D2" s="155" t="s">
        <v>419</v>
      </c>
      <c r="E2" s="155" t="s">
        <v>420</v>
      </c>
    </row>
    <row r="3" spans="1:6" x14ac:dyDescent="0.25">
      <c r="A3" s="69" t="s">
        <v>418</v>
      </c>
      <c r="C3" s="136">
        <v>60000</v>
      </c>
      <c r="D3" s="136">
        <v>3000000</v>
      </c>
      <c r="E3" s="136">
        <v>5000000</v>
      </c>
      <c r="F3" s="137"/>
    </row>
    <row r="4" spans="1:6" x14ac:dyDescent="0.25">
      <c r="A4" s="69" t="s">
        <v>423</v>
      </c>
      <c r="C4" s="138">
        <v>0.01</v>
      </c>
      <c r="D4" s="138">
        <v>1</v>
      </c>
      <c r="E4" s="138">
        <v>1.6</v>
      </c>
      <c r="F4" s="139"/>
    </row>
    <row r="5" spans="1:6" x14ac:dyDescent="0.25">
      <c r="A5" s="69" t="s">
        <v>421</v>
      </c>
      <c r="C5" s="142">
        <f>C3/C4</f>
        <v>6000000</v>
      </c>
      <c r="D5" s="142">
        <f>D3/D4</f>
        <v>3000000</v>
      </c>
      <c r="E5" s="142">
        <f>E3/E4</f>
        <v>3125000</v>
      </c>
    </row>
    <row r="6" spans="1:6" x14ac:dyDescent="0.25">
      <c r="C6" s="142"/>
      <c r="D6" s="142"/>
    </row>
    <row r="8" spans="1:6" x14ac:dyDescent="0.25">
      <c r="A8" s="69" t="s">
        <v>317</v>
      </c>
      <c r="C8" s="154" t="s">
        <v>322</v>
      </c>
      <c r="D8" s="154"/>
      <c r="E8" s="154"/>
      <c r="F8" s="154"/>
    </row>
    <row r="10" spans="1:6" ht="27.75" customHeight="1" x14ac:dyDescent="0.25">
      <c r="A10" s="134" t="s">
        <v>318</v>
      </c>
      <c r="C10" s="148" t="s">
        <v>425</v>
      </c>
      <c r="D10" s="148" t="s">
        <v>427</v>
      </c>
      <c r="E10" s="148" t="s">
        <v>426</v>
      </c>
      <c r="F10" s="148" t="s">
        <v>428</v>
      </c>
    </row>
    <row r="12" spans="1:6" x14ac:dyDescent="0.25">
      <c r="A12" s="69" t="s">
        <v>319</v>
      </c>
      <c r="C12" s="142">
        <f>D5</f>
        <v>3000000</v>
      </c>
      <c r="D12" s="141">
        <f>C12/$C$17</f>
        <v>0.27272727272727271</v>
      </c>
      <c r="E12" s="142">
        <v>3000000</v>
      </c>
      <c r="F12" s="141">
        <f>E12/$E$17</f>
        <v>0.21238938053097345</v>
      </c>
    </row>
    <row r="13" spans="1:6" x14ac:dyDescent="0.25">
      <c r="A13" s="69" t="s">
        <v>422</v>
      </c>
      <c r="C13" s="147" t="s">
        <v>323</v>
      </c>
      <c r="D13" s="156" t="s">
        <v>323</v>
      </c>
      <c r="E13" s="142">
        <f>E5</f>
        <v>3125000</v>
      </c>
      <c r="F13" s="141">
        <f>E13/$E$17</f>
        <v>0.22123893805309736</v>
      </c>
    </row>
    <row r="14" spans="1:6" x14ac:dyDescent="0.25">
      <c r="A14" s="69" t="s">
        <v>320</v>
      </c>
      <c r="C14" s="140">
        <v>6000000</v>
      </c>
      <c r="D14" s="141">
        <f>C14/$C$17</f>
        <v>0.54545454545454541</v>
      </c>
      <c r="E14" s="140">
        <v>6000000</v>
      </c>
      <c r="F14" s="141">
        <f>E14/$E$17</f>
        <v>0.4247787610619469</v>
      </c>
    </row>
    <row r="15" spans="1:6" x14ac:dyDescent="0.25">
      <c r="A15" s="69" t="s">
        <v>321</v>
      </c>
      <c r="C15" s="143">
        <v>2000000</v>
      </c>
      <c r="D15" s="144">
        <f>C15/$C$17</f>
        <v>0.18181818181818182</v>
      </c>
      <c r="E15" s="143">
        <v>2000000</v>
      </c>
      <c r="F15" s="144">
        <f>E15/$E$17</f>
        <v>0.1415929203539823</v>
      </c>
    </row>
    <row r="16" spans="1:6" x14ac:dyDescent="0.25">
      <c r="C16" s="145"/>
      <c r="D16" s="145"/>
      <c r="E16" s="145"/>
      <c r="F16" s="145"/>
    </row>
    <row r="17" spans="1:6" x14ac:dyDescent="0.25">
      <c r="A17" s="69" t="s">
        <v>325</v>
      </c>
      <c r="C17" s="142">
        <f>SUM(C12:C15)</f>
        <v>11000000</v>
      </c>
      <c r="D17" s="146">
        <f>SUM(D12:D15)</f>
        <v>1</v>
      </c>
      <c r="E17" s="142">
        <f>SUM(E12:E16)</f>
        <v>14125000</v>
      </c>
      <c r="F17" s="146">
        <f>SUM(F12:F15)</f>
        <v>1</v>
      </c>
    </row>
    <row r="20" spans="1:6" x14ac:dyDescent="0.25">
      <c r="A20" s="69" t="s">
        <v>424</v>
      </c>
      <c r="C20" s="137">
        <f>D4*C17</f>
        <v>11000000</v>
      </c>
      <c r="E20" s="137">
        <f>E17*E4</f>
        <v>22600000</v>
      </c>
    </row>
  </sheetData>
  <phoneticPr fontId="0" type="noConversion"/>
  <pageMargins left="0.75" right="0.75" top="1" bottom="1" header="0.5" footer="0.5"/>
  <pageSetup orientation="portrait" horizontalDpi="0" verticalDpi="0" copies="0" r:id="rId1"/>
  <headerFooter alignWithMargins="0"/>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38"/>
  <sheetViews>
    <sheetView showGridLines="0" workbookViewId="0">
      <pane xSplit="3" ySplit="2" topLeftCell="P3" activePane="bottomRight" state="frozen"/>
      <selection activeCell="AG18" sqref="AG18"/>
      <selection pane="topRight" activeCell="AG18" sqref="AG18"/>
      <selection pane="bottomLeft" activeCell="AG18" sqref="AG18"/>
      <selection pane="bottomRight" activeCell="R19" sqref="R19"/>
    </sheetView>
  </sheetViews>
  <sheetFormatPr defaultRowHeight="13.2" x14ac:dyDescent="0.25"/>
  <cols>
    <col min="1" max="1" width="2.5546875" customWidth="1"/>
    <col min="2" max="2" width="33.109375" customWidth="1"/>
    <col min="3" max="3" width="3.88671875" customWidth="1"/>
    <col min="4" max="15" width="12.109375" hidden="1" customWidth="1"/>
    <col min="16" max="16" width="15.44140625" customWidth="1"/>
    <col min="17" max="30" width="12.109375" customWidth="1"/>
  </cols>
  <sheetData>
    <row r="1" spans="1:30" x14ac:dyDescent="0.25">
      <c r="A1" s="63" t="s">
        <v>408</v>
      </c>
    </row>
    <row r="2" spans="1:30" ht="9.75" customHeight="1" x14ac:dyDescent="0.25">
      <c r="A2" s="63"/>
    </row>
    <row r="3" spans="1:30" x14ac:dyDescent="0.25">
      <c r="D3" s="109">
        <v>36861</v>
      </c>
      <c r="E3" s="109">
        <v>36892</v>
      </c>
      <c r="F3" s="109">
        <v>36923</v>
      </c>
      <c r="G3" s="109">
        <v>36951</v>
      </c>
      <c r="H3" s="109">
        <v>36982</v>
      </c>
      <c r="I3" s="109">
        <v>37012</v>
      </c>
      <c r="J3" s="109">
        <v>37043</v>
      </c>
      <c r="K3" s="109">
        <v>37073</v>
      </c>
      <c r="L3" s="109">
        <v>37104</v>
      </c>
      <c r="M3" s="109">
        <v>37135</v>
      </c>
      <c r="N3" s="109">
        <v>37165</v>
      </c>
      <c r="O3" s="109">
        <v>37196</v>
      </c>
      <c r="P3" s="109">
        <v>37591</v>
      </c>
      <c r="Q3" s="109">
        <v>37622</v>
      </c>
      <c r="R3" s="109">
        <v>37653</v>
      </c>
      <c r="S3" s="109">
        <v>37681</v>
      </c>
      <c r="T3" s="109">
        <v>37712</v>
      </c>
      <c r="U3" s="109">
        <v>37742</v>
      </c>
      <c r="V3" s="109">
        <v>37773</v>
      </c>
      <c r="W3" s="109">
        <v>37803</v>
      </c>
      <c r="X3" s="109">
        <v>37834</v>
      </c>
      <c r="Y3" s="109">
        <v>37865</v>
      </c>
      <c r="Z3" s="109">
        <v>37895</v>
      </c>
      <c r="AA3" s="109">
        <v>37926</v>
      </c>
      <c r="AB3" s="109">
        <v>37956</v>
      </c>
      <c r="AC3" s="109"/>
      <c r="AD3" s="109"/>
    </row>
    <row r="4" spans="1:30" x14ac:dyDescent="0.25">
      <c r="A4" s="107" t="s">
        <v>262</v>
      </c>
    </row>
    <row r="5" spans="1:30" x14ac:dyDescent="0.25">
      <c r="A5" s="108" t="s">
        <v>263</v>
      </c>
    </row>
    <row r="6" spans="1:30" x14ac:dyDescent="0.25">
      <c r="A6" s="108" t="s">
        <v>264</v>
      </c>
      <c r="D6" s="1">
        <v>3060000</v>
      </c>
      <c r="E6" s="1">
        <f>'Stmt of CF'!E29</f>
        <v>2901433.4834393966</v>
      </c>
      <c r="F6" s="1">
        <f>'Stmt of CF'!F29</f>
        <v>2711181.0444157142</v>
      </c>
      <c r="G6" s="1">
        <f>'Stmt of CF'!G29</f>
        <v>2473331.4681227957</v>
      </c>
      <c r="H6" s="1">
        <f>'Stmt of CF'!H29</f>
        <v>2217537.6595558114</v>
      </c>
      <c r="I6" s="1">
        <f>'Stmt of CF'!I29</f>
        <v>1976261.3539674096</v>
      </c>
      <c r="J6" s="1">
        <f>'Stmt of CF'!J29</f>
        <v>1765960.8951150368</v>
      </c>
      <c r="K6" s="1">
        <f>'Stmt of CF'!K29</f>
        <v>1509074.3726155329</v>
      </c>
      <c r="L6" s="1">
        <f>'Stmt of CF'!L29</f>
        <v>1265302.5838097804</v>
      </c>
      <c r="M6" s="1">
        <f>'Stmt of CF'!M29</f>
        <v>1051303.9030320134</v>
      </c>
      <c r="N6" s="1">
        <f>'Stmt of CF'!N29</f>
        <v>839516.84221896878</v>
      </c>
      <c r="O6" s="1">
        <f>'Stmt of CF'!O29</f>
        <v>666911.52000389155</v>
      </c>
      <c r="P6" s="1">
        <f>'Stmt of CF'!P29</f>
        <v>574103.74073327659</v>
      </c>
      <c r="Q6" s="1">
        <f>'Stmt of CF'!Q29</f>
        <v>376401.80453354213</v>
      </c>
      <c r="R6" s="1">
        <f>'Stmt of CF'!R29</f>
        <v>220003.4015240318</v>
      </c>
      <c r="S6" s="1">
        <f>'Stmt of CF'!S29</f>
        <v>153485.54294302833</v>
      </c>
      <c r="T6" s="1">
        <f>'Stmt of CF'!T29</f>
        <v>4956502.4036934637</v>
      </c>
      <c r="U6" s="1">
        <f>'Stmt of CF'!U29</f>
        <v>4709092.6371943736</v>
      </c>
      <c r="V6" s="1">
        <f>'Stmt of CF'!V29</f>
        <v>4564883.5553326942</v>
      </c>
      <c r="W6" s="1">
        <f>'Stmt of CF'!W29</f>
        <v>4284679.6237686817</v>
      </c>
      <c r="X6" s="1">
        <f>'Stmt of CF'!X29</f>
        <v>4058886.5022209156</v>
      </c>
      <c r="Y6" s="1">
        <f>'Stmt of CF'!Y29</f>
        <v>3951928.1360479817</v>
      </c>
      <c r="Z6" s="1">
        <f>'Stmt of CF'!Z29</f>
        <v>3688730.117156948</v>
      </c>
      <c r="AA6" s="1">
        <f>'Stmt of CF'!AA29</f>
        <v>3488259.412477727</v>
      </c>
      <c r="AB6" s="1">
        <f>'Stmt of CF'!AB29</f>
        <v>3424604.0192937963</v>
      </c>
      <c r="AC6" s="1"/>
      <c r="AD6" s="1"/>
    </row>
    <row r="7" spans="1:30" s="100" customFormat="1" x14ac:dyDescent="0.25">
      <c r="A7" s="108" t="s">
        <v>265</v>
      </c>
      <c r="D7" s="100">
        <v>0</v>
      </c>
      <c r="E7" s="100">
        <f>0.2*'Monthly P&amp;L'!D$8</f>
        <v>3960</v>
      </c>
      <c r="F7" s="100">
        <f>0.2*'Monthly P&amp;L'!E$8</f>
        <v>5940</v>
      </c>
      <c r="G7" s="100">
        <f>0.2*'Monthly P&amp;L'!F$8</f>
        <v>9900</v>
      </c>
      <c r="H7" s="100">
        <f>0.2*'Monthly P&amp;L'!G$8</f>
        <v>6453</v>
      </c>
      <c r="I7" s="100">
        <f>0.2*'Monthly P&amp;L'!H$8</f>
        <v>9679.5</v>
      </c>
      <c r="J7" s="100">
        <f>0.2*'Monthly P&amp;L'!I$8</f>
        <v>16132.5</v>
      </c>
      <c r="K7" s="100">
        <f>0.2*'Monthly P&amp;L'!J$8</f>
        <v>6210.6</v>
      </c>
      <c r="L7" s="100">
        <f>0.2*'Monthly P&amp;L'!K$8</f>
        <v>9315.9</v>
      </c>
      <c r="M7" s="100">
        <f>0.2*'Monthly P&amp;L'!L$8</f>
        <v>15526.5</v>
      </c>
      <c r="N7" s="100">
        <f>0.2*'Monthly P&amp;L'!M$8</f>
        <v>16399.900000000001</v>
      </c>
      <c r="O7" s="100">
        <f>0.2*'Monthly P&amp;L'!N$8</f>
        <v>24599.850000000002</v>
      </c>
      <c r="P7" s="100">
        <f>0.2*'Monthly P&amp;L'!O$8</f>
        <v>40999.75</v>
      </c>
      <c r="Q7" s="100">
        <f>0.2*'Monthly P&amp;L'!P$8</f>
        <v>19364.18</v>
      </c>
      <c r="R7" s="100">
        <f>0.2*'Monthly P&amp;L'!Q$8</f>
        <v>29046.270000000004</v>
      </c>
      <c r="S7" s="100">
        <f>0.2*'Monthly P&amp;L'!R$8</f>
        <v>48410.450000000004</v>
      </c>
      <c r="T7" s="100">
        <f>0.2*'Monthly P&amp;L'!S$8</f>
        <v>22268.807000000001</v>
      </c>
      <c r="U7" s="100">
        <f>0.2*'Monthly P&amp;L'!T$8</f>
        <v>33403.210499999994</v>
      </c>
      <c r="V7" s="100">
        <f>0.2*'Monthly P&amp;L'!U$8</f>
        <v>55672.017499999994</v>
      </c>
      <c r="W7" s="100">
        <f>0.2*'Monthly P&amp;L'!V$8</f>
        <v>25609.128049999996</v>
      </c>
      <c r="X7" s="100">
        <f>0.2*'Monthly P&amp;L'!W$8</f>
        <v>38413.692074999992</v>
      </c>
      <c r="Y7" s="100">
        <f>0.2*'Monthly P&amp;L'!X$8</f>
        <v>64022.820124999984</v>
      </c>
      <c r="Z7" s="100">
        <f>0.2*'Monthly P&amp;L'!Y$8</f>
        <v>29450.497257499992</v>
      </c>
      <c r="AA7" s="100">
        <f>0.2*'Monthly P&amp;L'!Z$8</f>
        <v>44175.745886249992</v>
      </c>
      <c r="AB7" s="100">
        <f>0.2*'Monthly P&amp;L'!AA$8</f>
        <v>73626.243143749991</v>
      </c>
    </row>
    <row r="8" spans="1:30" s="100" customFormat="1" x14ac:dyDescent="0.25">
      <c r="A8" s="108" t="s">
        <v>282</v>
      </c>
      <c r="D8" s="104">
        <v>0</v>
      </c>
      <c r="E8" s="104">
        <v>25000</v>
      </c>
      <c r="F8" s="104">
        <f t="shared" ref="F8:AB8" si="0">E8</f>
        <v>25000</v>
      </c>
      <c r="G8" s="104">
        <f t="shared" si="0"/>
        <v>25000</v>
      </c>
      <c r="H8" s="104">
        <f t="shared" si="0"/>
        <v>25000</v>
      </c>
      <c r="I8" s="104">
        <f t="shared" si="0"/>
        <v>25000</v>
      </c>
      <c r="J8" s="104">
        <f t="shared" si="0"/>
        <v>25000</v>
      </c>
      <c r="K8" s="104">
        <f t="shared" si="0"/>
        <v>25000</v>
      </c>
      <c r="L8" s="104">
        <f t="shared" si="0"/>
        <v>25000</v>
      </c>
      <c r="M8" s="104">
        <f t="shared" si="0"/>
        <v>25000</v>
      </c>
      <c r="N8" s="104">
        <f t="shared" si="0"/>
        <v>25000</v>
      </c>
      <c r="O8" s="104">
        <f t="shared" si="0"/>
        <v>25000</v>
      </c>
      <c r="P8" s="104">
        <f t="shared" si="0"/>
        <v>25000</v>
      </c>
      <c r="Q8" s="104">
        <f t="shared" si="0"/>
        <v>25000</v>
      </c>
      <c r="R8" s="104">
        <f t="shared" si="0"/>
        <v>25000</v>
      </c>
      <c r="S8" s="104">
        <f t="shared" si="0"/>
        <v>25000</v>
      </c>
      <c r="T8" s="104">
        <f t="shared" si="0"/>
        <v>25000</v>
      </c>
      <c r="U8" s="104">
        <f t="shared" si="0"/>
        <v>25000</v>
      </c>
      <c r="V8" s="104">
        <f t="shared" si="0"/>
        <v>25000</v>
      </c>
      <c r="W8" s="104">
        <f t="shared" si="0"/>
        <v>25000</v>
      </c>
      <c r="X8" s="104">
        <f t="shared" si="0"/>
        <v>25000</v>
      </c>
      <c r="Y8" s="104">
        <f t="shared" si="0"/>
        <v>25000</v>
      </c>
      <c r="Z8" s="104">
        <f t="shared" si="0"/>
        <v>25000</v>
      </c>
      <c r="AA8" s="104">
        <f t="shared" si="0"/>
        <v>25000</v>
      </c>
      <c r="AB8" s="104">
        <f t="shared" si="0"/>
        <v>25000</v>
      </c>
      <c r="AC8" s="149"/>
      <c r="AD8" s="149"/>
    </row>
    <row r="9" spans="1:30" s="100" customFormat="1" x14ac:dyDescent="0.25">
      <c r="A9" s="108" t="s">
        <v>266</v>
      </c>
      <c r="D9" s="106">
        <f t="shared" ref="D9:AB9" si="1">SUM(D6:D8)</f>
        <v>3060000</v>
      </c>
      <c r="E9" s="106">
        <f t="shared" si="1"/>
        <v>2930393.4834393966</v>
      </c>
      <c r="F9" s="106">
        <f t="shared" si="1"/>
        <v>2742121.0444157142</v>
      </c>
      <c r="G9" s="106">
        <f t="shared" si="1"/>
        <v>2508231.4681227957</v>
      </c>
      <c r="H9" s="106">
        <f t="shared" si="1"/>
        <v>2248990.6595558114</v>
      </c>
      <c r="I9" s="106">
        <f t="shared" si="1"/>
        <v>2010940.8539674096</v>
      </c>
      <c r="J9" s="106">
        <f t="shared" si="1"/>
        <v>1807093.3951150368</v>
      </c>
      <c r="K9" s="106">
        <f t="shared" si="1"/>
        <v>1540284.972615533</v>
      </c>
      <c r="L9" s="106">
        <f t="shared" si="1"/>
        <v>1299618.4838097803</v>
      </c>
      <c r="M9" s="106">
        <f t="shared" si="1"/>
        <v>1091830.4030320134</v>
      </c>
      <c r="N9" s="106">
        <f t="shared" si="1"/>
        <v>880916.74221896881</v>
      </c>
      <c r="O9" s="106">
        <f t="shared" si="1"/>
        <v>716511.37000389153</v>
      </c>
      <c r="P9" s="106">
        <f t="shared" si="1"/>
        <v>640103.49073327659</v>
      </c>
      <c r="Q9" s="106">
        <f t="shared" si="1"/>
        <v>420765.98453354213</v>
      </c>
      <c r="R9" s="106">
        <f t="shared" si="1"/>
        <v>274049.67152403179</v>
      </c>
      <c r="S9" s="106">
        <f t="shared" si="1"/>
        <v>226895.99294302834</v>
      </c>
      <c r="T9" s="106">
        <f t="shared" si="1"/>
        <v>5003771.2106934637</v>
      </c>
      <c r="U9" s="106">
        <f t="shared" si="1"/>
        <v>4767495.8476943737</v>
      </c>
      <c r="V9" s="106">
        <f t="shared" si="1"/>
        <v>4645555.5728326943</v>
      </c>
      <c r="W9" s="106">
        <f t="shared" si="1"/>
        <v>4335288.7518186821</v>
      </c>
      <c r="X9" s="106">
        <f t="shared" si="1"/>
        <v>4122300.1942959158</v>
      </c>
      <c r="Y9" s="106">
        <f t="shared" si="1"/>
        <v>4040950.9561729818</v>
      </c>
      <c r="Z9" s="106">
        <f t="shared" si="1"/>
        <v>3743180.6144144479</v>
      </c>
      <c r="AA9" s="106">
        <f t="shared" si="1"/>
        <v>3557435.158363977</v>
      </c>
      <c r="AB9" s="106">
        <f t="shared" si="1"/>
        <v>3523230.2624375462</v>
      </c>
      <c r="AC9" s="149"/>
      <c r="AD9" s="149"/>
    </row>
    <row r="10" spans="1:30" s="100" customFormat="1" ht="8.25" customHeight="1" x14ac:dyDescent="0.25">
      <c r="A10" s="108"/>
      <c r="AC10" s="149"/>
      <c r="AD10" s="149"/>
    </row>
    <row r="11" spans="1:30" s="100" customFormat="1" x14ac:dyDescent="0.25">
      <c r="A11" s="108" t="s">
        <v>285</v>
      </c>
      <c r="D11" s="100">
        <f>'Cap Lease'!E3</f>
        <v>175000</v>
      </c>
      <c r="E11" s="100">
        <f>D11</f>
        <v>175000</v>
      </c>
      <c r="F11" s="100">
        <f t="shared" ref="F11:M11" si="2">E11</f>
        <v>175000</v>
      </c>
      <c r="G11" s="100">
        <f t="shared" si="2"/>
        <v>175000</v>
      </c>
      <c r="H11" s="100">
        <f t="shared" si="2"/>
        <v>175000</v>
      </c>
      <c r="I11" s="100">
        <f t="shared" si="2"/>
        <v>175000</v>
      </c>
      <c r="J11" s="100">
        <f t="shared" si="2"/>
        <v>175000</v>
      </c>
      <c r="K11" s="100">
        <f t="shared" si="2"/>
        <v>175000</v>
      </c>
      <c r="L11" s="100">
        <f t="shared" si="2"/>
        <v>175000</v>
      </c>
      <c r="M11" s="100">
        <f t="shared" si="2"/>
        <v>175000</v>
      </c>
      <c r="N11" s="100">
        <f>M11</f>
        <v>175000</v>
      </c>
      <c r="O11" s="100">
        <f>N11</f>
        <v>175000</v>
      </c>
      <c r="P11" s="100">
        <f>O11</f>
        <v>175000</v>
      </c>
      <c r="Q11" s="100">
        <f t="shared" ref="Q11:AB11" si="3">P11</f>
        <v>175000</v>
      </c>
      <c r="R11" s="100">
        <f t="shared" si="3"/>
        <v>175000</v>
      </c>
      <c r="S11" s="100">
        <f t="shared" si="3"/>
        <v>175000</v>
      </c>
      <c r="T11" s="100">
        <f t="shared" si="3"/>
        <v>175000</v>
      </c>
      <c r="U11" s="100">
        <f t="shared" si="3"/>
        <v>175000</v>
      </c>
      <c r="V11" s="100">
        <f t="shared" si="3"/>
        <v>175000</v>
      </c>
      <c r="W11" s="100">
        <f t="shared" si="3"/>
        <v>175000</v>
      </c>
      <c r="X11" s="100">
        <f t="shared" si="3"/>
        <v>175000</v>
      </c>
      <c r="Y11" s="100">
        <f t="shared" si="3"/>
        <v>175000</v>
      </c>
      <c r="Z11" s="100">
        <f t="shared" si="3"/>
        <v>175000</v>
      </c>
      <c r="AA11" s="100">
        <f t="shared" si="3"/>
        <v>175000</v>
      </c>
      <c r="AB11" s="100">
        <f t="shared" si="3"/>
        <v>175000</v>
      </c>
      <c r="AC11" s="149"/>
      <c r="AD11" s="149"/>
    </row>
    <row r="12" spans="1:30" s="100" customFormat="1" x14ac:dyDescent="0.25">
      <c r="A12" s="108" t="s">
        <v>283</v>
      </c>
      <c r="D12" s="104">
        <v>0</v>
      </c>
      <c r="E12" s="104">
        <f>'Cap Lease'!$H$5*'Cap Lease'!$I11</f>
        <v>4861.1111111111113</v>
      </c>
      <c r="F12" s="104">
        <f>'Cap Lease'!$H$5*'Cap Lease'!$I12</f>
        <v>9722.2222222222226</v>
      </c>
      <c r="G12" s="104">
        <f>'Cap Lease'!$H$5*'Cap Lease'!$I13</f>
        <v>14583.333333333334</v>
      </c>
      <c r="H12" s="104">
        <f>'Cap Lease'!$H$5*'Cap Lease'!$I14</f>
        <v>19444.444444444445</v>
      </c>
      <c r="I12" s="104">
        <f>'Cap Lease'!$H$5*'Cap Lease'!$I15</f>
        <v>24305.555555555555</v>
      </c>
      <c r="J12" s="104">
        <f>'Cap Lease'!$H$5*'Cap Lease'!$I16</f>
        <v>29166.666666666668</v>
      </c>
      <c r="K12" s="104">
        <f>'Cap Lease'!$H$5*'Cap Lease'!$I17</f>
        <v>34027.777777777781</v>
      </c>
      <c r="L12" s="104">
        <f>'Cap Lease'!$H$5*'Cap Lease'!$I18</f>
        <v>38888.888888888891</v>
      </c>
      <c r="M12" s="104">
        <f>'Cap Lease'!$H$5*'Cap Lease'!$I19</f>
        <v>43750</v>
      </c>
      <c r="N12" s="104">
        <f>'Cap Lease'!$H$5*'Cap Lease'!$I20</f>
        <v>48611.111111111109</v>
      </c>
      <c r="O12" s="104">
        <f>'Cap Lease'!$H$5*'Cap Lease'!$I21</f>
        <v>53472.222222222226</v>
      </c>
      <c r="P12" s="104">
        <f>'Cap Lease'!$H$5*'Cap Lease'!$I22</f>
        <v>58333.333333333336</v>
      </c>
      <c r="Q12" s="104">
        <f>'Cap Lease'!$H$5*'Cap Lease'!$I23</f>
        <v>63194.444444444445</v>
      </c>
      <c r="R12" s="104">
        <f>'Cap Lease'!$H$5*'Cap Lease'!$I24</f>
        <v>68055.555555555562</v>
      </c>
      <c r="S12" s="104">
        <f>'Cap Lease'!$H$5*'Cap Lease'!$I25</f>
        <v>72916.666666666672</v>
      </c>
      <c r="T12" s="104">
        <f>'Cap Lease'!$H$5*'Cap Lease'!$I26</f>
        <v>77777.777777777781</v>
      </c>
      <c r="U12" s="104">
        <f>'Cap Lease'!$H$5*'Cap Lease'!$I27</f>
        <v>82638.888888888891</v>
      </c>
      <c r="V12" s="104">
        <f>'Cap Lease'!$H$5*'Cap Lease'!$I28</f>
        <v>87500</v>
      </c>
      <c r="W12" s="104">
        <f>'Cap Lease'!$H$5*'Cap Lease'!$I29</f>
        <v>92361.111111111109</v>
      </c>
      <c r="X12" s="104">
        <f>'Cap Lease'!$H$5*'Cap Lease'!$I30</f>
        <v>97222.222222222219</v>
      </c>
      <c r="Y12" s="104">
        <f>'Cap Lease'!$H$5*'Cap Lease'!$I31</f>
        <v>102083.33333333334</v>
      </c>
      <c r="Z12" s="104">
        <f>'Cap Lease'!$H$5*'Cap Lease'!$I32</f>
        <v>106944.44444444445</v>
      </c>
      <c r="AA12" s="104">
        <f>'Cap Lease'!$H$5*'Cap Lease'!$I33</f>
        <v>111805.55555555556</v>
      </c>
      <c r="AB12" s="104">
        <f>'Cap Lease'!$H$5*'Cap Lease'!$I34</f>
        <v>116666.66666666667</v>
      </c>
      <c r="AC12" s="149"/>
      <c r="AD12" s="149"/>
    </row>
    <row r="13" spans="1:30" s="100" customFormat="1" x14ac:dyDescent="0.25">
      <c r="A13" s="108" t="s">
        <v>284</v>
      </c>
      <c r="D13" s="104">
        <f>SUM(D11:D12)</f>
        <v>175000</v>
      </c>
      <c r="E13" s="104">
        <f t="shared" ref="E13:AB13" si="4">E11-E12</f>
        <v>170138.88888888888</v>
      </c>
      <c r="F13" s="104">
        <f t="shared" si="4"/>
        <v>165277.77777777778</v>
      </c>
      <c r="G13" s="104">
        <f t="shared" si="4"/>
        <v>160416.66666666666</v>
      </c>
      <c r="H13" s="104">
        <f t="shared" si="4"/>
        <v>155555.55555555556</v>
      </c>
      <c r="I13" s="104">
        <f t="shared" si="4"/>
        <v>150694.44444444444</v>
      </c>
      <c r="J13" s="104">
        <f t="shared" si="4"/>
        <v>145833.33333333334</v>
      </c>
      <c r="K13" s="104">
        <f t="shared" si="4"/>
        <v>140972.22222222222</v>
      </c>
      <c r="L13" s="104">
        <f t="shared" si="4"/>
        <v>136111.11111111112</v>
      </c>
      <c r="M13" s="104">
        <f t="shared" si="4"/>
        <v>131250</v>
      </c>
      <c r="N13" s="104">
        <f t="shared" si="4"/>
        <v>126388.88888888889</v>
      </c>
      <c r="O13" s="104">
        <f t="shared" si="4"/>
        <v>121527.77777777778</v>
      </c>
      <c r="P13" s="104">
        <f t="shared" si="4"/>
        <v>116666.66666666666</v>
      </c>
      <c r="Q13" s="104">
        <f t="shared" si="4"/>
        <v>111805.55555555556</v>
      </c>
      <c r="R13" s="104">
        <f t="shared" si="4"/>
        <v>106944.44444444444</v>
      </c>
      <c r="S13" s="104">
        <f t="shared" si="4"/>
        <v>102083.33333333333</v>
      </c>
      <c r="T13" s="104">
        <f t="shared" si="4"/>
        <v>97222.222222222219</v>
      </c>
      <c r="U13" s="104">
        <f t="shared" si="4"/>
        <v>92361.111111111109</v>
      </c>
      <c r="V13" s="104">
        <f t="shared" si="4"/>
        <v>87500</v>
      </c>
      <c r="W13" s="104">
        <f t="shared" si="4"/>
        <v>82638.888888888891</v>
      </c>
      <c r="X13" s="104">
        <f t="shared" si="4"/>
        <v>77777.777777777781</v>
      </c>
      <c r="Y13" s="104">
        <f t="shared" si="4"/>
        <v>72916.666666666657</v>
      </c>
      <c r="Z13" s="104">
        <f t="shared" si="4"/>
        <v>68055.555555555547</v>
      </c>
      <c r="AA13" s="104">
        <f t="shared" si="4"/>
        <v>63194.444444444438</v>
      </c>
      <c r="AB13" s="104">
        <f t="shared" si="4"/>
        <v>58333.333333333328</v>
      </c>
      <c r="AC13" s="149"/>
      <c r="AD13" s="149"/>
    </row>
    <row r="14" spans="1:30" s="1" customFormat="1" ht="13.8" thickBot="1" x14ac:dyDescent="0.3">
      <c r="A14" s="113" t="s">
        <v>267</v>
      </c>
      <c r="D14" s="112">
        <f t="shared" ref="D14:AB14" si="5">SUM(D9,D13)</f>
        <v>3235000</v>
      </c>
      <c r="E14" s="112">
        <f t="shared" si="5"/>
        <v>3100532.3723282856</v>
      </c>
      <c r="F14" s="112">
        <f t="shared" si="5"/>
        <v>2907398.8221934922</v>
      </c>
      <c r="G14" s="112">
        <f t="shared" si="5"/>
        <v>2668648.1347894622</v>
      </c>
      <c r="H14" s="112">
        <f t="shared" si="5"/>
        <v>2404546.2151113669</v>
      </c>
      <c r="I14" s="112">
        <f t="shared" si="5"/>
        <v>2161635.2984118541</v>
      </c>
      <c r="J14" s="112">
        <f t="shared" si="5"/>
        <v>1952926.72844837</v>
      </c>
      <c r="K14" s="112">
        <f t="shared" si="5"/>
        <v>1681257.1948377553</v>
      </c>
      <c r="L14" s="112">
        <f t="shared" si="5"/>
        <v>1435729.5949208913</v>
      </c>
      <c r="M14" s="112">
        <f t="shared" si="5"/>
        <v>1223080.4030320134</v>
      </c>
      <c r="N14" s="112">
        <f t="shared" si="5"/>
        <v>1007305.6311078577</v>
      </c>
      <c r="O14" s="112">
        <f t="shared" si="5"/>
        <v>838039.14778166928</v>
      </c>
      <c r="P14" s="112">
        <f t="shared" si="5"/>
        <v>756770.15739994321</v>
      </c>
      <c r="Q14" s="112">
        <f t="shared" si="5"/>
        <v>532571.54008909769</v>
      </c>
      <c r="R14" s="112">
        <f t="shared" si="5"/>
        <v>380994.11596847622</v>
      </c>
      <c r="S14" s="112">
        <f t="shared" si="5"/>
        <v>328979.32627636165</v>
      </c>
      <c r="T14" s="112">
        <f t="shared" si="5"/>
        <v>5100993.4329156857</v>
      </c>
      <c r="U14" s="112">
        <f t="shared" si="5"/>
        <v>4859856.9588054847</v>
      </c>
      <c r="V14" s="112">
        <f t="shared" si="5"/>
        <v>4733055.5728326943</v>
      </c>
      <c r="W14" s="112">
        <f t="shared" si="5"/>
        <v>4417927.6407075711</v>
      </c>
      <c r="X14" s="112">
        <f t="shared" si="5"/>
        <v>4200077.9720736938</v>
      </c>
      <c r="Y14" s="112">
        <f t="shared" si="5"/>
        <v>4113867.6228396483</v>
      </c>
      <c r="Z14" s="112">
        <f t="shared" si="5"/>
        <v>3811236.1699700034</v>
      </c>
      <c r="AA14" s="112">
        <f t="shared" si="5"/>
        <v>3620629.6028084215</v>
      </c>
      <c r="AB14" s="112">
        <f t="shared" si="5"/>
        <v>3581563.5957708796</v>
      </c>
      <c r="AC14" s="20"/>
      <c r="AD14" s="20"/>
    </row>
    <row r="15" spans="1:30" ht="8.25" customHeight="1" thickTop="1" x14ac:dyDescent="0.25">
      <c r="A15" s="108"/>
      <c r="AC15" s="51"/>
      <c r="AD15" s="51"/>
    </row>
    <row r="16" spans="1:30" x14ac:dyDescent="0.25">
      <c r="A16" s="107" t="s">
        <v>268</v>
      </c>
      <c r="AC16" s="51"/>
      <c r="AD16" s="51"/>
    </row>
    <row r="17" spans="1:30" x14ac:dyDescent="0.25">
      <c r="A17" s="108" t="s">
        <v>269</v>
      </c>
      <c r="AC17" s="51"/>
      <c r="AD17" s="51"/>
    </row>
    <row r="18" spans="1:30" s="1" customFormat="1" x14ac:dyDescent="0.25">
      <c r="A18" s="114" t="s">
        <v>270</v>
      </c>
      <c r="D18" s="1">
        <v>0</v>
      </c>
      <c r="E18" s="1">
        <f>0.15*'Monthly P&amp;L'!D$8</f>
        <v>2970</v>
      </c>
      <c r="F18" s="1">
        <f>0.15*'Monthly P&amp;L'!E$8</f>
        <v>4455</v>
      </c>
      <c r="G18" s="1">
        <f>0.15*'Monthly P&amp;L'!F$8</f>
        <v>7425</v>
      </c>
      <c r="H18" s="1">
        <f>0.15*'Monthly P&amp;L'!G$8</f>
        <v>4839.75</v>
      </c>
      <c r="I18" s="1">
        <f>0.15*'Monthly P&amp;L'!H$8</f>
        <v>7259.625</v>
      </c>
      <c r="J18" s="1">
        <f>0.15*'Monthly P&amp;L'!I$8</f>
        <v>12099.375</v>
      </c>
      <c r="K18" s="1">
        <f>0.15*'Monthly P&amp;L'!J$8</f>
        <v>4657.95</v>
      </c>
      <c r="L18" s="1">
        <f>0.15*'Monthly P&amp;L'!K$8</f>
        <v>6986.9250000000002</v>
      </c>
      <c r="M18" s="1">
        <f>0.15*'Monthly P&amp;L'!L$8</f>
        <v>11644.875</v>
      </c>
      <c r="N18" s="1">
        <f>0.15*'Monthly P&amp;L'!M$8</f>
        <v>12299.924999999999</v>
      </c>
      <c r="O18" s="1">
        <f>0.15*'Monthly P&amp;L'!N$8</f>
        <v>18449.887500000001</v>
      </c>
      <c r="P18" s="1">
        <f>0.15*'Monthly P&amp;L'!O$8</f>
        <v>30749.8125</v>
      </c>
      <c r="Q18" s="1">
        <f>0.15*'Monthly P&amp;L'!P$8</f>
        <v>14523.134999999998</v>
      </c>
      <c r="R18" s="1">
        <f>0.15*'Monthly P&amp;L'!Q$8</f>
        <v>21784.702499999999</v>
      </c>
      <c r="S18" s="1">
        <f>0.15*'Monthly P&amp;L'!R$8</f>
        <v>36307.837500000001</v>
      </c>
      <c r="T18" s="1">
        <f>0.15*'Monthly P&amp;L'!S$8</f>
        <v>16701.605249999997</v>
      </c>
      <c r="U18" s="1">
        <f>0.15*'Monthly P&amp;L'!T$8</f>
        <v>25052.407874999994</v>
      </c>
      <c r="V18" s="1">
        <f>0.15*'Monthly P&amp;L'!U$8</f>
        <v>41754.01312499999</v>
      </c>
      <c r="W18" s="1">
        <f>0.15*'Monthly P&amp;L'!V$8</f>
        <v>19206.846037499996</v>
      </c>
      <c r="X18" s="1">
        <f>0.15*'Monthly P&amp;L'!W$8</f>
        <v>28810.269056249988</v>
      </c>
      <c r="Y18" s="1">
        <f>0.15*'Monthly P&amp;L'!X$8</f>
        <v>48017.115093749984</v>
      </c>
      <c r="Z18" s="1">
        <f>0.15*'Monthly P&amp;L'!Y$8</f>
        <v>22087.872943124992</v>
      </c>
      <c r="AA18" s="1">
        <f>0.15*'Monthly P&amp;L'!Z$8</f>
        <v>33131.809414687486</v>
      </c>
      <c r="AB18" s="1">
        <f>0.15*'Monthly P&amp;L'!AA$8</f>
        <v>55219.682357812482</v>
      </c>
      <c r="AC18" s="20"/>
      <c r="AD18" s="20"/>
    </row>
    <row r="19" spans="1:30" s="100" customFormat="1" x14ac:dyDescent="0.25">
      <c r="A19" s="108" t="s">
        <v>271</v>
      </c>
      <c r="D19" s="100">
        <v>0</v>
      </c>
      <c r="E19" s="100">
        <f>0.025*'Monthly P&amp;L'!D8</f>
        <v>495</v>
      </c>
      <c r="F19" s="100">
        <f>0.025*'Monthly P&amp;L'!E8</f>
        <v>742.5</v>
      </c>
      <c r="G19" s="100">
        <f>0.025*'Monthly P&amp;L'!F8</f>
        <v>1237.5</v>
      </c>
      <c r="H19" s="100">
        <f>0.025*'Monthly P&amp;L'!G8</f>
        <v>806.625</v>
      </c>
      <c r="I19" s="100">
        <f>0.025*'Monthly P&amp;L'!H8</f>
        <v>1209.9375</v>
      </c>
      <c r="J19" s="100">
        <f>0.025*'Monthly P&amp;L'!I8</f>
        <v>2016.5625</v>
      </c>
      <c r="K19" s="100">
        <f>0.025*'Monthly P&amp;L'!J8</f>
        <v>776.32500000000005</v>
      </c>
      <c r="L19" s="100">
        <f>0.025*'Monthly P&amp;L'!K8</f>
        <v>1164.4875</v>
      </c>
      <c r="M19" s="100">
        <f>0.025*'Monthly P&amp;L'!L8</f>
        <v>1940.8125</v>
      </c>
      <c r="N19" s="100">
        <f>0.025*'Monthly P&amp;L'!M8</f>
        <v>2049.9875000000002</v>
      </c>
      <c r="O19" s="100">
        <f>0.025*'Monthly P&amp;L'!N8</f>
        <v>3074.9812500000003</v>
      </c>
      <c r="P19" s="100">
        <f>0.025*'Monthly P&amp;L'!O8</f>
        <v>5124.96875</v>
      </c>
      <c r="Q19" s="100">
        <f>0.025*'Monthly P&amp;L'!P8</f>
        <v>2420.5225</v>
      </c>
      <c r="R19" s="100">
        <f>0.025*'Monthly P&amp;L'!Q8</f>
        <v>3630.7837500000005</v>
      </c>
      <c r="S19" s="100">
        <f>0.025*'Monthly P&amp;L'!R8</f>
        <v>6051.3062500000005</v>
      </c>
      <c r="T19" s="100">
        <f>0.025*'Monthly P&amp;L'!S8</f>
        <v>2783.6008750000001</v>
      </c>
      <c r="U19" s="100">
        <f>0.025*'Monthly P&amp;L'!T8</f>
        <v>4175.4013124999992</v>
      </c>
      <c r="V19" s="100">
        <f>0.025*'Monthly P&amp;L'!U8</f>
        <v>6959.0021874999993</v>
      </c>
      <c r="W19" s="100">
        <f>0.025*'Monthly P&amp;L'!V8</f>
        <v>3201.1410062499995</v>
      </c>
      <c r="X19" s="100">
        <f>0.025*'Monthly P&amp;L'!W8</f>
        <v>4801.711509374999</v>
      </c>
      <c r="Y19" s="100">
        <f>0.025*'Monthly P&amp;L'!X8</f>
        <v>8002.852515624998</v>
      </c>
      <c r="Z19" s="100">
        <f>0.025*'Monthly P&amp;L'!Y8</f>
        <v>3681.312157187499</v>
      </c>
      <c r="AA19" s="100">
        <f>0.025*'Monthly P&amp;L'!Z8</f>
        <v>5521.9682357812489</v>
      </c>
      <c r="AB19" s="100">
        <f>0.025*'Monthly P&amp;L'!AA8</f>
        <v>9203.2803929687489</v>
      </c>
      <c r="AC19" s="149"/>
      <c r="AD19" s="149"/>
    </row>
    <row r="20" spans="1:30" s="100" customFormat="1" x14ac:dyDescent="0.25">
      <c r="A20" s="108" t="s">
        <v>272</v>
      </c>
      <c r="D20" s="100">
        <v>0</v>
      </c>
      <c r="E20" s="100">
        <f>D20</f>
        <v>0</v>
      </c>
      <c r="F20" s="100">
        <f t="shared" ref="F20:AB20" si="6">E20</f>
        <v>0</v>
      </c>
      <c r="G20" s="100">
        <f t="shared" si="6"/>
        <v>0</v>
      </c>
      <c r="H20" s="100">
        <f t="shared" si="6"/>
        <v>0</v>
      </c>
      <c r="I20" s="100">
        <f t="shared" si="6"/>
        <v>0</v>
      </c>
      <c r="J20" s="100">
        <f t="shared" si="6"/>
        <v>0</v>
      </c>
      <c r="K20" s="100">
        <f t="shared" si="6"/>
        <v>0</v>
      </c>
      <c r="L20" s="100">
        <f t="shared" si="6"/>
        <v>0</v>
      </c>
      <c r="M20" s="100">
        <f t="shared" si="6"/>
        <v>0</v>
      </c>
      <c r="N20" s="100">
        <f t="shared" si="6"/>
        <v>0</v>
      </c>
      <c r="O20" s="100">
        <f t="shared" si="6"/>
        <v>0</v>
      </c>
      <c r="P20" s="100">
        <f t="shared" si="6"/>
        <v>0</v>
      </c>
      <c r="Q20" s="100">
        <f t="shared" si="6"/>
        <v>0</v>
      </c>
      <c r="R20" s="100">
        <f t="shared" si="6"/>
        <v>0</v>
      </c>
      <c r="S20" s="100">
        <f t="shared" si="6"/>
        <v>0</v>
      </c>
      <c r="T20" s="100">
        <f t="shared" si="6"/>
        <v>0</v>
      </c>
      <c r="U20" s="100">
        <f t="shared" si="6"/>
        <v>0</v>
      </c>
      <c r="V20" s="100">
        <f t="shared" si="6"/>
        <v>0</v>
      </c>
      <c r="W20" s="100">
        <f t="shared" si="6"/>
        <v>0</v>
      </c>
      <c r="X20" s="100">
        <f t="shared" si="6"/>
        <v>0</v>
      </c>
      <c r="Y20" s="100">
        <f t="shared" si="6"/>
        <v>0</v>
      </c>
      <c r="Z20" s="100">
        <f t="shared" si="6"/>
        <v>0</v>
      </c>
      <c r="AA20" s="100">
        <f t="shared" si="6"/>
        <v>0</v>
      </c>
      <c r="AB20" s="100">
        <f t="shared" si="6"/>
        <v>0</v>
      </c>
      <c r="AC20" s="149"/>
      <c r="AD20" s="149"/>
    </row>
    <row r="21" spans="1:30" s="100" customFormat="1" x14ac:dyDescent="0.25">
      <c r="A21" s="108" t="s">
        <v>286</v>
      </c>
      <c r="D21" s="104">
        <v>0</v>
      </c>
      <c r="E21" s="104">
        <f>'Cap Lease'!$R$11</f>
        <v>4062.5042172489584</v>
      </c>
      <c r="F21" s="104">
        <f>'Cap Lease'!$R$12</f>
        <v>4103.1292594214483</v>
      </c>
      <c r="G21" s="104">
        <f>'Cap Lease'!$R$13</f>
        <v>4144.1605520156627</v>
      </c>
      <c r="H21" s="104">
        <f>'Cap Lease'!$R$14</f>
        <v>4185.6021575358191</v>
      </c>
      <c r="I21" s="104">
        <f>'Cap Lease'!$R$15</f>
        <v>4227.4581791111777</v>
      </c>
      <c r="J21" s="104">
        <f>'Cap Lease'!$R$16</f>
        <v>4269.7327609022896</v>
      </c>
      <c r="K21" s="104">
        <f>'Cap Lease'!$R$17</f>
        <v>4312.4300885113125</v>
      </c>
      <c r="L21" s="104">
        <f>'Cap Lease'!$R$18</f>
        <v>4355.5543893964259</v>
      </c>
      <c r="M21" s="104">
        <f>'Cap Lease'!$R$19</f>
        <v>4399.1099332903896</v>
      </c>
      <c r="N21" s="104">
        <f>'Cap Lease'!$R$20</f>
        <v>4443.1010326232936</v>
      </c>
      <c r="O21" s="104">
        <f>'Cap Lease'!$R$21</f>
        <v>4487.5320429495268</v>
      </c>
      <c r="P21" s="104">
        <f>'Cap Lease'!$R$22</f>
        <v>4532.4073633790222</v>
      </c>
      <c r="Q21" s="104">
        <f>'Cap Lease'!$R$23</f>
        <v>5738.4469276553718</v>
      </c>
      <c r="R21" s="104">
        <f>'Cap Lease'!$R$24</f>
        <v>5795.8313969319261</v>
      </c>
      <c r="S21" s="104">
        <f>'Cap Lease'!$R$25</f>
        <v>5853.7897109012447</v>
      </c>
      <c r="T21" s="104">
        <f>'Cap Lease'!$R$26</f>
        <v>5912.3276080102578</v>
      </c>
      <c r="U21" s="104">
        <f>'Cap Lease'!$R$27</f>
        <v>5971.45088409036</v>
      </c>
      <c r="V21" s="104">
        <f>'Cap Lease'!$R$28</f>
        <v>6031.1653929312633</v>
      </c>
      <c r="W21" s="104">
        <f>'Cap Lease'!$R$29</f>
        <v>6091.4770468605766</v>
      </c>
      <c r="X21" s="104">
        <f>'Cap Lease'!$R$30</f>
        <v>6152.3918173291822</v>
      </c>
      <c r="Y21" s="104">
        <f>'Cap Lease'!$R$31</f>
        <v>6213.9157355024727</v>
      </c>
      <c r="Z21" s="104">
        <f>'Cap Lease'!$R$32</f>
        <v>6276.054892857499</v>
      </c>
      <c r="AA21" s="104">
        <f>'Cap Lease'!$R$33</f>
        <v>6338.8154417860733</v>
      </c>
      <c r="AB21" s="104">
        <f>'Cap Lease'!$R$34</f>
        <v>6402.2035962039336</v>
      </c>
      <c r="AC21" s="149"/>
      <c r="AD21" s="149"/>
    </row>
    <row r="22" spans="1:30" s="100" customFormat="1" ht="13.8" thickBot="1" x14ac:dyDescent="0.3">
      <c r="A22" s="108" t="s">
        <v>273</v>
      </c>
      <c r="D22" s="110">
        <f t="shared" ref="D22:AB22" si="7">SUM(D18:D21)</f>
        <v>0</v>
      </c>
      <c r="E22" s="110">
        <f t="shared" si="7"/>
        <v>7527.5042172489584</v>
      </c>
      <c r="F22" s="110">
        <f t="shared" si="7"/>
        <v>9300.6292594214483</v>
      </c>
      <c r="G22" s="110">
        <f t="shared" si="7"/>
        <v>12806.660552015663</v>
      </c>
      <c r="H22" s="110">
        <f t="shared" si="7"/>
        <v>9831.9771575358191</v>
      </c>
      <c r="I22" s="110">
        <f t="shared" si="7"/>
        <v>12697.020679111178</v>
      </c>
      <c r="J22" s="110">
        <f t="shared" si="7"/>
        <v>18385.67026090229</v>
      </c>
      <c r="K22" s="110">
        <f t="shared" si="7"/>
        <v>9746.7050885113131</v>
      </c>
      <c r="L22" s="110">
        <f t="shared" si="7"/>
        <v>12506.966889396426</v>
      </c>
      <c r="M22" s="110">
        <f t="shared" si="7"/>
        <v>17984.79743329039</v>
      </c>
      <c r="N22" s="110">
        <f t="shared" si="7"/>
        <v>18793.013532623292</v>
      </c>
      <c r="O22" s="110">
        <f t="shared" si="7"/>
        <v>26012.400792949527</v>
      </c>
      <c r="P22" s="110">
        <f t="shared" si="7"/>
        <v>40407.188613379025</v>
      </c>
      <c r="Q22" s="110">
        <f t="shared" si="7"/>
        <v>22682.104427655369</v>
      </c>
      <c r="R22" s="110">
        <f t="shared" si="7"/>
        <v>31211.31764693193</v>
      </c>
      <c r="S22" s="110">
        <f t="shared" si="7"/>
        <v>48212.933460901244</v>
      </c>
      <c r="T22" s="110">
        <f t="shared" si="7"/>
        <v>25397.533733010256</v>
      </c>
      <c r="U22" s="110">
        <f t="shared" si="7"/>
        <v>35199.260071590354</v>
      </c>
      <c r="V22" s="110">
        <f t="shared" si="7"/>
        <v>54744.180705431252</v>
      </c>
      <c r="W22" s="110">
        <f t="shared" si="7"/>
        <v>28499.464090610571</v>
      </c>
      <c r="X22" s="110">
        <f t="shared" si="7"/>
        <v>39764.37238295417</v>
      </c>
      <c r="Y22" s="110">
        <f t="shared" si="7"/>
        <v>62233.883344877453</v>
      </c>
      <c r="Z22" s="110">
        <f t="shared" si="7"/>
        <v>32045.239993169991</v>
      </c>
      <c r="AA22" s="110">
        <f t="shared" si="7"/>
        <v>44992.593092254807</v>
      </c>
      <c r="AB22" s="110">
        <f t="shared" si="7"/>
        <v>70825.166346985163</v>
      </c>
      <c r="AC22" s="149"/>
      <c r="AD22" s="149"/>
    </row>
    <row r="23" spans="1:30" s="100" customFormat="1" ht="8.25" customHeight="1" thickTop="1" x14ac:dyDescent="0.25">
      <c r="A23" s="108"/>
      <c r="AC23" s="149"/>
      <c r="AD23" s="149"/>
    </row>
    <row r="24" spans="1:30" s="100" customFormat="1" x14ac:dyDescent="0.25">
      <c r="A24" s="108" t="s">
        <v>274</v>
      </c>
      <c r="AC24" s="149"/>
      <c r="AD24" s="149"/>
    </row>
    <row r="25" spans="1:30" s="100" customFormat="1" x14ac:dyDescent="0.25">
      <c r="A25" s="108" t="s">
        <v>287</v>
      </c>
      <c r="D25" s="104">
        <f>'Cap Lease'!T11</f>
        <v>170937.49578275104</v>
      </c>
      <c r="E25" s="104">
        <f>'Cap Lease'!$T$12</f>
        <v>166834.36652332958</v>
      </c>
      <c r="F25" s="104">
        <f>'Cap Lease'!$T$13</f>
        <v>162690.2059713139</v>
      </c>
      <c r="G25" s="104">
        <f>'Cap Lease'!$T$14</f>
        <v>158504.60381377809</v>
      </c>
      <c r="H25" s="104">
        <f>'Cap Lease'!$T$15</f>
        <v>154277.1456346669</v>
      </c>
      <c r="I25" s="104">
        <f>'Cap Lease'!$T$16</f>
        <v>150007.41287376461</v>
      </c>
      <c r="J25" s="104">
        <f>'Cap Lease'!$T$17</f>
        <v>145694.98278525329</v>
      </c>
      <c r="K25" s="104">
        <f>'Cap Lease'!$T$18</f>
        <v>141339.42839585687</v>
      </c>
      <c r="L25" s="104">
        <f>'Cap Lease'!$T$19</f>
        <v>136940.31846256647</v>
      </c>
      <c r="M25" s="104">
        <f>'Cap Lease'!$T$20</f>
        <v>132497.21742994318</v>
      </c>
      <c r="N25" s="104">
        <f>'Cap Lease'!$T$21</f>
        <v>128009.68538699365</v>
      </c>
      <c r="O25" s="104">
        <f>'Cap Lease'!$T$22</f>
        <v>123477.27802361462</v>
      </c>
      <c r="P25" s="104">
        <f>'Cap Lease'!$T$23</f>
        <v>167738.83109595923</v>
      </c>
      <c r="Q25" s="104">
        <f>'Cap Lease'!$T$24</f>
        <v>161942.99969902734</v>
      </c>
      <c r="R25" s="104">
        <f>'Cap Lease'!$T$25</f>
        <v>156089.20998812607</v>
      </c>
      <c r="S25" s="104">
        <f>'Cap Lease'!$T$26</f>
        <v>150176.88238011583</v>
      </c>
      <c r="T25" s="104">
        <f>'Cap Lease'!$T$27</f>
        <v>144205.43149602547</v>
      </c>
      <c r="U25" s="104">
        <f>'Cap Lease'!$T$28</f>
        <v>138174.26610309421</v>
      </c>
      <c r="V25" s="104">
        <f>'Cap Lease'!$T$29</f>
        <v>132082.78905623363</v>
      </c>
      <c r="W25" s="104">
        <f>'Cap Lease'!$T$30</f>
        <v>125930.39723890445</v>
      </c>
      <c r="X25" s="104">
        <f>'Cap Lease'!$T$31</f>
        <v>119716.48150340197</v>
      </c>
      <c r="Y25" s="104">
        <f>'Cap Lease'!$T$32</f>
        <v>113440.42661054447</v>
      </c>
      <c r="Z25" s="104">
        <f>'Cap Lease'!$T$33</f>
        <v>107101.61116875841</v>
      </c>
      <c r="AA25" s="104">
        <f>'Cap Lease'!$T$34</f>
        <v>100699.40757255448</v>
      </c>
      <c r="AB25" s="104">
        <f>'Cap Lease'!$T$35</f>
        <v>94233.181940388502</v>
      </c>
      <c r="AC25" s="149"/>
      <c r="AD25" s="149"/>
    </row>
    <row r="26" spans="1:30" s="100" customFormat="1" x14ac:dyDescent="0.25">
      <c r="A26" s="108" t="s">
        <v>275</v>
      </c>
      <c r="D26" s="106">
        <f t="shared" ref="D26:AB26" si="8">D25</f>
        <v>170937.49578275104</v>
      </c>
      <c r="E26" s="106">
        <f t="shared" si="8"/>
        <v>166834.36652332958</v>
      </c>
      <c r="F26" s="106">
        <f t="shared" si="8"/>
        <v>162690.2059713139</v>
      </c>
      <c r="G26" s="106">
        <f t="shared" si="8"/>
        <v>158504.60381377809</v>
      </c>
      <c r="H26" s="106">
        <f t="shared" si="8"/>
        <v>154277.1456346669</v>
      </c>
      <c r="I26" s="106">
        <f t="shared" si="8"/>
        <v>150007.41287376461</v>
      </c>
      <c r="J26" s="106">
        <f t="shared" si="8"/>
        <v>145694.98278525329</v>
      </c>
      <c r="K26" s="106">
        <f t="shared" si="8"/>
        <v>141339.42839585687</v>
      </c>
      <c r="L26" s="106">
        <f t="shared" si="8"/>
        <v>136940.31846256647</v>
      </c>
      <c r="M26" s="106">
        <f t="shared" si="8"/>
        <v>132497.21742994318</v>
      </c>
      <c r="N26" s="106">
        <f t="shared" si="8"/>
        <v>128009.68538699365</v>
      </c>
      <c r="O26" s="106">
        <f t="shared" si="8"/>
        <v>123477.27802361462</v>
      </c>
      <c r="P26" s="106">
        <f t="shared" si="8"/>
        <v>167738.83109595923</v>
      </c>
      <c r="Q26" s="106">
        <f t="shared" si="8"/>
        <v>161942.99969902734</v>
      </c>
      <c r="R26" s="106">
        <f t="shared" si="8"/>
        <v>156089.20998812607</v>
      </c>
      <c r="S26" s="106">
        <f t="shared" si="8"/>
        <v>150176.88238011583</v>
      </c>
      <c r="T26" s="106">
        <f t="shared" si="8"/>
        <v>144205.43149602547</v>
      </c>
      <c r="U26" s="106">
        <f t="shared" si="8"/>
        <v>138174.26610309421</v>
      </c>
      <c r="V26" s="106">
        <f t="shared" si="8"/>
        <v>132082.78905623363</v>
      </c>
      <c r="W26" s="106">
        <f t="shared" si="8"/>
        <v>125930.39723890445</v>
      </c>
      <c r="X26" s="106">
        <f t="shared" si="8"/>
        <v>119716.48150340197</v>
      </c>
      <c r="Y26" s="106">
        <f t="shared" si="8"/>
        <v>113440.42661054447</v>
      </c>
      <c r="Z26" s="106">
        <f t="shared" si="8"/>
        <v>107101.61116875841</v>
      </c>
      <c r="AA26" s="106">
        <f t="shared" si="8"/>
        <v>100699.40757255448</v>
      </c>
      <c r="AB26" s="106">
        <f t="shared" si="8"/>
        <v>94233.181940388502</v>
      </c>
      <c r="AC26" s="149"/>
      <c r="AD26" s="149"/>
    </row>
    <row r="27" spans="1:30" s="1" customFormat="1" ht="13.8" thickBot="1" x14ac:dyDescent="0.3">
      <c r="A27" s="113" t="s">
        <v>276</v>
      </c>
      <c r="D27" s="112">
        <f t="shared" ref="D27:AB27" si="9">D26+D22</f>
        <v>170937.49578275104</v>
      </c>
      <c r="E27" s="112">
        <f t="shared" si="9"/>
        <v>174361.87074057854</v>
      </c>
      <c r="F27" s="112">
        <f t="shared" si="9"/>
        <v>171990.83523073536</v>
      </c>
      <c r="G27" s="112">
        <f t="shared" si="9"/>
        <v>171311.26436579376</v>
      </c>
      <c r="H27" s="112">
        <f t="shared" si="9"/>
        <v>164109.12279220272</v>
      </c>
      <c r="I27" s="112">
        <f t="shared" si="9"/>
        <v>162704.43355287579</v>
      </c>
      <c r="J27" s="112">
        <f t="shared" si="9"/>
        <v>164080.65304615558</v>
      </c>
      <c r="K27" s="112">
        <f t="shared" si="9"/>
        <v>151086.13348436818</v>
      </c>
      <c r="L27" s="112">
        <f t="shared" si="9"/>
        <v>149447.2853519629</v>
      </c>
      <c r="M27" s="112">
        <f t="shared" si="9"/>
        <v>150482.01486323358</v>
      </c>
      <c r="N27" s="112">
        <f t="shared" si="9"/>
        <v>146802.69891961693</v>
      </c>
      <c r="O27" s="112">
        <f t="shared" si="9"/>
        <v>149489.67881656415</v>
      </c>
      <c r="P27" s="112">
        <f t="shared" si="9"/>
        <v>208146.01970933826</v>
      </c>
      <c r="Q27" s="112">
        <f t="shared" si="9"/>
        <v>184625.10412668271</v>
      </c>
      <c r="R27" s="112">
        <f t="shared" si="9"/>
        <v>187300.52763505798</v>
      </c>
      <c r="S27" s="112">
        <f t="shared" si="9"/>
        <v>198389.81584101706</v>
      </c>
      <c r="T27" s="112">
        <f t="shared" si="9"/>
        <v>169602.96522903573</v>
      </c>
      <c r="U27" s="112">
        <f t="shared" si="9"/>
        <v>173373.52617468458</v>
      </c>
      <c r="V27" s="112">
        <f t="shared" si="9"/>
        <v>186826.96976166486</v>
      </c>
      <c r="W27" s="112">
        <f t="shared" si="9"/>
        <v>154429.86132951503</v>
      </c>
      <c r="X27" s="112">
        <f t="shared" si="9"/>
        <v>159480.85388635614</v>
      </c>
      <c r="Y27" s="112">
        <f t="shared" si="9"/>
        <v>175674.30995542192</v>
      </c>
      <c r="Z27" s="112">
        <f t="shared" si="9"/>
        <v>139146.85116192838</v>
      </c>
      <c r="AA27" s="112">
        <f t="shared" si="9"/>
        <v>145692.00066480928</v>
      </c>
      <c r="AB27" s="112">
        <f t="shared" si="9"/>
        <v>165058.34828737366</v>
      </c>
      <c r="AC27" s="20"/>
      <c r="AD27" s="20"/>
    </row>
    <row r="28" spans="1:30" ht="13.8" thickTop="1" x14ac:dyDescent="0.25">
      <c r="A28" s="108"/>
      <c r="AC28" s="51"/>
      <c r="AD28" s="51"/>
    </row>
    <row r="29" spans="1:30" x14ac:dyDescent="0.25">
      <c r="A29" s="108" t="s">
        <v>277</v>
      </c>
      <c r="AC29" s="51"/>
      <c r="AD29" s="51"/>
    </row>
    <row r="30" spans="1:30" s="1" customFormat="1" x14ac:dyDescent="0.25">
      <c r="A30" s="114" t="s">
        <v>288</v>
      </c>
      <c r="D30" s="1">
        <v>3000000</v>
      </c>
      <c r="E30" s="1">
        <f>D30</f>
        <v>3000000</v>
      </c>
      <c r="F30" s="1">
        <f t="shared" ref="F30:AB30" si="10">E30</f>
        <v>3000000</v>
      </c>
      <c r="G30" s="1">
        <f t="shared" si="10"/>
        <v>3000000</v>
      </c>
      <c r="H30" s="1">
        <f t="shared" si="10"/>
        <v>3000000</v>
      </c>
      <c r="I30" s="1">
        <f t="shared" si="10"/>
        <v>3000000</v>
      </c>
      <c r="J30" s="1">
        <f t="shared" si="10"/>
        <v>3000000</v>
      </c>
      <c r="K30" s="1">
        <f t="shared" si="10"/>
        <v>3000000</v>
      </c>
      <c r="L30" s="1">
        <f t="shared" si="10"/>
        <v>3000000</v>
      </c>
      <c r="M30" s="1">
        <f t="shared" si="10"/>
        <v>3000000</v>
      </c>
      <c r="N30" s="1">
        <f t="shared" si="10"/>
        <v>3000000</v>
      </c>
      <c r="O30" s="1">
        <f t="shared" si="10"/>
        <v>3000000</v>
      </c>
      <c r="P30" s="1">
        <f t="shared" si="10"/>
        <v>3000000</v>
      </c>
      <c r="Q30" s="1">
        <f t="shared" si="10"/>
        <v>3000000</v>
      </c>
      <c r="R30" s="1">
        <f t="shared" si="10"/>
        <v>3000000</v>
      </c>
      <c r="S30" s="1">
        <f t="shared" si="10"/>
        <v>3000000</v>
      </c>
      <c r="T30" s="1">
        <f t="shared" si="10"/>
        <v>3000000</v>
      </c>
      <c r="U30" s="1">
        <f t="shared" si="10"/>
        <v>3000000</v>
      </c>
      <c r="V30" s="1">
        <f t="shared" si="10"/>
        <v>3000000</v>
      </c>
      <c r="W30" s="1">
        <f t="shared" si="10"/>
        <v>3000000</v>
      </c>
      <c r="X30" s="1">
        <f t="shared" si="10"/>
        <v>3000000</v>
      </c>
      <c r="Y30" s="1">
        <f t="shared" si="10"/>
        <v>3000000</v>
      </c>
      <c r="Z30" s="1">
        <f t="shared" si="10"/>
        <v>3000000</v>
      </c>
      <c r="AA30" s="1">
        <f t="shared" si="10"/>
        <v>3000000</v>
      </c>
      <c r="AB30" s="1">
        <f t="shared" si="10"/>
        <v>3000000</v>
      </c>
      <c r="AC30" s="20"/>
      <c r="AD30" s="20"/>
    </row>
    <row r="31" spans="1:30" s="1" customFormat="1" x14ac:dyDescent="0.25">
      <c r="A31" s="114" t="s">
        <v>289</v>
      </c>
      <c r="Q31" s="1">
        <v>5000000</v>
      </c>
      <c r="R31" s="1">
        <v>5000000</v>
      </c>
      <c r="S31" s="1">
        <v>5000000</v>
      </c>
      <c r="T31" s="1">
        <v>5000000</v>
      </c>
      <c r="U31" s="1">
        <v>5000000</v>
      </c>
      <c r="V31" s="1">
        <v>5000000</v>
      </c>
      <c r="W31" s="1">
        <v>5000000</v>
      </c>
      <c r="X31" s="1">
        <v>5000000</v>
      </c>
      <c r="Y31" s="1">
        <v>5000000</v>
      </c>
      <c r="Z31" s="1">
        <v>5000000</v>
      </c>
      <c r="AA31" s="1">
        <v>5000000</v>
      </c>
      <c r="AB31" s="1">
        <v>5000000</v>
      </c>
      <c r="AC31" s="20"/>
      <c r="AD31" s="20"/>
    </row>
    <row r="32" spans="1:30" s="1" customFormat="1" x14ac:dyDescent="0.25">
      <c r="A32" s="114" t="s">
        <v>278</v>
      </c>
      <c r="D32" s="1">
        <v>60000</v>
      </c>
      <c r="E32" s="1">
        <v>60000</v>
      </c>
      <c r="F32" s="1">
        <v>60000</v>
      </c>
      <c r="G32" s="1">
        <v>60000</v>
      </c>
      <c r="H32" s="1">
        <v>60000</v>
      </c>
      <c r="I32" s="1">
        <v>60000</v>
      </c>
      <c r="J32" s="1">
        <v>60000</v>
      </c>
      <c r="K32" s="1">
        <v>60000</v>
      </c>
      <c r="L32" s="1">
        <v>60000</v>
      </c>
      <c r="M32" s="1">
        <v>60000</v>
      </c>
      <c r="N32" s="1">
        <v>60000</v>
      </c>
      <c r="O32" s="1">
        <v>60000</v>
      </c>
      <c r="P32" s="1">
        <v>60000</v>
      </c>
      <c r="Q32" s="1">
        <v>60000</v>
      </c>
      <c r="R32" s="1">
        <v>60000</v>
      </c>
      <c r="S32" s="1">
        <v>60000</v>
      </c>
      <c r="T32" s="1">
        <v>60000</v>
      </c>
      <c r="U32" s="1">
        <v>60000</v>
      </c>
      <c r="V32" s="1">
        <v>60000</v>
      </c>
      <c r="W32" s="1">
        <v>60000</v>
      </c>
      <c r="X32" s="1">
        <v>60000</v>
      </c>
      <c r="Y32" s="1">
        <v>60000</v>
      </c>
      <c r="Z32" s="1">
        <v>60000</v>
      </c>
      <c r="AA32" s="1">
        <v>60000</v>
      </c>
      <c r="AB32" s="1">
        <v>60000</v>
      </c>
      <c r="AC32" s="20"/>
      <c r="AD32" s="20"/>
    </row>
    <row r="33" spans="1:30" s="1" customFormat="1" x14ac:dyDescent="0.25">
      <c r="A33" s="114" t="s">
        <v>279</v>
      </c>
      <c r="AC33" s="20"/>
      <c r="AD33" s="20"/>
    </row>
    <row r="34" spans="1:30" s="1" customFormat="1" x14ac:dyDescent="0.25">
      <c r="A34" s="114" t="s">
        <v>280</v>
      </c>
      <c r="D34" s="3">
        <v>0</v>
      </c>
      <c r="E34" s="3">
        <f t="shared" ref="E34:P34" si="11">(E14-(E27+E32+E30))</f>
        <v>-133829.49841229292</v>
      </c>
      <c r="F34" s="3">
        <f t="shared" si="11"/>
        <v>-324592.01303724293</v>
      </c>
      <c r="G34" s="3">
        <f t="shared" si="11"/>
        <v>-562663.12957633147</v>
      </c>
      <c r="H34" s="3">
        <f t="shared" si="11"/>
        <v>-819562.90768083557</v>
      </c>
      <c r="I34" s="3">
        <f t="shared" si="11"/>
        <v>-1061069.1351410216</v>
      </c>
      <c r="J34" s="3">
        <f t="shared" si="11"/>
        <v>-1271153.9245977853</v>
      </c>
      <c r="K34" s="3">
        <f t="shared" si="11"/>
        <v>-1529828.9386466129</v>
      </c>
      <c r="L34" s="3">
        <f t="shared" si="11"/>
        <v>-1773717.6904310714</v>
      </c>
      <c r="M34" s="3">
        <f t="shared" si="11"/>
        <v>-1987401.6118312201</v>
      </c>
      <c r="N34" s="3">
        <f t="shared" si="11"/>
        <v>-2199497.0678117592</v>
      </c>
      <c r="O34" s="3">
        <f t="shared" si="11"/>
        <v>-2371450.5310348952</v>
      </c>
      <c r="P34" s="3">
        <f t="shared" si="11"/>
        <v>-2511375.8623093953</v>
      </c>
      <c r="Q34" s="3">
        <f t="shared" ref="Q34:AB34" si="12">(Q14-(Q27+Q32+Q31+Q30))</f>
        <v>-7712053.5640375847</v>
      </c>
      <c r="R34" s="3">
        <f t="shared" si="12"/>
        <v>-7866306.4116665823</v>
      </c>
      <c r="S34" s="3">
        <f t="shared" si="12"/>
        <v>-7929410.4895646553</v>
      </c>
      <c r="T34" s="3">
        <f t="shared" si="12"/>
        <v>-3128609.5323133497</v>
      </c>
      <c r="U34" s="3">
        <f t="shared" si="12"/>
        <v>-3373516.5673692003</v>
      </c>
      <c r="V34" s="3">
        <f t="shared" si="12"/>
        <v>-3513771.3969289707</v>
      </c>
      <c r="W34" s="3">
        <f t="shared" si="12"/>
        <v>-3796502.2206219444</v>
      </c>
      <c r="X34" s="3">
        <f t="shared" si="12"/>
        <v>-4019402.8818126628</v>
      </c>
      <c r="Y34" s="3">
        <f t="shared" si="12"/>
        <v>-4121806.6871157736</v>
      </c>
      <c r="Z34" s="3">
        <f t="shared" si="12"/>
        <v>-4387910.681191925</v>
      </c>
      <c r="AA34" s="3">
        <f t="shared" si="12"/>
        <v>-4585062.3978563882</v>
      </c>
      <c r="AB34" s="3">
        <f t="shared" si="12"/>
        <v>-4643494.7525164941</v>
      </c>
      <c r="AC34" s="20"/>
      <c r="AD34" s="20"/>
    </row>
    <row r="35" spans="1:30" s="1" customFormat="1" x14ac:dyDescent="0.25">
      <c r="A35" s="113" t="s">
        <v>281</v>
      </c>
      <c r="D35" s="111">
        <f t="shared" ref="D35:AB35" si="13">SUM(D30:D34)</f>
        <v>3060000</v>
      </c>
      <c r="E35" s="111">
        <f t="shared" si="13"/>
        <v>2926170.5015877071</v>
      </c>
      <c r="F35" s="111">
        <f t="shared" si="13"/>
        <v>2735407.9869627571</v>
      </c>
      <c r="G35" s="111">
        <f t="shared" si="13"/>
        <v>2497336.8704236685</v>
      </c>
      <c r="H35" s="111">
        <f t="shared" si="13"/>
        <v>2240437.0923191644</v>
      </c>
      <c r="I35" s="111">
        <f t="shared" si="13"/>
        <v>1998930.8648589784</v>
      </c>
      <c r="J35" s="111">
        <f t="shared" si="13"/>
        <v>1788846.0754022147</v>
      </c>
      <c r="K35" s="111">
        <f t="shared" si="13"/>
        <v>1530171.0613533871</v>
      </c>
      <c r="L35" s="111">
        <f t="shared" si="13"/>
        <v>1286282.3095689286</v>
      </c>
      <c r="M35" s="111">
        <f t="shared" si="13"/>
        <v>1072598.3881687799</v>
      </c>
      <c r="N35" s="111">
        <f t="shared" si="13"/>
        <v>860502.93218824081</v>
      </c>
      <c r="O35" s="111">
        <f t="shared" si="13"/>
        <v>688549.46896510478</v>
      </c>
      <c r="P35" s="111">
        <f t="shared" si="13"/>
        <v>548624.13769060466</v>
      </c>
      <c r="Q35" s="111">
        <f t="shared" si="13"/>
        <v>347946.4359624153</v>
      </c>
      <c r="R35" s="111">
        <f t="shared" si="13"/>
        <v>193693.58833341766</v>
      </c>
      <c r="S35" s="111">
        <f t="shared" si="13"/>
        <v>130589.51043534465</v>
      </c>
      <c r="T35" s="111">
        <f t="shared" si="13"/>
        <v>4931390.4676866503</v>
      </c>
      <c r="U35" s="111">
        <f t="shared" si="13"/>
        <v>4686483.4326307997</v>
      </c>
      <c r="V35" s="111">
        <f t="shared" si="13"/>
        <v>4546228.6030710293</v>
      </c>
      <c r="W35" s="111">
        <f t="shared" si="13"/>
        <v>4263497.7793780556</v>
      </c>
      <c r="X35" s="111">
        <f t="shared" si="13"/>
        <v>4040597.1181873372</v>
      </c>
      <c r="Y35" s="111">
        <f t="shared" si="13"/>
        <v>3938193.3128842264</v>
      </c>
      <c r="Z35" s="111">
        <f t="shared" si="13"/>
        <v>3672089.318808075</v>
      </c>
      <c r="AA35" s="111">
        <f t="shared" si="13"/>
        <v>3474937.6021436118</v>
      </c>
      <c r="AB35" s="111">
        <f t="shared" si="13"/>
        <v>3416505.2474835059</v>
      </c>
      <c r="AC35" s="20"/>
      <c r="AD35" s="20"/>
    </row>
    <row r="36" spans="1:30" s="1" customFormat="1" ht="13.8" thickBot="1" x14ac:dyDescent="0.3">
      <c r="A36" s="113" t="s">
        <v>352</v>
      </c>
      <c r="D36" s="112">
        <f t="shared" ref="D36:AB36" si="14">SUM(D27+D35)</f>
        <v>3230937.4957827511</v>
      </c>
      <c r="E36" s="112">
        <f t="shared" si="14"/>
        <v>3100532.3723282856</v>
      </c>
      <c r="F36" s="112">
        <f t="shared" si="14"/>
        <v>2907398.8221934922</v>
      </c>
      <c r="G36" s="112">
        <f t="shared" si="14"/>
        <v>2668648.1347894622</v>
      </c>
      <c r="H36" s="112">
        <f t="shared" si="14"/>
        <v>2404546.2151113669</v>
      </c>
      <c r="I36" s="112">
        <f t="shared" si="14"/>
        <v>2161635.2984118541</v>
      </c>
      <c r="J36" s="112">
        <f t="shared" si="14"/>
        <v>1952926.7284483702</v>
      </c>
      <c r="K36" s="112">
        <f t="shared" si="14"/>
        <v>1681257.1948377553</v>
      </c>
      <c r="L36" s="112">
        <f t="shared" si="14"/>
        <v>1435729.5949208913</v>
      </c>
      <c r="M36" s="112">
        <f t="shared" si="14"/>
        <v>1223080.4030320134</v>
      </c>
      <c r="N36" s="112">
        <f t="shared" si="14"/>
        <v>1007305.6311078577</v>
      </c>
      <c r="O36" s="112">
        <f t="shared" si="14"/>
        <v>838039.14778166893</v>
      </c>
      <c r="P36" s="112">
        <f t="shared" si="14"/>
        <v>756770.15739994287</v>
      </c>
      <c r="Q36" s="112">
        <f t="shared" si="14"/>
        <v>532571.54008909804</v>
      </c>
      <c r="R36" s="112">
        <f t="shared" si="14"/>
        <v>380994.11596847564</v>
      </c>
      <c r="S36" s="112">
        <f t="shared" si="14"/>
        <v>328979.32627636171</v>
      </c>
      <c r="T36" s="112">
        <f t="shared" si="14"/>
        <v>5100993.4329156857</v>
      </c>
      <c r="U36" s="112">
        <f t="shared" si="14"/>
        <v>4859856.9588054847</v>
      </c>
      <c r="V36" s="112">
        <f t="shared" si="14"/>
        <v>4733055.5728326943</v>
      </c>
      <c r="W36" s="112">
        <f t="shared" si="14"/>
        <v>4417927.6407075711</v>
      </c>
      <c r="X36" s="112">
        <f t="shared" si="14"/>
        <v>4200077.9720736938</v>
      </c>
      <c r="Y36" s="112">
        <f t="shared" si="14"/>
        <v>4113867.6228396483</v>
      </c>
      <c r="Z36" s="112">
        <f t="shared" si="14"/>
        <v>3811236.1699700034</v>
      </c>
      <c r="AA36" s="112">
        <f t="shared" si="14"/>
        <v>3620629.602808421</v>
      </c>
      <c r="AB36" s="112">
        <f t="shared" si="14"/>
        <v>3581563.5957708796</v>
      </c>
      <c r="AC36" s="20"/>
      <c r="AD36" s="20"/>
    </row>
    <row r="37" spans="1:30" ht="13.8" thickTop="1" x14ac:dyDescent="0.25">
      <c r="AC37" s="51"/>
      <c r="AD37" s="51"/>
    </row>
    <row r="38" spans="1:30" x14ac:dyDescent="0.25">
      <c r="AC38" s="51"/>
      <c r="AD38" s="51"/>
    </row>
  </sheetData>
  <phoneticPr fontId="0" type="noConversion"/>
  <pageMargins left="0.5" right="0.5" top="0.75" bottom="0.75" header="0.5" footer="0.5"/>
  <pageSetup orientation="landscape" horizontalDpi="0" verticalDpi="0" copies="0"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20"/>
  <sheetViews>
    <sheetView zoomScale="90" workbookViewId="0">
      <selection activeCell="A3" sqref="A3"/>
    </sheetView>
  </sheetViews>
  <sheetFormatPr defaultColWidth="9.109375" defaultRowHeight="13.2" x14ac:dyDescent="0.25"/>
  <cols>
    <col min="1" max="1" width="33.44140625" style="1" customWidth="1"/>
    <col min="2" max="2" width="18.44140625" style="1" customWidth="1"/>
    <col min="3" max="3" width="1.88671875" style="1" customWidth="1"/>
    <col min="4" max="4" width="1.5546875" style="1" customWidth="1"/>
    <col min="5" max="5" width="21.44140625" style="1" customWidth="1"/>
    <col min="6" max="6" width="31.33203125" style="15" customWidth="1"/>
    <col min="7" max="7" width="16.88671875" style="1" customWidth="1"/>
    <col min="8" max="16384" width="9.109375" style="1"/>
  </cols>
  <sheetData>
    <row r="1" spans="1:6" x14ac:dyDescent="0.25">
      <c r="A1" s="2" t="s">
        <v>0</v>
      </c>
      <c r="F1" s="20"/>
    </row>
    <row r="2" spans="1:6" x14ac:dyDescent="0.25">
      <c r="A2" s="2"/>
      <c r="F2" s="20"/>
    </row>
    <row r="3" spans="1:6" x14ac:dyDescent="0.25">
      <c r="A3" s="7" t="s">
        <v>414</v>
      </c>
      <c r="F3" s="20"/>
    </row>
    <row r="4" spans="1:6" x14ac:dyDescent="0.25">
      <c r="A4" s="2"/>
      <c r="F4" s="20"/>
    </row>
    <row r="5" spans="1:6" x14ac:dyDescent="0.25">
      <c r="A5" s="7" t="s">
        <v>345</v>
      </c>
      <c r="F5" s="20"/>
    </row>
    <row r="6" spans="1:6" x14ac:dyDescent="0.25">
      <c r="A6" s="2"/>
      <c r="B6" s="2" t="s">
        <v>63</v>
      </c>
      <c r="F6" s="34" t="s">
        <v>64</v>
      </c>
    </row>
    <row r="7" spans="1:6" x14ac:dyDescent="0.25">
      <c r="F7" s="20" t="s">
        <v>65</v>
      </c>
    </row>
    <row r="8" spans="1:6" x14ac:dyDescent="0.25">
      <c r="A8" s="8" t="s">
        <v>8</v>
      </c>
      <c r="F8" s="20"/>
    </row>
    <row r="9" spans="1:6" x14ac:dyDescent="0.25">
      <c r="A9" s="13" t="s">
        <v>5</v>
      </c>
      <c r="B9" s="14">
        <v>0.3</v>
      </c>
      <c r="F9" s="20"/>
    </row>
    <row r="10" spans="1:6" x14ac:dyDescent="0.25">
      <c r="A10" s="15"/>
      <c r="B10" s="16"/>
      <c r="F10" s="20"/>
    </row>
    <row r="11" spans="1:6" x14ac:dyDescent="0.25">
      <c r="A11" s="15" t="s">
        <v>344</v>
      </c>
      <c r="B11" s="17">
        <v>350</v>
      </c>
      <c r="F11" s="20"/>
    </row>
    <row r="12" spans="1:6" x14ac:dyDescent="0.25">
      <c r="A12" s="15"/>
      <c r="B12" s="17"/>
      <c r="F12" s="20"/>
    </row>
    <row r="13" spans="1:6" x14ac:dyDescent="0.25">
      <c r="A13" s="18" t="s">
        <v>29</v>
      </c>
      <c r="B13" s="19" t="s">
        <v>21</v>
      </c>
      <c r="F13" s="20"/>
    </row>
    <row r="14" spans="1:6" x14ac:dyDescent="0.25">
      <c r="B14" s="5"/>
      <c r="F14" s="20"/>
    </row>
    <row r="15" spans="1:6" x14ac:dyDescent="0.25">
      <c r="A15" s="1" t="s">
        <v>18</v>
      </c>
      <c r="B15" s="4"/>
      <c r="F15" s="20"/>
    </row>
    <row r="16" spans="1:6" x14ac:dyDescent="0.25">
      <c r="B16" s="4"/>
      <c r="F16" s="20"/>
    </row>
    <row r="17" spans="1:7" x14ac:dyDescent="0.25">
      <c r="B17" s="131" t="s">
        <v>3</v>
      </c>
      <c r="F17" s="20"/>
      <c r="G17" s="131" t="s">
        <v>3</v>
      </c>
    </row>
    <row r="18" spans="1:7" x14ac:dyDescent="0.25">
      <c r="A18" s="2" t="s">
        <v>1</v>
      </c>
      <c r="F18" s="20"/>
    </row>
    <row r="19" spans="1:7" x14ac:dyDescent="0.25">
      <c r="F19" s="20"/>
    </row>
    <row r="20" spans="1:7" x14ac:dyDescent="0.25">
      <c r="A20" s="1" t="s">
        <v>2</v>
      </c>
      <c r="B20" s="5">
        <v>6700</v>
      </c>
      <c r="F20" s="15" t="s">
        <v>66</v>
      </c>
      <c r="G20" s="5">
        <v>6000</v>
      </c>
    </row>
    <row r="21" spans="1:7" x14ac:dyDescent="0.25">
      <c r="A21" s="1" t="s">
        <v>30</v>
      </c>
      <c r="B21" s="7">
        <f>IF($B$13="Yes",$B$11,0)</f>
        <v>350</v>
      </c>
      <c r="F21" s="15" t="s">
        <v>30</v>
      </c>
      <c r="G21" s="7">
        <f>IF($B$13="Yes",$B$11,0)</f>
        <v>350</v>
      </c>
    </row>
    <row r="22" spans="1:7" x14ac:dyDescent="0.25">
      <c r="B22" s="7"/>
    </row>
    <row r="23" spans="1:7" x14ac:dyDescent="0.25">
      <c r="A23" s="1" t="s">
        <v>36</v>
      </c>
      <c r="B23" s="5">
        <v>4250</v>
      </c>
    </row>
    <row r="24" spans="1:7" x14ac:dyDescent="0.25">
      <c r="A24" s="1" t="s">
        <v>30</v>
      </c>
      <c r="B24" s="7">
        <f>IF($B$13="Yes",$B$11,0)</f>
        <v>350</v>
      </c>
    </row>
    <row r="25" spans="1:7" x14ac:dyDescent="0.25">
      <c r="B25" s="7"/>
    </row>
    <row r="26" spans="1:7" x14ac:dyDescent="0.25">
      <c r="A26" s="1" t="s">
        <v>37</v>
      </c>
      <c r="B26" s="5">
        <v>3300</v>
      </c>
    </row>
    <row r="27" spans="1:7" x14ac:dyDescent="0.25">
      <c r="A27" s="1" t="s">
        <v>30</v>
      </c>
      <c r="B27" s="7">
        <f>IF($B$13="Yes",$B$11,0)</f>
        <v>350</v>
      </c>
    </row>
    <row r="28" spans="1:7" x14ac:dyDescent="0.25">
      <c r="B28" s="5"/>
    </row>
    <row r="29" spans="1:7" x14ac:dyDescent="0.25">
      <c r="A29" s="20" t="s">
        <v>4</v>
      </c>
      <c r="B29" s="21">
        <v>2100</v>
      </c>
    </row>
    <row r="30" spans="1:7" x14ac:dyDescent="0.25">
      <c r="A30" s="3" t="s">
        <v>30</v>
      </c>
      <c r="B30" s="7">
        <f>IF($B$13="Yes",$B$11,0)</f>
        <v>350</v>
      </c>
    </row>
    <row r="32" spans="1:7" x14ac:dyDescent="0.25">
      <c r="A32" s="1" t="s">
        <v>12</v>
      </c>
      <c r="B32" s="1">
        <f>SUM(B20:B30)</f>
        <v>17750</v>
      </c>
      <c r="F32" s="15" t="s">
        <v>69</v>
      </c>
      <c r="G32" s="1">
        <f>SUM(G20:G31)</f>
        <v>6350</v>
      </c>
    </row>
    <row r="33" spans="1:7" x14ac:dyDescent="0.25">
      <c r="A33" s="3" t="s">
        <v>13</v>
      </c>
      <c r="B33" s="3">
        <f>($B$9*B32)</f>
        <v>5325</v>
      </c>
      <c r="F33" s="18" t="s">
        <v>13</v>
      </c>
      <c r="G33" s="3">
        <f>($B$9*G32)</f>
        <v>1905</v>
      </c>
    </row>
    <row r="34" spans="1:7" x14ac:dyDescent="0.25">
      <c r="A34" s="2" t="s">
        <v>6</v>
      </c>
      <c r="B34" s="2">
        <f>SUM(B32:B33)</f>
        <v>23075</v>
      </c>
      <c r="F34" s="30" t="s">
        <v>68</v>
      </c>
      <c r="G34" s="2">
        <f>SUM(G32:G33)</f>
        <v>8255</v>
      </c>
    </row>
    <row r="36" spans="1:7" x14ac:dyDescent="0.25">
      <c r="F36" s="30" t="s">
        <v>70</v>
      </c>
      <c r="G36" s="2">
        <f>SUM(B34,G34)</f>
        <v>31330</v>
      </c>
    </row>
    <row r="38" spans="1:7" x14ac:dyDescent="0.25">
      <c r="A38" s="2" t="s">
        <v>7</v>
      </c>
    </row>
    <row r="39" spans="1:7" x14ac:dyDescent="0.25">
      <c r="A39" s="7" t="s">
        <v>206</v>
      </c>
    </row>
    <row r="40" spans="1:7" x14ac:dyDescent="0.25">
      <c r="A40" s="2"/>
    </row>
    <row r="41" spans="1:7" x14ac:dyDescent="0.25">
      <c r="A41" s="7" t="s">
        <v>15</v>
      </c>
      <c r="B41" s="5">
        <v>5500</v>
      </c>
      <c r="F41" s="15" t="s">
        <v>73</v>
      </c>
      <c r="G41" s="5">
        <v>5200</v>
      </c>
    </row>
    <row r="42" spans="1:7" x14ac:dyDescent="0.25">
      <c r="A42" s="7"/>
      <c r="B42" s="5"/>
      <c r="G42" s="5"/>
    </row>
    <row r="43" spans="1:7" x14ac:dyDescent="0.25">
      <c r="A43" s="7" t="s">
        <v>9</v>
      </c>
      <c r="B43" s="5">
        <v>4500</v>
      </c>
      <c r="G43" s="5"/>
    </row>
    <row r="44" spans="1:7" x14ac:dyDescent="0.25">
      <c r="A44" s="7"/>
      <c r="B44" s="5"/>
      <c r="F44" s="31" t="s">
        <v>9</v>
      </c>
      <c r="G44" s="5">
        <v>4600</v>
      </c>
    </row>
    <row r="45" spans="1:7" x14ac:dyDescent="0.25">
      <c r="A45" s="7" t="s">
        <v>9</v>
      </c>
      <c r="B45" s="5">
        <v>4500</v>
      </c>
      <c r="F45" s="31"/>
      <c r="G45" s="5"/>
    </row>
    <row r="46" spans="1:7" x14ac:dyDescent="0.25">
      <c r="A46" s="7"/>
      <c r="B46" s="5"/>
      <c r="F46" s="31"/>
      <c r="G46" s="5"/>
    </row>
    <row r="47" spans="1:7" x14ac:dyDescent="0.25">
      <c r="A47" s="1" t="s">
        <v>10</v>
      </c>
      <c r="B47" s="5">
        <v>4000</v>
      </c>
      <c r="F47" s="31" t="s">
        <v>9</v>
      </c>
      <c r="G47" s="5">
        <v>4350</v>
      </c>
    </row>
    <row r="48" spans="1:7" x14ac:dyDescent="0.25">
      <c r="A48" s="20"/>
      <c r="F48" s="31"/>
      <c r="G48" s="5"/>
    </row>
    <row r="49" spans="1:7" x14ac:dyDescent="0.25">
      <c r="A49" s="1" t="s">
        <v>11</v>
      </c>
      <c r="B49" s="5">
        <v>4300</v>
      </c>
    </row>
    <row r="50" spans="1:7" x14ac:dyDescent="0.25">
      <c r="A50" s="20"/>
      <c r="F50" s="15" t="s">
        <v>11</v>
      </c>
      <c r="G50" s="5">
        <v>4000</v>
      </c>
    </row>
    <row r="51" spans="1:7" x14ac:dyDescent="0.25">
      <c r="A51" s="1" t="s">
        <v>11</v>
      </c>
      <c r="B51" s="5">
        <v>4000</v>
      </c>
      <c r="F51" s="18"/>
    </row>
    <row r="52" spans="1:7" x14ac:dyDescent="0.25">
      <c r="A52" s="20"/>
    </row>
    <row r="53" spans="1:7" x14ac:dyDescent="0.25">
      <c r="A53" s="20"/>
      <c r="F53" s="15" t="s">
        <v>67</v>
      </c>
      <c r="G53" s="5">
        <v>5000</v>
      </c>
    </row>
    <row r="54" spans="1:7" x14ac:dyDescent="0.25">
      <c r="A54" s="1" t="s">
        <v>16</v>
      </c>
      <c r="B54" s="5">
        <v>4000</v>
      </c>
      <c r="G54" s="20"/>
    </row>
    <row r="55" spans="1:7" x14ac:dyDescent="0.25">
      <c r="A55" s="3"/>
      <c r="B55" s="3"/>
    </row>
    <row r="56" spans="1:7" x14ac:dyDescent="0.25">
      <c r="A56" s="20"/>
      <c r="B56" s="20"/>
      <c r="F56" s="15" t="s">
        <v>12</v>
      </c>
      <c r="G56" s="1">
        <f>SUM(G41:G54)</f>
        <v>23150</v>
      </c>
    </row>
    <row r="57" spans="1:7" x14ac:dyDescent="0.25">
      <c r="F57" s="18" t="s">
        <v>13</v>
      </c>
      <c r="G57" s="3">
        <f>($B$9*G56)</f>
        <v>6945</v>
      </c>
    </row>
    <row r="58" spans="1:7" x14ac:dyDescent="0.25">
      <c r="A58" s="1" t="s">
        <v>12</v>
      </c>
      <c r="B58" s="1">
        <f>SUM(B41:B55)</f>
        <v>30800</v>
      </c>
      <c r="F58" s="30" t="s">
        <v>71</v>
      </c>
      <c r="G58" s="2">
        <f>SUM(G56:G57)</f>
        <v>30095</v>
      </c>
    </row>
    <row r="59" spans="1:7" x14ac:dyDescent="0.25">
      <c r="A59" s="3" t="s">
        <v>13</v>
      </c>
      <c r="B59" s="3">
        <f>($B$9*B58)</f>
        <v>9240</v>
      </c>
    </row>
    <row r="60" spans="1:7" x14ac:dyDescent="0.25">
      <c r="A60" s="2" t="s">
        <v>14</v>
      </c>
      <c r="B60" s="2">
        <f>SUM(B58:B59)</f>
        <v>40040</v>
      </c>
      <c r="F60" s="30" t="s">
        <v>72</v>
      </c>
      <c r="G60" s="2">
        <f>SUM(B60,G58)</f>
        <v>70135</v>
      </c>
    </row>
    <row r="64" spans="1:7" x14ac:dyDescent="0.25">
      <c r="A64" s="2" t="s">
        <v>17</v>
      </c>
    </row>
    <row r="66" spans="1:7" x14ac:dyDescent="0.25">
      <c r="A66" s="1" t="s">
        <v>353</v>
      </c>
      <c r="B66" s="5">
        <v>6800</v>
      </c>
    </row>
    <row r="67" spans="1:7" x14ac:dyDescent="0.25">
      <c r="A67" s="1" t="s">
        <v>30</v>
      </c>
      <c r="B67" s="7">
        <f>IF($B$13="Yes",$B$11,0)</f>
        <v>350</v>
      </c>
    </row>
    <row r="69" spans="1:7" x14ac:dyDescent="0.25">
      <c r="A69" s="1" t="s">
        <v>19</v>
      </c>
      <c r="B69" s="5">
        <v>6000</v>
      </c>
    </row>
    <row r="70" spans="1:7" x14ac:dyDescent="0.25">
      <c r="A70" s="1" t="s">
        <v>30</v>
      </c>
      <c r="B70" s="7">
        <f>IF($B$13="Yes",$B$11,0)</f>
        <v>350</v>
      </c>
    </row>
    <row r="72" spans="1:7" x14ac:dyDescent="0.25">
      <c r="A72" s="1" t="s">
        <v>19</v>
      </c>
      <c r="B72" s="5">
        <v>6000</v>
      </c>
    </row>
    <row r="73" spans="1:7" x14ac:dyDescent="0.25">
      <c r="A73" s="1" t="s">
        <v>30</v>
      </c>
      <c r="B73" s="7">
        <f>IF($B$13="Yes",$B$11,0)</f>
        <v>350</v>
      </c>
      <c r="F73" s="15" t="s">
        <v>20</v>
      </c>
      <c r="G73" s="5">
        <v>5000</v>
      </c>
    </row>
    <row r="74" spans="1:7" x14ac:dyDescent="0.25">
      <c r="F74" s="15" t="s">
        <v>30</v>
      </c>
      <c r="G74" s="7">
        <f>IF($B$13="Yes",$B$11,0)</f>
        <v>350</v>
      </c>
    </row>
    <row r="75" spans="1:7" x14ac:dyDescent="0.25">
      <c r="A75" s="1" t="s">
        <v>20</v>
      </c>
      <c r="B75" s="5">
        <v>5000</v>
      </c>
    </row>
    <row r="76" spans="1:7" x14ac:dyDescent="0.25">
      <c r="A76" s="1" t="s">
        <v>30</v>
      </c>
      <c r="B76" s="7">
        <f>IF($B$13="Yes",$B$11,0)</f>
        <v>350</v>
      </c>
      <c r="F76" s="15" t="s">
        <v>20</v>
      </c>
      <c r="G76" s="5">
        <v>4750</v>
      </c>
    </row>
    <row r="77" spans="1:7" x14ac:dyDescent="0.25">
      <c r="F77" s="15" t="s">
        <v>30</v>
      </c>
      <c r="G77" s="7">
        <f>IF($B$13="Yes",$B$11,0)</f>
        <v>350</v>
      </c>
    </row>
    <row r="78" spans="1:7" x14ac:dyDescent="0.25">
      <c r="A78" s="1" t="s">
        <v>20</v>
      </c>
      <c r="B78" s="5">
        <v>4750</v>
      </c>
    </row>
    <row r="79" spans="1:7" x14ac:dyDescent="0.25">
      <c r="A79" s="1" t="s">
        <v>30</v>
      </c>
      <c r="B79" s="7">
        <f>IF($B$13="Yes",$B$11,0)</f>
        <v>350</v>
      </c>
    </row>
    <row r="80" spans="1:7" x14ac:dyDescent="0.25">
      <c r="B80" s="7"/>
    </row>
    <row r="81" spans="1:7" x14ac:dyDescent="0.25">
      <c r="A81" s="1" t="s">
        <v>20</v>
      </c>
      <c r="B81" s="5">
        <v>4100</v>
      </c>
    </row>
    <row r="82" spans="1:7" x14ac:dyDescent="0.25">
      <c r="A82" s="1" t="s">
        <v>30</v>
      </c>
      <c r="B82" s="7">
        <f>IF($B$13="Yes",$B$11,0)</f>
        <v>350</v>
      </c>
    </row>
    <row r="84" spans="1:7" x14ac:dyDescent="0.25">
      <c r="A84" s="1" t="s">
        <v>22</v>
      </c>
      <c r="B84" s="5">
        <v>5250</v>
      </c>
    </row>
    <row r="85" spans="1:7" x14ac:dyDescent="0.25">
      <c r="A85" s="1" t="s">
        <v>30</v>
      </c>
      <c r="B85" s="7">
        <f>IF($B$13="Yes",$B$11,0)</f>
        <v>350</v>
      </c>
    </row>
    <row r="87" spans="1:7" x14ac:dyDescent="0.25">
      <c r="A87" s="1" t="s">
        <v>23</v>
      </c>
      <c r="B87" s="5">
        <v>4000</v>
      </c>
    </row>
    <row r="88" spans="1:7" x14ac:dyDescent="0.25">
      <c r="A88" s="1" t="s">
        <v>30</v>
      </c>
      <c r="B88" s="7">
        <f>IF($B$13="Yes",$B$11,0)</f>
        <v>350</v>
      </c>
      <c r="F88" s="15" t="s">
        <v>24</v>
      </c>
      <c r="G88" s="5">
        <v>3700</v>
      </c>
    </row>
    <row r="89" spans="1:7" x14ac:dyDescent="0.25">
      <c r="F89" s="18" t="s">
        <v>30</v>
      </c>
      <c r="G89" s="9">
        <f>IF($B$13="Yes",$B$11,0)</f>
        <v>350</v>
      </c>
    </row>
    <row r="90" spans="1:7" x14ac:dyDescent="0.25">
      <c r="A90" s="1" t="s">
        <v>24</v>
      </c>
      <c r="B90" s="5">
        <v>3550</v>
      </c>
    </row>
    <row r="91" spans="1:7" x14ac:dyDescent="0.25">
      <c r="A91" s="3" t="s">
        <v>30</v>
      </c>
      <c r="B91" s="9">
        <f>IF($B$13="Yes",$B$11,0)</f>
        <v>350</v>
      </c>
      <c r="F91" s="15" t="s">
        <v>12</v>
      </c>
      <c r="G91" s="7">
        <f>SUM(G64:G89)</f>
        <v>14500</v>
      </c>
    </row>
    <row r="92" spans="1:7" x14ac:dyDescent="0.25">
      <c r="B92" s="7"/>
      <c r="F92" s="18" t="s">
        <v>13</v>
      </c>
      <c r="G92" s="3">
        <f>($B$9*G91)</f>
        <v>4350</v>
      </c>
    </row>
    <row r="93" spans="1:7" x14ac:dyDescent="0.25">
      <c r="A93" s="1" t="s">
        <v>12</v>
      </c>
      <c r="B93" s="7">
        <f>SUM(B66:B91)</f>
        <v>48600</v>
      </c>
      <c r="F93" s="15" t="s">
        <v>412</v>
      </c>
      <c r="G93" s="1">
        <f>SUM(G91:G92)</f>
        <v>18850</v>
      </c>
    </row>
    <row r="94" spans="1:7" x14ac:dyDescent="0.25">
      <c r="A94" s="3" t="s">
        <v>13</v>
      </c>
      <c r="B94" s="3">
        <f>($B$9*B93)</f>
        <v>14580</v>
      </c>
    </row>
    <row r="95" spans="1:7" x14ac:dyDescent="0.25">
      <c r="A95" s="1" t="s">
        <v>411</v>
      </c>
      <c r="B95" s="2">
        <f>SUM(B93:B94)</f>
        <v>63180</v>
      </c>
      <c r="F95" s="30" t="s">
        <v>410</v>
      </c>
      <c r="G95" s="2">
        <f>B95+G93</f>
        <v>82030</v>
      </c>
    </row>
    <row r="98" spans="1:7" x14ac:dyDescent="0.25">
      <c r="A98" s="1" t="s">
        <v>26</v>
      </c>
      <c r="B98" s="5">
        <v>6300</v>
      </c>
    </row>
    <row r="99" spans="1:7" x14ac:dyDescent="0.25">
      <c r="A99" s="1" t="s">
        <v>30</v>
      </c>
      <c r="B99" s="7">
        <f>IF($B$13="Yes",$B$11,0)</f>
        <v>350</v>
      </c>
    </row>
    <row r="100" spans="1:7" x14ac:dyDescent="0.25">
      <c r="F100" s="15" t="s">
        <v>27</v>
      </c>
      <c r="G100" s="5">
        <v>5000</v>
      </c>
    </row>
    <row r="101" spans="1:7" x14ac:dyDescent="0.25">
      <c r="A101" s="1" t="s">
        <v>27</v>
      </c>
      <c r="B101" s="5">
        <v>5100</v>
      </c>
      <c r="F101" s="15" t="s">
        <v>30</v>
      </c>
      <c r="G101" s="7">
        <f>IF($B$13="Yes",$B$11,0)</f>
        <v>350</v>
      </c>
    </row>
    <row r="102" spans="1:7" x14ac:dyDescent="0.25">
      <c r="A102" s="1" t="s">
        <v>30</v>
      </c>
      <c r="B102" s="7">
        <f>IF($B$13="Yes",$B$11,0)</f>
        <v>350</v>
      </c>
    </row>
    <row r="103" spans="1:7" x14ac:dyDescent="0.25">
      <c r="F103" s="15" t="s">
        <v>42</v>
      </c>
      <c r="G103" s="5">
        <v>3800</v>
      </c>
    </row>
    <row r="104" spans="1:7" x14ac:dyDescent="0.25">
      <c r="A104" s="1" t="s">
        <v>27</v>
      </c>
      <c r="B104" s="5">
        <v>4000</v>
      </c>
      <c r="F104" s="18" t="s">
        <v>30</v>
      </c>
      <c r="G104" s="9">
        <f>IF($B$13="Yes",$B$11,0)</f>
        <v>350</v>
      </c>
    </row>
    <row r="105" spans="1:7" x14ac:dyDescent="0.25">
      <c r="A105" s="3" t="s">
        <v>30</v>
      </c>
      <c r="B105" s="9">
        <f>IF($B$13="Yes",$B$11,0)</f>
        <v>350</v>
      </c>
    </row>
    <row r="106" spans="1:7" x14ac:dyDescent="0.25">
      <c r="B106" s="22"/>
    </row>
    <row r="107" spans="1:7" x14ac:dyDescent="0.25">
      <c r="F107" s="15" t="s">
        <v>12</v>
      </c>
      <c r="G107" s="1">
        <f>SUM(G97:G104)</f>
        <v>9500</v>
      </c>
    </row>
    <row r="108" spans="1:7" x14ac:dyDescent="0.25">
      <c r="A108" s="1" t="s">
        <v>12</v>
      </c>
      <c r="B108" s="1">
        <f>SUM(B98:B105)</f>
        <v>16450</v>
      </c>
      <c r="F108" s="18" t="s">
        <v>13</v>
      </c>
      <c r="G108" s="3">
        <f>($B$9*G107)</f>
        <v>2850</v>
      </c>
    </row>
    <row r="109" spans="1:7" x14ac:dyDescent="0.25">
      <c r="A109" s="3" t="s">
        <v>13</v>
      </c>
      <c r="B109" s="3">
        <f>($B$9*B108)</f>
        <v>4935</v>
      </c>
      <c r="F109" s="30" t="s">
        <v>74</v>
      </c>
      <c r="G109" s="2">
        <f>SUM(G107:G108)</f>
        <v>12350</v>
      </c>
    </row>
    <row r="110" spans="1:7" x14ac:dyDescent="0.25">
      <c r="A110" s="2" t="s">
        <v>409</v>
      </c>
      <c r="B110" s="2">
        <f>SUM(B108:B109)</f>
        <v>21385</v>
      </c>
      <c r="F110" s="15" t="s">
        <v>413</v>
      </c>
      <c r="G110" s="1">
        <f>B110+G109</f>
        <v>33735</v>
      </c>
    </row>
    <row r="112" spans="1:7" x14ac:dyDescent="0.25">
      <c r="A112" s="2"/>
      <c r="B112" s="2"/>
    </row>
    <row r="113" spans="1:7" x14ac:dyDescent="0.25">
      <c r="G113" s="2"/>
    </row>
    <row r="114" spans="1:7" x14ac:dyDescent="0.25">
      <c r="A114" s="2"/>
      <c r="B114" s="2"/>
    </row>
    <row r="115" spans="1:7" x14ac:dyDescent="0.25">
      <c r="G115" s="2"/>
    </row>
    <row r="116" spans="1:7" ht="13.8" thickBot="1" x14ac:dyDescent="0.3"/>
    <row r="117" spans="1:7" ht="13.8" thickBot="1" x14ac:dyDescent="0.3">
      <c r="A117" s="10" t="s">
        <v>28</v>
      </c>
      <c r="B117" s="11">
        <f>SUM(B34,B60,B95,B112)</f>
        <v>126295</v>
      </c>
      <c r="F117" s="32" t="s">
        <v>75</v>
      </c>
      <c r="G117" s="11">
        <f>SUM(G34,G58,G93,G109)+B117</f>
        <v>195845</v>
      </c>
    </row>
    <row r="120" spans="1:7" x14ac:dyDescent="0.25">
      <c r="A120" s="1" t="s">
        <v>315</v>
      </c>
      <c r="B120" s="12">
        <v>23</v>
      </c>
      <c r="F120" s="15" t="s">
        <v>316</v>
      </c>
      <c r="G120" s="12">
        <v>34</v>
      </c>
    </row>
  </sheetData>
  <phoneticPr fontId="0" type="noConversion"/>
  <pageMargins left="0.75" right="0.75" top="1" bottom="1" header="0.5" footer="0.5"/>
  <pageSetup scale="75" orientation="landscape"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6"/>
  <sheetViews>
    <sheetView workbookViewId="0">
      <selection activeCell="A3" sqref="A3"/>
    </sheetView>
  </sheetViews>
  <sheetFormatPr defaultRowHeight="13.2" x14ac:dyDescent="0.25"/>
  <cols>
    <col min="1" max="1" width="30.5546875" customWidth="1"/>
    <col min="2" max="2" width="8.88671875" customWidth="1"/>
    <col min="3" max="3" width="11.6640625" customWidth="1"/>
    <col min="4" max="4" width="16" customWidth="1"/>
    <col min="5" max="5" width="3.88671875" customWidth="1"/>
    <col min="6" max="6" width="3.5546875" customWidth="1"/>
    <col min="7" max="7" width="27" customWidth="1"/>
    <col min="8" max="8" width="8.88671875" customWidth="1"/>
    <col min="9" max="9" width="11.6640625" customWidth="1"/>
    <col min="10" max="10" width="12.33203125" customWidth="1"/>
  </cols>
  <sheetData>
    <row r="1" spans="1:10" x14ac:dyDescent="0.25">
      <c r="A1" s="63" t="s">
        <v>31</v>
      </c>
      <c r="G1" s="63" t="s">
        <v>76</v>
      </c>
    </row>
    <row r="2" spans="1:10" x14ac:dyDescent="0.25">
      <c r="A2" s="63"/>
      <c r="G2" s="63"/>
    </row>
    <row r="3" spans="1:10" x14ac:dyDescent="0.25">
      <c r="A3" s="7" t="s">
        <v>415</v>
      </c>
      <c r="G3" s="63"/>
    </row>
    <row r="5" spans="1:10" x14ac:dyDescent="0.25">
      <c r="D5" t="s">
        <v>63</v>
      </c>
    </row>
    <row r="6" spans="1:10" x14ac:dyDescent="0.25">
      <c r="A6" t="s">
        <v>32</v>
      </c>
    </row>
    <row r="7" spans="1:10" x14ac:dyDescent="0.25">
      <c r="A7" s="63" t="s">
        <v>347</v>
      </c>
    </row>
    <row r="9" spans="1:10" x14ac:dyDescent="0.25">
      <c r="A9" s="23" t="s">
        <v>229</v>
      </c>
      <c r="B9" s="47"/>
      <c r="C9" s="47"/>
      <c r="D9" s="25">
        <v>45</v>
      </c>
      <c r="H9" s="51"/>
      <c r="I9" s="51"/>
    </row>
    <row r="10" spans="1:10" x14ac:dyDescent="0.25">
      <c r="A10" s="54" t="s">
        <v>230</v>
      </c>
      <c r="B10" s="51"/>
      <c r="C10" s="51"/>
      <c r="D10" s="97">
        <v>30</v>
      </c>
      <c r="H10" s="51"/>
      <c r="I10" s="51"/>
    </row>
    <row r="11" spans="1:10" x14ac:dyDescent="0.25">
      <c r="A11" s="24" t="s">
        <v>33</v>
      </c>
      <c r="B11" s="43"/>
      <c r="C11" s="43"/>
      <c r="D11" s="26">
        <v>0.01</v>
      </c>
      <c r="H11" s="51"/>
      <c r="I11" s="51"/>
    </row>
    <row r="12" spans="1:10" x14ac:dyDescent="0.25">
      <c r="A12" s="51"/>
      <c r="B12" s="51"/>
      <c r="C12" s="51"/>
      <c r="D12" s="98"/>
      <c r="H12" s="51"/>
      <c r="I12" s="51"/>
    </row>
    <row r="13" spans="1:10" x14ac:dyDescent="0.25">
      <c r="B13" s="134" t="s">
        <v>327</v>
      </c>
      <c r="C13" s="134" t="s">
        <v>326</v>
      </c>
      <c r="H13" s="134" t="s">
        <v>327</v>
      </c>
      <c r="I13" s="134" t="s">
        <v>326</v>
      </c>
    </row>
    <row r="14" spans="1:10" x14ac:dyDescent="0.25">
      <c r="A14" t="s">
        <v>34</v>
      </c>
      <c r="B14" s="133">
        <v>1</v>
      </c>
      <c r="C14" s="135">
        <v>15000</v>
      </c>
      <c r="D14" s="7">
        <f t="shared" ref="D14:D20" si="0">B14*C14</f>
        <v>15000</v>
      </c>
      <c r="I14" s="132"/>
      <c r="J14" s="5"/>
    </row>
    <row r="15" spans="1:10" x14ac:dyDescent="0.25">
      <c r="A15" t="s">
        <v>328</v>
      </c>
      <c r="B15" s="133">
        <v>25</v>
      </c>
      <c r="C15" s="135">
        <v>3000</v>
      </c>
      <c r="D15" s="7">
        <f t="shared" si="0"/>
        <v>75000</v>
      </c>
      <c r="G15" t="s">
        <v>328</v>
      </c>
      <c r="H15" s="133">
        <v>7</v>
      </c>
      <c r="I15" s="135">
        <v>3000</v>
      </c>
      <c r="J15" s="7">
        <f>H15*I15</f>
        <v>21000</v>
      </c>
    </row>
    <row r="16" spans="1:10" x14ac:dyDescent="0.25">
      <c r="A16" t="s">
        <v>329</v>
      </c>
      <c r="B16" s="133">
        <v>5</v>
      </c>
      <c r="C16" s="135">
        <v>3200</v>
      </c>
      <c r="D16" s="7">
        <f t="shared" si="0"/>
        <v>16000</v>
      </c>
      <c r="G16" t="s">
        <v>329</v>
      </c>
      <c r="H16" s="133">
        <v>5</v>
      </c>
      <c r="I16" s="135">
        <v>3200</v>
      </c>
      <c r="J16" s="7">
        <f>H16*I16</f>
        <v>16000</v>
      </c>
    </row>
    <row r="17" spans="1:10" x14ac:dyDescent="0.25">
      <c r="A17" t="s">
        <v>330</v>
      </c>
      <c r="B17" s="133">
        <v>20</v>
      </c>
      <c r="C17" s="135">
        <v>300</v>
      </c>
      <c r="D17" s="7">
        <f t="shared" si="0"/>
        <v>6000</v>
      </c>
      <c r="G17" t="s">
        <v>330</v>
      </c>
      <c r="H17" s="133">
        <v>12</v>
      </c>
      <c r="I17" s="135">
        <v>270</v>
      </c>
      <c r="J17" s="7">
        <f>H17*I17</f>
        <v>3240</v>
      </c>
    </row>
    <row r="18" spans="1:10" x14ac:dyDescent="0.25">
      <c r="A18" t="s">
        <v>331</v>
      </c>
      <c r="B18" s="133">
        <v>3</v>
      </c>
      <c r="C18" s="135">
        <v>4000</v>
      </c>
      <c r="D18" s="7">
        <f t="shared" si="0"/>
        <v>12000</v>
      </c>
      <c r="H18" s="133"/>
      <c r="I18" s="135"/>
      <c r="J18" s="5"/>
    </row>
    <row r="19" spans="1:10" x14ac:dyDescent="0.25">
      <c r="A19" t="s">
        <v>332</v>
      </c>
      <c r="B19" s="133">
        <v>2</v>
      </c>
      <c r="C19" s="135">
        <v>5000</v>
      </c>
      <c r="D19" s="7">
        <f t="shared" si="0"/>
        <v>10000</v>
      </c>
      <c r="H19" s="133"/>
      <c r="I19" s="135"/>
      <c r="J19" s="5"/>
    </row>
    <row r="20" spans="1:10" x14ac:dyDescent="0.25">
      <c r="A20" t="s">
        <v>333</v>
      </c>
      <c r="B20" s="133">
        <v>30</v>
      </c>
      <c r="C20" s="135">
        <v>250</v>
      </c>
      <c r="D20" s="7">
        <f t="shared" si="0"/>
        <v>7500</v>
      </c>
      <c r="G20" t="s">
        <v>333</v>
      </c>
      <c r="H20" s="133">
        <v>10</v>
      </c>
      <c r="I20" s="135">
        <v>250</v>
      </c>
      <c r="J20" s="7">
        <f>H20*I20</f>
        <v>2500</v>
      </c>
    </row>
    <row r="22" spans="1:10" x14ac:dyDescent="0.25">
      <c r="A22" t="s">
        <v>35</v>
      </c>
      <c r="D22" s="1">
        <f>SUM(D14:D20)</f>
        <v>141500</v>
      </c>
      <c r="J22" s="1">
        <f>SUM(J14:J20)</f>
        <v>42740</v>
      </c>
    </row>
    <row r="24" spans="1:10" x14ac:dyDescent="0.25">
      <c r="G24" t="s">
        <v>77</v>
      </c>
      <c r="J24" s="2">
        <f>-PMT($D$11,$D$9,J22,0)</f>
        <v>1184.1136462888157</v>
      </c>
    </row>
    <row r="25" spans="1:10" x14ac:dyDescent="0.25">
      <c r="A25" t="s">
        <v>38</v>
      </c>
      <c r="D25" s="33">
        <f>-PMT($D$11,$D$10,D22,0)</f>
        <v>5482.8580200423712</v>
      </c>
      <c r="G25" t="s">
        <v>78</v>
      </c>
      <c r="J25" s="33">
        <f>SUM(D25,J24)</f>
        <v>6666.9716663311865</v>
      </c>
    </row>
    <row r="26" spans="1:10" x14ac:dyDescent="0.25">
      <c r="A26" t="s">
        <v>351</v>
      </c>
      <c r="D26" s="22">
        <f>D10*D25</f>
        <v>164485.74060127113</v>
      </c>
      <c r="J26" s="34"/>
    </row>
    <row r="28" spans="1:10" x14ac:dyDescent="0.25">
      <c r="A28" t="s">
        <v>39</v>
      </c>
      <c r="G28" t="s">
        <v>39</v>
      </c>
    </row>
    <row r="29" spans="1:10" x14ac:dyDescent="0.25">
      <c r="A29" s="27">
        <v>0.15</v>
      </c>
      <c r="B29" s="27"/>
      <c r="C29" s="27"/>
      <c r="D29" s="1">
        <f>A29*D25</f>
        <v>822.4287030063557</v>
      </c>
      <c r="G29" s="27">
        <v>0.15</v>
      </c>
      <c r="H29" s="27"/>
      <c r="I29" s="27"/>
      <c r="J29" s="1">
        <f>G29*J25</f>
        <v>1000.0457499496779</v>
      </c>
    </row>
    <row r="31" spans="1:10" x14ac:dyDescent="0.25">
      <c r="A31" t="s">
        <v>40</v>
      </c>
      <c r="G31" t="s">
        <v>40</v>
      </c>
    </row>
    <row r="32" spans="1:10" x14ac:dyDescent="0.25">
      <c r="A32" s="27">
        <v>0.6</v>
      </c>
      <c r="B32" s="27"/>
      <c r="C32" s="27"/>
      <c r="D32" s="1">
        <f>A32*D25</f>
        <v>3289.7148120254228</v>
      </c>
      <c r="G32" s="27">
        <v>0.6</v>
      </c>
      <c r="H32" s="27"/>
      <c r="I32" s="27"/>
      <c r="J32" s="1">
        <f>G32*J25</f>
        <v>4000.1829997987115</v>
      </c>
    </row>
    <row r="34" spans="1:10" x14ac:dyDescent="0.25">
      <c r="A34" t="s">
        <v>41</v>
      </c>
      <c r="G34" t="s">
        <v>41</v>
      </c>
    </row>
    <row r="35" spans="1:10" x14ac:dyDescent="0.25">
      <c r="A35" s="27">
        <v>0.25</v>
      </c>
      <c r="B35" s="27"/>
      <c r="C35" s="27"/>
      <c r="D35" s="1">
        <f>A35*D25</f>
        <v>1370.7145050105928</v>
      </c>
      <c r="G35" s="27">
        <v>0.25</v>
      </c>
      <c r="H35" s="27"/>
      <c r="I35" s="27"/>
      <c r="J35" s="1">
        <f>G35*J25</f>
        <v>1666.7429165827966</v>
      </c>
    </row>
    <row r="37" spans="1:10" x14ac:dyDescent="0.25">
      <c r="A37" s="63" t="s">
        <v>346</v>
      </c>
    </row>
    <row r="39" spans="1:10" x14ac:dyDescent="0.25">
      <c r="A39" s="23" t="s">
        <v>231</v>
      </c>
      <c r="B39" s="47"/>
      <c r="C39" s="47"/>
      <c r="D39" s="25">
        <v>36</v>
      </c>
      <c r="H39" s="51"/>
      <c r="I39" s="51"/>
    </row>
    <row r="40" spans="1:10" x14ac:dyDescent="0.25">
      <c r="A40" s="24" t="s">
        <v>33</v>
      </c>
      <c r="B40" s="43"/>
      <c r="C40" s="43"/>
      <c r="D40" s="26">
        <v>0.01</v>
      </c>
      <c r="H40" s="51"/>
      <c r="I40" s="51"/>
    </row>
    <row r="41" spans="1:10" x14ac:dyDescent="0.25">
      <c r="A41" s="51"/>
      <c r="B41" s="51"/>
      <c r="C41" s="51"/>
      <c r="D41" s="98"/>
      <c r="H41" s="51"/>
      <c r="I41" s="51"/>
    </row>
    <row r="42" spans="1:10" x14ac:dyDescent="0.25">
      <c r="A42" s="51"/>
      <c r="B42" s="51" t="s">
        <v>327</v>
      </c>
      <c r="C42" s="51" t="s">
        <v>335</v>
      </c>
      <c r="D42" s="98"/>
      <c r="H42" s="51"/>
      <c r="I42" s="51"/>
    </row>
    <row r="43" spans="1:10" x14ac:dyDescent="0.25">
      <c r="A43" s="51"/>
      <c r="B43" s="51"/>
      <c r="C43" s="51"/>
      <c r="D43" s="98"/>
      <c r="H43" s="51"/>
      <c r="I43" s="51"/>
    </row>
    <row r="44" spans="1:10" x14ac:dyDescent="0.25">
      <c r="A44" t="s">
        <v>334</v>
      </c>
      <c r="B44" s="133">
        <v>7</v>
      </c>
      <c r="C44" s="135">
        <v>25000</v>
      </c>
      <c r="D44" s="7">
        <f>B44*C44</f>
        <v>175000</v>
      </c>
      <c r="G44" t="s">
        <v>334</v>
      </c>
      <c r="H44" s="133">
        <v>2</v>
      </c>
      <c r="I44" s="135">
        <v>25000</v>
      </c>
      <c r="J44" s="7">
        <f>H44*I44</f>
        <v>50000</v>
      </c>
    </row>
    <row r="45" spans="1:10" x14ac:dyDescent="0.25">
      <c r="A45" t="s">
        <v>38</v>
      </c>
      <c r="D45" s="33">
        <f>-PMT($D$40,$D$39,D44,0)</f>
        <v>5812.5042172489584</v>
      </c>
      <c r="J45" s="33">
        <f>-PMT($D$40,$D$39,J44,0)</f>
        <v>1660.7154906425596</v>
      </c>
    </row>
    <row r="46" spans="1:10" x14ac:dyDescent="0.25">
      <c r="A46" t="s">
        <v>351</v>
      </c>
      <c r="D46" s="22">
        <f>D45*D39</f>
        <v>209250.15182096249</v>
      </c>
    </row>
  </sheetData>
  <phoneticPr fontId="0" type="noConversion"/>
  <pageMargins left="0.25" right="0.25" top="0.25" bottom="0.25" header="0.5" footer="0.5"/>
  <pageSetup orientation="landscape"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8"/>
  <sheetViews>
    <sheetView workbookViewId="0">
      <selection activeCell="U23" sqref="U23"/>
    </sheetView>
  </sheetViews>
  <sheetFormatPr defaultRowHeight="13.2" x14ac:dyDescent="0.25"/>
  <cols>
    <col min="1" max="1" width="2.33203125" customWidth="1"/>
    <col min="2" max="2" width="6.88671875" customWidth="1"/>
    <col min="3" max="3" width="3" customWidth="1"/>
    <col min="4" max="4" width="17.5546875" customWidth="1"/>
    <col min="5" max="5" width="15.109375" customWidth="1"/>
    <col min="6" max="6" width="10.88671875" customWidth="1"/>
    <col min="7" max="7" width="15.109375" customWidth="1"/>
    <col min="8" max="8" width="9.5546875" customWidth="1"/>
    <col min="9" max="9" width="0" hidden="1" customWidth="1"/>
    <col min="10" max="10" width="3.5546875" customWidth="1"/>
    <col min="11" max="11" width="6.88671875" customWidth="1"/>
    <col min="12" max="12" width="13.109375" customWidth="1"/>
    <col min="14" max="14" width="9.44140625" customWidth="1"/>
    <col min="15" max="15" width="14.44140625" customWidth="1"/>
    <col min="16" max="16" width="8" customWidth="1"/>
    <col min="17" max="17" width="3.33203125" customWidth="1"/>
    <col min="18" max="18" width="15.109375" customWidth="1"/>
    <col min="19" max="19" width="13.33203125" customWidth="1"/>
    <col min="20" max="20" width="12.88671875" customWidth="1"/>
    <col min="21" max="21" width="16.5546875" customWidth="1"/>
  </cols>
  <sheetData>
    <row r="1" spans="1:21" x14ac:dyDescent="0.25">
      <c r="D1" t="s">
        <v>341</v>
      </c>
      <c r="L1" t="s">
        <v>342</v>
      </c>
      <c r="R1" t="s">
        <v>343</v>
      </c>
    </row>
    <row r="3" spans="1:21" x14ac:dyDescent="0.25">
      <c r="D3" s="23" t="s">
        <v>232</v>
      </c>
      <c r="E3" s="29">
        <f>'Equipment Expense'!$D$44</f>
        <v>175000</v>
      </c>
      <c r="G3" s="23" t="s">
        <v>239</v>
      </c>
      <c r="H3" s="103"/>
      <c r="L3" s="23" t="s">
        <v>232</v>
      </c>
      <c r="M3" s="29">
        <f>'Equipment Expense'!J44</f>
        <v>50000</v>
      </c>
      <c r="O3" s="23" t="s">
        <v>239</v>
      </c>
      <c r="P3" s="103"/>
    </row>
    <row r="4" spans="1:21" x14ac:dyDescent="0.25">
      <c r="D4" s="54" t="s">
        <v>240</v>
      </c>
      <c r="E4" s="55">
        <f>'Equipment Expense'!$D$39</f>
        <v>36</v>
      </c>
      <c r="G4" s="54" t="s">
        <v>240</v>
      </c>
      <c r="H4" s="55">
        <v>36</v>
      </c>
      <c r="L4" s="54" t="s">
        <v>240</v>
      </c>
      <c r="M4" s="55">
        <f>'Equipment Expense'!$D$39</f>
        <v>36</v>
      </c>
      <c r="O4" s="54" t="s">
        <v>240</v>
      </c>
      <c r="P4" s="55">
        <v>36</v>
      </c>
    </row>
    <row r="5" spans="1:21" x14ac:dyDescent="0.25">
      <c r="A5" s="1"/>
      <c r="D5" s="54" t="s">
        <v>241</v>
      </c>
      <c r="E5" s="101">
        <f>'Equipment Expense'!$D$40</f>
        <v>0.01</v>
      </c>
      <c r="G5" s="24" t="s">
        <v>239</v>
      </c>
      <c r="H5" s="102">
        <f>-PMT(0,H4,E3)</f>
        <v>4861.1111111111113</v>
      </c>
      <c r="L5" s="54" t="s">
        <v>241</v>
      </c>
      <c r="M5" s="101">
        <f>'Equipment Expense'!$D$40</f>
        <v>0.01</v>
      </c>
      <c r="O5" s="24" t="s">
        <v>239</v>
      </c>
      <c r="P5" s="102">
        <f>-PMT(0,P4,M3)</f>
        <v>1388.8888888888889</v>
      </c>
    </row>
    <row r="6" spans="1:21" x14ac:dyDescent="0.25">
      <c r="D6" s="24" t="s">
        <v>238</v>
      </c>
      <c r="E6" s="102">
        <f>'Equipment Expense'!$D$45</f>
        <v>5812.5042172489584</v>
      </c>
      <c r="L6" s="24" t="s">
        <v>238</v>
      </c>
      <c r="M6" s="102">
        <f>'Equipment Expense'!J45</f>
        <v>1660.7154906425596</v>
      </c>
    </row>
    <row r="7" spans="1:21" x14ac:dyDescent="0.25">
      <c r="A7" s="99"/>
    </row>
    <row r="8" spans="1:21" x14ac:dyDescent="0.25">
      <c r="D8" s="152" t="s">
        <v>375</v>
      </c>
      <c r="L8" s="152" t="s">
        <v>375</v>
      </c>
      <c r="M8" s="51"/>
      <c r="R8" s="152" t="s">
        <v>376</v>
      </c>
    </row>
    <row r="10" spans="1:21" x14ac:dyDescent="0.25">
      <c r="B10" t="s">
        <v>237</v>
      </c>
      <c r="D10" t="s">
        <v>233</v>
      </c>
      <c r="E10" t="s">
        <v>234</v>
      </c>
      <c r="F10" t="s">
        <v>235</v>
      </c>
      <c r="G10" t="s">
        <v>236</v>
      </c>
      <c r="K10" t="s">
        <v>237</v>
      </c>
      <c r="L10" t="s">
        <v>336</v>
      </c>
      <c r="M10" t="s">
        <v>234</v>
      </c>
      <c r="N10" t="s">
        <v>235</v>
      </c>
      <c r="O10" t="s">
        <v>236</v>
      </c>
      <c r="R10" t="s">
        <v>338</v>
      </c>
      <c r="S10" t="s">
        <v>337</v>
      </c>
      <c r="T10" t="s">
        <v>340</v>
      </c>
      <c r="U10" t="s">
        <v>339</v>
      </c>
    </row>
    <row r="11" spans="1:21" x14ac:dyDescent="0.25">
      <c r="B11" s="100">
        <v>1</v>
      </c>
      <c r="D11" s="1">
        <f>E3</f>
        <v>175000</v>
      </c>
      <c r="E11" s="1">
        <f>D11*$E$5</f>
        <v>1750</v>
      </c>
      <c r="F11" s="1">
        <f>$E$6-E11</f>
        <v>4062.5042172489584</v>
      </c>
      <c r="G11" s="1">
        <f>D11-F11</f>
        <v>170937.49578275104</v>
      </c>
      <c r="I11">
        <v>1</v>
      </c>
      <c r="R11" s="1">
        <f>F11+N11</f>
        <v>4062.5042172489584</v>
      </c>
      <c r="S11" s="1">
        <f>E11+M11</f>
        <v>1750</v>
      </c>
      <c r="T11" s="1">
        <f>G11+O11</f>
        <v>170937.49578275104</v>
      </c>
      <c r="U11" s="1">
        <f>$H$5</f>
        <v>4861.1111111111113</v>
      </c>
    </row>
    <row r="12" spans="1:21" x14ac:dyDescent="0.25">
      <c r="B12" s="100">
        <v>2</v>
      </c>
      <c r="D12" s="1">
        <f>G11</f>
        <v>170937.49578275104</v>
      </c>
      <c r="E12" s="1">
        <f>D12*$E$5</f>
        <v>1709.3749578275103</v>
      </c>
      <c r="F12" s="1">
        <f>$E$6-E12</f>
        <v>4103.1292594214483</v>
      </c>
      <c r="G12" s="1">
        <f>D12-F12</f>
        <v>166834.36652332958</v>
      </c>
      <c r="I12">
        <v>2</v>
      </c>
      <c r="R12" s="1">
        <f t="shared" ref="R12:R58" si="0">F12+N12</f>
        <v>4103.1292594214483</v>
      </c>
      <c r="S12" s="1">
        <f t="shared" ref="S12:S58" si="1">E12+M12</f>
        <v>1709.3749578275103</v>
      </c>
      <c r="T12" s="1">
        <f t="shared" ref="T12:T58" si="2">G12+O12</f>
        <v>166834.36652332958</v>
      </c>
      <c r="U12" s="1">
        <f t="shared" ref="U12:U22" si="3">$H$5</f>
        <v>4861.1111111111113</v>
      </c>
    </row>
    <row r="13" spans="1:21" x14ac:dyDescent="0.25">
      <c r="B13" s="100">
        <v>3</v>
      </c>
      <c r="D13" s="1">
        <f>G12</f>
        <v>166834.36652332958</v>
      </c>
      <c r="E13" s="1">
        <f>D13*$E$5</f>
        <v>1668.3436652332957</v>
      </c>
      <c r="F13" s="1">
        <f>$E$6-E13</f>
        <v>4144.1605520156627</v>
      </c>
      <c r="G13" s="1">
        <f>D13-F13</f>
        <v>162690.2059713139</v>
      </c>
      <c r="I13">
        <v>3</v>
      </c>
      <c r="R13" s="1">
        <f t="shared" si="0"/>
        <v>4144.1605520156627</v>
      </c>
      <c r="S13" s="1">
        <f t="shared" si="1"/>
        <v>1668.3436652332957</v>
      </c>
      <c r="T13" s="1">
        <f t="shared" si="2"/>
        <v>162690.2059713139</v>
      </c>
      <c r="U13" s="1">
        <f t="shared" si="3"/>
        <v>4861.1111111111113</v>
      </c>
    </row>
    <row r="14" spans="1:21" x14ac:dyDescent="0.25">
      <c r="B14" s="100">
        <v>4</v>
      </c>
      <c r="D14" s="1">
        <f t="shared" ref="D14:D46" si="4">G13</f>
        <v>162690.2059713139</v>
      </c>
      <c r="E14" s="1">
        <f t="shared" ref="E14:E46" si="5">D14*$E$5</f>
        <v>1626.9020597131391</v>
      </c>
      <c r="F14" s="1">
        <f t="shared" ref="F14:F46" si="6">$E$6-E14</f>
        <v>4185.6021575358191</v>
      </c>
      <c r="G14" s="1">
        <f t="shared" ref="G14:G46" si="7">D14-F14</f>
        <v>158504.60381377809</v>
      </c>
      <c r="I14">
        <v>4</v>
      </c>
      <c r="R14" s="1">
        <f t="shared" si="0"/>
        <v>4185.6021575358191</v>
      </c>
      <c r="S14" s="1">
        <f t="shared" si="1"/>
        <v>1626.9020597131391</v>
      </c>
      <c r="T14" s="1">
        <f t="shared" si="2"/>
        <v>158504.60381377809</v>
      </c>
      <c r="U14" s="1">
        <f t="shared" si="3"/>
        <v>4861.1111111111113</v>
      </c>
    </row>
    <row r="15" spans="1:21" x14ac:dyDescent="0.25">
      <c r="B15" s="100">
        <v>5</v>
      </c>
      <c r="D15" s="1">
        <f t="shared" si="4"/>
        <v>158504.60381377809</v>
      </c>
      <c r="E15" s="1">
        <f t="shared" si="5"/>
        <v>1585.0460381377809</v>
      </c>
      <c r="F15" s="1">
        <f t="shared" si="6"/>
        <v>4227.4581791111777</v>
      </c>
      <c r="G15" s="1">
        <f t="shared" si="7"/>
        <v>154277.1456346669</v>
      </c>
      <c r="I15">
        <v>5</v>
      </c>
      <c r="R15" s="1">
        <f t="shared" si="0"/>
        <v>4227.4581791111777</v>
      </c>
      <c r="S15" s="1">
        <f t="shared" si="1"/>
        <v>1585.0460381377809</v>
      </c>
      <c r="T15" s="1">
        <f t="shared" si="2"/>
        <v>154277.1456346669</v>
      </c>
      <c r="U15" s="1">
        <f t="shared" si="3"/>
        <v>4861.1111111111113</v>
      </c>
    </row>
    <row r="16" spans="1:21" x14ac:dyDescent="0.25">
      <c r="B16" s="100">
        <v>6</v>
      </c>
      <c r="D16" s="1">
        <f t="shared" si="4"/>
        <v>154277.1456346669</v>
      </c>
      <c r="E16" s="1">
        <f t="shared" si="5"/>
        <v>1542.7714563466691</v>
      </c>
      <c r="F16" s="1">
        <f t="shared" si="6"/>
        <v>4269.7327609022896</v>
      </c>
      <c r="G16" s="1">
        <f t="shared" si="7"/>
        <v>150007.41287376461</v>
      </c>
      <c r="I16">
        <v>6</v>
      </c>
      <c r="R16" s="1">
        <f t="shared" si="0"/>
        <v>4269.7327609022896</v>
      </c>
      <c r="S16" s="1">
        <f t="shared" si="1"/>
        <v>1542.7714563466691</v>
      </c>
      <c r="T16" s="1">
        <f t="shared" si="2"/>
        <v>150007.41287376461</v>
      </c>
      <c r="U16" s="1">
        <f t="shared" si="3"/>
        <v>4861.1111111111113</v>
      </c>
    </row>
    <row r="17" spans="2:21" x14ac:dyDescent="0.25">
      <c r="B17" s="100">
        <v>7</v>
      </c>
      <c r="D17" s="1">
        <f t="shared" si="4"/>
        <v>150007.41287376461</v>
      </c>
      <c r="E17" s="1">
        <f t="shared" si="5"/>
        <v>1500.0741287376461</v>
      </c>
      <c r="F17" s="1">
        <f t="shared" si="6"/>
        <v>4312.4300885113125</v>
      </c>
      <c r="G17" s="1">
        <f t="shared" si="7"/>
        <v>145694.98278525329</v>
      </c>
      <c r="I17">
        <v>7</v>
      </c>
      <c r="R17" s="1">
        <f t="shared" si="0"/>
        <v>4312.4300885113125</v>
      </c>
      <c r="S17" s="1">
        <f t="shared" si="1"/>
        <v>1500.0741287376461</v>
      </c>
      <c r="T17" s="1">
        <f t="shared" si="2"/>
        <v>145694.98278525329</v>
      </c>
      <c r="U17" s="1">
        <f t="shared" si="3"/>
        <v>4861.1111111111113</v>
      </c>
    </row>
    <row r="18" spans="2:21" x14ac:dyDescent="0.25">
      <c r="B18" s="100">
        <v>8</v>
      </c>
      <c r="D18" s="1">
        <f t="shared" si="4"/>
        <v>145694.98278525329</v>
      </c>
      <c r="E18" s="1">
        <f t="shared" si="5"/>
        <v>1456.949827852533</v>
      </c>
      <c r="F18" s="1">
        <f t="shared" si="6"/>
        <v>4355.5543893964259</v>
      </c>
      <c r="G18" s="1">
        <f t="shared" si="7"/>
        <v>141339.42839585687</v>
      </c>
      <c r="I18">
        <v>8</v>
      </c>
      <c r="R18" s="1">
        <f t="shared" si="0"/>
        <v>4355.5543893964259</v>
      </c>
      <c r="S18" s="1">
        <f t="shared" si="1"/>
        <v>1456.949827852533</v>
      </c>
      <c r="T18" s="1">
        <f t="shared" si="2"/>
        <v>141339.42839585687</v>
      </c>
      <c r="U18" s="1">
        <f t="shared" si="3"/>
        <v>4861.1111111111113</v>
      </c>
    </row>
    <row r="19" spans="2:21" x14ac:dyDescent="0.25">
      <c r="B19" s="100">
        <v>9</v>
      </c>
      <c r="D19" s="1">
        <f t="shared" si="4"/>
        <v>141339.42839585687</v>
      </c>
      <c r="E19" s="1">
        <f t="shared" si="5"/>
        <v>1413.3942839585686</v>
      </c>
      <c r="F19" s="1">
        <f t="shared" si="6"/>
        <v>4399.1099332903896</v>
      </c>
      <c r="G19" s="1">
        <f t="shared" si="7"/>
        <v>136940.31846256647</v>
      </c>
      <c r="I19">
        <v>9</v>
      </c>
      <c r="R19" s="1">
        <f t="shared" si="0"/>
        <v>4399.1099332903896</v>
      </c>
      <c r="S19" s="1">
        <f t="shared" si="1"/>
        <v>1413.3942839585686</v>
      </c>
      <c r="T19" s="1">
        <f t="shared" si="2"/>
        <v>136940.31846256647</v>
      </c>
      <c r="U19" s="1">
        <f t="shared" si="3"/>
        <v>4861.1111111111113</v>
      </c>
    </row>
    <row r="20" spans="2:21" x14ac:dyDescent="0.25">
      <c r="B20" s="100">
        <v>10</v>
      </c>
      <c r="D20" s="1">
        <f t="shared" si="4"/>
        <v>136940.31846256647</v>
      </c>
      <c r="E20" s="1">
        <f t="shared" si="5"/>
        <v>1369.4031846256648</v>
      </c>
      <c r="F20" s="1">
        <f t="shared" si="6"/>
        <v>4443.1010326232936</v>
      </c>
      <c r="G20" s="1">
        <f t="shared" si="7"/>
        <v>132497.21742994318</v>
      </c>
      <c r="I20">
        <v>10</v>
      </c>
      <c r="R20" s="1">
        <f t="shared" si="0"/>
        <v>4443.1010326232936</v>
      </c>
      <c r="S20" s="1">
        <f t="shared" si="1"/>
        <v>1369.4031846256648</v>
      </c>
      <c r="T20" s="1">
        <f t="shared" si="2"/>
        <v>132497.21742994318</v>
      </c>
      <c r="U20" s="1">
        <f t="shared" si="3"/>
        <v>4861.1111111111113</v>
      </c>
    </row>
    <row r="21" spans="2:21" x14ac:dyDescent="0.25">
      <c r="B21" s="100">
        <v>11</v>
      </c>
      <c r="D21" s="1">
        <f t="shared" si="4"/>
        <v>132497.21742994318</v>
      </c>
      <c r="E21" s="1">
        <f t="shared" si="5"/>
        <v>1324.9721742994318</v>
      </c>
      <c r="F21" s="1">
        <f t="shared" si="6"/>
        <v>4487.5320429495268</v>
      </c>
      <c r="G21" s="1">
        <f t="shared" si="7"/>
        <v>128009.68538699365</v>
      </c>
      <c r="I21">
        <v>11</v>
      </c>
      <c r="R21" s="1">
        <f t="shared" si="0"/>
        <v>4487.5320429495268</v>
      </c>
      <c r="S21" s="1">
        <f t="shared" si="1"/>
        <v>1324.9721742994318</v>
      </c>
      <c r="T21" s="1">
        <f t="shared" si="2"/>
        <v>128009.68538699365</v>
      </c>
      <c r="U21" s="1">
        <f t="shared" si="3"/>
        <v>4861.1111111111113</v>
      </c>
    </row>
    <row r="22" spans="2:21" x14ac:dyDescent="0.25">
      <c r="B22" s="100">
        <v>12</v>
      </c>
      <c r="D22" s="1">
        <f t="shared" si="4"/>
        <v>128009.68538699365</v>
      </c>
      <c r="E22" s="1">
        <f t="shared" si="5"/>
        <v>1280.0968538699365</v>
      </c>
      <c r="F22" s="1">
        <f t="shared" si="6"/>
        <v>4532.4073633790222</v>
      </c>
      <c r="G22" s="1">
        <f t="shared" si="7"/>
        <v>123477.27802361462</v>
      </c>
      <c r="I22">
        <v>12</v>
      </c>
      <c r="R22" s="1">
        <f t="shared" si="0"/>
        <v>4532.4073633790222</v>
      </c>
      <c r="S22" s="1">
        <f t="shared" si="1"/>
        <v>1280.0968538699365</v>
      </c>
      <c r="T22" s="1">
        <f t="shared" si="2"/>
        <v>123477.27802361462</v>
      </c>
      <c r="U22" s="1">
        <f t="shared" si="3"/>
        <v>4861.1111111111113</v>
      </c>
    </row>
    <row r="23" spans="2:21" x14ac:dyDescent="0.25">
      <c r="B23" s="100">
        <v>13</v>
      </c>
      <c r="D23" s="1">
        <f t="shared" si="4"/>
        <v>123477.27802361462</v>
      </c>
      <c r="E23" s="1">
        <f t="shared" si="5"/>
        <v>1234.7727802361462</v>
      </c>
      <c r="F23" s="1">
        <f t="shared" si="6"/>
        <v>4577.7314370128124</v>
      </c>
      <c r="G23" s="1">
        <f t="shared" si="7"/>
        <v>118899.54658660181</v>
      </c>
      <c r="I23">
        <v>13</v>
      </c>
      <c r="K23">
        <v>1</v>
      </c>
      <c r="L23" s="1">
        <f>M3</f>
        <v>50000</v>
      </c>
      <c r="M23" s="1">
        <f>L23*$M$5</f>
        <v>500</v>
      </c>
      <c r="N23" s="1">
        <f>$M$6-M23</f>
        <v>1160.7154906425596</v>
      </c>
      <c r="O23" s="1">
        <f>L23-N23</f>
        <v>48839.284509357443</v>
      </c>
      <c r="R23" s="1">
        <f t="shared" si="0"/>
        <v>5738.4469276553718</v>
      </c>
      <c r="S23" s="1">
        <f t="shared" si="1"/>
        <v>1734.7727802361462</v>
      </c>
      <c r="T23" s="1">
        <f t="shared" si="2"/>
        <v>167738.83109595923</v>
      </c>
      <c r="U23" s="1">
        <f>$H$5+$P$5</f>
        <v>6250</v>
      </c>
    </row>
    <row r="24" spans="2:21" x14ac:dyDescent="0.25">
      <c r="B24" s="100">
        <v>14</v>
      </c>
      <c r="D24" s="1">
        <f t="shared" si="4"/>
        <v>118899.54658660181</v>
      </c>
      <c r="E24" s="1">
        <f t="shared" si="5"/>
        <v>1188.9954658660181</v>
      </c>
      <c r="F24" s="1">
        <f t="shared" si="6"/>
        <v>4623.5087513829403</v>
      </c>
      <c r="G24" s="1">
        <f t="shared" si="7"/>
        <v>114276.03783521887</v>
      </c>
      <c r="I24">
        <v>14</v>
      </c>
      <c r="K24">
        <v>2</v>
      </c>
      <c r="L24" s="1">
        <f>O23</f>
        <v>48839.284509357443</v>
      </c>
      <c r="M24" s="1">
        <f>L24*$M$5</f>
        <v>488.39284509357446</v>
      </c>
      <c r="N24" s="1">
        <f>$M$6-M24</f>
        <v>1172.3226455489853</v>
      </c>
      <c r="O24" s="1">
        <f>L24-N24</f>
        <v>47666.961863808458</v>
      </c>
      <c r="R24" s="1">
        <f t="shared" si="0"/>
        <v>5795.8313969319261</v>
      </c>
      <c r="S24" s="1">
        <f t="shared" si="1"/>
        <v>1677.3883109595927</v>
      </c>
      <c r="T24" s="1">
        <f t="shared" si="2"/>
        <v>161942.99969902734</v>
      </c>
      <c r="U24" s="1">
        <f t="shared" ref="U24:U46" si="8">$H$5+$P$5</f>
        <v>6250</v>
      </c>
    </row>
    <row r="25" spans="2:21" x14ac:dyDescent="0.25">
      <c r="B25" s="100">
        <v>15</v>
      </c>
      <c r="D25" s="1">
        <f t="shared" si="4"/>
        <v>114276.03783521887</v>
      </c>
      <c r="E25" s="1">
        <f t="shared" si="5"/>
        <v>1142.7603783521888</v>
      </c>
      <c r="F25" s="1">
        <f t="shared" si="6"/>
        <v>4669.7438388967694</v>
      </c>
      <c r="G25" s="1">
        <f t="shared" si="7"/>
        <v>109606.2939963221</v>
      </c>
      <c r="I25">
        <v>15</v>
      </c>
      <c r="K25">
        <v>3</v>
      </c>
      <c r="L25" s="1">
        <f t="shared" ref="L25:L58" si="9">O24</f>
        <v>47666.961863808458</v>
      </c>
      <c r="M25" s="1">
        <f t="shared" ref="M25:M58" si="10">L25*$M$5</f>
        <v>476.66961863808456</v>
      </c>
      <c r="N25" s="1">
        <f t="shared" ref="N25:N58" si="11">$M$6-M25</f>
        <v>1184.0458720044751</v>
      </c>
      <c r="O25" s="1">
        <f t="shared" ref="O25:O58" si="12">L25-N25</f>
        <v>46482.91599180398</v>
      </c>
      <c r="R25" s="1">
        <f t="shared" si="0"/>
        <v>5853.7897109012447</v>
      </c>
      <c r="S25" s="1">
        <f t="shared" si="1"/>
        <v>1619.4299969902734</v>
      </c>
      <c r="T25" s="1">
        <f t="shared" si="2"/>
        <v>156089.20998812607</v>
      </c>
      <c r="U25" s="1">
        <f t="shared" si="8"/>
        <v>6250</v>
      </c>
    </row>
    <row r="26" spans="2:21" x14ac:dyDescent="0.25">
      <c r="B26" s="100">
        <v>16</v>
      </c>
      <c r="D26" s="1">
        <f t="shared" si="4"/>
        <v>109606.2939963221</v>
      </c>
      <c r="E26" s="1">
        <f t="shared" si="5"/>
        <v>1096.062939963221</v>
      </c>
      <c r="F26" s="1">
        <f t="shared" si="6"/>
        <v>4716.4412772857377</v>
      </c>
      <c r="G26" s="1">
        <f t="shared" si="7"/>
        <v>104889.85271903637</v>
      </c>
      <c r="I26">
        <v>16</v>
      </c>
      <c r="K26">
        <v>4</v>
      </c>
      <c r="L26" s="1">
        <f t="shared" si="9"/>
        <v>46482.91599180398</v>
      </c>
      <c r="M26" s="1">
        <f t="shared" si="10"/>
        <v>464.82915991803981</v>
      </c>
      <c r="N26" s="1">
        <f t="shared" si="11"/>
        <v>1195.8863307245199</v>
      </c>
      <c r="O26" s="1">
        <f t="shared" si="12"/>
        <v>45287.029661079461</v>
      </c>
      <c r="R26" s="1">
        <f t="shared" si="0"/>
        <v>5912.3276080102578</v>
      </c>
      <c r="S26" s="1">
        <f t="shared" si="1"/>
        <v>1560.8920998812607</v>
      </c>
      <c r="T26" s="1">
        <f t="shared" si="2"/>
        <v>150176.88238011583</v>
      </c>
      <c r="U26" s="1">
        <f t="shared" si="8"/>
        <v>6250</v>
      </c>
    </row>
    <row r="27" spans="2:21" x14ac:dyDescent="0.25">
      <c r="B27" s="100">
        <v>17</v>
      </c>
      <c r="D27" s="1">
        <f t="shared" si="4"/>
        <v>104889.85271903637</v>
      </c>
      <c r="E27" s="1">
        <f t="shared" si="5"/>
        <v>1048.8985271903637</v>
      </c>
      <c r="F27" s="1">
        <f t="shared" si="6"/>
        <v>4763.6056900585945</v>
      </c>
      <c r="G27" s="1">
        <f t="shared" si="7"/>
        <v>100126.24702897777</v>
      </c>
      <c r="I27">
        <v>17</v>
      </c>
      <c r="K27">
        <v>5</v>
      </c>
      <c r="L27" s="1">
        <f t="shared" si="9"/>
        <v>45287.029661079461</v>
      </c>
      <c r="M27" s="1">
        <f t="shared" si="10"/>
        <v>452.87029661079464</v>
      </c>
      <c r="N27" s="1">
        <f t="shared" si="11"/>
        <v>1207.845194031765</v>
      </c>
      <c r="O27" s="1">
        <f t="shared" si="12"/>
        <v>44079.184467047693</v>
      </c>
      <c r="R27" s="1">
        <f t="shared" si="0"/>
        <v>5971.45088409036</v>
      </c>
      <c r="S27" s="1">
        <f t="shared" si="1"/>
        <v>1501.7688238011583</v>
      </c>
      <c r="T27" s="1">
        <f t="shared" si="2"/>
        <v>144205.43149602547</v>
      </c>
      <c r="U27" s="1">
        <f t="shared" si="8"/>
        <v>6250</v>
      </c>
    </row>
    <row r="28" spans="2:21" x14ac:dyDescent="0.25">
      <c r="B28" s="100">
        <v>18</v>
      </c>
      <c r="D28" s="1">
        <f t="shared" si="4"/>
        <v>100126.24702897777</v>
      </c>
      <c r="E28" s="1">
        <f t="shared" si="5"/>
        <v>1001.2624702897778</v>
      </c>
      <c r="F28" s="1">
        <f t="shared" si="6"/>
        <v>4811.241746959181</v>
      </c>
      <c r="G28" s="1">
        <f t="shared" si="7"/>
        <v>95315.005282018596</v>
      </c>
      <c r="I28">
        <v>18</v>
      </c>
      <c r="K28">
        <v>6</v>
      </c>
      <c r="L28" s="1">
        <f t="shared" si="9"/>
        <v>44079.184467047693</v>
      </c>
      <c r="M28" s="1">
        <f t="shared" si="10"/>
        <v>440.79184467047696</v>
      </c>
      <c r="N28" s="1">
        <f t="shared" si="11"/>
        <v>1219.9236459720828</v>
      </c>
      <c r="O28" s="1">
        <f t="shared" si="12"/>
        <v>42859.260821075608</v>
      </c>
      <c r="R28" s="1">
        <f t="shared" si="0"/>
        <v>6031.1653929312633</v>
      </c>
      <c r="S28" s="1">
        <f t="shared" si="1"/>
        <v>1442.0543149602547</v>
      </c>
      <c r="T28" s="1">
        <f t="shared" si="2"/>
        <v>138174.26610309421</v>
      </c>
      <c r="U28" s="1">
        <f t="shared" si="8"/>
        <v>6250</v>
      </c>
    </row>
    <row r="29" spans="2:21" x14ac:dyDescent="0.25">
      <c r="B29" s="100">
        <v>19</v>
      </c>
      <c r="D29" s="1">
        <f t="shared" si="4"/>
        <v>95315.005282018596</v>
      </c>
      <c r="E29" s="1">
        <f t="shared" si="5"/>
        <v>953.15005282018592</v>
      </c>
      <c r="F29" s="1">
        <f t="shared" si="6"/>
        <v>4859.3541644287725</v>
      </c>
      <c r="G29" s="1">
        <f t="shared" si="7"/>
        <v>90455.651117589819</v>
      </c>
      <c r="I29">
        <v>19</v>
      </c>
      <c r="K29">
        <v>7</v>
      </c>
      <c r="L29" s="1">
        <f t="shared" si="9"/>
        <v>42859.260821075608</v>
      </c>
      <c r="M29" s="1">
        <f t="shared" si="10"/>
        <v>428.59260821075611</v>
      </c>
      <c r="N29" s="1">
        <f t="shared" si="11"/>
        <v>1232.1228824318036</v>
      </c>
      <c r="O29" s="1">
        <f t="shared" si="12"/>
        <v>41627.137938643806</v>
      </c>
      <c r="R29" s="1">
        <f t="shared" si="0"/>
        <v>6091.4770468605766</v>
      </c>
      <c r="S29" s="1">
        <f t="shared" si="1"/>
        <v>1381.7426610309421</v>
      </c>
      <c r="T29" s="1">
        <f t="shared" si="2"/>
        <v>132082.78905623363</v>
      </c>
      <c r="U29" s="1">
        <f t="shared" si="8"/>
        <v>6250</v>
      </c>
    </row>
    <row r="30" spans="2:21" x14ac:dyDescent="0.25">
      <c r="B30" s="100">
        <v>20</v>
      </c>
      <c r="D30" s="1">
        <f t="shared" si="4"/>
        <v>90455.651117589819</v>
      </c>
      <c r="E30" s="1">
        <f t="shared" si="5"/>
        <v>904.55651117589821</v>
      </c>
      <c r="F30" s="1">
        <f t="shared" si="6"/>
        <v>4907.9477060730605</v>
      </c>
      <c r="G30" s="1">
        <f t="shared" si="7"/>
        <v>85547.703411516763</v>
      </c>
      <c r="I30">
        <v>20</v>
      </c>
      <c r="K30">
        <v>8</v>
      </c>
      <c r="L30" s="1">
        <f t="shared" si="9"/>
        <v>41627.137938643806</v>
      </c>
      <c r="M30" s="1">
        <f t="shared" si="10"/>
        <v>416.27137938643807</v>
      </c>
      <c r="N30" s="1">
        <f t="shared" si="11"/>
        <v>1244.4441112561217</v>
      </c>
      <c r="O30" s="1">
        <f t="shared" si="12"/>
        <v>40382.693827387688</v>
      </c>
      <c r="R30" s="1">
        <f t="shared" si="0"/>
        <v>6152.3918173291822</v>
      </c>
      <c r="S30" s="1">
        <f t="shared" si="1"/>
        <v>1320.8278905623363</v>
      </c>
      <c r="T30" s="1">
        <f t="shared" si="2"/>
        <v>125930.39723890445</v>
      </c>
      <c r="U30" s="1">
        <f t="shared" si="8"/>
        <v>6250</v>
      </c>
    </row>
    <row r="31" spans="2:21" x14ac:dyDescent="0.25">
      <c r="B31" s="100">
        <v>21</v>
      </c>
      <c r="D31" s="1">
        <f t="shared" si="4"/>
        <v>85547.703411516763</v>
      </c>
      <c r="E31" s="1">
        <f t="shared" si="5"/>
        <v>855.47703411516761</v>
      </c>
      <c r="F31" s="1">
        <f t="shared" si="6"/>
        <v>4957.0271831337905</v>
      </c>
      <c r="G31" s="1">
        <f t="shared" si="7"/>
        <v>80590.676228382974</v>
      </c>
      <c r="I31">
        <v>21</v>
      </c>
      <c r="K31">
        <v>9</v>
      </c>
      <c r="L31" s="1">
        <f t="shared" si="9"/>
        <v>40382.693827387688</v>
      </c>
      <c r="M31" s="1">
        <f t="shared" si="10"/>
        <v>403.82693827387686</v>
      </c>
      <c r="N31" s="1">
        <f t="shared" si="11"/>
        <v>1256.8885523686827</v>
      </c>
      <c r="O31" s="1">
        <f t="shared" si="12"/>
        <v>39125.805275019004</v>
      </c>
      <c r="R31" s="1">
        <f t="shared" si="0"/>
        <v>6213.9157355024727</v>
      </c>
      <c r="S31" s="1">
        <f t="shared" si="1"/>
        <v>1259.3039723890445</v>
      </c>
      <c r="T31" s="1">
        <f t="shared" si="2"/>
        <v>119716.48150340197</v>
      </c>
      <c r="U31" s="1">
        <f t="shared" si="8"/>
        <v>6250</v>
      </c>
    </row>
    <row r="32" spans="2:21" x14ac:dyDescent="0.25">
      <c r="B32" s="100">
        <v>22</v>
      </c>
      <c r="D32" s="1">
        <f t="shared" si="4"/>
        <v>80590.676228382974</v>
      </c>
      <c r="E32" s="1">
        <f t="shared" si="5"/>
        <v>805.90676228382972</v>
      </c>
      <c r="F32" s="1">
        <f t="shared" si="6"/>
        <v>5006.5974549651291</v>
      </c>
      <c r="G32" s="1">
        <f t="shared" si="7"/>
        <v>75584.078773417845</v>
      </c>
      <c r="I32">
        <v>22</v>
      </c>
      <c r="K32">
        <v>10</v>
      </c>
      <c r="L32" s="1">
        <f t="shared" si="9"/>
        <v>39125.805275019004</v>
      </c>
      <c r="M32" s="1">
        <f t="shared" si="10"/>
        <v>391.25805275019002</v>
      </c>
      <c r="N32" s="1">
        <f t="shared" si="11"/>
        <v>1269.4574378923696</v>
      </c>
      <c r="O32" s="1">
        <f t="shared" si="12"/>
        <v>37856.347837126632</v>
      </c>
      <c r="R32" s="1">
        <f t="shared" si="0"/>
        <v>6276.054892857499</v>
      </c>
      <c r="S32" s="1">
        <f t="shared" si="1"/>
        <v>1197.1648150340197</v>
      </c>
      <c r="T32" s="1">
        <f t="shared" si="2"/>
        <v>113440.42661054447</v>
      </c>
      <c r="U32" s="1">
        <f t="shared" si="8"/>
        <v>6250</v>
      </c>
    </row>
    <row r="33" spans="2:21" x14ac:dyDescent="0.25">
      <c r="B33" s="100">
        <v>23</v>
      </c>
      <c r="D33" s="1">
        <f t="shared" si="4"/>
        <v>75584.078773417845</v>
      </c>
      <c r="E33" s="1">
        <f t="shared" si="5"/>
        <v>755.84078773417843</v>
      </c>
      <c r="F33" s="1">
        <f t="shared" si="6"/>
        <v>5056.6634295147796</v>
      </c>
      <c r="G33" s="1">
        <f t="shared" si="7"/>
        <v>70527.415343903063</v>
      </c>
      <c r="I33">
        <v>23</v>
      </c>
      <c r="K33">
        <v>11</v>
      </c>
      <c r="L33" s="1">
        <f t="shared" si="9"/>
        <v>37856.347837126632</v>
      </c>
      <c r="M33" s="1">
        <f t="shared" si="10"/>
        <v>378.56347837126634</v>
      </c>
      <c r="N33" s="1">
        <f t="shared" si="11"/>
        <v>1282.1520122712932</v>
      </c>
      <c r="O33" s="1">
        <f t="shared" si="12"/>
        <v>36574.195824855342</v>
      </c>
      <c r="R33" s="1">
        <f t="shared" si="0"/>
        <v>6338.8154417860733</v>
      </c>
      <c r="S33" s="1">
        <f t="shared" si="1"/>
        <v>1134.4042661054448</v>
      </c>
      <c r="T33" s="1">
        <f t="shared" si="2"/>
        <v>107101.61116875841</v>
      </c>
      <c r="U33" s="1">
        <f t="shared" si="8"/>
        <v>6250</v>
      </c>
    </row>
    <row r="34" spans="2:21" x14ac:dyDescent="0.25">
      <c r="B34" s="100">
        <v>24</v>
      </c>
      <c r="D34" s="1">
        <f t="shared" si="4"/>
        <v>70527.415343903063</v>
      </c>
      <c r="E34" s="1">
        <f t="shared" si="5"/>
        <v>705.27415343903067</v>
      </c>
      <c r="F34" s="1">
        <f t="shared" si="6"/>
        <v>5107.2300638099277</v>
      </c>
      <c r="G34" s="1">
        <f t="shared" si="7"/>
        <v>65420.185280093137</v>
      </c>
      <c r="I34">
        <v>24</v>
      </c>
      <c r="K34">
        <v>12</v>
      </c>
      <c r="L34" s="1">
        <f t="shared" si="9"/>
        <v>36574.195824855342</v>
      </c>
      <c r="M34" s="1">
        <f t="shared" si="10"/>
        <v>365.74195824855343</v>
      </c>
      <c r="N34" s="1">
        <f t="shared" si="11"/>
        <v>1294.9735323940063</v>
      </c>
      <c r="O34" s="1">
        <f t="shared" si="12"/>
        <v>35279.222292461338</v>
      </c>
      <c r="R34" s="1">
        <f t="shared" si="0"/>
        <v>6402.2035962039336</v>
      </c>
      <c r="S34" s="1">
        <f t="shared" si="1"/>
        <v>1071.016111687584</v>
      </c>
      <c r="T34" s="1">
        <f t="shared" si="2"/>
        <v>100699.40757255448</v>
      </c>
      <c r="U34" s="1">
        <f t="shared" si="8"/>
        <v>6250</v>
      </c>
    </row>
    <row r="35" spans="2:21" x14ac:dyDescent="0.25">
      <c r="B35" s="100">
        <v>25</v>
      </c>
      <c r="D35" s="1">
        <f t="shared" si="4"/>
        <v>65420.185280093137</v>
      </c>
      <c r="E35" s="1">
        <f t="shared" si="5"/>
        <v>654.20185280093142</v>
      </c>
      <c r="F35" s="1">
        <f t="shared" si="6"/>
        <v>5158.3023644480272</v>
      </c>
      <c r="G35" s="1">
        <f t="shared" si="7"/>
        <v>60261.88291564511</v>
      </c>
      <c r="I35">
        <v>25</v>
      </c>
      <c r="K35">
        <v>13</v>
      </c>
      <c r="L35" s="1">
        <f t="shared" si="9"/>
        <v>35279.222292461338</v>
      </c>
      <c r="M35" s="1">
        <f t="shared" si="10"/>
        <v>352.79222292461338</v>
      </c>
      <c r="N35" s="1">
        <f t="shared" si="11"/>
        <v>1307.9232677179461</v>
      </c>
      <c r="O35" s="1">
        <f t="shared" si="12"/>
        <v>33971.299024743392</v>
      </c>
      <c r="R35" s="1">
        <f t="shared" si="0"/>
        <v>6466.2256321659734</v>
      </c>
      <c r="S35" s="1">
        <f t="shared" si="1"/>
        <v>1006.9940757255448</v>
      </c>
      <c r="T35" s="1">
        <f t="shared" si="2"/>
        <v>94233.181940388502</v>
      </c>
      <c r="U35" s="1">
        <f t="shared" si="8"/>
        <v>6250</v>
      </c>
    </row>
    <row r="36" spans="2:21" x14ac:dyDescent="0.25">
      <c r="B36" s="100">
        <v>26</v>
      </c>
      <c r="D36" s="1">
        <f t="shared" si="4"/>
        <v>60261.88291564511</v>
      </c>
      <c r="E36" s="1">
        <f t="shared" si="5"/>
        <v>602.61882915645117</v>
      </c>
      <c r="F36" s="1">
        <f t="shared" si="6"/>
        <v>5209.8853880925071</v>
      </c>
      <c r="G36" s="1">
        <f t="shared" si="7"/>
        <v>55051.997527552601</v>
      </c>
      <c r="I36">
        <v>26</v>
      </c>
      <c r="K36">
        <v>14</v>
      </c>
      <c r="L36" s="1">
        <f t="shared" si="9"/>
        <v>33971.299024743392</v>
      </c>
      <c r="M36" s="1">
        <f t="shared" si="10"/>
        <v>339.71299024743394</v>
      </c>
      <c r="N36" s="1">
        <f t="shared" si="11"/>
        <v>1321.0025003951257</v>
      </c>
      <c r="O36" s="1">
        <f t="shared" si="12"/>
        <v>32650.296524348265</v>
      </c>
      <c r="R36" s="1">
        <f t="shared" si="0"/>
        <v>6530.8878884876331</v>
      </c>
      <c r="S36" s="1">
        <f t="shared" si="1"/>
        <v>942.33181940388511</v>
      </c>
      <c r="T36" s="1">
        <f t="shared" si="2"/>
        <v>87702.29405190087</v>
      </c>
      <c r="U36" s="1">
        <f t="shared" si="8"/>
        <v>6250</v>
      </c>
    </row>
    <row r="37" spans="2:21" x14ac:dyDescent="0.25">
      <c r="B37" s="100">
        <v>27</v>
      </c>
      <c r="D37" s="1">
        <f t="shared" si="4"/>
        <v>55051.997527552601</v>
      </c>
      <c r="E37" s="1">
        <f t="shared" si="5"/>
        <v>550.51997527552601</v>
      </c>
      <c r="F37" s="1">
        <f t="shared" si="6"/>
        <v>5261.9842419734323</v>
      </c>
      <c r="G37" s="1">
        <f t="shared" si="7"/>
        <v>49790.013285579167</v>
      </c>
      <c r="I37">
        <v>27</v>
      </c>
      <c r="K37">
        <v>15</v>
      </c>
      <c r="L37" s="1">
        <f t="shared" si="9"/>
        <v>32650.296524348265</v>
      </c>
      <c r="M37" s="1">
        <f t="shared" si="10"/>
        <v>326.50296524348266</v>
      </c>
      <c r="N37" s="1">
        <f t="shared" si="11"/>
        <v>1334.2125253990771</v>
      </c>
      <c r="O37" s="1">
        <f t="shared" si="12"/>
        <v>31316.083998949187</v>
      </c>
      <c r="R37" s="1">
        <f t="shared" si="0"/>
        <v>6596.1967673725094</v>
      </c>
      <c r="S37" s="1">
        <f t="shared" si="1"/>
        <v>877.02294051900867</v>
      </c>
      <c r="T37" s="1">
        <f t="shared" si="2"/>
        <v>81106.097284528354</v>
      </c>
      <c r="U37" s="1">
        <f t="shared" si="8"/>
        <v>6250</v>
      </c>
    </row>
    <row r="38" spans="2:21" x14ac:dyDescent="0.25">
      <c r="B38" s="100">
        <v>28</v>
      </c>
      <c r="D38" s="1">
        <f t="shared" si="4"/>
        <v>49790.013285579167</v>
      </c>
      <c r="E38" s="1">
        <f t="shared" si="5"/>
        <v>497.9001328557917</v>
      </c>
      <c r="F38" s="1">
        <f t="shared" si="6"/>
        <v>5314.6040843931669</v>
      </c>
      <c r="G38" s="1">
        <f t="shared" si="7"/>
        <v>44475.409201185998</v>
      </c>
      <c r="I38">
        <v>28</v>
      </c>
      <c r="K38">
        <v>16</v>
      </c>
      <c r="L38" s="1">
        <f t="shared" si="9"/>
        <v>31316.083998949187</v>
      </c>
      <c r="M38" s="1">
        <f t="shared" si="10"/>
        <v>313.16083998949188</v>
      </c>
      <c r="N38" s="1">
        <f t="shared" si="11"/>
        <v>1347.5546506530677</v>
      </c>
      <c r="O38" s="1">
        <f t="shared" si="12"/>
        <v>29968.529348296121</v>
      </c>
      <c r="R38" s="1">
        <f t="shared" si="0"/>
        <v>6662.1587350462341</v>
      </c>
      <c r="S38" s="1">
        <f t="shared" si="1"/>
        <v>811.06097284528357</v>
      </c>
      <c r="T38" s="1">
        <f t="shared" si="2"/>
        <v>74443.938549482118</v>
      </c>
      <c r="U38" s="1">
        <f t="shared" si="8"/>
        <v>6250</v>
      </c>
    </row>
    <row r="39" spans="2:21" x14ac:dyDescent="0.25">
      <c r="B39" s="100">
        <v>29</v>
      </c>
      <c r="D39" s="1">
        <f t="shared" si="4"/>
        <v>44475.409201185998</v>
      </c>
      <c r="E39" s="1">
        <f t="shared" si="5"/>
        <v>444.75409201186</v>
      </c>
      <c r="F39" s="1">
        <f t="shared" si="6"/>
        <v>5367.7501252370985</v>
      </c>
      <c r="G39" s="1">
        <f t="shared" si="7"/>
        <v>39107.659075948897</v>
      </c>
      <c r="I39">
        <v>29</v>
      </c>
      <c r="K39">
        <v>17</v>
      </c>
      <c r="L39" s="1">
        <f t="shared" si="9"/>
        <v>29968.529348296121</v>
      </c>
      <c r="M39" s="1">
        <f t="shared" si="10"/>
        <v>299.68529348296119</v>
      </c>
      <c r="N39" s="1">
        <f t="shared" si="11"/>
        <v>1361.0301971595984</v>
      </c>
      <c r="O39" s="1">
        <f t="shared" si="12"/>
        <v>28607.499151136522</v>
      </c>
      <c r="R39" s="1">
        <f t="shared" si="0"/>
        <v>6728.7803223966966</v>
      </c>
      <c r="S39" s="1">
        <f t="shared" si="1"/>
        <v>744.43938549482118</v>
      </c>
      <c r="T39" s="1">
        <f t="shared" si="2"/>
        <v>67715.158227085427</v>
      </c>
      <c r="U39" s="1">
        <f t="shared" si="8"/>
        <v>6250</v>
      </c>
    </row>
    <row r="40" spans="2:21" x14ac:dyDescent="0.25">
      <c r="B40" s="100">
        <v>30</v>
      </c>
      <c r="D40" s="1">
        <f t="shared" si="4"/>
        <v>39107.659075948897</v>
      </c>
      <c r="E40" s="1">
        <f t="shared" si="5"/>
        <v>391.07659075948897</v>
      </c>
      <c r="F40" s="1">
        <f t="shared" si="6"/>
        <v>5421.4276264894697</v>
      </c>
      <c r="G40" s="1">
        <f t="shared" si="7"/>
        <v>33686.231449459425</v>
      </c>
      <c r="I40">
        <v>30</v>
      </c>
      <c r="K40">
        <v>18</v>
      </c>
      <c r="L40" s="1">
        <f t="shared" si="9"/>
        <v>28607.499151136522</v>
      </c>
      <c r="M40" s="1">
        <f t="shared" si="10"/>
        <v>286.07499151136523</v>
      </c>
      <c r="N40" s="1">
        <f t="shared" si="11"/>
        <v>1374.6404991311945</v>
      </c>
      <c r="O40" s="1">
        <f t="shared" si="12"/>
        <v>27232.858652005329</v>
      </c>
      <c r="R40" s="1">
        <f t="shared" si="0"/>
        <v>6796.0681256206644</v>
      </c>
      <c r="S40" s="1">
        <f t="shared" si="1"/>
        <v>677.15158227085419</v>
      </c>
      <c r="T40" s="1">
        <f t="shared" si="2"/>
        <v>60919.090101464753</v>
      </c>
      <c r="U40" s="1">
        <f t="shared" si="8"/>
        <v>6250</v>
      </c>
    </row>
    <row r="41" spans="2:21" x14ac:dyDescent="0.25">
      <c r="B41" s="100">
        <v>31</v>
      </c>
      <c r="D41" s="1">
        <f t="shared" si="4"/>
        <v>33686.231449459425</v>
      </c>
      <c r="E41" s="1">
        <f t="shared" si="5"/>
        <v>336.86231449459427</v>
      </c>
      <c r="F41" s="1">
        <f t="shared" si="6"/>
        <v>5475.6419027543643</v>
      </c>
      <c r="G41" s="1">
        <f t="shared" si="7"/>
        <v>28210.589546705061</v>
      </c>
      <c r="I41">
        <v>31</v>
      </c>
      <c r="K41">
        <v>19</v>
      </c>
      <c r="L41" s="1">
        <f t="shared" si="9"/>
        <v>27232.858652005329</v>
      </c>
      <c r="M41" s="1">
        <f t="shared" si="10"/>
        <v>272.32858652005331</v>
      </c>
      <c r="N41" s="1">
        <f t="shared" si="11"/>
        <v>1388.3869041225064</v>
      </c>
      <c r="O41" s="1">
        <f t="shared" si="12"/>
        <v>25844.471747882821</v>
      </c>
      <c r="R41" s="1">
        <f t="shared" si="0"/>
        <v>6864.0288068768705</v>
      </c>
      <c r="S41" s="1">
        <f t="shared" si="1"/>
        <v>609.19090101464758</v>
      </c>
      <c r="T41" s="1">
        <f t="shared" si="2"/>
        <v>54055.061294587882</v>
      </c>
      <c r="U41" s="1">
        <f t="shared" si="8"/>
        <v>6250</v>
      </c>
    </row>
    <row r="42" spans="2:21" x14ac:dyDescent="0.25">
      <c r="B42" s="100">
        <v>32</v>
      </c>
      <c r="D42" s="1">
        <f t="shared" si="4"/>
        <v>28210.589546705061</v>
      </c>
      <c r="E42" s="1">
        <f t="shared" si="5"/>
        <v>282.10589546705063</v>
      </c>
      <c r="F42" s="1">
        <f t="shared" si="6"/>
        <v>5530.3983217819077</v>
      </c>
      <c r="G42" s="1">
        <f t="shared" si="7"/>
        <v>22680.191224923154</v>
      </c>
      <c r="I42">
        <v>32</v>
      </c>
      <c r="K42">
        <v>20</v>
      </c>
      <c r="L42" s="1">
        <f t="shared" si="9"/>
        <v>25844.471747882821</v>
      </c>
      <c r="M42" s="1">
        <f t="shared" si="10"/>
        <v>258.44471747882824</v>
      </c>
      <c r="N42" s="1">
        <f t="shared" si="11"/>
        <v>1402.2707731637315</v>
      </c>
      <c r="O42" s="1">
        <f t="shared" si="12"/>
        <v>24442.20097471909</v>
      </c>
      <c r="R42" s="1">
        <f t="shared" si="0"/>
        <v>6932.6690949456388</v>
      </c>
      <c r="S42" s="1">
        <f t="shared" si="1"/>
        <v>540.55061294587881</v>
      </c>
      <c r="T42" s="1">
        <f t="shared" si="2"/>
        <v>47122.392199642243</v>
      </c>
      <c r="U42" s="1">
        <f t="shared" si="8"/>
        <v>6250</v>
      </c>
    </row>
    <row r="43" spans="2:21" x14ac:dyDescent="0.25">
      <c r="B43" s="100">
        <v>33</v>
      </c>
      <c r="D43" s="1">
        <f t="shared" si="4"/>
        <v>22680.191224923154</v>
      </c>
      <c r="E43" s="1">
        <f t="shared" si="5"/>
        <v>226.80191224923155</v>
      </c>
      <c r="F43" s="1">
        <f t="shared" si="6"/>
        <v>5585.7023049997269</v>
      </c>
      <c r="G43" s="1">
        <f t="shared" si="7"/>
        <v>17094.488919923428</v>
      </c>
      <c r="I43">
        <v>33</v>
      </c>
      <c r="K43">
        <v>21</v>
      </c>
      <c r="L43" s="1">
        <f t="shared" si="9"/>
        <v>24442.20097471909</v>
      </c>
      <c r="M43" s="1">
        <f t="shared" si="10"/>
        <v>244.42200974719091</v>
      </c>
      <c r="N43" s="1">
        <f t="shared" si="11"/>
        <v>1416.2934808953687</v>
      </c>
      <c r="O43" s="1">
        <f t="shared" si="12"/>
        <v>23025.907493823721</v>
      </c>
      <c r="R43" s="1">
        <f t="shared" si="0"/>
        <v>7001.9957858950957</v>
      </c>
      <c r="S43" s="1">
        <f t="shared" si="1"/>
        <v>471.22392199642246</v>
      </c>
      <c r="T43" s="1">
        <f t="shared" si="2"/>
        <v>40120.396413747148</v>
      </c>
      <c r="U43" s="1">
        <f t="shared" si="8"/>
        <v>6250</v>
      </c>
    </row>
    <row r="44" spans="2:21" x14ac:dyDescent="0.25">
      <c r="B44" s="100">
        <v>34</v>
      </c>
      <c r="D44" s="1">
        <f t="shared" si="4"/>
        <v>17094.488919923428</v>
      </c>
      <c r="E44" s="1">
        <f t="shared" si="5"/>
        <v>170.94488919923427</v>
      </c>
      <c r="F44" s="1">
        <f t="shared" si="6"/>
        <v>5641.5593280497242</v>
      </c>
      <c r="G44" s="1">
        <f t="shared" si="7"/>
        <v>11452.929591873704</v>
      </c>
      <c r="I44">
        <v>34</v>
      </c>
      <c r="K44">
        <v>22</v>
      </c>
      <c r="L44" s="1">
        <f t="shared" si="9"/>
        <v>23025.907493823721</v>
      </c>
      <c r="M44" s="1">
        <f t="shared" si="10"/>
        <v>230.25907493823721</v>
      </c>
      <c r="N44" s="1">
        <f t="shared" si="11"/>
        <v>1430.4564157043224</v>
      </c>
      <c r="O44" s="1">
        <f t="shared" si="12"/>
        <v>21595.451078119397</v>
      </c>
      <c r="R44" s="1">
        <f t="shared" si="0"/>
        <v>7072.0157437540465</v>
      </c>
      <c r="S44" s="1">
        <f t="shared" si="1"/>
        <v>401.20396413747147</v>
      </c>
      <c r="T44" s="1">
        <f t="shared" si="2"/>
        <v>33048.380669993101</v>
      </c>
      <c r="U44" s="1">
        <f t="shared" si="8"/>
        <v>6250</v>
      </c>
    </row>
    <row r="45" spans="2:21" x14ac:dyDescent="0.25">
      <c r="B45" s="100">
        <v>35</v>
      </c>
      <c r="D45" s="1">
        <f t="shared" si="4"/>
        <v>11452.929591873704</v>
      </c>
      <c r="E45" s="1">
        <f t="shared" si="5"/>
        <v>114.52929591873705</v>
      </c>
      <c r="F45" s="1">
        <f t="shared" si="6"/>
        <v>5697.9749213302212</v>
      </c>
      <c r="G45" s="1">
        <f t="shared" si="7"/>
        <v>5754.9546705434832</v>
      </c>
      <c r="I45">
        <v>35</v>
      </c>
      <c r="K45">
        <v>23</v>
      </c>
      <c r="L45" s="1">
        <f t="shared" si="9"/>
        <v>21595.451078119397</v>
      </c>
      <c r="M45" s="1">
        <f t="shared" si="10"/>
        <v>215.95451078119396</v>
      </c>
      <c r="N45" s="1">
        <f t="shared" si="11"/>
        <v>1444.7609798613657</v>
      </c>
      <c r="O45" s="1">
        <f t="shared" si="12"/>
        <v>20150.69009825803</v>
      </c>
      <c r="R45" s="1">
        <f t="shared" si="0"/>
        <v>7142.7359011915869</v>
      </c>
      <c r="S45" s="1">
        <f t="shared" si="1"/>
        <v>330.48380669993099</v>
      </c>
      <c r="T45" s="1">
        <f t="shared" si="2"/>
        <v>25905.644768801514</v>
      </c>
      <c r="U45" s="1">
        <f t="shared" si="8"/>
        <v>6250</v>
      </c>
    </row>
    <row r="46" spans="2:21" x14ac:dyDescent="0.25">
      <c r="B46" s="100">
        <v>36</v>
      </c>
      <c r="D46" s="1">
        <f t="shared" si="4"/>
        <v>5754.9546705434832</v>
      </c>
      <c r="E46" s="1">
        <f t="shared" si="5"/>
        <v>57.549546705434835</v>
      </c>
      <c r="F46" s="1">
        <f t="shared" si="6"/>
        <v>5754.9546705435232</v>
      </c>
      <c r="G46" s="1">
        <f t="shared" si="7"/>
        <v>-4.0017766878008842E-11</v>
      </c>
      <c r="I46">
        <v>36</v>
      </c>
      <c r="K46">
        <v>24</v>
      </c>
      <c r="L46" s="1">
        <f t="shared" si="9"/>
        <v>20150.69009825803</v>
      </c>
      <c r="M46" s="1">
        <f t="shared" si="10"/>
        <v>201.50690098258031</v>
      </c>
      <c r="N46" s="1">
        <f t="shared" si="11"/>
        <v>1459.2085896599792</v>
      </c>
      <c r="O46" s="1">
        <f t="shared" si="12"/>
        <v>18691.481508598052</v>
      </c>
      <c r="R46" s="1">
        <f t="shared" si="0"/>
        <v>7214.1632602035024</v>
      </c>
      <c r="S46" s="1">
        <f t="shared" si="1"/>
        <v>259.05644768801517</v>
      </c>
      <c r="T46" s="1">
        <f t="shared" si="2"/>
        <v>18691.481508598012</v>
      </c>
      <c r="U46" s="1">
        <f t="shared" si="8"/>
        <v>6250</v>
      </c>
    </row>
    <row r="47" spans="2:21" x14ac:dyDescent="0.25">
      <c r="I47">
        <v>37</v>
      </c>
      <c r="K47">
        <v>25</v>
      </c>
      <c r="L47" s="1">
        <f t="shared" si="9"/>
        <v>18691.481508598052</v>
      </c>
      <c r="M47" s="1">
        <f t="shared" si="10"/>
        <v>186.91481508598051</v>
      </c>
      <c r="N47" s="1">
        <f t="shared" si="11"/>
        <v>1473.8006755565791</v>
      </c>
      <c r="O47" s="1">
        <f t="shared" si="12"/>
        <v>17217.680833041471</v>
      </c>
      <c r="R47" s="1">
        <f t="shared" si="0"/>
        <v>1473.8006755565791</v>
      </c>
      <c r="S47" s="1">
        <f t="shared" si="1"/>
        <v>186.91481508598051</v>
      </c>
      <c r="T47" s="1">
        <f t="shared" si="2"/>
        <v>17217.680833041471</v>
      </c>
      <c r="U47" s="1">
        <f>$P$5</f>
        <v>1388.8888888888889</v>
      </c>
    </row>
    <row r="48" spans="2:21" x14ac:dyDescent="0.25">
      <c r="I48">
        <v>38</v>
      </c>
      <c r="K48">
        <v>26</v>
      </c>
      <c r="L48" s="1">
        <f t="shared" si="9"/>
        <v>17217.680833041471</v>
      </c>
      <c r="M48" s="1">
        <f t="shared" si="10"/>
        <v>172.17680833041473</v>
      </c>
      <c r="N48" s="1">
        <f t="shared" si="11"/>
        <v>1488.5386823121448</v>
      </c>
      <c r="O48" s="1">
        <f t="shared" si="12"/>
        <v>15729.142150729327</v>
      </c>
      <c r="R48" s="1">
        <f t="shared" si="0"/>
        <v>1488.5386823121448</v>
      </c>
      <c r="S48" s="1">
        <f t="shared" si="1"/>
        <v>172.17680833041473</v>
      </c>
      <c r="T48" s="1">
        <f t="shared" si="2"/>
        <v>15729.142150729327</v>
      </c>
      <c r="U48" s="1">
        <f t="shared" ref="U48:U58" si="13">$P$5</f>
        <v>1388.8888888888889</v>
      </c>
    </row>
    <row r="49" spans="11:21" x14ac:dyDescent="0.25">
      <c r="K49">
        <v>27</v>
      </c>
      <c r="L49" s="1">
        <f t="shared" si="9"/>
        <v>15729.142150729327</v>
      </c>
      <c r="M49" s="1">
        <f t="shared" si="10"/>
        <v>157.29142150729328</v>
      </c>
      <c r="N49" s="1">
        <f t="shared" si="11"/>
        <v>1503.4240691352663</v>
      </c>
      <c r="O49" s="1">
        <f t="shared" si="12"/>
        <v>14225.718081594061</v>
      </c>
      <c r="R49" s="1">
        <f t="shared" si="0"/>
        <v>1503.4240691352663</v>
      </c>
      <c r="S49" s="1">
        <f t="shared" si="1"/>
        <v>157.29142150729328</v>
      </c>
      <c r="T49" s="1">
        <f t="shared" si="2"/>
        <v>14225.718081594061</v>
      </c>
      <c r="U49" s="1">
        <f t="shared" si="13"/>
        <v>1388.8888888888889</v>
      </c>
    </row>
    <row r="50" spans="11:21" x14ac:dyDescent="0.25">
      <c r="K50">
        <v>28</v>
      </c>
      <c r="L50" s="1">
        <f t="shared" si="9"/>
        <v>14225.718081594061</v>
      </c>
      <c r="M50" s="1">
        <f t="shared" si="10"/>
        <v>142.25718081594061</v>
      </c>
      <c r="N50" s="1">
        <f t="shared" si="11"/>
        <v>1518.4583098266189</v>
      </c>
      <c r="O50" s="1">
        <f t="shared" si="12"/>
        <v>12707.259771767442</v>
      </c>
      <c r="R50" s="1">
        <f t="shared" si="0"/>
        <v>1518.4583098266189</v>
      </c>
      <c r="S50" s="1">
        <f t="shared" si="1"/>
        <v>142.25718081594061</v>
      </c>
      <c r="T50" s="1">
        <f t="shared" si="2"/>
        <v>12707.259771767442</v>
      </c>
      <c r="U50" s="1">
        <f t="shared" si="13"/>
        <v>1388.8888888888889</v>
      </c>
    </row>
    <row r="51" spans="11:21" x14ac:dyDescent="0.25">
      <c r="K51">
        <v>29</v>
      </c>
      <c r="L51" s="1">
        <f t="shared" si="9"/>
        <v>12707.259771767442</v>
      </c>
      <c r="M51" s="1">
        <f t="shared" si="10"/>
        <v>127.07259771767441</v>
      </c>
      <c r="N51" s="1">
        <f t="shared" si="11"/>
        <v>1533.6428929248852</v>
      </c>
      <c r="O51" s="1">
        <f t="shared" si="12"/>
        <v>11173.616878842557</v>
      </c>
      <c r="R51" s="1">
        <f t="shared" si="0"/>
        <v>1533.6428929248852</v>
      </c>
      <c r="S51" s="1">
        <f t="shared" si="1"/>
        <v>127.07259771767441</v>
      </c>
      <c r="T51" s="1">
        <f t="shared" si="2"/>
        <v>11173.616878842557</v>
      </c>
      <c r="U51" s="1">
        <f t="shared" si="13"/>
        <v>1388.8888888888889</v>
      </c>
    </row>
    <row r="52" spans="11:21" x14ac:dyDescent="0.25">
      <c r="K52">
        <v>30</v>
      </c>
      <c r="L52" s="1">
        <f t="shared" si="9"/>
        <v>11173.616878842557</v>
      </c>
      <c r="M52" s="1">
        <f t="shared" si="10"/>
        <v>111.73616878842557</v>
      </c>
      <c r="N52" s="1">
        <f t="shared" si="11"/>
        <v>1548.979321854134</v>
      </c>
      <c r="O52" s="1">
        <f t="shared" si="12"/>
        <v>9624.6375569884221</v>
      </c>
      <c r="R52" s="1">
        <f t="shared" si="0"/>
        <v>1548.979321854134</v>
      </c>
      <c r="S52" s="1">
        <f t="shared" si="1"/>
        <v>111.73616878842557</v>
      </c>
      <c r="T52" s="1">
        <f t="shared" si="2"/>
        <v>9624.6375569884221</v>
      </c>
      <c r="U52" s="1">
        <f t="shared" si="13"/>
        <v>1388.8888888888889</v>
      </c>
    </row>
    <row r="53" spans="11:21" x14ac:dyDescent="0.25">
      <c r="K53">
        <v>31</v>
      </c>
      <c r="L53" s="1">
        <f t="shared" si="9"/>
        <v>9624.6375569884221</v>
      </c>
      <c r="M53" s="1">
        <f t="shared" si="10"/>
        <v>96.246375569884222</v>
      </c>
      <c r="N53" s="1">
        <f t="shared" si="11"/>
        <v>1564.4691150726753</v>
      </c>
      <c r="O53" s="1">
        <f t="shared" si="12"/>
        <v>8060.1684419157464</v>
      </c>
      <c r="R53" s="1">
        <f t="shared" si="0"/>
        <v>1564.4691150726753</v>
      </c>
      <c r="S53" s="1">
        <f t="shared" si="1"/>
        <v>96.246375569884222</v>
      </c>
      <c r="T53" s="1">
        <f t="shared" si="2"/>
        <v>8060.1684419157464</v>
      </c>
      <c r="U53" s="1">
        <f t="shared" si="13"/>
        <v>1388.8888888888889</v>
      </c>
    </row>
    <row r="54" spans="11:21" x14ac:dyDescent="0.25">
      <c r="K54">
        <v>32</v>
      </c>
      <c r="L54" s="1">
        <f t="shared" si="9"/>
        <v>8060.1684419157464</v>
      </c>
      <c r="M54" s="1">
        <f t="shared" si="10"/>
        <v>80.601684419157465</v>
      </c>
      <c r="N54" s="1">
        <f t="shared" si="11"/>
        <v>1580.1138062234022</v>
      </c>
      <c r="O54" s="1">
        <f t="shared" si="12"/>
        <v>6480.0546356923442</v>
      </c>
      <c r="R54" s="1">
        <f t="shared" si="0"/>
        <v>1580.1138062234022</v>
      </c>
      <c r="S54" s="1">
        <f t="shared" si="1"/>
        <v>80.601684419157465</v>
      </c>
      <c r="T54" s="1">
        <f t="shared" si="2"/>
        <v>6480.0546356923442</v>
      </c>
      <c r="U54" s="1">
        <f t="shared" si="13"/>
        <v>1388.8888888888889</v>
      </c>
    </row>
    <row r="55" spans="11:21" x14ac:dyDescent="0.25">
      <c r="K55">
        <v>33</v>
      </c>
      <c r="L55" s="1">
        <f t="shared" si="9"/>
        <v>6480.0546356923442</v>
      </c>
      <c r="M55" s="1">
        <f t="shared" si="10"/>
        <v>64.800546356923448</v>
      </c>
      <c r="N55" s="1">
        <f t="shared" si="11"/>
        <v>1595.9149442856362</v>
      </c>
      <c r="O55" s="1">
        <f t="shared" si="12"/>
        <v>4884.1396914067082</v>
      </c>
      <c r="R55" s="1">
        <f t="shared" si="0"/>
        <v>1595.9149442856362</v>
      </c>
      <c r="S55" s="1">
        <f t="shared" si="1"/>
        <v>64.800546356923448</v>
      </c>
      <c r="T55" s="1">
        <f t="shared" si="2"/>
        <v>4884.1396914067082</v>
      </c>
      <c r="U55" s="1">
        <f t="shared" si="13"/>
        <v>1388.8888888888889</v>
      </c>
    </row>
    <row r="56" spans="11:21" x14ac:dyDescent="0.25">
      <c r="K56">
        <v>34</v>
      </c>
      <c r="L56" s="1">
        <f t="shared" si="9"/>
        <v>4884.1396914067082</v>
      </c>
      <c r="M56" s="1">
        <f t="shared" si="10"/>
        <v>48.841396914067083</v>
      </c>
      <c r="N56" s="1">
        <f t="shared" si="11"/>
        <v>1611.8740937284927</v>
      </c>
      <c r="O56" s="1">
        <f t="shared" si="12"/>
        <v>3272.2655976782153</v>
      </c>
      <c r="R56" s="1">
        <f t="shared" si="0"/>
        <v>1611.8740937284927</v>
      </c>
      <c r="S56" s="1">
        <f t="shared" si="1"/>
        <v>48.841396914067083</v>
      </c>
      <c r="T56" s="1">
        <f t="shared" si="2"/>
        <v>3272.2655976782153</v>
      </c>
      <c r="U56" s="1">
        <f t="shared" si="13"/>
        <v>1388.8888888888889</v>
      </c>
    </row>
    <row r="57" spans="11:21" x14ac:dyDescent="0.25">
      <c r="K57">
        <v>35</v>
      </c>
      <c r="L57" s="1">
        <f t="shared" si="9"/>
        <v>3272.2655976782153</v>
      </c>
      <c r="M57" s="1">
        <f t="shared" si="10"/>
        <v>32.72265597678215</v>
      </c>
      <c r="N57" s="1">
        <f t="shared" si="11"/>
        <v>1627.9928346657775</v>
      </c>
      <c r="O57" s="1">
        <f t="shared" si="12"/>
        <v>1644.2727630124377</v>
      </c>
      <c r="R57" s="1">
        <f t="shared" si="0"/>
        <v>1627.9928346657775</v>
      </c>
      <c r="S57" s="1">
        <f t="shared" si="1"/>
        <v>32.72265597678215</v>
      </c>
      <c r="T57" s="1">
        <f t="shared" si="2"/>
        <v>1644.2727630124377</v>
      </c>
      <c r="U57" s="1">
        <f t="shared" si="13"/>
        <v>1388.8888888888889</v>
      </c>
    </row>
    <row r="58" spans="11:21" x14ac:dyDescent="0.25">
      <c r="K58">
        <v>36</v>
      </c>
      <c r="L58" s="1">
        <f t="shared" si="9"/>
        <v>1644.2727630124377</v>
      </c>
      <c r="M58" s="1">
        <f t="shared" si="10"/>
        <v>16.442727630124377</v>
      </c>
      <c r="N58" s="1">
        <f t="shared" si="11"/>
        <v>1644.2727630124352</v>
      </c>
      <c r="O58" s="1">
        <f t="shared" si="12"/>
        <v>2.5011104298755527E-12</v>
      </c>
      <c r="R58" s="1">
        <f t="shared" si="0"/>
        <v>1644.2727630124352</v>
      </c>
      <c r="S58" s="1">
        <f t="shared" si="1"/>
        <v>16.442727630124377</v>
      </c>
      <c r="T58" s="1">
        <f t="shared" si="2"/>
        <v>2.5011104298755527E-12</v>
      </c>
      <c r="U58" s="1">
        <f t="shared" si="13"/>
        <v>1388.8888888888889</v>
      </c>
    </row>
  </sheetData>
  <phoneticPr fontId="0" type="noConversion"/>
  <pageMargins left="0.75" right="0.75" top="0.25" bottom="0.25" header="0.5" footer="0.5"/>
  <pageSetup scale="75"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6"/>
  <sheetViews>
    <sheetView workbookViewId="0">
      <selection activeCell="A4" sqref="A4"/>
    </sheetView>
  </sheetViews>
  <sheetFormatPr defaultColWidth="9.109375" defaultRowHeight="13.2" x14ac:dyDescent="0.25"/>
  <cols>
    <col min="1" max="1" width="32.6640625" style="1" customWidth="1"/>
    <col min="2" max="3" width="15.6640625" style="1" customWidth="1"/>
    <col min="4" max="4" width="9.109375" style="1"/>
    <col min="5" max="5" width="32.6640625" style="1" customWidth="1"/>
    <col min="6" max="6" width="15.6640625" style="1" customWidth="1"/>
    <col min="7" max="16384" width="9.109375" style="1"/>
  </cols>
  <sheetData>
    <row r="1" spans="1:6" x14ac:dyDescent="0.25">
      <c r="A1" s="2" t="s">
        <v>359</v>
      </c>
      <c r="B1" s="1" t="s">
        <v>79</v>
      </c>
      <c r="E1" s="2" t="s">
        <v>361</v>
      </c>
      <c r="F1" s="1" t="s">
        <v>80</v>
      </c>
    </row>
    <row r="2" spans="1:6" x14ac:dyDescent="0.25">
      <c r="A2" s="2"/>
      <c r="E2" s="2"/>
    </row>
    <row r="3" spans="1:6" x14ac:dyDescent="0.25">
      <c r="A3" s="7" t="s">
        <v>416</v>
      </c>
      <c r="E3" s="2"/>
    </row>
    <row r="5" spans="1:6" x14ac:dyDescent="0.25">
      <c r="B5" s="1" t="s">
        <v>3</v>
      </c>
      <c r="F5" s="1" t="s">
        <v>3</v>
      </c>
    </row>
    <row r="6" spans="1:6" x14ac:dyDescent="0.25">
      <c r="A6" s="1" t="s">
        <v>43</v>
      </c>
      <c r="B6" s="5">
        <v>20000</v>
      </c>
      <c r="E6" s="1" t="s">
        <v>43</v>
      </c>
      <c r="F6" s="5">
        <v>25000</v>
      </c>
    </row>
    <row r="7" spans="1:6" x14ac:dyDescent="0.25">
      <c r="A7" s="1" t="s">
        <v>44</v>
      </c>
      <c r="B7" s="5">
        <v>4000</v>
      </c>
      <c r="E7" s="1" t="s">
        <v>44</v>
      </c>
      <c r="F7" s="5">
        <v>4400</v>
      </c>
    </row>
    <row r="8" spans="1:6" x14ac:dyDescent="0.25">
      <c r="A8" s="1" t="s">
        <v>186</v>
      </c>
      <c r="B8" s="5">
        <v>12000</v>
      </c>
      <c r="E8" s="1" t="s">
        <v>186</v>
      </c>
      <c r="F8" s="5">
        <v>14000</v>
      </c>
    </row>
    <row r="9" spans="1:6" x14ac:dyDescent="0.25">
      <c r="A9" s="1" t="s">
        <v>45</v>
      </c>
      <c r="B9" s="5">
        <v>5000</v>
      </c>
      <c r="E9" s="1" t="s">
        <v>45</v>
      </c>
      <c r="F9" s="5">
        <v>6000</v>
      </c>
    </row>
    <row r="10" spans="1:6" x14ac:dyDescent="0.25">
      <c r="A10" s="3" t="s">
        <v>46</v>
      </c>
      <c r="B10" s="6">
        <v>450</v>
      </c>
      <c r="C10" s="20"/>
      <c r="E10" s="3" t="s">
        <v>46</v>
      </c>
      <c r="F10" s="6">
        <v>500</v>
      </c>
    </row>
    <row r="11" spans="1:6" x14ac:dyDescent="0.25">
      <c r="A11" s="1" t="s">
        <v>61</v>
      </c>
      <c r="B11" s="1">
        <f>SUM(B6:B10)</f>
        <v>41450</v>
      </c>
      <c r="E11" s="1" t="s">
        <v>61</v>
      </c>
      <c r="F11" s="1">
        <f>SUM(F6:F10)</f>
        <v>49900</v>
      </c>
    </row>
    <row r="13" spans="1:6" x14ac:dyDescent="0.25">
      <c r="A13" s="1" t="s">
        <v>47</v>
      </c>
      <c r="E13" s="1" t="s">
        <v>47</v>
      </c>
    </row>
    <row r="15" spans="1:6" x14ac:dyDescent="0.25">
      <c r="A15" s="2" t="s">
        <v>52</v>
      </c>
      <c r="E15" s="2" t="s">
        <v>52</v>
      </c>
    </row>
    <row r="16" spans="1:6" x14ac:dyDescent="0.25">
      <c r="A16" s="7" t="s">
        <v>60</v>
      </c>
      <c r="E16" s="7" t="s">
        <v>60</v>
      </c>
    </row>
    <row r="17" spans="1:6" x14ac:dyDescent="0.25">
      <c r="A17" s="28">
        <v>0.3</v>
      </c>
      <c r="B17" s="1">
        <f>A17*$B$11</f>
        <v>12435</v>
      </c>
      <c r="E17" s="28">
        <v>0.3</v>
      </c>
      <c r="F17" s="1">
        <f>E17*$F$11</f>
        <v>14970</v>
      </c>
    </row>
    <row r="18" spans="1:6" x14ac:dyDescent="0.25">
      <c r="A18" s="1" t="s">
        <v>50</v>
      </c>
      <c r="B18" s="5">
        <v>25000</v>
      </c>
      <c r="C18" s="5"/>
      <c r="E18" s="1" t="s">
        <v>50</v>
      </c>
      <c r="F18" s="5">
        <v>40000</v>
      </c>
    </row>
    <row r="19" spans="1:6" x14ac:dyDescent="0.25">
      <c r="A19" s="1" t="s">
        <v>48</v>
      </c>
      <c r="B19" s="5">
        <v>5000</v>
      </c>
      <c r="C19" s="5"/>
      <c r="E19" s="1" t="s">
        <v>48</v>
      </c>
      <c r="F19" s="5">
        <v>10000</v>
      </c>
    </row>
    <row r="20" spans="1:6" x14ac:dyDescent="0.25">
      <c r="A20" s="1" t="s">
        <v>49</v>
      </c>
      <c r="B20" s="5">
        <v>5000</v>
      </c>
      <c r="C20" s="5"/>
      <c r="E20" s="1" t="s">
        <v>49</v>
      </c>
      <c r="F20" s="5">
        <v>10000</v>
      </c>
    </row>
    <row r="21" spans="1:6" x14ac:dyDescent="0.25">
      <c r="A21" s="1" t="s">
        <v>55</v>
      </c>
      <c r="B21" s="5">
        <v>2000</v>
      </c>
      <c r="C21" s="5"/>
      <c r="E21" s="1" t="s">
        <v>55</v>
      </c>
      <c r="F21" s="5">
        <v>3500</v>
      </c>
    </row>
    <row r="22" spans="1:6" x14ac:dyDescent="0.25">
      <c r="A22" s="1" t="s">
        <v>166</v>
      </c>
      <c r="B22" s="151" t="s">
        <v>323</v>
      </c>
      <c r="C22" s="5"/>
      <c r="E22" s="1" t="s">
        <v>166</v>
      </c>
      <c r="F22" s="5">
        <v>3000</v>
      </c>
    </row>
    <row r="23" spans="1:6" x14ac:dyDescent="0.25">
      <c r="A23" s="1" t="s">
        <v>56</v>
      </c>
      <c r="B23" s="5">
        <v>750</v>
      </c>
      <c r="C23" s="5"/>
      <c r="E23" s="1" t="s">
        <v>56</v>
      </c>
      <c r="F23" s="5">
        <v>850</v>
      </c>
    </row>
    <row r="24" spans="1:6" x14ac:dyDescent="0.25">
      <c r="A24" s="3" t="s">
        <v>51</v>
      </c>
      <c r="B24" s="6">
        <v>600</v>
      </c>
      <c r="C24" s="21"/>
      <c r="E24" s="3" t="s">
        <v>51</v>
      </c>
      <c r="F24" s="6">
        <v>750</v>
      </c>
    </row>
    <row r="25" spans="1:6" x14ac:dyDescent="0.25">
      <c r="A25" s="1" t="s">
        <v>62</v>
      </c>
      <c r="B25" s="1">
        <f>SUM(B17:B24)</f>
        <v>50785</v>
      </c>
      <c r="E25" s="1" t="s">
        <v>62</v>
      </c>
      <c r="F25" s="1">
        <f>SUM(F17:F24)</f>
        <v>83070</v>
      </c>
    </row>
    <row r="27" spans="1:6" x14ac:dyDescent="0.25">
      <c r="A27" s="2" t="s">
        <v>53</v>
      </c>
      <c r="E27" s="2" t="s">
        <v>53</v>
      </c>
    </row>
    <row r="28" spans="1:6" x14ac:dyDescent="0.25">
      <c r="A28" s="7" t="s">
        <v>60</v>
      </c>
      <c r="E28" s="7" t="s">
        <v>60</v>
      </c>
    </row>
    <row r="29" spans="1:6" x14ac:dyDescent="0.25">
      <c r="A29" s="28">
        <v>0.4</v>
      </c>
      <c r="B29" s="1">
        <f>A29*$B$11</f>
        <v>16580</v>
      </c>
      <c r="E29" s="28">
        <v>0.4</v>
      </c>
      <c r="F29" s="1">
        <f>E29*$F$11</f>
        <v>19960</v>
      </c>
    </row>
    <row r="30" spans="1:6" x14ac:dyDescent="0.25">
      <c r="A30" s="1" t="s">
        <v>50</v>
      </c>
      <c r="B30" s="5">
        <v>3000</v>
      </c>
      <c r="E30" s="1" t="s">
        <v>50</v>
      </c>
      <c r="F30" s="5">
        <v>5000</v>
      </c>
    </row>
    <row r="31" spans="1:6" x14ac:dyDescent="0.25">
      <c r="A31" s="1" t="s">
        <v>54</v>
      </c>
      <c r="B31" s="5">
        <v>20000</v>
      </c>
      <c r="C31" s="5"/>
      <c r="E31" s="1" t="s">
        <v>54</v>
      </c>
      <c r="F31" s="5">
        <v>25000</v>
      </c>
    </row>
    <row r="32" spans="1:6" x14ac:dyDescent="0.25">
      <c r="A32" s="3" t="s">
        <v>59</v>
      </c>
      <c r="B32" s="6">
        <v>4000</v>
      </c>
      <c r="C32" s="21"/>
      <c r="E32" s="3" t="s">
        <v>59</v>
      </c>
      <c r="F32" s="6">
        <v>6000</v>
      </c>
    </row>
    <row r="33" spans="1:6" x14ac:dyDescent="0.25">
      <c r="A33" s="1" t="s">
        <v>62</v>
      </c>
      <c r="B33" s="1">
        <f>SUM(B29:B32)</f>
        <v>43580</v>
      </c>
      <c r="E33" s="1" t="s">
        <v>62</v>
      </c>
      <c r="F33" s="1">
        <f>SUM(F29:F32)</f>
        <v>55960</v>
      </c>
    </row>
    <row r="35" spans="1:6" x14ac:dyDescent="0.25">
      <c r="A35" s="2" t="s">
        <v>1</v>
      </c>
      <c r="E35" s="2" t="s">
        <v>1</v>
      </c>
    </row>
    <row r="36" spans="1:6" x14ac:dyDescent="0.25">
      <c r="A36" s="7" t="s">
        <v>60</v>
      </c>
      <c r="E36" s="7" t="s">
        <v>60</v>
      </c>
    </row>
    <row r="37" spans="1:6" x14ac:dyDescent="0.25">
      <c r="A37" s="28">
        <v>0.3</v>
      </c>
      <c r="B37" s="1">
        <f>A37*$B$11</f>
        <v>12435</v>
      </c>
      <c r="E37" s="28">
        <v>0.3</v>
      </c>
      <c r="F37" s="1">
        <f>E37*$F$11</f>
        <v>14970</v>
      </c>
    </row>
    <row r="38" spans="1:6" x14ac:dyDescent="0.25">
      <c r="A38" s="1" t="s">
        <v>167</v>
      </c>
      <c r="B38" s="5">
        <v>15000</v>
      </c>
      <c r="E38" s="1" t="s">
        <v>167</v>
      </c>
      <c r="F38" s="5">
        <v>15000</v>
      </c>
    </row>
    <row r="39" spans="1:6" x14ac:dyDescent="0.25">
      <c r="A39" s="1" t="s">
        <v>50</v>
      </c>
      <c r="B39" s="5">
        <v>4000</v>
      </c>
      <c r="C39" s="5"/>
      <c r="E39" s="1" t="s">
        <v>50</v>
      </c>
      <c r="F39" s="5">
        <v>5000</v>
      </c>
    </row>
    <row r="40" spans="1:6" x14ac:dyDescent="0.25">
      <c r="A40" s="1" t="s">
        <v>259</v>
      </c>
      <c r="B40" s="5">
        <v>3000</v>
      </c>
      <c r="C40" s="5"/>
      <c r="E40" s="1" t="s">
        <v>261</v>
      </c>
      <c r="F40" s="5">
        <v>3500</v>
      </c>
    </row>
    <row r="41" spans="1:6" x14ac:dyDescent="0.25">
      <c r="A41" s="1" t="s">
        <v>260</v>
      </c>
      <c r="B41" s="5">
        <v>2500</v>
      </c>
      <c r="C41" s="5"/>
      <c r="E41" s="1" t="s">
        <v>260</v>
      </c>
      <c r="F41" s="5">
        <v>3000</v>
      </c>
    </row>
    <row r="42" spans="1:6" x14ac:dyDescent="0.25">
      <c r="A42" s="1" t="s">
        <v>57</v>
      </c>
      <c r="B42" s="5">
        <v>1500</v>
      </c>
      <c r="C42" s="5"/>
      <c r="E42" s="1" t="s">
        <v>57</v>
      </c>
      <c r="F42" s="5">
        <v>1500</v>
      </c>
    </row>
    <row r="43" spans="1:6" x14ac:dyDescent="0.25">
      <c r="A43" s="3" t="s">
        <v>58</v>
      </c>
      <c r="B43" s="6">
        <v>400</v>
      </c>
      <c r="C43" s="21"/>
      <c r="E43" s="3" t="s">
        <v>58</v>
      </c>
      <c r="F43" s="6">
        <v>500</v>
      </c>
    </row>
    <row r="44" spans="1:6" x14ac:dyDescent="0.25">
      <c r="A44" s="1" t="s">
        <v>62</v>
      </c>
      <c r="B44" s="1">
        <f>SUM(B37:B43)</f>
        <v>38835</v>
      </c>
      <c r="E44" s="1" t="s">
        <v>62</v>
      </c>
      <c r="F44" s="1">
        <f>SUM(F37:F43)</f>
        <v>43470</v>
      </c>
    </row>
    <row r="46" spans="1:6" x14ac:dyDescent="0.25">
      <c r="A46" s="1" t="s">
        <v>35</v>
      </c>
      <c r="B46" s="2">
        <f>SUM(B25,B33,B44)</f>
        <v>133200</v>
      </c>
      <c r="C46" s="2"/>
      <c r="E46" s="1" t="s">
        <v>35</v>
      </c>
      <c r="F46" s="2">
        <f>SUM(F25,F33,F44)</f>
        <v>182500</v>
      </c>
    </row>
  </sheetData>
  <phoneticPr fontId="0" type="noConversion"/>
  <pageMargins left="0.75" right="0.75" top="0.5" bottom="0.5" header="0.5" footer="0.5"/>
  <pageSetup scale="95" orientation="landscape"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1"/>
  <sheetViews>
    <sheetView zoomScale="80" workbookViewId="0">
      <selection activeCell="A18" sqref="A18"/>
    </sheetView>
  </sheetViews>
  <sheetFormatPr defaultRowHeight="13.2" x14ac:dyDescent="0.25"/>
  <cols>
    <col min="1" max="1" width="14.88671875" customWidth="1"/>
    <col min="2" max="2" width="31.44140625" customWidth="1"/>
    <col min="3" max="3" width="2.6640625" customWidth="1"/>
    <col min="4" max="4" width="23.33203125" customWidth="1"/>
    <col min="5" max="5" width="22" customWidth="1"/>
  </cols>
  <sheetData>
    <row r="1" spans="1:5" ht="23.25" customHeight="1" x14ac:dyDescent="0.25">
      <c r="A1" s="63" t="s">
        <v>159</v>
      </c>
    </row>
    <row r="6" spans="1:5" ht="26.4" x14ac:dyDescent="0.25">
      <c r="A6" s="45" t="s">
        <v>82</v>
      </c>
      <c r="B6" s="46" t="s">
        <v>105</v>
      </c>
      <c r="C6" s="47"/>
      <c r="D6" s="48" t="s">
        <v>95</v>
      </c>
      <c r="E6" s="49" t="s">
        <v>96</v>
      </c>
    </row>
    <row r="7" spans="1:5" x14ac:dyDescent="0.25">
      <c r="A7" s="50" t="s">
        <v>83</v>
      </c>
      <c r="B7" s="51" t="s">
        <v>86</v>
      </c>
      <c r="C7" s="51"/>
      <c r="D7" s="52">
        <v>1</v>
      </c>
      <c r="E7" s="53">
        <v>0</v>
      </c>
    </row>
    <row r="8" spans="1:5" x14ac:dyDescent="0.25">
      <c r="A8" s="50" t="s">
        <v>84</v>
      </c>
      <c r="B8" s="51" t="s">
        <v>87</v>
      </c>
      <c r="C8" s="51"/>
      <c r="D8" s="52">
        <v>0.7</v>
      </c>
      <c r="E8" s="53">
        <v>0.8</v>
      </c>
    </row>
    <row r="9" spans="1:5" x14ac:dyDescent="0.25">
      <c r="A9" s="50" t="s">
        <v>88</v>
      </c>
      <c r="B9" s="51" t="s">
        <v>97</v>
      </c>
      <c r="C9" s="51"/>
      <c r="D9" s="52">
        <v>0.3</v>
      </c>
      <c r="E9" s="53">
        <v>0.65</v>
      </c>
    </row>
    <row r="10" spans="1:5" x14ac:dyDescent="0.25">
      <c r="A10" s="50" t="s">
        <v>90</v>
      </c>
      <c r="B10" s="51" t="s">
        <v>89</v>
      </c>
      <c r="C10" s="51"/>
      <c r="D10" s="52">
        <v>0.2</v>
      </c>
      <c r="E10" s="53">
        <v>0.4</v>
      </c>
    </row>
    <row r="11" spans="1:5" x14ac:dyDescent="0.25">
      <c r="A11" s="50" t="s">
        <v>110</v>
      </c>
      <c r="B11" s="51" t="s">
        <v>111</v>
      </c>
      <c r="C11" s="51"/>
      <c r="D11" s="52">
        <v>0.05</v>
      </c>
      <c r="E11" s="53">
        <v>0.25</v>
      </c>
    </row>
    <row r="12" spans="1:5" x14ac:dyDescent="0.25">
      <c r="A12" s="50" t="s">
        <v>85</v>
      </c>
      <c r="B12" s="51" t="s">
        <v>91</v>
      </c>
      <c r="C12" s="51"/>
      <c r="D12" s="52">
        <v>0.02</v>
      </c>
      <c r="E12" s="53">
        <v>0.05</v>
      </c>
    </row>
    <row r="13" spans="1:5" x14ac:dyDescent="0.25">
      <c r="A13" s="54"/>
      <c r="B13" s="51"/>
      <c r="C13" s="51"/>
      <c r="D13" s="51"/>
      <c r="E13" s="55"/>
    </row>
    <row r="14" spans="1:5" x14ac:dyDescent="0.25">
      <c r="A14" s="54"/>
      <c r="B14" s="51"/>
      <c r="C14" s="51"/>
      <c r="D14" s="51"/>
      <c r="E14" s="55"/>
    </row>
    <row r="15" spans="1:5" x14ac:dyDescent="0.25">
      <c r="A15" s="24" t="s">
        <v>108</v>
      </c>
      <c r="B15" s="43" t="s">
        <v>105</v>
      </c>
      <c r="C15" s="51"/>
      <c r="D15" s="51"/>
      <c r="E15" s="55"/>
    </row>
    <row r="16" spans="1:5" x14ac:dyDescent="0.25">
      <c r="A16" s="56">
        <v>40000</v>
      </c>
      <c r="B16" s="57" t="s">
        <v>92</v>
      </c>
      <c r="C16" s="51"/>
      <c r="D16" s="51"/>
      <c r="E16" s="55"/>
    </row>
    <row r="17" spans="1:5" x14ac:dyDescent="0.25">
      <c r="A17" s="56">
        <v>50</v>
      </c>
      <c r="B17" s="57" t="s">
        <v>93</v>
      </c>
      <c r="C17" s="51"/>
      <c r="D17" s="51"/>
      <c r="E17" s="55"/>
    </row>
    <row r="18" spans="1:5" x14ac:dyDescent="0.25">
      <c r="A18" s="58">
        <v>10</v>
      </c>
      <c r="B18" s="44" t="s">
        <v>94</v>
      </c>
      <c r="C18" s="43"/>
      <c r="D18" s="43"/>
      <c r="E18" s="59"/>
    </row>
    <row r="19" spans="1:5" x14ac:dyDescent="0.25">
      <c r="A19" s="37"/>
      <c r="B19" s="36"/>
    </row>
    <row r="20" spans="1:5" x14ac:dyDescent="0.25">
      <c r="A20" s="37"/>
      <c r="B20" s="36"/>
    </row>
    <row r="21" spans="1:5" x14ac:dyDescent="0.25">
      <c r="A21" s="37"/>
      <c r="B21" s="36"/>
    </row>
  </sheetData>
  <phoneticPr fontId="0" type="noConversion"/>
  <pageMargins left="0.5" right="0.5" top="1" bottom="1" header="0.5" footer="0.5"/>
  <pageSetup orientation="landscape"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58"/>
  <sheetViews>
    <sheetView zoomScale="75" workbookViewId="0">
      <selection activeCell="B4" sqref="B4"/>
    </sheetView>
  </sheetViews>
  <sheetFormatPr defaultRowHeight="13.2" x14ac:dyDescent="0.25"/>
  <cols>
    <col min="1" max="1" width="22.44140625" customWidth="1"/>
    <col min="2" max="2" width="11.109375" customWidth="1"/>
    <col min="3" max="3" width="11.44140625" style="39" customWidth="1"/>
    <col min="4" max="4" width="13.88671875" customWidth="1"/>
    <col min="5" max="5" width="15" customWidth="1"/>
    <col min="6" max="6" width="10" customWidth="1"/>
    <col min="7" max="7" width="15.109375" customWidth="1"/>
    <col min="8" max="8" width="15.44140625" style="1" customWidth="1"/>
    <col min="9" max="9" width="15.109375" customWidth="1"/>
    <col min="10" max="10" width="27.5546875" customWidth="1"/>
    <col min="11" max="11" width="17.33203125" customWidth="1"/>
  </cols>
  <sheetData>
    <row r="1" spans="1:11" ht="21" customHeight="1" x14ac:dyDescent="0.25">
      <c r="A1" s="63" t="s">
        <v>81</v>
      </c>
    </row>
    <row r="2" spans="1:11" x14ac:dyDescent="0.25">
      <c r="A2" t="s">
        <v>430</v>
      </c>
    </row>
    <row r="3" spans="1:11" x14ac:dyDescent="0.25">
      <c r="A3" s="158" t="s">
        <v>429</v>
      </c>
      <c r="B3" s="158">
        <v>37652</v>
      </c>
    </row>
    <row r="6" spans="1:11" s="37" customFormat="1" ht="34.200000000000003" x14ac:dyDescent="0.25">
      <c r="A6" s="40" t="s">
        <v>98</v>
      </c>
      <c r="B6" s="40" t="s">
        <v>82</v>
      </c>
      <c r="C6" s="41" t="s">
        <v>99</v>
      </c>
      <c r="D6" s="40" t="s">
        <v>104</v>
      </c>
      <c r="E6" s="40" t="s">
        <v>100</v>
      </c>
      <c r="F6" s="40" t="s">
        <v>125</v>
      </c>
      <c r="G6" s="40" t="s">
        <v>101</v>
      </c>
      <c r="H6" s="60" t="s">
        <v>102</v>
      </c>
      <c r="I6" s="40" t="s">
        <v>103</v>
      </c>
      <c r="J6" s="40" t="s">
        <v>105</v>
      </c>
      <c r="K6" s="40" t="s">
        <v>109</v>
      </c>
    </row>
    <row r="7" spans="1:11" x14ac:dyDescent="0.25">
      <c r="A7" s="39" t="s">
        <v>401</v>
      </c>
      <c r="B7" s="39" t="s">
        <v>83</v>
      </c>
      <c r="C7" s="39">
        <v>400</v>
      </c>
      <c r="D7" s="39" t="s">
        <v>106</v>
      </c>
      <c r="E7" s="35">
        <f>'Pipeline assumptions'!$A$16+('Pipeline assumptions'!$A$17*Pipeline!C7)</f>
        <v>60000</v>
      </c>
      <c r="F7" s="42">
        <v>0.1</v>
      </c>
      <c r="G7" s="35">
        <f>IF(B7="Closed",'Pipeline assumptions'!$A$18*Pipeline!C7,"-")</f>
        <v>4000</v>
      </c>
      <c r="H7" s="35">
        <f>IF($B7="Closed",$E7*(1-$F7),IF($B7="Contract",(('Pipeline assumptions'!$A$16+'Pipeline assumptions'!$A$17*Pipeline!$C7)*'Pipeline assumptions'!$D$8),IF($B7="Eval",(('Pipeline assumptions'!$A$16+'Pipeline assumptions'!$A$17*Pipeline!$C7)*'Pipeline assumptions'!$D$9),IF($B7="Proposal",(('Pipeline assumptions'!$A$16+'Pipeline assumptions'!$A$17*Pipeline!$C7)*'Pipeline assumptions'!$D$10),IF($B7="Require",(('Pipeline assumptions'!$A$16+'Pipeline assumptions'!$A$17*Pipeline!$C7)*'Pipeline assumptions'!$D$11),IF($B7="Response",(('Pipeline assumptions'!$A$16+'Pipeline assumptions'!$A$17*Pipeline!$C7)*'Pipeline assumptions'!$D$12),0))))))</f>
        <v>54000</v>
      </c>
      <c r="I7" s="35">
        <f>IF($B7="Closed",G7*3,IF($B7="Contract",((E7-H7)*'Pipeline assumptions'!$E$8),IF($B7="Eval",((E7-H7)*'Pipeline assumptions'!$E$9),IF($B7="Proposal",((E7-H7)*'Pipeline assumptions'!$E$10),IF($B7="Require",((E7-H7)*'Pipeline assumptions'!$E$11),IF($B7="Response",((E7-H7)*'Pipeline assumptions'!$E$12),0))))))</f>
        <v>12000</v>
      </c>
      <c r="J7" s="39" t="s">
        <v>116</v>
      </c>
      <c r="K7" t="s">
        <v>117</v>
      </c>
    </row>
    <row r="8" spans="1:11" x14ac:dyDescent="0.25">
      <c r="A8" s="39" t="s">
        <v>402</v>
      </c>
      <c r="B8" s="39" t="s">
        <v>84</v>
      </c>
      <c r="C8" s="39">
        <v>100</v>
      </c>
      <c r="D8" s="39" t="s">
        <v>151</v>
      </c>
      <c r="E8" s="35">
        <f>'Pipeline assumptions'!$A$16+('Pipeline assumptions'!$A$17*Pipeline!C8)</f>
        <v>45000</v>
      </c>
      <c r="F8" s="42"/>
      <c r="G8" s="35" t="str">
        <f>IF(B8="Closed",'Pipeline assumptions'!$A$18*Pipeline!C8,"-")</f>
        <v>-</v>
      </c>
      <c r="H8" s="35">
        <f>IF($B8="Closed",$E8*(1-$F8),IF($B8="Contract",(('Pipeline assumptions'!$A$16+'Pipeline assumptions'!$A$17*Pipeline!$C8)*'Pipeline assumptions'!$D$8),IF($B8="Eval",(('Pipeline assumptions'!$A$16+'Pipeline assumptions'!$A$17*Pipeline!$C8)*'Pipeline assumptions'!$D$9),IF($B8="Proposal",(('Pipeline assumptions'!$A$16+'Pipeline assumptions'!$A$17*Pipeline!$C8)*'Pipeline assumptions'!$D$10),IF($B8="Require",(('Pipeline assumptions'!$A$16+'Pipeline assumptions'!$A$17*Pipeline!$C8)*'Pipeline assumptions'!$D$11),IF($B8="Response",(('Pipeline assumptions'!$A$16+'Pipeline assumptions'!$A$17*Pipeline!$C8)*'Pipeline assumptions'!$D$12),0))))))</f>
        <v>31499.999999999996</v>
      </c>
      <c r="I8" s="35">
        <f>IF($B8="Closed",G8*3,IF($B8="Contract",((E8-H8)*'Pipeline assumptions'!$E$8),IF($B8="Eval",((E8-H8)*'Pipeline assumptions'!$E$9),IF($B8="Proposal",((E8-H8)*'Pipeline assumptions'!$E$10),IF($B8="Require",((E8-H8)*'Pipeline assumptions'!$E$11),IF($B8="Response",((E8-H8)*'Pipeline assumptions'!$E$12),0))))))</f>
        <v>10800.000000000004</v>
      </c>
      <c r="J8" s="39" t="s">
        <v>405</v>
      </c>
      <c r="K8" t="s">
        <v>126</v>
      </c>
    </row>
    <row r="9" spans="1:11" x14ac:dyDescent="0.25">
      <c r="A9" s="39" t="s">
        <v>403</v>
      </c>
      <c r="B9" s="39" t="s">
        <v>84</v>
      </c>
      <c r="C9" s="39">
        <v>200</v>
      </c>
      <c r="D9" s="39" t="s">
        <v>178</v>
      </c>
      <c r="E9" s="35">
        <f>'Pipeline assumptions'!$A$16+('Pipeline assumptions'!$A$17*Pipeline!C9)</f>
        <v>50000</v>
      </c>
      <c r="F9" s="42"/>
      <c r="G9" s="35" t="str">
        <f>IF(B9="Closed",'Pipeline assumptions'!$A$18*Pipeline!C9,"-")</f>
        <v>-</v>
      </c>
      <c r="H9" s="35">
        <f>IF($B9="Closed",$E9*(1-$F9),IF($B9="Contract",(('Pipeline assumptions'!$A$16+'Pipeline assumptions'!$A$17*Pipeline!$C9)*'Pipeline assumptions'!$D$8),IF($B9="Eval",(('Pipeline assumptions'!$A$16+'Pipeline assumptions'!$A$17*Pipeline!$C9)*'Pipeline assumptions'!$D$9),IF($B9="Proposal",(('Pipeline assumptions'!$A$16+'Pipeline assumptions'!$A$17*Pipeline!$C9)*'Pipeline assumptions'!$D$10),IF($B9="Require",(('Pipeline assumptions'!$A$16+'Pipeline assumptions'!$A$17*Pipeline!$C9)*'Pipeline assumptions'!$D$11),IF($B9="Response",(('Pipeline assumptions'!$A$16+'Pipeline assumptions'!$A$17*Pipeline!$C9)*'Pipeline assumptions'!$D$12),0))))))</f>
        <v>35000</v>
      </c>
      <c r="I9" s="35">
        <f>IF($B9="Closed",G9*3,IF($B9="Contract",((E9-H9)*'Pipeline assumptions'!$E$8),IF($B9="Eval",((E9-H9)*'Pipeline assumptions'!$E$9),IF($B9="Proposal",((E9-H9)*'Pipeline assumptions'!$E$10),IF($B9="Require",((E9-H9)*'Pipeline assumptions'!$E$11),IF($B9="Response",((E9-H9)*'Pipeline assumptions'!$E$12),0))))))</f>
        <v>12000</v>
      </c>
      <c r="J9" s="39" t="s">
        <v>406</v>
      </c>
      <c r="K9" t="s">
        <v>123</v>
      </c>
    </row>
    <row r="10" spans="1:11" x14ac:dyDescent="0.25">
      <c r="A10" s="39" t="s">
        <v>358</v>
      </c>
      <c r="B10" s="39" t="s">
        <v>84</v>
      </c>
      <c r="C10" s="39">
        <v>400</v>
      </c>
      <c r="D10" s="39" t="s">
        <v>106</v>
      </c>
      <c r="E10" s="35">
        <f>'Pipeline assumptions'!$A$16+('Pipeline assumptions'!$A$17*Pipeline!C10)</f>
        <v>60000</v>
      </c>
      <c r="F10" s="42"/>
      <c r="G10" s="35" t="str">
        <f>IF(B10="Closed",'Pipeline assumptions'!$A$18*Pipeline!C10,"-")</f>
        <v>-</v>
      </c>
      <c r="H10" s="35">
        <f>IF($B10="Closed",$E10*(1-$F10),IF($B10="Contract",(('Pipeline assumptions'!$A$16+'Pipeline assumptions'!$A$17*Pipeline!$C10)*'Pipeline assumptions'!$D$8),IF($B10="Eval",(('Pipeline assumptions'!$A$16+'Pipeline assumptions'!$A$17*Pipeline!$C10)*'Pipeline assumptions'!$D$9),IF($B10="Proposal",(('Pipeline assumptions'!$A$16+'Pipeline assumptions'!$A$17*Pipeline!$C10)*'Pipeline assumptions'!$D$10),IF($B10="Require",(('Pipeline assumptions'!$A$16+'Pipeline assumptions'!$A$17*Pipeline!$C10)*'Pipeline assumptions'!$D$11),IF($B10="Response",(('Pipeline assumptions'!$A$16+'Pipeline assumptions'!$A$17*Pipeline!$C10)*'Pipeline assumptions'!$D$12),0))))))</f>
        <v>42000</v>
      </c>
      <c r="I10" s="35">
        <f>IF($B10="Closed",G10*3,IF($B10="Contract",((E10-H10)*'Pipeline assumptions'!$E$8),IF($B10="Eval",((E10-H10)*'Pipeline assumptions'!$E$9),IF($B10="Proposal",((E10-H10)*'Pipeline assumptions'!$E$10),IF($B10="Require",((E10-H10)*'Pipeline assumptions'!$E$11),IF($B10="Response",((E10-H10)*'Pipeline assumptions'!$E$12),0))))))</f>
        <v>14400</v>
      </c>
      <c r="J10" s="39" t="s">
        <v>407</v>
      </c>
      <c r="K10" t="s">
        <v>120</v>
      </c>
    </row>
    <row r="11" spans="1:11" x14ac:dyDescent="0.25">
      <c r="A11" s="39" t="s">
        <v>127</v>
      </c>
      <c r="B11" s="39" t="s">
        <v>84</v>
      </c>
      <c r="C11" s="39">
        <v>500</v>
      </c>
      <c r="D11" s="39" t="s">
        <v>178</v>
      </c>
      <c r="E11" s="35">
        <f>'Pipeline assumptions'!$A$16+('Pipeline assumptions'!$A$17*Pipeline!C11)</f>
        <v>65000</v>
      </c>
      <c r="F11" s="42"/>
      <c r="G11" s="35" t="str">
        <f>IF(B11="Closed",'Pipeline assumptions'!$A$18*Pipeline!C11,"-")</f>
        <v>-</v>
      </c>
      <c r="H11" s="35">
        <f>IF($B11="Closed",$E11*(1-$F11),IF($B11="Contract",(('Pipeline assumptions'!$A$16+'Pipeline assumptions'!$A$17*Pipeline!$C11)*'Pipeline assumptions'!$D$8),IF($B11="Eval",(('Pipeline assumptions'!$A$16+'Pipeline assumptions'!$A$17*Pipeline!$C11)*'Pipeline assumptions'!$D$9),IF($B11="Proposal",(('Pipeline assumptions'!$A$16+'Pipeline assumptions'!$A$17*Pipeline!$C11)*'Pipeline assumptions'!$D$10),IF($B11="Require",(('Pipeline assumptions'!$A$16+'Pipeline assumptions'!$A$17*Pipeline!$C11)*'Pipeline assumptions'!$D$11),IF($B11="Response",(('Pipeline assumptions'!$A$16+'Pipeline assumptions'!$A$17*Pipeline!$C11)*'Pipeline assumptions'!$D$12),0))))))</f>
        <v>45500</v>
      </c>
      <c r="I11" s="35">
        <f>IF($B11="Closed",G11*3,IF($B11="Contract",((E11-H11)*'Pipeline assumptions'!$E$8),IF($B11="Eval",((E11-H11)*'Pipeline assumptions'!$E$9),IF($B11="Proposal",((E11-H11)*'Pipeline assumptions'!$E$10),IF($B11="Require",((E11-H11)*'Pipeline assumptions'!$E$11),IF($B11="Response",((E11-H11)*'Pipeline assumptions'!$E$12),0))))))</f>
        <v>15600</v>
      </c>
      <c r="J11" s="39" t="s">
        <v>404</v>
      </c>
      <c r="K11" t="s">
        <v>122</v>
      </c>
    </row>
    <row r="12" spans="1:11" x14ac:dyDescent="0.25">
      <c r="A12" s="39" t="s">
        <v>128</v>
      </c>
      <c r="B12" s="39" t="s">
        <v>88</v>
      </c>
      <c r="C12" s="39">
        <v>200</v>
      </c>
      <c r="D12" s="39" t="s">
        <v>106</v>
      </c>
      <c r="E12" s="35">
        <f>'Pipeline assumptions'!$A$16+('Pipeline assumptions'!$A$17*Pipeline!C12)</f>
        <v>50000</v>
      </c>
      <c r="F12" s="42"/>
      <c r="G12" s="35" t="str">
        <f>IF(B12="Closed",'Pipeline assumptions'!$A$18*Pipeline!C12,"-")</f>
        <v>-</v>
      </c>
      <c r="H12" s="35">
        <f>IF($B12="Closed",$E12*(1-$F12),IF($B12="Contract",(('Pipeline assumptions'!$A$16+'Pipeline assumptions'!$A$17*Pipeline!$C12)*'Pipeline assumptions'!$D$8),IF($B12="Eval",(('Pipeline assumptions'!$A$16+'Pipeline assumptions'!$A$17*Pipeline!$C12)*'Pipeline assumptions'!$D$9),IF($B12="Proposal",(('Pipeline assumptions'!$A$16+'Pipeline assumptions'!$A$17*Pipeline!$C12)*'Pipeline assumptions'!$D$10),IF($B12="Require",(('Pipeline assumptions'!$A$16+'Pipeline assumptions'!$A$17*Pipeline!$C12)*'Pipeline assumptions'!$D$11),IF($B12="Response",(('Pipeline assumptions'!$A$16+'Pipeline assumptions'!$A$17*Pipeline!$C12)*'Pipeline assumptions'!$D$12),0))))))</f>
        <v>15000</v>
      </c>
      <c r="I12" s="35">
        <f>IF($B12="Closed",G12*3,IF($B12="Contract",((E12-H12)*'Pipeline assumptions'!$E$8),IF($B12="Eval",((E12-H12)*'Pipeline assumptions'!$E$9),IF($B12="Proposal",((E12-H12)*'Pipeline assumptions'!$E$10),IF($B12="Require",((E12-H12)*'Pipeline assumptions'!$E$11),IF($B12="Response",((E12-H12)*'Pipeline assumptions'!$E$12),0))))))</f>
        <v>22750</v>
      </c>
      <c r="J12" s="39" t="s">
        <v>130</v>
      </c>
      <c r="K12" t="s">
        <v>122</v>
      </c>
    </row>
    <row r="13" spans="1:11" x14ac:dyDescent="0.25">
      <c r="A13" s="39" t="s">
        <v>129</v>
      </c>
      <c r="B13" s="39" t="s">
        <v>88</v>
      </c>
      <c r="C13" s="39">
        <v>400</v>
      </c>
      <c r="D13" s="39" t="s">
        <v>106</v>
      </c>
      <c r="E13" s="35">
        <f>'Pipeline assumptions'!$A$16+('Pipeline assumptions'!$A$17*Pipeline!C13)</f>
        <v>60000</v>
      </c>
      <c r="F13" s="42"/>
      <c r="G13" s="35" t="str">
        <f>IF(B13="Closed",'Pipeline assumptions'!$A$18*Pipeline!C13,"-")</f>
        <v>-</v>
      </c>
      <c r="H13" s="35">
        <f>IF($B13="Closed",$E13*(1-$F13),IF($B13="Contract",(('Pipeline assumptions'!$A$16+'Pipeline assumptions'!$A$17*Pipeline!$C13)*'Pipeline assumptions'!$D$8),IF($B13="Eval",(('Pipeline assumptions'!$A$16+'Pipeline assumptions'!$A$17*Pipeline!$C13)*'Pipeline assumptions'!$D$9),IF($B13="Proposal",(('Pipeline assumptions'!$A$16+'Pipeline assumptions'!$A$17*Pipeline!$C13)*'Pipeline assumptions'!$D$10),IF($B13="Require",(('Pipeline assumptions'!$A$16+'Pipeline assumptions'!$A$17*Pipeline!$C13)*'Pipeline assumptions'!$D$11),IF($B13="Response",(('Pipeline assumptions'!$A$16+'Pipeline assumptions'!$A$17*Pipeline!$C13)*'Pipeline assumptions'!$D$12),0))))))</f>
        <v>18000</v>
      </c>
      <c r="I13" s="35">
        <f>IF($B13="Closed",G13*3,IF($B13="Contract",((E13-H13)*'Pipeline assumptions'!$E$8),IF($B13="Eval",((E13-H13)*'Pipeline assumptions'!$E$9),IF($B13="Proposal",((E13-H13)*'Pipeline assumptions'!$E$10),IF($B13="Require",((E13-H13)*'Pipeline assumptions'!$E$11),IF($B13="Response",((E13-H13)*'Pipeline assumptions'!$E$12),0))))))</f>
        <v>27300</v>
      </c>
      <c r="J13" s="39" t="s">
        <v>131</v>
      </c>
      <c r="K13" t="s">
        <v>132</v>
      </c>
    </row>
    <row r="14" spans="1:11" x14ac:dyDescent="0.25">
      <c r="A14" s="39" t="s">
        <v>115</v>
      </c>
      <c r="B14" s="39" t="s">
        <v>90</v>
      </c>
      <c r="C14" s="39">
        <v>500</v>
      </c>
      <c r="D14" s="39" t="s">
        <v>151</v>
      </c>
      <c r="E14" s="35">
        <f>'Pipeline assumptions'!$A$16+('Pipeline assumptions'!$A$17*Pipeline!C14)</f>
        <v>65000</v>
      </c>
      <c r="F14" s="42"/>
      <c r="G14" s="35" t="str">
        <f>IF(B14="Closed",'Pipeline assumptions'!$A$18*Pipeline!C14,"-")</f>
        <v>-</v>
      </c>
      <c r="H14" s="35">
        <f>IF($B14="Closed",$E14*(1-$F14),IF($B14="Contract",(('Pipeline assumptions'!$A$16+'Pipeline assumptions'!$A$17*Pipeline!$C14)*'Pipeline assumptions'!$D$8),IF($B14="Eval",(('Pipeline assumptions'!$A$16+'Pipeline assumptions'!$A$17*Pipeline!$C14)*'Pipeline assumptions'!$D$9),IF($B14="Proposal",(('Pipeline assumptions'!$A$16+'Pipeline assumptions'!$A$17*Pipeline!$C14)*'Pipeline assumptions'!$D$10),IF($B14="Require",(('Pipeline assumptions'!$A$16+'Pipeline assumptions'!$A$17*Pipeline!$C14)*'Pipeline assumptions'!$D$11),IF($B14="Response",(('Pipeline assumptions'!$A$16+'Pipeline assumptions'!$A$17*Pipeline!$C14)*'Pipeline assumptions'!$D$12),0))))))</f>
        <v>13000</v>
      </c>
      <c r="I14" s="35">
        <f>IF($B14="Closed",G14*3,IF($B14="Contract",((E14-H14)*'Pipeline assumptions'!$E$8),IF($B14="Eval",((E14-H14)*'Pipeline assumptions'!$E$9),IF($B14="Proposal",((E14-H14)*'Pipeline assumptions'!$E$10),IF($B14="Require",((E14-H14)*'Pipeline assumptions'!$E$11),IF($B14="Response",((E14-H14)*'Pipeline assumptions'!$E$12),0))))))</f>
        <v>20800</v>
      </c>
      <c r="J14" s="39" t="s">
        <v>138</v>
      </c>
      <c r="K14" t="s">
        <v>134</v>
      </c>
    </row>
    <row r="15" spans="1:11" x14ac:dyDescent="0.25">
      <c r="A15" s="39" t="s">
        <v>135</v>
      </c>
      <c r="B15" s="39" t="s">
        <v>90</v>
      </c>
      <c r="C15" s="39">
        <v>200</v>
      </c>
      <c r="D15" s="39" t="s">
        <v>151</v>
      </c>
      <c r="E15" s="35">
        <f>'Pipeline assumptions'!$A$16+('Pipeline assumptions'!$A$17*Pipeline!C15)</f>
        <v>50000</v>
      </c>
      <c r="F15" s="42"/>
      <c r="G15" s="35" t="str">
        <f>IF(B15="Closed",'Pipeline assumptions'!$A$18*Pipeline!C15,"-")</f>
        <v>-</v>
      </c>
      <c r="H15" s="35">
        <f>IF($B15="Closed",$E15*(1-$F15),IF($B15="Contract",(('Pipeline assumptions'!$A$16+'Pipeline assumptions'!$A$17*Pipeline!$C15)*'Pipeline assumptions'!$D$8),IF($B15="Eval",(('Pipeline assumptions'!$A$16+'Pipeline assumptions'!$A$17*Pipeline!$C15)*'Pipeline assumptions'!$D$9),IF($B15="Proposal",(('Pipeline assumptions'!$A$16+'Pipeline assumptions'!$A$17*Pipeline!$C15)*'Pipeline assumptions'!$D$10),IF($B15="Require",(('Pipeline assumptions'!$A$16+'Pipeline assumptions'!$A$17*Pipeline!$C15)*'Pipeline assumptions'!$D$11),IF($B15="Response",(('Pipeline assumptions'!$A$16+'Pipeline assumptions'!$A$17*Pipeline!$C15)*'Pipeline assumptions'!$D$12),0))))))</f>
        <v>10000</v>
      </c>
      <c r="I15" s="35">
        <f>IF($B15="Closed",G15*3,IF($B15="Contract",((E15-H15)*'Pipeline assumptions'!$E$8),IF($B15="Eval",((E15-H15)*'Pipeline assumptions'!$E$9),IF($B15="Proposal",((E15-H15)*'Pipeline assumptions'!$E$10),IF($B15="Require",((E15-H15)*'Pipeline assumptions'!$E$11),IF($B15="Response",((E15-H15)*'Pipeline assumptions'!$E$12),0))))))</f>
        <v>16000</v>
      </c>
      <c r="J15" s="39" t="s">
        <v>139</v>
      </c>
      <c r="K15" t="s">
        <v>140</v>
      </c>
    </row>
    <row r="16" spans="1:11" x14ac:dyDescent="0.25">
      <c r="A16" s="39" t="s">
        <v>136</v>
      </c>
      <c r="B16" s="39" t="s">
        <v>90</v>
      </c>
      <c r="C16" s="39">
        <v>350</v>
      </c>
      <c r="D16" s="39" t="s">
        <v>178</v>
      </c>
      <c r="E16" s="35">
        <f>'Pipeline assumptions'!$A$16+('Pipeline assumptions'!$A$17*Pipeline!C16)</f>
        <v>57500</v>
      </c>
      <c r="F16" s="42"/>
      <c r="G16" s="35" t="str">
        <f>IF(B16="Closed",'Pipeline assumptions'!$A$18*Pipeline!C16,"-")</f>
        <v>-</v>
      </c>
      <c r="H16" s="35">
        <f>IF($B16="Closed",$E16*(1-$F16),IF($B16="Contract",(('Pipeline assumptions'!$A$16+'Pipeline assumptions'!$A$17*Pipeline!$C16)*'Pipeline assumptions'!$D$8),IF($B16="Eval",(('Pipeline assumptions'!$A$16+'Pipeline assumptions'!$A$17*Pipeline!$C16)*'Pipeline assumptions'!$D$9),IF($B16="Proposal",(('Pipeline assumptions'!$A$16+'Pipeline assumptions'!$A$17*Pipeline!$C16)*'Pipeline assumptions'!$D$10),IF($B16="Require",(('Pipeline assumptions'!$A$16+'Pipeline assumptions'!$A$17*Pipeline!$C16)*'Pipeline assumptions'!$D$11),IF($B16="Response",(('Pipeline assumptions'!$A$16+'Pipeline assumptions'!$A$17*Pipeline!$C16)*'Pipeline assumptions'!$D$12),0))))))</f>
        <v>11500</v>
      </c>
      <c r="I16" s="35">
        <f>IF($B16="Closed",G16*3,IF($B16="Contract",((E16-H16)*'Pipeline assumptions'!$E$8),IF($B16="Eval",((E16-H16)*'Pipeline assumptions'!$E$9),IF($B16="Proposal",((E16-H16)*'Pipeline assumptions'!$E$10),IF($B16="Require",((E16-H16)*'Pipeline assumptions'!$E$11),IF($B16="Response",((E16-H16)*'Pipeline assumptions'!$E$12),0))))))</f>
        <v>18400</v>
      </c>
      <c r="J16" s="39" t="s">
        <v>348</v>
      </c>
      <c r="K16" t="s">
        <v>120</v>
      </c>
    </row>
    <row r="17" spans="1:11" x14ac:dyDescent="0.25">
      <c r="A17" s="39" t="s">
        <v>137</v>
      </c>
      <c r="B17" s="39" t="s">
        <v>90</v>
      </c>
      <c r="C17" s="39">
        <v>200</v>
      </c>
      <c r="D17" s="39" t="s">
        <v>151</v>
      </c>
      <c r="E17" s="35">
        <f>'Pipeline assumptions'!$A$16+('Pipeline assumptions'!$A$17*Pipeline!C17)</f>
        <v>50000</v>
      </c>
      <c r="F17" s="42"/>
      <c r="G17" s="35" t="str">
        <f>IF(B17="Closed",'Pipeline assumptions'!$A$18*Pipeline!C17,"-")</f>
        <v>-</v>
      </c>
      <c r="H17" s="35">
        <f>IF($B17="Closed",$E17*(1-$F17),IF($B17="Contract",(('Pipeline assumptions'!$A$16+'Pipeline assumptions'!$A$17*Pipeline!$C17)*'Pipeline assumptions'!$D$8),IF($B17="Eval",(('Pipeline assumptions'!$A$16+'Pipeline assumptions'!$A$17*Pipeline!$C17)*'Pipeline assumptions'!$D$9),IF($B17="Proposal",(('Pipeline assumptions'!$A$16+'Pipeline assumptions'!$A$17*Pipeline!$C17)*'Pipeline assumptions'!$D$10),IF($B17="Require",(('Pipeline assumptions'!$A$16+'Pipeline assumptions'!$A$17*Pipeline!$C17)*'Pipeline assumptions'!$D$11),IF($B17="Response",(('Pipeline assumptions'!$A$16+'Pipeline assumptions'!$A$17*Pipeline!$C17)*'Pipeline assumptions'!$D$12),0))))))</f>
        <v>10000</v>
      </c>
      <c r="I17" s="35">
        <f>IF($B17="Closed",G17*3,IF($B17="Contract",((E17-H17)*'Pipeline assumptions'!$E$8),IF($B17="Eval",((E17-H17)*'Pipeline assumptions'!$E$9),IF($B17="Proposal",((E17-H17)*'Pipeline assumptions'!$E$10),IF($B17="Require",((E17-H17)*'Pipeline assumptions'!$E$11),IF($B17="Response",((E17-H17)*'Pipeline assumptions'!$E$12),0))))))</f>
        <v>16000</v>
      </c>
      <c r="J17" s="39" t="s">
        <v>146</v>
      </c>
      <c r="K17" t="s">
        <v>164</v>
      </c>
    </row>
    <row r="18" spans="1:11" x14ac:dyDescent="0.25">
      <c r="A18" s="39" t="s">
        <v>133</v>
      </c>
      <c r="B18" s="39" t="s">
        <v>110</v>
      </c>
      <c r="C18" s="39">
        <v>10000</v>
      </c>
      <c r="D18" s="39" t="s">
        <v>106</v>
      </c>
      <c r="E18" s="35">
        <f>'Pipeline assumptions'!$A$16+('Pipeline assumptions'!$A$17*Pipeline!C18)</f>
        <v>540000</v>
      </c>
      <c r="F18" s="42"/>
      <c r="G18" s="35" t="str">
        <f>IF(B18="Closed",'Pipeline assumptions'!$A$18*Pipeline!C18,"-")</f>
        <v>-</v>
      </c>
      <c r="H18" s="35">
        <f>IF($B18="Closed",$E18*(1-$F18),IF($B18="Contract",(('Pipeline assumptions'!$A$16+'Pipeline assumptions'!$A$17*Pipeline!$C18)*'Pipeline assumptions'!$D$8),IF($B18="Eval",(('Pipeline assumptions'!$A$16+'Pipeline assumptions'!$A$17*Pipeline!$C18)*'Pipeline assumptions'!$D$9),IF($B18="Proposal",(('Pipeline assumptions'!$A$16+'Pipeline assumptions'!$A$17*Pipeline!$C18)*'Pipeline assumptions'!$D$10),IF($B18="Require",(('Pipeline assumptions'!$A$16+'Pipeline assumptions'!$A$17*Pipeline!$C18)*'Pipeline assumptions'!$D$11),IF($B18="Response",(('Pipeline assumptions'!$A$16+'Pipeline assumptions'!$A$17*Pipeline!$C18)*'Pipeline assumptions'!$D$12),0))))))</f>
        <v>27000</v>
      </c>
      <c r="I18" s="35">
        <f>IF($B18="Closed",G18*3,IF($B18="Contract",((E18-H18)*'Pipeline assumptions'!$E$8),IF($B18="Eval",((E18-H18)*'Pipeline assumptions'!$E$9),IF($B18="Proposal",((E18-H18)*'Pipeline assumptions'!$E$10),IF($B18="Require",((E18-H18)*'Pipeline assumptions'!$E$11),IF($B18="Response",((E18-H18)*'Pipeline assumptions'!$E$12),0))))))</f>
        <v>128250</v>
      </c>
      <c r="J18" s="39" t="s">
        <v>147</v>
      </c>
      <c r="K18" t="s">
        <v>123</v>
      </c>
    </row>
    <row r="19" spans="1:11" x14ac:dyDescent="0.25">
      <c r="A19" s="39" t="s">
        <v>150</v>
      </c>
      <c r="B19" s="39" t="s">
        <v>110</v>
      </c>
      <c r="C19" s="39">
        <v>500</v>
      </c>
      <c r="D19" s="39" t="s">
        <v>178</v>
      </c>
      <c r="E19" s="35">
        <f>'Pipeline assumptions'!$A$16+('Pipeline assumptions'!$A$17*Pipeline!C19)</f>
        <v>65000</v>
      </c>
      <c r="F19" s="42"/>
      <c r="G19" s="35" t="str">
        <f>IF(B19="Closed",'Pipeline assumptions'!$A$18*Pipeline!C19,"-")</f>
        <v>-</v>
      </c>
      <c r="H19" s="35">
        <f>IF($B19="Closed",$E19*(1-$F19),IF($B19="Contract",(('Pipeline assumptions'!$A$16+'Pipeline assumptions'!$A$17*Pipeline!$C19)*'Pipeline assumptions'!$D$8),IF($B19="Eval",(('Pipeline assumptions'!$A$16+'Pipeline assumptions'!$A$17*Pipeline!$C19)*'Pipeline assumptions'!$D$9),IF($B19="Proposal",(('Pipeline assumptions'!$A$16+'Pipeline assumptions'!$A$17*Pipeline!$C19)*'Pipeline assumptions'!$D$10),IF($B19="Require",(('Pipeline assumptions'!$A$16+'Pipeline assumptions'!$A$17*Pipeline!$C19)*'Pipeline assumptions'!$D$11),IF($B19="Response",(('Pipeline assumptions'!$A$16+'Pipeline assumptions'!$A$17*Pipeline!$C19)*'Pipeline assumptions'!$D$12),0))))))</f>
        <v>3250</v>
      </c>
      <c r="I19" s="35">
        <f>IF($B19="Closed",G19*3,IF($B19="Contract",((E19-H19)*'Pipeline assumptions'!$E$8),IF($B19="Eval",((E19-H19)*'Pipeline assumptions'!$E$9),IF($B19="Proposal",((E19-H19)*'Pipeline assumptions'!$E$10),IF($B19="Require",((E19-H19)*'Pipeline assumptions'!$E$11),IF($B19="Response",((E19-H19)*'Pipeline assumptions'!$E$12),0))))))</f>
        <v>15437.5</v>
      </c>
      <c r="J19" s="39" t="s">
        <v>148</v>
      </c>
      <c r="K19" t="s">
        <v>132</v>
      </c>
    </row>
    <row r="20" spans="1:11" x14ac:dyDescent="0.25">
      <c r="A20" s="39" t="s">
        <v>141</v>
      </c>
      <c r="B20" s="39" t="s">
        <v>110</v>
      </c>
      <c r="C20" s="39">
        <v>400</v>
      </c>
      <c r="D20" s="39" t="s">
        <v>106</v>
      </c>
      <c r="E20" s="35">
        <f>'Pipeline assumptions'!$A$16+('Pipeline assumptions'!$A$17*Pipeline!C20)</f>
        <v>60000</v>
      </c>
      <c r="F20" s="42"/>
      <c r="G20" s="35" t="str">
        <f>IF(B20="Closed",'Pipeline assumptions'!$A$18*Pipeline!C20,"-")</f>
        <v>-</v>
      </c>
      <c r="H20" s="35">
        <f>IF($B20="Closed",$E20*(1-$F20),IF($B20="Contract",(('Pipeline assumptions'!$A$16+'Pipeline assumptions'!$A$17*Pipeline!$C20)*'Pipeline assumptions'!$D$8),IF($B20="Eval",(('Pipeline assumptions'!$A$16+'Pipeline assumptions'!$A$17*Pipeline!$C20)*'Pipeline assumptions'!$D$9),IF($B20="Proposal",(('Pipeline assumptions'!$A$16+'Pipeline assumptions'!$A$17*Pipeline!$C20)*'Pipeline assumptions'!$D$10),IF($B20="Require",(('Pipeline assumptions'!$A$16+'Pipeline assumptions'!$A$17*Pipeline!$C20)*'Pipeline assumptions'!$D$11),IF($B20="Response",(('Pipeline assumptions'!$A$16+'Pipeline assumptions'!$A$17*Pipeline!$C20)*'Pipeline assumptions'!$D$12),0))))))</f>
        <v>3000</v>
      </c>
      <c r="I20" s="35">
        <f>IF($B20="Closed",G20*3,IF($B20="Contract",((E20-H20)*'Pipeline assumptions'!$E$8),IF($B20="Eval",((E20-H20)*'Pipeline assumptions'!$E$9),IF($B20="Proposal",((E20-H20)*'Pipeline assumptions'!$E$10),IF($B20="Require",((E20-H20)*'Pipeline assumptions'!$E$11),IF($B20="Response",((E20-H20)*'Pipeline assumptions'!$E$12),0))))))</f>
        <v>14250</v>
      </c>
      <c r="J20" s="39" t="s">
        <v>153</v>
      </c>
      <c r="K20" t="s">
        <v>122</v>
      </c>
    </row>
    <row r="21" spans="1:11" x14ac:dyDescent="0.25">
      <c r="A21" s="39" t="s">
        <v>142</v>
      </c>
      <c r="B21" s="39" t="s">
        <v>85</v>
      </c>
      <c r="C21" s="39">
        <v>200</v>
      </c>
      <c r="D21" s="39" t="s">
        <v>106</v>
      </c>
      <c r="E21" s="35">
        <f>'Pipeline assumptions'!$A$16+('Pipeline assumptions'!$A$17*Pipeline!C21)</f>
        <v>50000</v>
      </c>
      <c r="F21" s="42"/>
      <c r="G21" s="35" t="str">
        <f>IF(B21="Closed",'Pipeline assumptions'!$A$18*Pipeline!C21,"-")</f>
        <v>-</v>
      </c>
      <c r="H21" s="35">
        <f>IF($B21="Closed",$E21*(1-$F21),IF($B21="Contract",(('Pipeline assumptions'!$A$16+'Pipeline assumptions'!$A$17*Pipeline!$C21)*'Pipeline assumptions'!$D$8),IF($B21="Eval",(('Pipeline assumptions'!$A$16+'Pipeline assumptions'!$A$17*Pipeline!$C21)*'Pipeline assumptions'!$D$9),IF($B21="Proposal",(('Pipeline assumptions'!$A$16+'Pipeline assumptions'!$A$17*Pipeline!$C21)*'Pipeline assumptions'!$D$10),IF($B21="Require",(('Pipeline assumptions'!$A$16+'Pipeline assumptions'!$A$17*Pipeline!$C21)*'Pipeline assumptions'!$D$11),IF($B21="Response",(('Pipeline assumptions'!$A$16+'Pipeline assumptions'!$A$17*Pipeline!$C21)*'Pipeline assumptions'!$D$12),0))))))</f>
        <v>1000</v>
      </c>
      <c r="I21" s="35">
        <f>IF($B21="Closed",G21*3,IF($B21="Contract",((E21-H21)*'Pipeline assumptions'!$E$8),IF($B21="Eval",((E21-H21)*'Pipeline assumptions'!$E$9),IF($B21="Proposal",((E21-H21)*'Pipeline assumptions'!$E$10),IF($B21="Require",((E21-H21)*'Pipeline assumptions'!$E$11),IF($B21="Response",((E21-H21)*'Pipeline assumptions'!$E$12),0))))))</f>
        <v>2450</v>
      </c>
      <c r="J21" s="39" t="s">
        <v>349</v>
      </c>
      <c r="K21" t="s">
        <v>350</v>
      </c>
    </row>
    <row r="22" spans="1:11" x14ac:dyDescent="0.25">
      <c r="A22" s="39" t="s">
        <v>143</v>
      </c>
      <c r="B22" s="39" t="s">
        <v>85</v>
      </c>
      <c r="C22" s="39">
        <v>300</v>
      </c>
      <c r="D22" s="39" t="s">
        <v>106</v>
      </c>
      <c r="E22" s="35">
        <f>'Pipeline assumptions'!$A$16+('Pipeline assumptions'!$A$17*Pipeline!C22)</f>
        <v>55000</v>
      </c>
      <c r="F22" s="42"/>
      <c r="G22" s="35" t="str">
        <f>IF(B22="Closed",'Pipeline assumptions'!$A$18*Pipeline!C22,"-")</f>
        <v>-</v>
      </c>
      <c r="H22" s="35">
        <f>IF($B22="Closed",$E22*(1-$F22),IF($B22="Contract",(('Pipeline assumptions'!$A$16+'Pipeline assumptions'!$A$17*Pipeline!$C22)*'Pipeline assumptions'!$D$8),IF($B22="Eval",(('Pipeline assumptions'!$A$16+'Pipeline assumptions'!$A$17*Pipeline!$C22)*'Pipeline assumptions'!$D$9),IF($B22="Proposal",(('Pipeline assumptions'!$A$16+'Pipeline assumptions'!$A$17*Pipeline!$C22)*'Pipeline assumptions'!$D$10),IF($B22="Require",(('Pipeline assumptions'!$A$16+'Pipeline assumptions'!$A$17*Pipeline!$C22)*'Pipeline assumptions'!$D$11),IF($B22="Response",(('Pipeline assumptions'!$A$16+'Pipeline assumptions'!$A$17*Pipeline!$C22)*'Pipeline assumptions'!$D$12),0))))))</f>
        <v>1100</v>
      </c>
      <c r="I22" s="35">
        <f>IF($B22="Closed",G22*3,IF($B22="Contract",((E22-H22)*'Pipeline assumptions'!$E$8),IF($B22="Eval",((E22-H22)*'Pipeline assumptions'!$E$9),IF($B22="Proposal",((E22-H22)*'Pipeline assumptions'!$E$10),IF($B22="Require",((E22-H22)*'Pipeline assumptions'!$E$11),IF($B22="Response",((E22-H22)*'Pipeline assumptions'!$E$12),0))))))</f>
        <v>2695</v>
      </c>
      <c r="J22" s="39" t="s">
        <v>154</v>
      </c>
      <c r="K22" t="s">
        <v>123</v>
      </c>
    </row>
    <row r="23" spans="1:11" x14ac:dyDescent="0.25">
      <c r="A23" s="39" t="s">
        <v>145</v>
      </c>
      <c r="B23" s="39" t="s">
        <v>85</v>
      </c>
      <c r="C23" s="39">
        <v>400</v>
      </c>
      <c r="D23" s="39" t="s">
        <v>144</v>
      </c>
      <c r="E23" s="35">
        <f>'Pipeline assumptions'!$A$16+('Pipeline assumptions'!$A$17*Pipeline!C23)</f>
        <v>60000</v>
      </c>
      <c r="F23" s="42"/>
      <c r="G23" s="35" t="str">
        <f>IF(B23="Closed",'Pipeline assumptions'!$A$18*Pipeline!C23,"-")</f>
        <v>-</v>
      </c>
      <c r="H23" s="35">
        <f>IF($B23="Closed",$E23*(1-$F23),IF($B23="Contract",(('Pipeline assumptions'!$A$16+'Pipeline assumptions'!$A$17*Pipeline!$C23)*'Pipeline assumptions'!$D$8),IF($B23="Eval",(('Pipeline assumptions'!$A$16+'Pipeline assumptions'!$A$17*Pipeline!$C23)*'Pipeline assumptions'!$D$9),IF($B23="Proposal",(('Pipeline assumptions'!$A$16+'Pipeline assumptions'!$A$17*Pipeline!$C23)*'Pipeline assumptions'!$D$10),IF($B23="Require",(('Pipeline assumptions'!$A$16+'Pipeline assumptions'!$A$17*Pipeline!$C23)*'Pipeline assumptions'!$D$11),IF($B23="Response",(('Pipeline assumptions'!$A$16+'Pipeline assumptions'!$A$17*Pipeline!$C23)*'Pipeline assumptions'!$D$12),0))))))</f>
        <v>1200</v>
      </c>
      <c r="I23" s="35">
        <f>IF($B23="Closed",G23*3,IF($B23="Contract",((E23-H23)*'Pipeline assumptions'!$E$8),IF($B23="Eval",((E23-H23)*'Pipeline assumptions'!$E$9),IF($B23="Proposal",((E23-H23)*'Pipeline assumptions'!$E$10),IF($B23="Require",((E23-H23)*'Pipeline assumptions'!$E$11),IF($B23="Response",((E23-H23)*'Pipeline assumptions'!$E$12),0))))))</f>
        <v>2940</v>
      </c>
      <c r="J23" s="39" t="s">
        <v>155</v>
      </c>
      <c r="K23" t="s">
        <v>132</v>
      </c>
    </row>
    <row r="24" spans="1:11" x14ac:dyDescent="0.25">
      <c r="A24" s="39" t="s">
        <v>149</v>
      </c>
      <c r="B24" s="39" t="s">
        <v>85</v>
      </c>
      <c r="C24" s="39">
        <v>350</v>
      </c>
      <c r="D24" s="39" t="s">
        <v>151</v>
      </c>
      <c r="E24" s="35">
        <f>'Pipeline assumptions'!$A$16+('Pipeline assumptions'!$A$17*Pipeline!C24)</f>
        <v>57500</v>
      </c>
      <c r="F24" s="42"/>
      <c r="G24" s="35" t="str">
        <f>IF(B24="Closed",'Pipeline assumptions'!$A$18*Pipeline!C24,"-")</f>
        <v>-</v>
      </c>
      <c r="H24" s="35">
        <f>IF($B24="Closed",$E24*(1-$F24),IF($B24="Contract",(('Pipeline assumptions'!$A$16+'Pipeline assumptions'!$A$17*Pipeline!$C24)*'Pipeline assumptions'!$D$8),IF($B24="Eval",(('Pipeline assumptions'!$A$16+'Pipeline assumptions'!$A$17*Pipeline!$C24)*'Pipeline assumptions'!$D$9),IF($B24="Proposal",(('Pipeline assumptions'!$A$16+'Pipeline assumptions'!$A$17*Pipeline!$C24)*'Pipeline assumptions'!$D$10),IF($B24="Require",(('Pipeline assumptions'!$A$16+'Pipeline assumptions'!$A$17*Pipeline!$C24)*'Pipeline assumptions'!$D$11),IF($B24="Response",(('Pipeline assumptions'!$A$16+'Pipeline assumptions'!$A$17*Pipeline!$C24)*'Pipeline assumptions'!$D$12),0))))))</f>
        <v>1150</v>
      </c>
      <c r="I24" s="35">
        <f>IF($B24="Closed",G24*3,IF($B24="Contract",((E24-H24)*'Pipeline assumptions'!$E$8),IF($B24="Eval",((E24-H24)*'Pipeline assumptions'!$E$9),IF($B24="Proposal",((E24-H24)*'Pipeline assumptions'!$E$10),IF($B24="Require",((E24-H24)*'Pipeline assumptions'!$E$11),IF($B24="Response",((E24-H24)*'Pipeline assumptions'!$E$12),0))))))</f>
        <v>2817.5</v>
      </c>
      <c r="J24" s="39" t="s">
        <v>156</v>
      </c>
      <c r="K24" t="s">
        <v>120</v>
      </c>
    </row>
    <row r="25" spans="1:11" x14ac:dyDescent="0.25">
      <c r="A25" s="39" t="s">
        <v>150</v>
      </c>
      <c r="B25" s="39" t="s">
        <v>85</v>
      </c>
      <c r="C25" s="39">
        <v>600</v>
      </c>
      <c r="D25" s="39" t="s">
        <v>144</v>
      </c>
      <c r="E25" s="35">
        <f>'Pipeline assumptions'!$A$16+('Pipeline assumptions'!$A$17*Pipeline!C25)</f>
        <v>70000</v>
      </c>
      <c r="F25" s="42"/>
      <c r="G25" s="35" t="str">
        <f>IF(B25="Closed",'Pipeline assumptions'!$A$18*Pipeline!C25,"-")</f>
        <v>-</v>
      </c>
      <c r="H25" s="35">
        <f>IF($B25="Closed",$E25*(1-$F25),IF($B25="Contract",(('Pipeline assumptions'!$A$16+'Pipeline assumptions'!$A$17*Pipeline!$C25)*'Pipeline assumptions'!$D$8),IF($B25="Eval",(('Pipeline assumptions'!$A$16+'Pipeline assumptions'!$A$17*Pipeline!$C25)*'Pipeline assumptions'!$D$9),IF($B25="Proposal",(('Pipeline assumptions'!$A$16+'Pipeline assumptions'!$A$17*Pipeline!$C25)*'Pipeline assumptions'!$D$10),IF($B25="Require",(('Pipeline assumptions'!$A$16+'Pipeline assumptions'!$A$17*Pipeline!$C25)*'Pipeline assumptions'!$D$11),IF($B25="Response",(('Pipeline assumptions'!$A$16+'Pipeline assumptions'!$A$17*Pipeline!$C25)*'Pipeline assumptions'!$D$12),0))))))</f>
        <v>1400</v>
      </c>
      <c r="I25" s="35">
        <f>IF($B25="Closed",G25*3,IF($B25="Contract",((E25-H25)*'Pipeline assumptions'!$E$8),IF($B25="Eval",((E25-H25)*'Pipeline assumptions'!$E$9),IF($B25="Proposal",((E25-H25)*'Pipeline assumptions'!$E$10),IF($B25="Require",((E25-H25)*'Pipeline assumptions'!$E$11),IF($B25="Response",((E25-H25)*'Pipeline assumptions'!$E$12),0))))))</f>
        <v>3430</v>
      </c>
      <c r="J25" s="39" t="s">
        <v>348</v>
      </c>
      <c r="K25" t="s">
        <v>350</v>
      </c>
    </row>
    <row r="26" spans="1:11" x14ac:dyDescent="0.25">
      <c r="A26" s="39" t="s">
        <v>121</v>
      </c>
      <c r="B26" s="39" t="s">
        <v>85</v>
      </c>
      <c r="C26" s="39">
        <v>500</v>
      </c>
      <c r="D26" s="39" t="s">
        <v>144</v>
      </c>
      <c r="E26" s="35">
        <f>'Pipeline assumptions'!$A$16+('Pipeline assumptions'!$A$17*Pipeline!C26)</f>
        <v>65000</v>
      </c>
      <c r="F26" s="42"/>
      <c r="G26" s="35" t="str">
        <f>IF(B26="Closed",'Pipeline assumptions'!$A$18*Pipeline!C26,"-")</f>
        <v>-</v>
      </c>
      <c r="H26" s="35">
        <f>IF($B26="Closed",$E26*(1-$F26),IF($B26="Contract",(('Pipeline assumptions'!$A$16+'Pipeline assumptions'!$A$17*Pipeline!$C26)*'Pipeline assumptions'!$D$8),IF($B26="Eval",(('Pipeline assumptions'!$A$16+'Pipeline assumptions'!$A$17*Pipeline!$C26)*'Pipeline assumptions'!$D$9),IF($B26="Proposal",(('Pipeline assumptions'!$A$16+'Pipeline assumptions'!$A$17*Pipeline!$C26)*'Pipeline assumptions'!$D$10),IF($B26="Require",(('Pipeline assumptions'!$A$16+'Pipeline assumptions'!$A$17*Pipeline!$C26)*'Pipeline assumptions'!$D$11),IF($B26="Response",(('Pipeline assumptions'!$A$16+'Pipeline assumptions'!$A$17*Pipeline!$C26)*'Pipeline assumptions'!$D$12),0))))))</f>
        <v>1300</v>
      </c>
      <c r="I26" s="35">
        <f>IF($B26="Closed",G26*3,IF($B26="Contract",((E26-H26)*'Pipeline assumptions'!$E$8),IF($B26="Eval",((E26-H26)*'Pipeline assumptions'!$E$9),IF($B26="Proposal",((E26-H26)*'Pipeline assumptions'!$E$10),IF($B26="Require",((E26-H26)*'Pipeline assumptions'!$E$11),IF($B26="Response",((E26-H26)*'Pipeline assumptions'!$E$12),0))))))</f>
        <v>3185</v>
      </c>
      <c r="J26" s="39" t="s">
        <v>157</v>
      </c>
      <c r="K26" t="s">
        <v>132</v>
      </c>
    </row>
    <row r="27" spans="1:11" x14ac:dyDescent="0.25">
      <c r="A27" s="39" t="s">
        <v>160</v>
      </c>
      <c r="B27" s="39" t="s">
        <v>85</v>
      </c>
      <c r="C27" s="39">
        <v>120</v>
      </c>
      <c r="D27" s="39" t="s">
        <v>144</v>
      </c>
      <c r="E27" s="35">
        <f>'Pipeline assumptions'!$A$16+('Pipeline assumptions'!$A$17*Pipeline!C27)</f>
        <v>46000</v>
      </c>
      <c r="F27" s="42"/>
      <c r="G27" s="35" t="str">
        <f>IF(B27="Closed",'Pipeline assumptions'!$A$18*Pipeline!C27,"-")</f>
        <v>-</v>
      </c>
      <c r="H27" s="35">
        <f>IF($B27="Closed",$E27*(1-$F27),IF($B27="Contract",(('Pipeline assumptions'!$A$16+'Pipeline assumptions'!$A$17*Pipeline!$C27)*'Pipeline assumptions'!$D$8),IF($B27="Eval",(('Pipeline assumptions'!$A$16+'Pipeline assumptions'!$A$17*Pipeline!$C27)*'Pipeline assumptions'!$D$9),IF($B27="Proposal",(('Pipeline assumptions'!$A$16+'Pipeline assumptions'!$A$17*Pipeline!$C27)*'Pipeline assumptions'!$D$10),IF($B27="Require",(('Pipeline assumptions'!$A$16+'Pipeline assumptions'!$A$17*Pipeline!$C27)*'Pipeline assumptions'!$D$11),IF($B27="Response",(('Pipeline assumptions'!$A$16+'Pipeline assumptions'!$A$17*Pipeline!$C27)*'Pipeline assumptions'!$D$12),0))))))</f>
        <v>920</v>
      </c>
      <c r="I27" s="35">
        <f>IF($B27="Closed",G27*3,IF($B27="Contract",((E27-H27)*'Pipeline assumptions'!$E$8),IF($B27="Eval",((E27-H27)*'Pipeline assumptions'!$E$9),IF($B27="Proposal",((E27-H27)*'Pipeline assumptions'!$E$10),IF($B27="Require",((E27-H27)*'Pipeline assumptions'!$E$11),IF($B27="Response",((E27-H27)*'Pipeline assumptions'!$E$12),0))))))</f>
        <v>2254</v>
      </c>
      <c r="J27" s="39" t="s">
        <v>161</v>
      </c>
      <c r="K27" t="s">
        <v>126</v>
      </c>
    </row>
    <row r="28" spans="1:11" x14ac:dyDescent="0.25">
      <c r="A28" s="39" t="s">
        <v>114</v>
      </c>
      <c r="B28" s="39" t="s">
        <v>85</v>
      </c>
      <c r="C28" s="39">
        <v>200</v>
      </c>
      <c r="D28" s="39" t="s">
        <v>151</v>
      </c>
      <c r="E28" s="35">
        <f>'Pipeline assumptions'!$A$16+('Pipeline assumptions'!$A$17*Pipeline!C28)</f>
        <v>50000</v>
      </c>
      <c r="F28" s="42"/>
      <c r="G28" s="35" t="str">
        <f>IF(B28="Closed",'Pipeline assumptions'!$A$18*Pipeline!C28,"-")</f>
        <v>-</v>
      </c>
      <c r="H28" s="35">
        <f>IF($B28="Closed",$E28*(1-$F28),IF($B28="Contract",(('Pipeline assumptions'!$A$16+'Pipeline assumptions'!$A$17*Pipeline!$C28)*'Pipeline assumptions'!$D$8),IF($B28="Eval",(('Pipeline assumptions'!$A$16+'Pipeline assumptions'!$A$17*Pipeline!$C28)*'Pipeline assumptions'!$D$9),IF($B28="Proposal",(('Pipeline assumptions'!$A$16+'Pipeline assumptions'!$A$17*Pipeline!$C28)*'Pipeline assumptions'!$D$10),IF($B28="Require",(('Pipeline assumptions'!$A$16+'Pipeline assumptions'!$A$17*Pipeline!$C28)*'Pipeline assumptions'!$D$11),IF($B28="Response",(('Pipeline assumptions'!$A$16+'Pipeline assumptions'!$A$17*Pipeline!$C28)*'Pipeline assumptions'!$D$12),0))))))</f>
        <v>1000</v>
      </c>
      <c r="I28" s="35">
        <f>IF($B28="Closed",G28*3,IF($B28="Contract",((E28-H28)*'Pipeline assumptions'!$E$8),IF($B28="Eval",((E28-H28)*'Pipeline assumptions'!$E$9),IF($B28="Proposal",((E28-H28)*'Pipeline assumptions'!$E$10),IF($B28="Require",((E28-H28)*'Pipeline assumptions'!$E$11),IF($B28="Response",((E28-H28)*'Pipeline assumptions'!$E$12),0))))))</f>
        <v>2450</v>
      </c>
      <c r="J28" s="39" t="s">
        <v>162</v>
      </c>
      <c r="K28" t="s">
        <v>123</v>
      </c>
    </row>
    <row r="29" spans="1:11" x14ac:dyDescent="0.25">
      <c r="A29" s="39" t="s">
        <v>163</v>
      </c>
      <c r="B29" s="39" t="s">
        <v>85</v>
      </c>
      <c r="C29" s="39">
        <v>200</v>
      </c>
      <c r="D29" s="39" t="s">
        <v>144</v>
      </c>
      <c r="E29" s="35">
        <f>'Pipeline assumptions'!$A$16+('Pipeline assumptions'!$A$17*Pipeline!C29)</f>
        <v>50000</v>
      </c>
      <c r="F29" s="42"/>
      <c r="G29" s="35" t="str">
        <f>IF(B29="Closed",'Pipeline assumptions'!$A$18*Pipeline!C29,"-")</f>
        <v>-</v>
      </c>
      <c r="H29" s="35">
        <f>IF($B29="Closed",$E29*(1-$F29),IF($B29="Contract",(('Pipeline assumptions'!$A$16+'Pipeline assumptions'!$A$17*Pipeline!$C29)*'Pipeline assumptions'!$D$8),IF($B29="Eval",(('Pipeline assumptions'!$A$16+'Pipeline assumptions'!$A$17*Pipeline!$C29)*'Pipeline assumptions'!$D$9),IF($B29="Proposal",(('Pipeline assumptions'!$A$16+'Pipeline assumptions'!$A$17*Pipeline!$C29)*'Pipeline assumptions'!$D$10),IF($B29="Require",(('Pipeline assumptions'!$A$16+'Pipeline assumptions'!$A$17*Pipeline!$C29)*'Pipeline assumptions'!$D$11),IF($B29="Response",(('Pipeline assumptions'!$A$16+'Pipeline assumptions'!$A$17*Pipeline!$C29)*'Pipeline assumptions'!$D$12),0))))))</f>
        <v>1000</v>
      </c>
      <c r="I29" s="35">
        <f>IF($B29="Closed",G29*3,IF($B29="Contract",((E29-H29)*'Pipeline assumptions'!$E$8),IF($B29="Eval",((E29-H29)*'Pipeline assumptions'!$E$9),IF($B29="Proposal",((E29-H29)*'Pipeline assumptions'!$E$10),IF($B29="Require",((E29-H29)*'Pipeline assumptions'!$E$11),IF($B29="Response",((E29-H29)*'Pipeline assumptions'!$E$12),0))))))</f>
        <v>2450</v>
      </c>
      <c r="J29" s="39" t="s">
        <v>165</v>
      </c>
      <c r="K29" t="s">
        <v>164</v>
      </c>
    </row>
    <row r="30" spans="1:11" x14ac:dyDescent="0.25">
      <c r="A30" s="39" t="s">
        <v>168</v>
      </c>
      <c r="B30" s="39" t="s">
        <v>85</v>
      </c>
      <c r="C30" s="39">
        <v>125</v>
      </c>
      <c r="D30" s="39" t="s">
        <v>144</v>
      </c>
      <c r="E30" s="35">
        <f>'Pipeline assumptions'!$A$16+('Pipeline assumptions'!$A$17*Pipeline!C30)</f>
        <v>46250</v>
      </c>
      <c r="F30" s="42"/>
      <c r="G30" s="35" t="str">
        <f>IF(B30="Closed",'Pipeline assumptions'!$A$18*Pipeline!C30,"-")</f>
        <v>-</v>
      </c>
      <c r="H30" s="35">
        <f>IF($B30="Closed",$E30*(1-$F30),IF($B30="Contract",(('Pipeline assumptions'!$A$16+'Pipeline assumptions'!$A$17*Pipeline!$C30)*'Pipeline assumptions'!$D$8),IF($B30="Eval",(('Pipeline assumptions'!$A$16+'Pipeline assumptions'!$A$17*Pipeline!$C30)*'Pipeline assumptions'!$D$9),IF($B30="Proposal",(('Pipeline assumptions'!$A$16+'Pipeline assumptions'!$A$17*Pipeline!$C30)*'Pipeline assumptions'!$D$10),IF($B30="Require",(('Pipeline assumptions'!$A$16+'Pipeline assumptions'!$A$17*Pipeline!$C30)*'Pipeline assumptions'!$D$11),IF($B30="Response",(('Pipeline assumptions'!$A$16+'Pipeline assumptions'!$A$17*Pipeline!$C30)*'Pipeline assumptions'!$D$12),0))))))</f>
        <v>925</v>
      </c>
      <c r="I30" s="35">
        <f>IF($B30="Closed",G30*3,IF($B30="Contract",((E30-H30)*'Pipeline assumptions'!$E$8),IF($B30="Eval",((E30-H30)*'Pipeline assumptions'!$E$9),IF($B30="Proposal",((E30-H30)*'Pipeline assumptions'!$E$10),IF($B30="Require",((E30-H30)*'Pipeline assumptions'!$E$11),IF($B30="Response",((E30-H30)*'Pipeline assumptions'!$E$12),0))))))</f>
        <v>2266.25</v>
      </c>
      <c r="J30" s="39" t="s">
        <v>170</v>
      </c>
      <c r="K30" t="s">
        <v>169</v>
      </c>
    </row>
    <row r="31" spans="1:11" x14ac:dyDescent="0.25">
      <c r="A31" s="39" t="s">
        <v>152</v>
      </c>
      <c r="B31" s="39" t="s">
        <v>85</v>
      </c>
      <c r="C31" s="39">
        <v>200</v>
      </c>
      <c r="D31" s="39" t="s">
        <v>144</v>
      </c>
      <c r="E31" s="35">
        <f>'Pipeline assumptions'!$A$16+('Pipeline assumptions'!$A$17*Pipeline!C31)</f>
        <v>50000</v>
      </c>
      <c r="F31" s="42"/>
      <c r="G31" s="35" t="str">
        <f>IF(B31="Closed",'Pipeline assumptions'!$A$18*Pipeline!C31,"-")</f>
        <v>-</v>
      </c>
      <c r="H31" s="35">
        <f>IF($B31="Closed",$E31*(1-$F31),IF($B31="Contract",(('Pipeline assumptions'!$A$16+'Pipeline assumptions'!$A$17*Pipeline!$C31)*'Pipeline assumptions'!$D$8),IF($B31="Eval",(('Pipeline assumptions'!$A$16+'Pipeline assumptions'!$A$17*Pipeline!$C31)*'Pipeline assumptions'!$D$9),IF($B31="Proposal",(('Pipeline assumptions'!$A$16+'Pipeline assumptions'!$A$17*Pipeline!$C31)*'Pipeline assumptions'!$D$10),IF($B31="Require",(('Pipeline assumptions'!$A$16+'Pipeline assumptions'!$A$17*Pipeline!$C31)*'Pipeline assumptions'!$D$11),IF($B31="Response",(('Pipeline assumptions'!$A$16+'Pipeline assumptions'!$A$17*Pipeline!$C31)*'Pipeline assumptions'!$D$12),0))))))</f>
        <v>1000</v>
      </c>
      <c r="I31" s="35">
        <f>IF($B31="Closed",G31*3,IF($B31="Contract",((E31-H31)*'Pipeline assumptions'!$E$8),IF($B31="Eval",((E31-H31)*'Pipeline assumptions'!$E$9),IF($B31="Proposal",((E31-H31)*'Pipeline assumptions'!$E$10),IF($B31="Require",((E31-H31)*'Pipeline assumptions'!$E$11),IF($B31="Response",((E31-H31)*'Pipeline assumptions'!$E$12),0))))))</f>
        <v>2450</v>
      </c>
      <c r="J31" s="39" t="s">
        <v>158</v>
      </c>
      <c r="K31" t="s">
        <v>126</v>
      </c>
    </row>
    <row r="32" spans="1:11" x14ac:dyDescent="0.25">
      <c r="A32" s="39"/>
      <c r="B32" s="39"/>
      <c r="D32" s="39"/>
      <c r="E32" s="39"/>
      <c r="F32" s="42"/>
      <c r="G32" s="39"/>
      <c r="H32" s="35"/>
      <c r="I32" s="39"/>
      <c r="J32" s="39"/>
    </row>
    <row r="33" spans="1:10" x14ac:dyDescent="0.25">
      <c r="A33" s="39"/>
      <c r="B33" s="39"/>
      <c r="D33" s="39"/>
      <c r="E33" s="39"/>
      <c r="F33" s="42"/>
      <c r="G33" s="39"/>
      <c r="H33" s="61" t="s">
        <v>35</v>
      </c>
      <c r="I33" s="62" t="s">
        <v>35</v>
      </c>
      <c r="J33" s="39"/>
    </row>
    <row r="34" spans="1:10" x14ac:dyDescent="0.25">
      <c r="A34" s="39"/>
      <c r="B34" s="39"/>
      <c r="D34" s="39"/>
      <c r="E34" s="39"/>
      <c r="F34" s="42"/>
      <c r="G34" s="39"/>
      <c r="H34" s="35">
        <f>SUM(H7:H31)</f>
        <v>330745</v>
      </c>
      <c r="I34" s="35">
        <f>SUM(I7:I31)</f>
        <v>373375.25</v>
      </c>
      <c r="J34" s="39"/>
    </row>
    <row r="35" spans="1:10" x14ac:dyDescent="0.25">
      <c r="A35" s="39"/>
      <c r="B35" s="39"/>
      <c r="D35" s="39"/>
      <c r="E35" s="39"/>
      <c r="F35" s="42"/>
      <c r="G35" s="39"/>
      <c r="H35" s="35"/>
      <c r="I35" s="39"/>
      <c r="J35" s="39"/>
    </row>
    <row r="36" spans="1:10" x14ac:dyDescent="0.25">
      <c r="A36" s="39"/>
      <c r="B36" s="39"/>
      <c r="D36" s="39"/>
      <c r="E36" s="39"/>
      <c r="F36" s="42"/>
      <c r="G36" s="39"/>
      <c r="H36" s="35"/>
      <c r="I36" s="39"/>
      <c r="J36" s="39"/>
    </row>
    <row r="37" spans="1:10" x14ac:dyDescent="0.25">
      <c r="A37" s="39"/>
      <c r="B37" s="39"/>
      <c r="D37" s="39"/>
      <c r="E37" s="39"/>
      <c r="F37" s="42"/>
      <c r="G37" s="39"/>
      <c r="H37" s="35"/>
      <c r="I37" s="39"/>
      <c r="J37" s="39"/>
    </row>
    <row r="38" spans="1:10" x14ac:dyDescent="0.25">
      <c r="A38" s="39"/>
      <c r="B38" s="39"/>
      <c r="D38" s="39"/>
      <c r="E38" s="39"/>
      <c r="F38" s="42"/>
      <c r="G38" s="39"/>
      <c r="H38" s="35"/>
      <c r="I38" s="39"/>
      <c r="J38" s="39"/>
    </row>
    <row r="39" spans="1:10" x14ac:dyDescent="0.25">
      <c r="A39" s="39"/>
      <c r="B39" s="39"/>
      <c r="D39" s="39"/>
      <c r="E39" s="39"/>
      <c r="F39" s="42"/>
      <c r="G39" s="39"/>
      <c r="H39" s="35"/>
      <c r="I39" s="39"/>
      <c r="J39" s="39"/>
    </row>
    <row r="40" spans="1:10" x14ac:dyDescent="0.25">
      <c r="A40" s="39"/>
      <c r="B40" s="39"/>
      <c r="D40" s="39"/>
      <c r="E40" s="39"/>
      <c r="F40" s="42"/>
      <c r="G40" s="39"/>
      <c r="H40" s="35"/>
      <c r="I40" s="39"/>
      <c r="J40" s="39"/>
    </row>
    <row r="41" spans="1:10" x14ac:dyDescent="0.25">
      <c r="A41" s="39"/>
      <c r="B41" s="39"/>
      <c r="D41" s="39"/>
      <c r="E41" s="39"/>
      <c r="F41" s="42"/>
      <c r="G41" s="39"/>
      <c r="H41" s="35"/>
      <c r="I41" s="39"/>
      <c r="J41" s="39"/>
    </row>
    <row r="42" spans="1:10" x14ac:dyDescent="0.25">
      <c r="A42" s="39"/>
      <c r="B42" s="39"/>
      <c r="D42" s="39"/>
      <c r="E42" s="39"/>
      <c r="F42" s="42"/>
      <c r="G42" s="39"/>
      <c r="H42" s="35"/>
      <c r="I42" s="39"/>
      <c r="J42" s="39"/>
    </row>
    <row r="43" spans="1:10" x14ac:dyDescent="0.25">
      <c r="A43" s="39"/>
      <c r="B43" s="39"/>
      <c r="D43" s="39"/>
      <c r="E43" s="39"/>
      <c r="F43" s="42"/>
      <c r="G43" s="39"/>
      <c r="H43" s="35"/>
      <c r="I43" s="39"/>
      <c r="J43" s="39"/>
    </row>
    <row r="44" spans="1:10" x14ac:dyDescent="0.25">
      <c r="A44" s="39"/>
      <c r="B44" s="39"/>
      <c r="D44" s="39"/>
      <c r="E44" s="39"/>
      <c r="F44" s="42"/>
      <c r="G44" s="39"/>
      <c r="H44" s="35"/>
      <c r="I44" s="39"/>
      <c r="J44" s="39"/>
    </row>
    <row r="45" spans="1:10" x14ac:dyDescent="0.25">
      <c r="A45" s="39"/>
      <c r="B45" s="39"/>
      <c r="D45" s="39"/>
      <c r="E45" s="39"/>
      <c r="F45" s="42"/>
      <c r="G45" s="39"/>
      <c r="H45" s="35"/>
      <c r="I45" s="39"/>
      <c r="J45" s="39"/>
    </row>
    <row r="46" spans="1:10" x14ac:dyDescent="0.25">
      <c r="A46" s="39"/>
      <c r="B46" s="39"/>
      <c r="D46" s="39"/>
      <c r="E46" s="39"/>
      <c r="F46" s="42"/>
      <c r="G46" s="39"/>
      <c r="H46" s="35"/>
      <c r="I46" s="39"/>
      <c r="J46" s="39"/>
    </row>
    <row r="47" spans="1:10" x14ac:dyDescent="0.25">
      <c r="A47" s="39"/>
      <c r="B47" s="39"/>
      <c r="D47" s="39"/>
      <c r="E47" s="39"/>
      <c r="F47" s="42"/>
      <c r="G47" s="39"/>
      <c r="H47" s="35"/>
      <c r="I47" s="39"/>
      <c r="J47" s="39"/>
    </row>
    <row r="48" spans="1:10" x14ac:dyDescent="0.25">
      <c r="A48" s="39"/>
      <c r="B48" s="39"/>
      <c r="D48" s="39"/>
      <c r="E48" s="39"/>
      <c r="F48" s="42"/>
      <c r="G48" s="39"/>
      <c r="H48" s="35"/>
      <c r="I48" s="39"/>
      <c r="J48" s="39"/>
    </row>
    <row r="49" spans="1:10" x14ac:dyDescent="0.25">
      <c r="A49" s="39"/>
      <c r="B49" s="39"/>
      <c r="D49" s="39"/>
      <c r="E49" s="39"/>
      <c r="F49" s="42"/>
      <c r="G49" s="39"/>
      <c r="H49" s="35"/>
      <c r="I49" s="39"/>
      <c r="J49" s="39"/>
    </row>
    <row r="50" spans="1:10" x14ac:dyDescent="0.25">
      <c r="F50" s="38"/>
    </row>
    <row r="51" spans="1:10" x14ac:dyDescent="0.25">
      <c r="F51" s="38"/>
    </row>
    <row r="52" spans="1:10" x14ac:dyDescent="0.25">
      <c r="F52" s="38"/>
    </row>
    <row r="53" spans="1:10" x14ac:dyDescent="0.25">
      <c r="F53" s="38"/>
    </row>
    <row r="54" spans="1:10" x14ac:dyDescent="0.25">
      <c r="F54" s="38"/>
    </row>
    <row r="55" spans="1:10" x14ac:dyDescent="0.25">
      <c r="F55" s="38"/>
    </row>
    <row r="56" spans="1:10" x14ac:dyDescent="0.25">
      <c r="F56" s="38"/>
    </row>
    <row r="57" spans="1:10" x14ac:dyDescent="0.25">
      <c r="F57" s="38"/>
    </row>
    <row r="58" spans="1:10" x14ac:dyDescent="0.25">
      <c r="F58" s="38"/>
    </row>
  </sheetData>
  <phoneticPr fontId="0" type="noConversion"/>
  <pageMargins left="0.25" right="0.25" top="1" bottom="1" header="0.5" footer="0.5"/>
  <pageSetup scale="75" orientation="landscape" r:id="rId1"/>
  <headerFooter alignWithMargins="0"/>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5"/>
  <sheetViews>
    <sheetView topLeftCell="A6" zoomScale="75" workbookViewId="0">
      <selection activeCell="B29" sqref="B29"/>
    </sheetView>
  </sheetViews>
  <sheetFormatPr defaultRowHeight="13.2" x14ac:dyDescent="0.25"/>
  <cols>
    <col min="1" max="1" width="22.44140625" customWidth="1"/>
    <col min="2" max="2" width="9" customWidth="1"/>
    <col min="3" max="3" width="7.5546875" style="39" customWidth="1"/>
    <col min="4" max="4" width="13.88671875" customWidth="1"/>
    <col min="5" max="5" width="16" customWidth="1"/>
    <col min="6" max="6" width="11.6640625" customWidth="1"/>
    <col min="7" max="7" width="15.109375" customWidth="1"/>
    <col min="8" max="8" width="13.109375" style="1" customWidth="1"/>
    <col min="9" max="9" width="15.109375" customWidth="1"/>
    <col min="10" max="10" width="19.5546875" customWidth="1"/>
    <col min="11" max="11" width="17.88671875" customWidth="1"/>
    <col min="12" max="12" width="4.109375" customWidth="1"/>
    <col min="13" max="13" width="15.44140625" customWidth="1"/>
    <col min="14" max="14" width="14.6640625" customWidth="1"/>
  </cols>
  <sheetData>
    <row r="1" spans="1:14" ht="21" customHeight="1" x14ac:dyDescent="0.25">
      <c r="A1" s="63" t="s">
        <v>171</v>
      </c>
    </row>
    <row r="2" spans="1:14" ht="13.8" x14ac:dyDescent="0.25">
      <c r="A2" s="161" t="s">
        <v>432</v>
      </c>
    </row>
    <row r="4" spans="1:14" s="37" customFormat="1" ht="34.200000000000003" x14ac:dyDescent="0.25">
      <c r="A4" s="40" t="s">
        <v>204</v>
      </c>
      <c r="B4" s="40" t="s">
        <v>82</v>
      </c>
      <c r="C4" s="41" t="s">
        <v>174</v>
      </c>
      <c r="D4" s="40" t="s">
        <v>104</v>
      </c>
      <c r="E4" s="40" t="s">
        <v>100</v>
      </c>
      <c r="F4" s="40" t="s">
        <v>125</v>
      </c>
      <c r="G4" s="40" t="s">
        <v>101</v>
      </c>
      <c r="H4" s="60" t="s">
        <v>179</v>
      </c>
      <c r="I4" s="40" t="s">
        <v>377</v>
      </c>
      <c r="J4" s="40" t="s">
        <v>105</v>
      </c>
      <c r="K4" s="40" t="s">
        <v>109</v>
      </c>
      <c r="L4" s="40"/>
      <c r="M4" s="37" t="s">
        <v>178</v>
      </c>
      <c r="N4" s="37" t="s">
        <v>151</v>
      </c>
    </row>
    <row r="5" spans="1:14" s="37" customFormat="1" x14ac:dyDescent="0.25">
      <c r="A5" s="40"/>
      <c r="B5" s="40"/>
      <c r="C5" s="41"/>
      <c r="D5" s="40"/>
      <c r="E5" s="40"/>
      <c r="F5" s="40"/>
      <c r="G5" s="40"/>
      <c r="H5" s="60"/>
      <c r="I5" s="40"/>
      <c r="J5" s="40"/>
      <c r="K5" s="40"/>
      <c r="L5" s="40"/>
    </row>
    <row r="6" spans="1:14" s="37" customFormat="1" x14ac:dyDescent="0.25">
      <c r="A6" s="159">
        <v>2002</v>
      </c>
      <c r="B6" s="40"/>
      <c r="C6" s="41"/>
      <c r="D6" s="40"/>
      <c r="E6" s="40"/>
      <c r="F6" s="40"/>
      <c r="G6" s="40"/>
      <c r="H6" s="60"/>
      <c r="I6" s="40"/>
      <c r="J6" s="40"/>
      <c r="K6" s="40"/>
      <c r="L6" s="40"/>
    </row>
    <row r="7" spans="1:14" s="37" customFormat="1" x14ac:dyDescent="0.25">
      <c r="A7" s="40" t="s">
        <v>172</v>
      </c>
      <c r="B7" s="40"/>
      <c r="C7" s="41"/>
      <c r="D7" s="40"/>
      <c r="E7" s="40"/>
      <c r="F7" s="40"/>
      <c r="G7" s="40"/>
      <c r="H7" s="60"/>
      <c r="I7" s="40"/>
      <c r="J7" s="40"/>
      <c r="K7" s="40"/>
      <c r="L7" s="40"/>
    </row>
    <row r="8" spans="1:14" s="37" customFormat="1" x14ac:dyDescent="0.25">
      <c r="A8" s="64" t="s">
        <v>175</v>
      </c>
      <c r="B8" s="64" t="s">
        <v>83</v>
      </c>
      <c r="C8" s="65">
        <v>120</v>
      </c>
      <c r="D8" s="64" t="s">
        <v>106</v>
      </c>
      <c r="E8" s="35">
        <f>'Pipeline assumptions'!$A$16+('Pipeline assumptions'!$A$17*C8)</f>
        <v>46000</v>
      </c>
      <c r="F8" s="42">
        <v>0.1</v>
      </c>
      <c r="G8" s="66">
        <f>C8*'Pipeline assumptions'!$A$18</f>
        <v>1200</v>
      </c>
      <c r="H8" s="66">
        <f>E8*(1-F8)</f>
        <v>41400</v>
      </c>
      <c r="I8" s="66">
        <f>3*G8</f>
        <v>3600</v>
      </c>
      <c r="J8" s="64" t="s">
        <v>176</v>
      </c>
      <c r="K8" s="64" t="s">
        <v>117</v>
      </c>
      <c r="L8" s="64"/>
      <c r="M8" s="37" t="str">
        <f>IF($D8="Sales Assoc1",$E8,"-")</f>
        <v>-</v>
      </c>
      <c r="N8" s="37" t="str">
        <f>IF($D8="Sales Assoc2",$E8,"-")</f>
        <v>-</v>
      </c>
    </row>
    <row r="9" spans="1:14" s="37" customFormat="1" x14ac:dyDescent="0.25">
      <c r="A9" s="64" t="s">
        <v>177</v>
      </c>
      <c r="B9" s="64" t="s">
        <v>83</v>
      </c>
      <c r="C9" s="65">
        <v>20</v>
      </c>
      <c r="D9" s="64" t="s">
        <v>178</v>
      </c>
      <c r="E9" s="35">
        <f>'Pipeline assumptions'!$A$16+('Pipeline assumptions'!$A$17*C9)</f>
        <v>41000</v>
      </c>
      <c r="F9" s="42">
        <v>0.35</v>
      </c>
      <c r="G9" s="66">
        <f>C9*'Pipeline assumptions'!$A$18</f>
        <v>200</v>
      </c>
      <c r="H9" s="66">
        <f>E9*(1-F9)</f>
        <v>26650</v>
      </c>
      <c r="I9" s="66">
        <f>3*G9</f>
        <v>600</v>
      </c>
      <c r="J9" s="64" t="s">
        <v>180</v>
      </c>
      <c r="K9" s="64" t="s">
        <v>117</v>
      </c>
      <c r="L9" s="64"/>
      <c r="M9" s="37">
        <f t="shared" ref="M9:M20" si="0">IF(D9="Sales Assoc1",E9,"-")</f>
        <v>41000</v>
      </c>
      <c r="N9" s="37" t="str">
        <f t="shared" ref="N9:N29" si="1">IF($D9="Sales Assoc2",$E9,"-")</f>
        <v>-</v>
      </c>
    </row>
    <row r="10" spans="1:14" s="37" customFormat="1" x14ac:dyDescent="0.25">
      <c r="A10" s="40" t="s">
        <v>355</v>
      </c>
      <c r="B10" s="64"/>
      <c r="C10" s="65"/>
      <c r="D10" s="64"/>
      <c r="E10" s="35"/>
      <c r="F10" s="42"/>
      <c r="G10" s="66"/>
      <c r="H10" s="92">
        <f>SUM(H8:H9)</f>
        <v>68050</v>
      </c>
      <c r="I10" s="66"/>
      <c r="J10" s="64"/>
      <c r="K10" s="64"/>
      <c r="L10" s="64"/>
      <c r="M10" s="92">
        <f>SUM(M8:M9)</f>
        <v>41000</v>
      </c>
    </row>
    <row r="11" spans="1:14" s="37" customFormat="1" x14ac:dyDescent="0.25">
      <c r="A11" s="64"/>
      <c r="B11" s="64"/>
      <c r="C11" s="65"/>
      <c r="D11" s="64"/>
      <c r="E11" s="35"/>
      <c r="F11" s="42"/>
      <c r="G11" s="66"/>
      <c r="H11" s="66"/>
      <c r="I11" s="66"/>
      <c r="J11" s="64"/>
      <c r="K11" s="64"/>
      <c r="L11" s="64"/>
    </row>
    <row r="12" spans="1:14" s="37" customFormat="1" x14ac:dyDescent="0.25">
      <c r="A12" s="40" t="s">
        <v>181</v>
      </c>
      <c r="B12" s="64"/>
      <c r="C12" s="65"/>
      <c r="D12" s="64"/>
      <c r="E12" s="35"/>
      <c r="F12" s="42"/>
      <c r="G12" s="66"/>
      <c r="H12" s="66"/>
      <c r="I12" s="66"/>
      <c r="J12" s="64"/>
      <c r="K12" s="64"/>
      <c r="L12" s="64"/>
      <c r="M12" s="37" t="str">
        <f t="shared" si="0"/>
        <v>-</v>
      </c>
    </row>
    <row r="13" spans="1:14" s="37" customFormat="1" x14ac:dyDescent="0.25">
      <c r="A13" s="64" t="s">
        <v>173</v>
      </c>
      <c r="B13" s="64" t="s">
        <v>83</v>
      </c>
      <c r="C13" s="65">
        <v>350</v>
      </c>
      <c r="D13" s="64" t="s">
        <v>106</v>
      </c>
      <c r="E13" s="67">
        <f>'Pipeline assumptions'!$A$16+('Pipeline assumptions'!$A$17*C13)</f>
        <v>57500</v>
      </c>
      <c r="F13" s="68">
        <v>0.2</v>
      </c>
      <c r="G13" s="66">
        <f>C13*'Pipeline assumptions'!$A$18</f>
        <v>3500</v>
      </c>
      <c r="H13" s="66">
        <f>E13*(1-F13)</f>
        <v>46000</v>
      </c>
      <c r="I13" s="66">
        <f>3*G13</f>
        <v>10500</v>
      </c>
      <c r="J13" s="64" t="s">
        <v>182</v>
      </c>
      <c r="K13" s="64" t="s">
        <v>104</v>
      </c>
      <c r="L13" s="64"/>
      <c r="M13" s="37" t="str">
        <f t="shared" si="0"/>
        <v>-</v>
      </c>
      <c r="N13" s="37" t="str">
        <f t="shared" si="1"/>
        <v>-</v>
      </c>
    </row>
    <row r="14" spans="1:14" s="37" customFormat="1" x14ac:dyDescent="0.25">
      <c r="A14" s="64" t="s">
        <v>183</v>
      </c>
      <c r="B14" s="64" t="s">
        <v>83</v>
      </c>
      <c r="C14" s="65">
        <v>75</v>
      </c>
      <c r="D14" s="64" t="s">
        <v>151</v>
      </c>
      <c r="E14" s="67">
        <f>'Pipeline assumptions'!$A$16+('Pipeline assumptions'!$A$17*C14)</f>
        <v>43750</v>
      </c>
      <c r="F14" s="68">
        <v>0.1</v>
      </c>
      <c r="G14" s="66">
        <f>C14*'Pipeline assumptions'!$A$18</f>
        <v>750</v>
      </c>
      <c r="H14" s="66">
        <f>E14*(1-F14)</f>
        <v>39375</v>
      </c>
      <c r="I14" s="66">
        <f>3*G14</f>
        <v>2250</v>
      </c>
      <c r="J14" s="64" t="s">
        <v>184</v>
      </c>
      <c r="K14" s="64" t="s">
        <v>104</v>
      </c>
      <c r="L14" s="64"/>
      <c r="M14" s="37" t="str">
        <f t="shared" si="0"/>
        <v>-</v>
      </c>
      <c r="N14" s="37">
        <f t="shared" si="1"/>
        <v>43750</v>
      </c>
    </row>
    <row r="15" spans="1:14" s="37" customFormat="1" x14ac:dyDescent="0.25">
      <c r="A15" s="64" t="s">
        <v>185</v>
      </c>
      <c r="B15" s="64" t="s">
        <v>83</v>
      </c>
      <c r="C15" s="65">
        <v>350</v>
      </c>
      <c r="D15" s="64" t="s">
        <v>178</v>
      </c>
      <c r="E15" s="67">
        <f>'Pipeline assumptions'!$A$16+('Pipeline assumptions'!$A$17*C15)</f>
        <v>57500</v>
      </c>
      <c r="F15" s="68">
        <v>0.1</v>
      </c>
      <c r="G15" s="66">
        <f>C15*'Pipeline assumptions'!$A$18</f>
        <v>3500</v>
      </c>
      <c r="H15" s="66">
        <f>E15*(1-F15)</f>
        <v>51750</v>
      </c>
      <c r="I15" s="66">
        <f>3*G15</f>
        <v>10500</v>
      </c>
      <c r="J15" s="64" t="s">
        <v>182</v>
      </c>
      <c r="K15" s="64" t="s">
        <v>169</v>
      </c>
      <c r="L15" s="64"/>
      <c r="M15" s="37">
        <f t="shared" si="0"/>
        <v>57500</v>
      </c>
      <c r="N15" s="37" t="str">
        <f t="shared" si="1"/>
        <v>-</v>
      </c>
    </row>
    <row r="16" spans="1:14" s="37" customFormat="1" x14ac:dyDescent="0.25">
      <c r="A16" s="40" t="s">
        <v>356</v>
      </c>
      <c r="B16" s="64"/>
      <c r="C16" s="65"/>
      <c r="D16" s="64"/>
      <c r="E16" s="67"/>
      <c r="F16" s="68"/>
      <c r="G16" s="66"/>
      <c r="H16" s="92">
        <f>SUM(H13:H15)</f>
        <v>137125</v>
      </c>
      <c r="I16" s="66"/>
      <c r="J16" s="64"/>
      <c r="K16" s="64"/>
      <c r="L16" s="64"/>
      <c r="M16" s="92">
        <f>SUM(M13:M15)</f>
        <v>57500</v>
      </c>
      <c r="N16" s="92">
        <f>SUM(N13:N15)</f>
        <v>43750</v>
      </c>
    </row>
    <row r="17" spans="1:14" s="37" customFormat="1" x14ac:dyDescent="0.25">
      <c r="A17" s="64"/>
      <c r="B17" s="64"/>
      <c r="C17" s="65"/>
      <c r="D17" s="64"/>
      <c r="E17" s="67"/>
      <c r="F17" s="68"/>
      <c r="G17" s="66"/>
      <c r="H17" s="66"/>
      <c r="I17" s="66"/>
      <c r="J17" s="64"/>
      <c r="K17" s="64"/>
      <c r="L17" s="64"/>
      <c r="M17" s="37" t="str">
        <f t="shared" si="0"/>
        <v>-</v>
      </c>
      <c r="N17" s="37" t="str">
        <f t="shared" si="1"/>
        <v>-</v>
      </c>
    </row>
    <row r="18" spans="1:14" s="37" customFormat="1" x14ac:dyDescent="0.25">
      <c r="A18" s="40" t="s">
        <v>354</v>
      </c>
      <c r="B18" s="40"/>
      <c r="C18" s="41"/>
      <c r="D18" s="40"/>
      <c r="E18" s="40"/>
      <c r="F18" s="40"/>
      <c r="G18" s="41"/>
      <c r="H18" s="60"/>
      <c r="I18" s="40"/>
      <c r="J18" s="40"/>
      <c r="K18" s="40"/>
      <c r="L18" s="40"/>
      <c r="M18" s="37" t="str">
        <f t="shared" si="0"/>
        <v>-</v>
      </c>
      <c r="N18" s="37" t="str">
        <f t="shared" si="1"/>
        <v>-</v>
      </c>
    </row>
    <row r="19" spans="1:14" x14ac:dyDescent="0.25">
      <c r="A19" s="39" t="s">
        <v>112</v>
      </c>
      <c r="B19" s="39" t="s">
        <v>83</v>
      </c>
      <c r="C19" s="39">
        <v>1000</v>
      </c>
      <c r="D19" s="39" t="s">
        <v>106</v>
      </c>
      <c r="E19" s="67">
        <f>'Pipeline assumptions'!$A$16+('Pipeline assumptions'!$A$17*C19)</f>
        <v>90000</v>
      </c>
      <c r="F19" s="42">
        <v>0.15</v>
      </c>
      <c r="G19" s="66">
        <f>C19*'Pipeline assumptions'!$A$18</f>
        <v>10000</v>
      </c>
      <c r="H19" s="35">
        <f>E19*(1-F19)</f>
        <v>76500</v>
      </c>
      <c r="I19" s="66">
        <f>3*G19</f>
        <v>30000</v>
      </c>
      <c r="J19" s="39" t="s">
        <v>118</v>
      </c>
      <c r="K19" t="s">
        <v>122</v>
      </c>
      <c r="M19" s="37" t="str">
        <f t="shared" si="0"/>
        <v>-</v>
      </c>
      <c r="N19" s="37" t="str">
        <f t="shared" si="1"/>
        <v>-</v>
      </c>
    </row>
    <row r="20" spans="1:14" x14ac:dyDescent="0.25">
      <c r="A20" s="39" t="s">
        <v>114</v>
      </c>
      <c r="B20" s="39" t="s">
        <v>83</v>
      </c>
      <c r="C20" s="39">
        <v>130</v>
      </c>
      <c r="D20" s="39" t="s">
        <v>106</v>
      </c>
      <c r="E20" s="67">
        <f>'Pipeline assumptions'!$A$16+('Pipeline assumptions'!$A$17*C20)</f>
        <v>46500</v>
      </c>
      <c r="F20" s="42">
        <v>0.2</v>
      </c>
      <c r="G20" s="66">
        <f>C20*'Pipeline assumptions'!$A$18</f>
        <v>1300</v>
      </c>
      <c r="H20" s="35">
        <f>E20*(1-F20)</f>
        <v>37200</v>
      </c>
      <c r="I20" s="66">
        <f>3*G20</f>
        <v>3900</v>
      </c>
      <c r="J20" s="39" t="s">
        <v>119</v>
      </c>
      <c r="K20" t="s">
        <v>122</v>
      </c>
      <c r="M20" s="37" t="str">
        <f t="shared" si="0"/>
        <v>-</v>
      </c>
      <c r="N20" s="37" t="str">
        <f t="shared" si="1"/>
        <v>-</v>
      </c>
    </row>
    <row r="21" spans="1:14" x14ac:dyDescent="0.25">
      <c r="A21" s="62" t="s">
        <v>357</v>
      </c>
      <c r="B21" s="39"/>
      <c r="D21" s="39"/>
      <c r="E21" s="35"/>
      <c r="F21" s="42"/>
      <c r="G21" s="35"/>
      <c r="H21" s="61">
        <f>SUM(H19:H20)</f>
        <v>113700</v>
      </c>
      <c r="I21" s="35"/>
      <c r="J21" s="39"/>
      <c r="M21" s="37"/>
      <c r="N21" s="37"/>
    </row>
    <row r="22" spans="1:14" x14ac:dyDescent="0.25">
      <c r="A22" s="39"/>
      <c r="B22" s="39"/>
      <c r="D22" s="39"/>
      <c r="E22" s="35"/>
      <c r="F22" s="42"/>
      <c r="G22" s="35"/>
      <c r="H22" s="35"/>
      <c r="I22" s="35"/>
      <c r="J22" s="39"/>
      <c r="M22" s="37"/>
      <c r="N22" s="37"/>
    </row>
    <row r="23" spans="1:14" x14ac:dyDescent="0.25">
      <c r="A23" s="39"/>
      <c r="B23" s="39"/>
      <c r="D23" s="39"/>
      <c r="E23" s="35"/>
      <c r="F23" s="42"/>
      <c r="G23" s="35"/>
      <c r="H23" s="35"/>
      <c r="I23" s="35"/>
      <c r="J23" s="39"/>
      <c r="M23" s="37" t="str">
        <f t="shared" ref="M23:M29" si="2">IF(D23="Sales Assoc1",E23,"-")</f>
        <v>-</v>
      </c>
      <c r="N23" s="37" t="str">
        <f t="shared" si="1"/>
        <v>-</v>
      </c>
    </row>
    <row r="24" spans="1:14" x14ac:dyDescent="0.25">
      <c r="A24" s="62" t="s">
        <v>400</v>
      </c>
      <c r="B24" s="39"/>
      <c r="D24" s="39"/>
      <c r="E24" s="35"/>
      <c r="F24" s="42"/>
      <c r="G24" s="35"/>
      <c r="H24" s="35"/>
      <c r="I24" s="35"/>
      <c r="J24" s="39"/>
      <c r="M24" s="37" t="str">
        <f t="shared" si="2"/>
        <v>-</v>
      </c>
      <c r="N24" s="37" t="str">
        <f t="shared" si="1"/>
        <v>-</v>
      </c>
    </row>
    <row r="25" spans="1:14" x14ac:dyDescent="0.25">
      <c r="A25" s="39" t="s">
        <v>107</v>
      </c>
      <c r="B25" s="39" t="s">
        <v>83</v>
      </c>
      <c r="C25" s="39">
        <v>600</v>
      </c>
      <c r="D25" s="39" t="s">
        <v>106</v>
      </c>
      <c r="E25" s="67">
        <v>70000</v>
      </c>
      <c r="F25" s="42">
        <v>0.1</v>
      </c>
      <c r="G25" s="35">
        <v>6000</v>
      </c>
      <c r="H25" s="35">
        <v>63000</v>
      </c>
      <c r="I25" s="35">
        <v>18000</v>
      </c>
      <c r="J25" s="39" t="s">
        <v>116</v>
      </c>
      <c r="K25" t="s">
        <v>117</v>
      </c>
      <c r="M25" s="37" t="str">
        <f t="shared" si="2"/>
        <v>-</v>
      </c>
      <c r="N25" s="37" t="str">
        <f t="shared" si="1"/>
        <v>-</v>
      </c>
    </row>
    <row r="26" spans="1:14" x14ac:dyDescent="0.25">
      <c r="A26" s="39" t="s">
        <v>113</v>
      </c>
      <c r="B26" s="39" t="s">
        <v>83</v>
      </c>
      <c r="C26" s="39">
        <v>150</v>
      </c>
      <c r="D26" s="39" t="s">
        <v>151</v>
      </c>
      <c r="E26" s="67">
        <v>47500</v>
      </c>
      <c r="F26" s="42">
        <v>0.15</v>
      </c>
      <c r="G26" s="35">
        <v>1500</v>
      </c>
      <c r="H26" s="35">
        <v>40375</v>
      </c>
      <c r="I26" s="35">
        <v>4500</v>
      </c>
      <c r="J26" s="39" t="s">
        <v>398</v>
      </c>
      <c r="K26" t="s">
        <v>123</v>
      </c>
      <c r="M26" s="37" t="str">
        <f t="shared" si="2"/>
        <v>-</v>
      </c>
      <c r="N26" s="37">
        <f t="shared" si="1"/>
        <v>47500</v>
      </c>
    </row>
    <row r="27" spans="1:14" x14ac:dyDescent="0.25">
      <c r="A27" s="39" t="s">
        <v>124</v>
      </c>
      <c r="B27" s="39" t="s">
        <v>83</v>
      </c>
      <c r="C27" s="39">
        <v>200</v>
      </c>
      <c r="D27" s="39" t="s">
        <v>178</v>
      </c>
      <c r="E27" s="67">
        <v>50000</v>
      </c>
      <c r="F27" s="42">
        <v>0.05</v>
      </c>
      <c r="G27" s="35">
        <v>2000</v>
      </c>
      <c r="H27" s="35">
        <v>47500</v>
      </c>
      <c r="I27" s="35">
        <v>6000</v>
      </c>
      <c r="J27" s="39" t="s">
        <v>118</v>
      </c>
      <c r="K27" t="s">
        <v>126</v>
      </c>
      <c r="M27" s="37">
        <f t="shared" si="2"/>
        <v>50000</v>
      </c>
      <c r="N27" s="37" t="str">
        <f t="shared" si="1"/>
        <v>-</v>
      </c>
    </row>
    <row r="28" spans="1:14" x14ac:dyDescent="0.25">
      <c r="A28" s="39" t="s">
        <v>358</v>
      </c>
      <c r="B28" s="39" t="s">
        <v>83</v>
      </c>
      <c r="C28" s="39">
        <v>400</v>
      </c>
      <c r="D28" s="39" t="s">
        <v>106</v>
      </c>
      <c r="E28" s="67">
        <v>60000</v>
      </c>
      <c r="F28" s="42">
        <v>0</v>
      </c>
      <c r="G28" s="35">
        <v>4000</v>
      </c>
      <c r="H28" s="35">
        <v>60000</v>
      </c>
      <c r="I28" s="35">
        <v>12000</v>
      </c>
      <c r="J28" s="39" t="s">
        <v>398</v>
      </c>
      <c r="K28" t="s">
        <v>120</v>
      </c>
      <c r="M28" s="37" t="str">
        <f t="shared" si="2"/>
        <v>-</v>
      </c>
      <c r="N28" s="37" t="str">
        <f t="shared" si="1"/>
        <v>-</v>
      </c>
    </row>
    <row r="29" spans="1:14" x14ac:dyDescent="0.25">
      <c r="A29" s="39" t="s">
        <v>127</v>
      </c>
      <c r="B29" s="39" t="s">
        <v>83</v>
      </c>
      <c r="C29" s="39">
        <v>250</v>
      </c>
      <c r="D29" s="39" t="s">
        <v>178</v>
      </c>
      <c r="E29" s="67">
        <v>52500</v>
      </c>
      <c r="F29" s="42">
        <v>0</v>
      </c>
      <c r="G29" s="35">
        <v>2500</v>
      </c>
      <c r="H29" s="35">
        <v>52500</v>
      </c>
      <c r="I29" s="35">
        <v>7500</v>
      </c>
      <c r="J29" s="39" t="s">
        <v>116</v>
      </c>
      <c r="K29" t="s">
        <v>122</v>
      </c>
      <c r="M29" s="37">
        <f t="shared" si="2"/>
        <v>52500</v>
      </c>
      <c r="N29" s="37" t="str">
        <f t="shared" si="1"/>
        <v>-</v>
      </c>
    </row>
    <row r="30" spans="1:14" x14ac:dyDescent="0.25">
      <c r="A30" s="62" t="s">
        <v>399</v>
      </c>
      <c r="B30" s="39"/>
      <c r="D30" s="39"/>
      <c r="E30" s="35"/>
      <c r="F30" s="42"/>
      <c r="G30" s="35"/>
      <c r="H30" s="61">
        <f>SUM(H25:H29)</f>
        <v>263375</v>
      </c>
      <c r="I30" s="35"/>
      <c r="J30" s="39"/>
      <c r="M30" s="37">
        <f>SUM(M25:M29)</f>
        <v>102500</v>
      </c>
      <c r="N30" s="37">
        <f>SUM(N25:N29)</f>
        <v>47500</v>
      </c>
    </row>
    <row r="31" spans="1:14" x14ac:dyDescent="0.25">
      <c r="A31" s="39"/>
      <c r="B31" s="39"/>
      <c r="D31" s="39"/>
      <c r="E31" s="35"/>
      <c r="F31" s="42"/>
      <c r="G31" s="35"/>
      <c r="H31" s="35"/>
      <c r="I31" s="35"/>
      <c r="J31" s="39"/>
    </row>
    <row r="32" spans="1:14" x14ac:dyDescent="0.25">
      <c r="A32" s="39"/>
      <c r="B32" s="39"/>
      <c r="D32" s="39"/>
      <c r="E32" s="35"/>
      <c r="F32" s="42"/>
      <c r="G32" s="35"/>
      <c r="H32" s="35"/>
      <c r="I32" s="35"/>
      <c r="J32" s="39"/>
    </row>
    <row r="33" spans="1:14" x14ac:dyDescent="0.25">
      <c r="A33" s="62" t="s">
        <v>205</v>
      </c>
      <c r="B33" s="39"/>
      <c r="D33" s="39"/>
      <c r="E33" s="35"/>
      <c r="F33" s="42"/>
      <c r="G33" s="35"/>
      <c r="H33" s="61">
        <f>SUM(H10,H16,H21)</f>
        <v>318875</v>
      </c>
      <c r="I33" s="35"/>
      <c r="J33" s="39"/>
    </row>
    <row r="34" spans="1:14" x14ac:dyDescent="0.25">
      <c r="A34" s="39"/>
      <c r="B34" s="39"/>
      <c r="D34" s="39"/>
      <c r="E34" s="35"/>
      <c r="F34" s="42"/>
      <c r="G34" s="35"/>
      <c r="H34" s="35"/>
      <c r="I34" s="35"/>
      <c r="J34" s="39"/>
      <c r="M34" s="1"/>
      <c r="N34" s="1"/>
    </row>
    <row r="35" spans="1:14" x14ac:dyDescent="0.25">
      <c r="A35" s="39"/>
      <c r="B35" s="39"/>
      <c r="D35" s="39"/>
      <c r="E35" s="35"/>
      <c r="F35" s="42"/>
      <c r="G35" s="35"/>
      <c r="H35" s="35"/>
      <c r="I35" s="35"/>
      <c r="J35" s="39"/>
    </row>
    <row r="36" spans="1:14" x14ac:dyDescent="0.25">
      <c r="A36" s="160">
        <v>2003</v>
      </c>
      <c r="B36" s="39"/>
      <c r="D36" s="39"/>
      <c r="E36" s="35"/>
      <c r="F36" s="42"/>
      <c r="G36" s="35"/>
      <c r="H36" s="35"/>
      <c r="I36" s="35"/>
      <c r="J36" s="39"/>
    </row>
    <row r="37" spans="1:14" x14ac:dyDescent="0.25">
      <c r="A37" s="62" t="s">
        <v>172</v>
      </c>
      <c r="B37" s="39"/>
      <c r="D37" s="39"/>
      <c r="E37" s="35"/>
      <c r="F37" s="42"/>
      <c r="G37" s="35"/>
      <c r="H37" s="35"/>
      <c r="I37" s="35"/>
      <c r="J37" s="39"/>
    </row>
    <row r="38" spans="1:14" x14ac:dyDescent="0.25">
      <c r="A38" s="39" t="str">
        <f>Pipeline!A7</f>
        <v>SE Financial Institution</v>
      </c>
      <c r="B38" s="39" t="str">
        <f>Pipeline!B7</f>
        <v>Closed</v>
      </c>
      <c r="C38" s="39">
        <f>Pipeline!C7</f>
        <v>400</v>
      </c>
      <c r="D38" s="39" t="str">
        <f>Pipeline!D7</f>
        <v>VP Sales</v>
      </c>
      <c r="E38" s="67">
        <f>Pipeline!E7</f>
        <v>60000</v>
      </c>
      <c r="F38" s="42">
        <f>Pipeline!F7</f>
        <v>0.1</v>
      </c>
      <c r="G38" s="35">
        <f>Pipeline!G7</f>
        <v>4000</v>
      </c>
      <c r="H38" s="35">
        <f>Pipeline!H7</f>
        <v>54000</v>
      </c>
      <c r="I38" s="35">
        <f>Pipeline!I7</f>
        <v>12000</v>
      </c>
      <c r="J38" s="39" t="str">
        <f>Pipeline!J7</f>
        <v>Sales cycle 5 months</v>
      </c>
      <c r="K38" t="str">
        <f>Pipeline!K7</f>
        <v>CEO contact</v>
      </c>
    </row>
    <row r="39" spans="1:14" x14ac:dyDescent="0.25">
      <c r="A39" s="39"/>
      <c r="B39" s="39"/>
      <c r="D39" s="39"/>
      <c r="E39" s="39"/>
      <c r="F39" s="42"/>
      <c r="G39" s="39"/>
      <c r="H39" s="35"/>
      <c r="I39" s="39"/>
      <c r="J39" s="39"/>
    </row>
    <row r="40" spans="1:14" x14ac:dyDescent="0.25">
      <c r="A40" s="39"/>
      <c r="B40" s="39"/>
      <c r="D40" s="39"/>
      <c r="E40" s="39"/>
      <c r="F40" s="42"/>
      <c r="G40" s="39"/>
      <c r="H40" s="61"/>
      <c r="I40" s="62"/>
      <c r="J40" s="39"/>
    </row>
    <row r="41" spans="1:14" x14ac:dyDescent="0.25">
      <c r="A41" s="39"/>
      <c r="B41" s="39"/>
      <c r="D41" s="39"/>
      <c r="E41" s="39"/>
      <c r="F41" s="42"/>
      <c r="G41" s="39"/>
      <c r="H41" s="35"/>
      <c r="I41" s="35"/>
      <c r="J41" s="39"/>
    </row>
    <row r="42" spans="1:14" x14ac:dyDescent="0.25">
      <c r="A42" s="39"/>
      <c r="B42" s="39"/>
      <c r="D42" s="39"/>
      <c r="E42" s="39"/>
      <c r="F42" s="42"/>
      <c r="G42" s="39"/>
      <c r="H42" s="35"/>
      <c r="I42" s="39"/>
      <c r="J42" s="39"/>
    </row>
    <row r="43" spans="1:14" x14ac:dyDescent="0.25">
      <c r="A43" s="39"/>
      <c r="B43" s="39"/>
      <c r="D43" s="39"/>
      <c r="E43" s="39"/>
      <c r="F43" s="42"/>
      <c r="G43" s="39"/>
      <c r="H43" s="35"/>
      <c r="I43" s="39"/>
      <c r="J43" s="39"/>
    </row>
    <row r="44" spans="1:14" x14ac:dyDescent="0.25">
      <c r="A44" s="39"/>
      <c r="B44" s="39"/>
      <c r="D44" s="39"/>
      <c r="E44" s="39"/>
      <c r="F44" s="42"/>
      <c r="G44" s="39"/>
      <c r="H44" s="35"/>
      <c r="I44" s="39"/>
      <c r="J44" s="39"/>
    </row>
    <row r="45" spans="1:14" x14ac:dyDescent="0.25">
      <c r="A45" s="39"/>
      <c r="B45" s="39"/>
      <c r="D45" s="39"/>
      <c r="E45" s="39"/>
      <c r="F45" s="42"/>
      <c r="G45" s="39"/>
      <c r="H45" s="35"/>
      <c r="I45" s="39"/>
      <c r="J45" s="39"/>
    </row>
    <row r="46" spans="1:14" x14ac:dyDescent="0.25">
      <c r="A46" s="39"/>
      <c r="B46" s="39"/>
      <c r="D46" s="39"/>
      <c r="E46" s="39"/>
      <c r="F46" s="42"/>
      <c r="G46" s="39"/>
      <c r="H46" s="35"/>
      <c r="I46" s="39"/>
      <c r="J46" s="39"/>
    </row>
    <row r="47" spans="1:14" x14ac:dyDescent="0.25">
      <c r="A47" s="39"/>
      <c r="B47" s="39"/>
      <c r="D47" s="39"/>
      <c r="E47" s="39"/>
      <c r="F47" s="42"/>
      <c r="G47" s="39"/>
      <c r="H47" s="35"/>
      <c r="I47" s="39"/>
      <c r="J47" s="39"/>
    </row>
    <row r="48" spans="1:14" x14ac:dyDescent="0.25">
      <c r="A48" s="39"/>
      <c r="B48" s="39"/>
      <c r="D48" s="39"/>
      <c r="E48" s="39"/>
      <c r="F48" s="42"/>
      <c r="G48" s="39"/>
      <c r="H48" s="35"/>
      <c r="I48" s="39"/>
      <c r="J48" s="39"/>
    </row>
    <row r="49" spans="1:10" x14ac:dyDescent="0.25">
      <c r="A49" s="39"/>
      <c r="B49" s="39"/>
      <c r="D49" s="39"/>
      <c r="E49" s="39"/>
      <c r="F49" s="42"/>
      <c r="G49" s="39"/>
      <c r="H49" s="35"/>
      <c r="I49" s="39"/>
      <c r="J49" s="39"/>
    </row>
    <row r="50" spans="1:10" x14ac:dyDescent="0.25">
      <c r="A50" s="39"/>
      <c r="B50" s="39"/>
      <c r="D50" s="39"/>
      <c r="E50" s="39"/>
      <c r="F50" s="42"/>
      <c r="G50" s="39"/>
      <c r="H50" s="35"/>
      <c r="I50" s="39"/>
      <c r="J50" s="39"/>
    </row>
    <row r="51" spans="1:10" x14ac:dyDescent="0.25">
      <c r="A51" s="39"/>
      <c r="B51" s="39"/>
      <c r="D51" s="39"/>
      <c r="E51" s="39"/>
      <c r="F51" s="42"/>
      <c r="G51" s="39"/>
      <c r="H51" s="35"/>
      <c r="I51" s="39"/>
      <c r="J51" s="39"/>
    </row>
    <row r="52" spans="1:10" x14ac:dyDescent="0.25">
      <c r="A52" s="39"/>
      <c r="B52" s="39"/>
      <c r="D52" s="39"/>
      <c r="E52" s="39"/>
      <c r="F52" s="42"/>
      <c r="G52" s="39"/>
      <c r="H52" s="35"/>
      <c r="I52" s="39"/>
      <c r="J52" s="39"/>
    </row>
    <row r="53" spans="1:10" x14ac:dyDescent="0.25">
      <c r="A53" s="39"/>
      <c r="B53" s="39"/>
      <c r="D53" s="39"/>
      <c r="E53" s="39"/>
      <c r="F53" s="42"/>
      <c r="G53" s="39"/>
      <c r="H53" s="35"/>
      <c r="I53" s="39"/>
      <c r="J53" s="39"/>
    </row>
    <row r="54" spans="1:10" x14ac:dyDescent="0.25">
      <c r="A54" s="39"/>
      <c r="B54" s="39"/>
      <c r="D54" s="39"/>
      <c r="E54" s="39"/>
      <c r="F54" s="42"/>
      <c r="G54" s="39"/>
      <c r="H54" s="35"/>
      <c r="I54" s="39"/>
      <c r="J54" s="39"/>
    </row>
    <row r="55" spans="1:10" x14ac:dyDescent="0.25">
      <c r="A55" s="39"/>
      <c r="B55" s="39"/>
      <c r="D55" s="39"/>
      <c r="E55" s="39"/>
      <c r="F55" s="42"/>
      <c r="G55" s="39"/>
      <c r="H55" s="35"/>
      <c r="I55" s="39"/>
      <c r="J55" s="39"/>
    </row>
    <row r="56" spans="1:10" x14ac:dyDescent="0.25">
      <c r="A56" s="39"/>
      <c r="B56" s="39"/>
      <c r="D56" s="39"/>
      <c r="E56" s="39"/>
      <c r="F56" s="42"/>
      <c r="G56" s="39"/>
      <c r="H56" s="35"/>
      <c r="I56" s="39"/>
      <c r="J56" s="39"/>
    </row>
    <row r="57" spans="1:10" x14ac:dyDescent="0.25">
      <c r="F57" s="38"/>
    </row>
    <row r="58" spans="1:10" x14ac:dyDescent="0.25">
      <c r="F58" s="38"/>
    </row>
    <row r="59" spans="1:10" x14ac:dyDescent="0.25">
      <c r="F59" s="38"/>
    </row>
    <row r="60" spans="1:10" x14ac:dyDescent="0.25">
      <c r="F60" s="38"/>
    </row>
    <row r="61" spans="1:10" x14ac:dyDescent="0.25">
      <c r="F61" s="38"/>
    </row>
    <row r="62" spans="1:10" x14ac:dyDescent="0.25">
      <c r="F62" s="38"/>
    </row>
    <row r="63" spans="1:10" x14ac:dyDescent="0.25">
      <c r="F63" s="38"/>
    </row>
    <row r="64" spans="1:10" x14ac:dyDescent="0.25">
      <c r="F64" s="38"/>
    </row>
    <row r="65" spans="6:6" x14ac:dyDescent="0.25">
      <c r="F65" s="38"/>
    </row>
  </sheetData>
  <phoneticPr fontId="0" type="noConversion"/>
  <pageMargins left="0.25" right="0.25" top="1" bottom="1" header="0.5" footer="0.5"/>
  <pageSetup scale="75"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
  <sheetViews>
    <sheetView zoomScale="90" workbookViewId="0">
      <selection activeCell="A3" sqref="A3"/>
    </sheetView>
  </sheetViews>
  <sheetFormatPr defaultRowHeight="13.2" x14ac:dyDescent="0.25"/>
  <cols>
    <col min="1" max="1" width="37.88671875" style="37" customWidth="1"/>
    <col min="2" max="5" width="11.5546875" customWidth="1"/>
  </cols>
  <sheetData>
    <row r="1" spans="1:2" x14ac:dyDescent="0.25">
      <c r="A1" s="37" t="s">
        <v>442</v>
      </c>
    </row>
    <row r="3" spans="1:2" x14ac:dyDescent="0.25">
      <c r="A3" s="40" t="s">
        <v>211</v>
      </c>
    </row>
    <row r="4" spans="1:2" x14ac:dyDescent="0.25">
      <c r="A4" s="64" t="s">
        <v>219</v>
      </c>
    </row>
    <row r="5" spans="1:2" x14ac:dyDescent="0.25">
      <c r="A5" s="40"/>
    </row>
    <row r="6" spans="1:2" x14ac:dyDescent="0.25">
      <c r="A6" s="157" t="s">
        <v>213</v>
      </c>
    </row>
    <row r="7" spans="1:2" x14ac:dyDescent="0.25">
      <c r="A7" s="37" t="s">
        <v>215</v>
      </c>
      <c r="B7" s="5">
        <v>250000</v>
      </c>
    </row>
    <row r="8" spans="1:2" x14ac:dyDescent="0.25">
      <c r="A8" s="37" t="s">
        <v>217</v>
      </c>
    </row>
    <row r="9" spans="1:2" x14ac:dyDescent="0.25">
      <c r="A9" s="37" t="s">
        <v>222</v>
      </c>
      <c r="B9" s="4">
        <v>0.02</v>
      </c>
    </row>
    <row r="10" spans="1:2" ht="26.4" x14ac:dyDescent="0.25">
      <c r="A10" s="37" t="s">
        <v>223</v>
      </c>
      <c r="B10" s="4">
        <v>0.02</v>
      </c>
    </row>
    <row r="12" spans="1:2" ht="26.4" x14ac:dyDescent="0.25">
      <c r="A12" s="157" t="s">
        <v>212</v>
      </c>
    </row>
    <row r="13" spans="1:2" x14ac:dyDescent="0.25">
      <c r="A13" s="37" t="s">
        <v>218</v>
      </c>
    </row>
    <row r="14" spans="1:2" x14ac:dyDescent="0.25">
      <c r="A14" s="37" t="s">
        <v>226</v>
      </c>
      <c r="B14" s="5">
        <v>60000</v>
      </c>
    </row>
    <row r="15" spans="1:2" x14ac:dyDescent="0.25">
      <c r="A15" s="37" t="s">
        <v>313</v>
      </c>
      <c r="B15" s="96">
        <v>2.5000000000000001E-2</v>
      </c>
    </row>
    <row r="16" spans="1:2" ht="26.4" x14ac:dyDescent="0.25">
      <c r="A16" s="37" t="s">
        <v>314</v>
      </c>
      <c r="B16" s="96">
        <v>3.5000000000000003E-2</v>
      </c>
    </row>
    <row r="17" spans="1:5" x14ac:dyDescent="0.25">
      <c r="A17" s="37" t="s">
        <v>214</v>
      </c>
      <c r="B17" s="5">
        <v>2500</v>
      </c>
    </row>
    <row r="19" spans="1:5" ht="39.6" x14ac:dyDescent="0.25">
      <c r="A19" s="157" t="s">
        <v>216</v>
      </c>
      <c r="B19" s="5">
        <v>2500</v>
      </c>
    </row>
    <row r="20" spans="1:5" x14ac:dyDescent="0.25">
      <c r="A20" s="37" t="s">
        <v>224</v>
      </c>
      <c r="B20" s="96">
        <v>2.5000000000000001E-3</v>
      </c>
    </row>
    <row r="21" spans="1:5" x14ac:dyDescent="0.25">
      <c r="B21" s="96"/>
    </row>
    <row r="22" spans="1:5" x14ac:dyDescent="0.25">
      <c r="A22" s="157" t="s">
        <v>441</v>
      </c>
    </row>
    <row r="23" spans="1:5" x14ac:dyDescent="0.25">
      <c r="B23" s="43" t="s">
        <v>207</v>
      </c>
      <c r="C23" s="43" t="s">
        <v>208</v>
      </c>
      <c r="D23" s="43" t="s">
        <v>209</v>
      </c>
      <c r="E23" s="43" t="s">
        <v>210</v>
      </c>
    </row>
    <row r="24" spans="1:5" x14ac:dyDescent="0.25">
      <c r="A24" s="93" t="s">
        <v>15</v>
      </c>
      <c r="B24" s="5"/>
    </row>
    <row r="25" spans="1:5" x14ac:dyDescent="0.25">
      <c r="A25" s="93" t="s">
        <v>220</v>
      </c>
      <c r="B25" s="7">
        <f>$B$9*'Closed Sales'!$H10</f>
        <v>1361</v>
      </c>
      <c r="C25" s="7">
        <f>$B$9*'Closed Sales'!$H16</f>
        <v>2742.5</v>
      </c>
      <c r="D25" s="7">
        <f>$B$9*'Closed Sales'!$H21</f>
        <v>2274</v>
      </c>
      <c r="E25" s="7">
        <f>$B$9*'Closed Sales'!$H30</f>
        <v>5267.5</v>
      </c>
    </row>
    <row r="26" spans="1:5" x14ac:dyDescent="0.25">
      <c r="A26" s="93" t="s">
        <v>221</v>
      </c>
      <c r="B26" s="7" t="str">
        <f>IF('Closed Sales'!$H10&gt;Quota!$B$7,$B$10*'Closed Sales'!$H10,"-")</f>
        <v>-</v>
      </c>
      <c r="C26" s="7" t="str">
        <f>IF('Closed Sales'!$H16&gt;Quota!$B$7,$B$10*('Closed Sales'!$H16-$B$7),"-")</f>
        <v>-</v>
      </c>
      <c r="D26" s="7" t="str">
        <f>IF('Closed Sales'!$H21&gt;Quota!$B$7,$B$10*('Closed Sales'!$H21-$B$7),"-")</f>
        <v>-</v>
      </c>
      <c r="E26" s="7"/>
    </row>
    <row r="27" spans="1:5" x14ac:dyDescent="0.25">
      <c r="A27" s="93"/>
      <c r="B27" s="5"/>
      <c r="C27" s="5"/>
      <c r="D27" s="1"/>
      <c r="E27" s="1"/>
    </row>
    <row r="28" spans="1:5" x14ac:dyDescent="0.25">
      <c r="A28" s="93" t="s">
        <v>225</v>
      </c>
      <c r="B28" s="5"/>
      <c r="C28" s="1"/>
      <c r="D28" s="1"/>
      <c r="E28" s="1"/>
    </row>
    <row r="29" spans="1:5" x14ac:dyDescent="0.25">
      <c r="A29" s="93" t="s">
        <v>220</v>
      </c>
      <c r="B29" s="7">
        <f>$B$15*'Closed Sales'!$M10</f>
        <v>1025</v>
      </c>
      <c r="C29" s="7">
        <f>$B$15*'Closed Sales'!$M16</f>
        <v>1437.5</v>
      </c>
      <c r="D29" s="7">
        <f>$B$15*'Closed Sales'!$M21</f>
        <v>0</v>
      </c>
      <c r="E29" s="7">
        <f>$B$15*'Closed Sales'!$M30</f>
        <v>2562.5</v>
      </c>
    </row>
    <row r="30" spans="1:5" x14ac:dyDescent="0.25">
      <c r="A30" s="93" t="s">
        <v>221</v>
      </c>
      <c r="B30" s="7" t="str">
        <f>IF('Closed Sales'!$M10&gt;Quota!$B$14,$B$16*('Closed Sales'!$M10-$B$14),"-")</f>
        <v>-</v>
      </c>
      <c r="C30" s="7" t="str">
        <f>IF('Closed Sales'!$M16&gt;Quota!$B$14,$B$16*('Closed Sales'!$M16-$B$14),"-")</f>
        <v>-</v>
      </c>
      <c r="D30" s="7"/>
      <c r="E30" s="7"/>
    </row>
    <row r="31" spans="1:5" x14ac:dyDescent="0.25">
      <c r="A31" s="93" t="s">
        <v>30</v>
      </c>
      <c r="B31" s="1" t="str">
        <f>IF('Closed Sales'!$H$10&gt;Quota!$B$7,$B$17,"-")</f>
        <v>-</v>
      </c>
      <c r="C31" s="1" t="str">
        <f>IF('Closed Sales'!$H$16&gt;Quota!$B$7,$B$17,"-")</f>
        <v>-</v>
      </c>
      <c r="D31" s="1" t="str">
        <f>IF('Closed Sales'!$H$21&gt;Quota!$B$7,$B$17,"-")</f>
        <v>-</v>
      </c>
      <c r="E31" s="1"/>
    </row>
    <row r="32" spans="1:5" x14ac:dyDescent="0.25">
      <c r="A32" s="93"/>
      <c r="B32" s="5"/>
      <c r="C32" s="1"/>
      <c r="D32" s="1"/>
      <c r="E32" s="1"/>
    </row>
    <row r="33" spans="1:5" x14ac:dyDescent="0.25">
      <c r="A33" s="93" t="s">
        <v>228</v>
      </c>
      <c r="B33" s="5"/>
      <c r="C33" s="1"/>
      <c r="D33" s="1"/>
      <c r="E33" s="1"/>
    </row>
    <row r="34" spans="1:5" x14ac:dyDescent="0.25">
      <c r="A34" s="93" t="s">
        <v>220</v>
      </c>
      <c r="B34" s="7">
        <f>$B$15*'Closed Sales'!$N10</f>
        <v>0</v>
      </c>
      <c r="C34" s="7">
        <f>$B$15*'Closed Sales'!$N16</f>
        <v>1093.75</v>
      </c>
      <c r="D34" s="7">
        <f>$B$15*'Closed Sales'!$N21</f>
        <v>0</v>
      </c>
      <c r="E34" s="7">
        <f>$B$15*'Closed Sales'!$N30</f>
        <v>1187.5</v>
      </c>
    </row>
    <row r="35" spans="1:5" x14ac:dyDescent="0.25">
      <c r="A35" s="93" t="s">
        <v>221</v>
      </c>
      <c r="B35" s="7" t="str">
        <f>IF('Closed Sales'!$N10&gt;Quota!$B$14,$B$16*('Closed Sales'!$M10-$B$14),"-")</f>
        <v>-</v>
      </c>
      <c r="C35" s="7" t="str">
        <f>IF('Closed Sales'!$N16&gt;Quota!$B$14,$B$16*('Closed Sales'!$N16-$B$14),"-")</f>
        <v>-</v>
      </c>
      <c r="D35" s="7"/>
      <c r="E35" s="7"/>
    </row>
    <row r="36" spans="1:5" x14ac:dyDescent="0.25">
      <c r="A36" s="93" t="s">
        <v>30</v>
      </c>
      <c r="B36" s="1" t="str">
        <f>IF('Closed Sales'!$H$10&gt;Quota!$B$7,$B$17,"-")</f>
        <v>-</v>
      </c>
      <c r="C36" s="1" t="str">
        <f>IF('Closed Sales'!$H$16&gt;Quota!$B$7,$B$17,"-")</f>
        <v>-</v>
      </c>
      <c r="D36" s="1" t="str">
        <f>IF('Closed Sales'!$H$21&gt;Quota!$B$7,$B$17,"-")</f>
        <v>-</v>
      </c>
      <c r="E36" s="1"/>
    </row>
    <row r="37" spans="1:5" x14ac:dyDescent="0.25">
      <c r="A37" s="93"/>
      <c r="B37" s="5"/>
      <c r="C37" s="1"/>
      <c r="D37" s="1"/>
      <c r="E37" s="1"/>
    </row>
    <row r="38" spans="1:5" x14ac:dyDescent="0.25">
      <c r="A38" s="94" t="s">
        <v>10</v>
      </c>
      <c r="B38" s="5"/>
      <c r="C38" s="1"/>
      <c r="D38" s="1"/>
      <c r="E38" s="1"/>
    </row>
    <row r="39" spans="1:5" x14ac:dyDescent="0.25">
      <c r="A39" s="94" t="s">
        <v>227</v>
      </c>
      <c r="B39" s="7">
        <f>'Closed Sales'!$H$10*$B$20</f>
        <v>170.125</v>
      </c>
      <c r="C39" s="7">
        <f>'Closed Sales'!$H$16*$B$20</f>
        <v>342.8125</v>
      </c>
      <c r="D39" s="7">
        <f>'Closed Sales'!$H$21*$B$20</f>
        <v>284.25</v>
      </c>
      <c r="E39" s="7">
        <f>'Closed Sales'!$H$21*$B$20</f>
        <v>284.25</v>
      </c>
    </row>
    <row r="40" spans="1:5" x14ac:dyDescent="0.25">
      <c r="A40" s="95" t="s">
        <v>30</v>
      </c>
      <c r="B40" s="1" t="str">
        <f>IF('Closed Sales'!$H$10&gt;Quota!$B$7,$B$17,"-")</f>
        <v>-</v>
      </c>
      <c r="C40" s="1" t="str">
        <f>IF('Closed Sales'!$H$16&gt;Quota!$B$7,$B$17,"-")</f>
        <v>-</v>
      </c>
      <c r="D40" s="1" t="str">
        <f>IF('Closed Sales'!$H$21&gt;Quota!$B$7,$B$17,"-")</f>
        <v>-</v>
      </c>
      <c r="E40" s="1"/>
    </row>
    <row r="41" spans="1:5" x14ac:dyDescent="0.25">
      <c r="A41" s="95"/>
      <c r="B41" s="1"/>
      <c r="C41" s="1"/>
      <c r="D41" s="1"/>
      <c r="E41" s="1"/>
    </row>
    <row r="42" spans="1:5" x14ac:dyDescent="0.25">
      <c r="A42" s="94" t="s">
        <v>11</v>
      </c>
      <c r="B42" s="5"/>
      <c r="C42" s="1"/>
      <c r="D42" s="1"/>
      <c r="E42" s="1"/>
    </row>
    <row r="43" spans="1:5" x14ac:dyDescent="0.25">
      <c r="A43" s="94" t="s">
        <v>227</v>
      </c>
      <c r="B43" s="7">
        <f>'Closed Sales'!$H$10*$B$20</f>
        <v>170.125</v>
      </c>
      <c r="C43" s="7">
        <f>'Closed Sales'!$H$16*$B$20</f>
        <v>342.8125</v>
      </c>
      <c r="D43" s="7">
        <f>'Closed Sales'!$H$21*$B$20</f>
        <v>284.25</v>
      </c>
      <c r="E43" s="7">
        <f>'Closed Sales'!$H$21*$B$20</f>
        <v>284.25</v>
      </c>
    </row>
    <row r="44" spans="1:5" x14ac:dyDescent="0.25">
      <c r="A44" s="95" t="s">
        <v>30</v>
      </c>
      <c r="B44" s="1" t="str">
        <f>IF('Closed Sales'!$H$10&gt;Quota!$B$7,$B$17,"-")</f>
        <v>-</v>
      </c>
      <c r="C44" s="1" t="str">
        <f>IF('Closed Sales'!$H$16&gt;Quota!$B$7,$B$17,"-")</f>
        <v>-</v>
      </c>
      <c r="D44" s="1" t="str">
        <f>IF('Closed Sales'!$H$21&gt;Quota!$B$7,$B$17,"-")</f>
        <v>-</v>
      </c>
      <c r="E44" s="1"/>
    </row>
    <row r="45" spans="1:5" x14ac:dyDescent="0.25">
      <c r="A45" s="95"/>
      <c r="B45" s="1"/>
      <c r="C45" s="1"/>
      <c r="D45" s="1"/>
      <c r="E45" s="1"/>
    </row>
    <row r="46" spans="1:5" x14ac:dyDescent="0.25">
      <c r="A46" s="94" t="s">
        <v>11</v>
      </c>
      <c r="B46" s="5"/>
      <c r="C46" s="1"/>
      <c r="D46" s="1"/>
      <c r="E46" s="1"/>
    </row>
    <row r="47" spans="1:5" x14ac:dyDescent="0.25">
      <c r="A47" s="94" t="s">
        <v>227</v>
      </c>
      <c r="B47" s="7">
        <f>'Closed Sales'!$H$10*$B$20</f>
        <v>170.125</v>
      </c>
      <c r="C47" s="7">
        <f>'Closed Sales'!$H$16*$B$20</f>
        <v>342.8125</v>
      </c>
      <c r="D47" s="7">
        <f>'Closed Sales'!$H$21*$B$20</f>
        <v>284.25</v>
      </c>
      <c r="E47" s="7">
        <f>'Closed Sales'!$H$21*$B$20</f>
        <v>284.25</v>
      </c>
    </row>
    <row r="48" spans="1:5" x14ac:dyDescent="0.25">
      <c r="A48" s="95" t="s">
        <v>30</v>
      </c>
      <c r="B48" s="1" t="str">
        <f>IF('Closed Sales'!$H$10&gt;Quota!$B$7,$B$17,"-")</f>
        <v>-</v>
      </c>
      <c r="C48" s="1" t="str">
        <f>IF('Closed Sales'!$H$16&gt;Quota!$B$7,$B$17,"-")</f>
        <v>-</v>
      </c>
      <c r="D48" s="1" t="str">
        <f>IF('Closed Sales'!$H$21&gt;Quota!$B$7,$B$17,"-")</f>
        <v>-</v>
      </c>
      <c r="E48" s="1"/>
    </row>
    <row r="49" spans="1:5" x14ac:dyDescent="0.25">
      <c r="A49" s="95"/>
      <c r="B49" s="1"/>
      <c r="C49" s="1"/>
      <c r="D49" s="1"/>
      <c r="E49" s="1"/>
    </row>
    <row r="50" spans="1:5" x14ac:dyDescent="0.25">
      <c r="A50" s="94" t="s">
        <v>16</v>
      </c>
      <c r="B50" s="5"/>
      <c r="C50" s="1"/>
      <c r="D50" s="1"/>
      <c r="E50" s="1"/>
    </row>
    <row r="51" spans="1:5" x14ac:dyDescent="0.25">
      <c r="A51" s="37" t="s">
        <v>30</v>
      </c>
      <c r="B51" s="9">
        <f>'Closed Sales'!$H$10*$B$20</f>
        <v>170.125</v>
      </c>
      <c r="C51" s="9">
        <f>'Closed Sales'!$H$16*$B$20</f>
        <v>342.8125</v>
      </c>
      <c r="D51" s="9">
        <f>'Closed Sales'!$H$21*$B$20</f>
        <v>284.25</v>
      </c>
      <c r="E51" s="9">
        <f>'Closed Sales'!$H$21*$B$20</f>
        <v>284.25</v>
      </c>
    </row>
    <row r="52" spans="1:5" x14ac:dyDescent="0.25">
      <c r="B52" s="1"/>
      <c r="C52" s="1"/>
      <c r="D52" s="1"/>
      <c r="E52" s="1"/>
    </row>
    <row r="53" spans="1:5" x14ac:dyDescent="0.25">
      <c r="A53" s="37" t="s">
        <v>258</v>
      </c>
      <c r="B53" s="1">
        <f>SUM(B25:B51)</f>
        <v>3066.5</v>
      </c>
      <c r="C53" s="1">
        <f>SUM(C25:C51)</f>
        <v>6645</v>
      </c>
      <c r="D53" s="1">
        <f>SUM(D25:D51)</f>
        <v>3411</v>
      </c>
      <c r="E53" s="1">
        <f>SUM(E25:E51)</f>
        <v>10154.5</v>
      </c>
    </row>
  </sheetData>
  <phoneticPr fontId="0" type="noConversion"/>
  <pageMargins left="0.5" right="0.5" top="0.25" bottom="0.25"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4</vt:i4>
      </vt:variant>
    </vt:vector>
  </HeadingPairs>
  <TitlesOfParts>
    <vt:vector size="21" baseType="lpstr">
      <vt:lpstr>Overview</vt:lpstr>
      <vt:lpstr>Employees</vt:lpstr>
      <vt:lpstr>Equipment Expense</vt:lpstr>
      <vt:lpstr>Cap Lease</vt:lpstr>
      <vt:lpstr>Service Expense</vt:lpstr>
      <vt:lpstr>Pipeline assumptions</vt:lpstr>
      <vt:lpstr>Pipeline</vt:lpstr>
      <vt:lpstr>Closed Sales</vt:lpstr>
      <vt:lpstr>Quota</vt:lpstr>
      <vt:lpstr>Revenue</vt:lpstr>
      <vt:lpstr>Monthly P&amp;L</vt:lpstr>
      <vt:lpstr>Quarterly P&amp;L</vt:lpstr>
      <vt:lpstr>Annual P&amp;L </vt:lpstr>
      <vt:lpstr>Balance Sheet</vt:lpstr>
      <vt:lpstr>Stmt of CF</vt:lpstr>
      <vt:lpstr>Cap Table</vt:lpstr>
      <vt:lpstr>Bal Sheet for Offer Memo</vt:lpstr>
      <vt:lpstr>'Bal Sheet for Offer Memo'!Print_Titles</vt:lpstr>
      <vt:lpstr>'Balance Sheet'!Print_Titles</vt:lpstr>
      <vt:lpstr>'Monthly P&amp;L'!Print_Titles</vt:lpstr>
      <vt:lpstr>'Stmt of CF'!Print_Titles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VenturePresentation.com</dc:creator>
  <cp:lastModifiedBy>Aniket Gupta</cp:lastModifiedBy>
  <cp:lastPrinted>2001-10-26T20:46:17Z</cp:lastPrinted>
  <dcterms:created xsi:type="dcterms:W3CDTF">2001-06-10T04:40:04Z</dcterms:created>
  <dcterms:modified xsi:type="dcterms:W3CDTF">2024-02-03T22:13:56Z</dcterms:modified>
</cp:coreProperties>
</file>