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2D9C234-6D9A-494F-879F-759E6E59A455}" xr6:coauthVersionLast="47" xr6:coauthVersionMax="47" xr10:uidLastSave="{00000000-0000-0000-0000-000000000000}"/>
  <workbookProtection lockStructure="1"/>
  <bookViews>
    <workbookView xWindow="3348" yWindow="3348" windowWidth="17280" windowHeight="8880"/>
  </bookViews>
  <sheets>
    <sheet name="Economic Model" sheetId="1" r:id="rId1"/>
    <sheet name="Detailed calculations" sheetId="2" r:id="rId2"/>
  </sheets>
  <definedNames>
    <definedName name="_xlnm.Print_Area" localSheetId="0">'Economic Model'!$A$1:$C$79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 s="1"/>
  <c r="G1" i="2" s="1"/>
  <c r="H1" i="2" s="1"/>
  <c r="I1" i="2" s="1"/>
  <c r="J1" i="2" s="1"/>
  <c r="K1" i="2" s="1"/>
  <c r="L1" i="2" s="1"/>
  <c r="B4" i="2"/>
  <c r="B5" i="2"/>
  <c r="B6" i="2" s="1"/>
  <c r="D15" i="2"/>
  <c r="B16" i="2"/>
  <c r="B17" i="2" s="1"/>
  <c r="B29" i="2"/>
  <c r="C24" i="1"/>
  <c r="C4" i="2" s="1"/>
  <c r="C25" i="1"/>
  <c r="A26" i="1"/>
  <c r="A29" i="1"/>
  <c r="A59" i="1"/>
  <c r="B18" i="2" l="1"/>
  <c r="C16" i="2"/>
  <c r="C17" i="2" s="1"/>
  <c r="L4" i="2"/>
  <c r="L16" i="2" s="1"/>
  <c r="D4" i="2"/>
  <c r="C5" i="2"/>
  <c r="C18" i="2" l="1"/>
  <c r="C19" i="2" s="1"/>
  <c r="C20" i="2" s="1"/>
  <c r="C21" i="2"/>
  <c r="D16" i="2"/>
  <c r="C30" i="1" s="1"/>
  <c r="E4" i="2"/>
  <c r="C6" i="2"/>
  <c r="C7" i="2" s="1"/>
  <c r="C8" i="2" s="1"/>
  <c r="D5" i="2"/>
  <c r="C9" i="2"/>
  <c r="D17" i="2" l="1"/>
  <c r="E16" i="2"/>
  <c r="F4" i="2"/>
  <c r="E5" i="2"/>
  <c r="D6" i="2"/>
  <c r="D7" i="2" s="1"/>
  <c r="D8" i="2" s="1"/>
  <c r="C22" i="2"/>
  <c r="F16" i="2" l="1"/>
  <c r="G4" i="2"/>
  <c r="E17" i="2"/>
  <c r="D18" i="2"/>
  <c r="D19" i="2" s="1"/>
  <c r="D20" i="2" s="1"/>
  <c r="F5" i="2"/>
  <c r="E6" i="2"/>
  <c r="E7" i="2" s="1"/>
  <c r="D9" i="2"/>
  <c r="E18" i="2" l="1"/>
  <c r="E19" i="2" s="1"/>
  <c r="E20" i="2" s="1"/>
  <c r="F17" i="2"/>
  <c r="E8" i="2"/>
  <c r="E9" i="2"/>
  <c r="G5" i="2"/>
  <c r="F6" i="2"/>
  <c r="F7" i="2" s="1"/>
  <c r="E21" i="2"/>
  <c r="H4" i="2"/>
  <c r="G16" i="2"/>
  <c r="D21" i="2"/>
  <c r="D22" i="2" s="1"/>
  <c r="G6" i="2" l="1"/>
  <c r="G7" i="2" s="1"/>
  <c r="G8" i="2" s="1"/>
  <c r="H5" i="2"/>
  <c r="I4" i="2"/>
  <c r="H16" i="2"/>
  <c r="F18" i="2"/>
  <c r="F19" i="2" s="1"/>
  <c r="F20" i="2" s="1"/>
  <c r="G17" i="2"/>
  <c r="F21" i="2"/>
  <c r="G9" i="2"/>
  <c r="E22" i="2"/>
  <c r="F8" i="2"/>
  <c r="F9" i="2"/>
  <c r="H17" i="2" l="1"/>
  <c r="G18" i="2"/>
  <c r="G19" i="2" s="1"/>
  <c r="G20" i="2" s="1"/>
  <c r="J4" i="2"/>
  <c r="I16" i="2"/>
  <c r="I5" i="2"/>
  <c r="H6" i="2"/>
  <c r="H7" i="2" s="1"/>
  <c r="F22" i="2"/>
  <c r="J5" i="2" l="1"/>
  <c r="I6" i="2"/>
  <c r="I7" i="2" s="1"/>
  <c r="G21" i="2"/>
  <c r="I17" i="2"/>
  <c r="H18" i="2"/>
  <c r="H19" i="2" s="1"/>
  <c r="K4" i="2"/>
  <c r="J16" i="2"/>
  <c r="H8" i="2"/>
  <c r="H9" i="2"/>
  <c r="H20" i="2" l="1"/>
  <c r="H21" i="2"/>
  <c r="J17" i="2"/>
  <c r="I18" i="2"/>
  <c r="I19" i="2" s="1"/>
  <c r="G22" i="2"/>
  <c r="I8" i="2"/>
  <c r="I9" i="2"/>
  <c r="K16" i="2"/>
  <c r="B23" i="2"/>
  <c r="C29" i="1" s="1"/>
  <c r="B63" i="1" s="1"/>
  <c r="J6" i="2"/>
  <c r="J7" i="2" s="1"/>
  <c r="K5" i="2"/>
  <c r="I20" i="2" l="1"/>
  <c r="I21" i="2"/>
  <c r="J8" i="2"/>
  <c r="J9" i="2"/>
  <c r="H22" i="2"/>
  <c r="K6" i="2"/>
  <c r="K7" i="2" s="1"/>
  <c r="K8" i="2" s="1"/>
  <c r="L5" i="2"/>
  <c r="K17" i="2"/>
  <c r="J18" i="2"/>
  <c r="J19" i="2" s="1"/>
  <c r="B11" i="2" l="1"/>
  <c r="C28" i="1" s="1"/>
  <c r="L6" i="2"/>
  <c r="L7" i="2" s="1"/>
  <c r="L8" i="2" s="1"/>
  <c r="B8" i="2" s="1"/>
  <c r="J20" i="2"/>
  <c r="J21" i="2"/>
  <c r="L17" i="2"/>
  <c r="L18" i="2" s="1"/>
  <c r="L19" i="2" s="1"/>
  <c r="L20" i="2" s="1"/>
  <c r="K18" i="2"/>
  <c r="K19" i="2" s="1"/>
  <c r="K20" i="2" s="1"/>
  <c r="K9" i="2"/>
  <c r="I22" i="2"/>
  <c r="L21" i="2" l="1"/>
  <c r="L22" i="2"/>
  <c r="B20" i="2"/>
  <c r="J22" i="2"/>
  <c r="K21" i="2"/>
  <c r="K22" i="2" s="1"/>
  <c r="L9" i="2"/>
  <c r="B9" i="2" s="1"/>
  <c r="B10" i="2" s="1"/>
  <c r="B22" i="2" l="1"/>
  <c r="B21" i="2"/>
</calcChain>
</file>

<file path=xl/sharedStrings.xml><?xml version="1.0" encoding="utf-8"?>
<sst xmlns="http://schemas.openxmlformats.org/spreadsheetml/2006/main" count="51" uniqueCount="43">
  <si>
    <t>Increased payload</t>
  </si>
  <si>
    <t>ton</t>
  </si>
  <si>
    <t>Euro</t>
  </si>
  <si>
    <t>km/year</t>
  </si>
  <si>
    <t>Euro/year</t>
  </si>
  <si>
    <t xml:space="preserve">Euro </t>
  </si>
  <si>
    <t>PAYBACK PERIOD</t>
  </si>
  <si>
    <t>Additional income due to the increased payload</t>
  </si>
  <si>
    <t>Cash flow</t>
  </si>
  <si>
    <t>Actualised cash flow</t>
  </si>
  <si>
    <t>Cumulated cash flow</t>
  </si>
  <si>
    <t>Cumulated actualised cash flow</t>
  </si>
  <si>
    <t>Years</t>
  </si>
  <si>
    <t>CUMULATED INVESTMENT, INCOMES &amp; RESIDUAL VALUE AFTER 10 YEARS</t>
  </si>
  <si>
    <t>Euro/(ton.km)</t>
  </si>
  <si>
    <t>Trips fully loaded (heavy goods)</t>
  </si>
  <si>
    <t>Month</t>
  </si>
  <si>
    <t>This analysis shows the net present value of the financial advantage of lightweighting and higher residual value.</t>
  </si>
  <si>
    <t>Financial benefit analysis</t>
  </si>
  <si>
    <t>FINANCIAL ANALYSIS BEFORE TAX</t>
  </si>
  <si>
    <t>Additional residual value *</t>
  </si>
  <si>
    <t>Even if not included in our simplified calculation, reduced maintenance, fuel saving for empty trips, and improved appearance, are additionnal elements improving the return on investment!</t>
  </si>
  <si>
    <t>Additional investment for aluminium vehicle</t>
  </si>
  <si>
    <t>Pay-back period</t>
  </si>
  <si>
    <t>Sign</t>
  </si>
  <si>
    <t>Additional months</t>
  </si>
  <si>
    <t>Operating time</t>
  </si>
  <si>
    <t>Cumul</t>
  </si>
  <si>
    <t>DISCOUNTED CASH FLOWS</t>
  </si>
  <si>
    <t>CASH FLOWS (NO DISCOUNT)</t>
  </si>
  <si>
    <t>Yearly rate:</t>
  </si>
  <si>
    <t>Yearly discount rate:</t>
  </si>
  <si>
    <t>Aluminium content of the vehicle</t>
  </si>
  <si>
    <t>The net present value is the today's value of future incomes generated by your investment.</t>
  </si>
  <si>
    <t>for an investment in an aluminium vehicle</t>
  </si>
  <si>
    <t xml:space="preserve">ALUMINIUM: THE FUTURE OF ROAD TRANSPORT              </t>
  </si>
  <si>
    <t>OPERATIONAL VARIABLES</t>
  </si>
  <si>
    <t>LME ($/ton)</t>
  </si>
  <si>
    <t>Exchange rate ($/Euro)</t>
  </si>
  <si>
    <t>Estimated trucking revenue for the additional payload</t>
  </si>
  <si>
    <t>Sign change</t>
  </si>
  <si>
    <t>Net Present Value</t>
  </si>
  <si>
    <t>Example 1: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</si>
</sst>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\ _F_B_-;\-* #,##0.00\ _F_B_-;_-* &quot;-&quot;??\ _F_B_-;_-@_-"/>
    <numFmt numFmtId="172" formatCode="0.0%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20"/>
      <color indexed="9"/>
      <name val="Arial"/>
      <family val="2"/>
    </font>
    <font>
      <b/>
      <sz val="18"/>
      <color indexed="9"/>
      <name val="Arial"/>
      <family val="2"/>
    </font>
    <font>
      <b/>
      <sz val="20"/>
      <color indexed="62"/>
      <name val="Arial"/>
      <family val="2"/>
    </font>
    <font>
      <sz val="10"/>
      <color indexed="6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5" fillId="0" borderId="0" xfId="0" applyFont="1"/>
    <xf numFmtId="1" fontId="0" fillId="0" borderId="0" xfId="0" applyNumberFormat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2" fillId="2" borderId="0" xfId="0" applyFont="1" applyFill="1" applyProtection="1"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5" fillId="3" borderId="0" xfId="0" applyFont="1" applyFill="1" applyBorder="1" applyProtection="1">
      <protection locked="0"/>
    </xf>
    <xf numFmtId="1" fontId="5" fillId="3" borderId="0" xfId="1" applyNumberFormat="1" applyFont="1" applyFill="1" applyBorder="1" applyProtection="1">
      <protection locked="0"/>
    </xf>
    <xf numFmtId="9" fontId="5" fillId="3" borderId="0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0" fontId="15" fillId="2" borderId="0" xfId="0" applyFont="1" applyFill="1" applyAlignment="1" applyProtection="1">
      <alignment horizontal="center"/>
      <protection locked="0"/>
    </xf>
    <xf numFmtId="0" fontId="0" fillId="4" borderId="0" xfId="0" applyFill="1" applyProtection="1"/>
    <xf numFmtId="0" fontId="10" fillId="4" borderId="0" xfId="0" applyFont="1" applyFill="1" applyAlignment="1" applyProtection="1">
      <alignment horizontal="center"/>
    </xf>
    <xf numFmtId="0" fontId="8" fillId="4" borderId="0" xfId="0" applyFont="1" applyFill="1" applyAlignment="1" applyProtection="1">
      <alignment horizontal="left"/>
    </xf>
    <xf numFmtId="0" fontId="8" fillId="4" borderId="0" xfId="0" applyFont="1" applyFill="1" applyAlignment="1" applyProtection="1">
      <alignment horizontal="center"/>
    </xf>
    <xf numFmtId="0" fontId="11" fillId="4" borderId="0" xfId="0" applyFont="1" applyFill="1" applyAlignment="1" applyProtection="1">
      <alignment horizontal="center"/>
    </xf>
    <xf numFmtId="0" fontId="9" fillId="4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0" xfId="0" applyFont="1" applyFill="1" applyProtection="1"/>
    <xf numFmtId="0" fontId="0" fillId="2" borderId="0" xfId="0" applyFont="1" applyFill="1" applyBorder="1" applyProtection="1"/>
    <xf numFmtId="0" fontId="3" fillId="2" borderId="0" xfId="0" applyFont="1" applyFill="1" applyProtection="1"/>
    <xf numFmtId="0" fontId="0" fillId="2" borderId="0" xfId="0" applyFill="1" applyBorder="1" applyProtection="1"/>
    <xf numFmtId="0" fontId="6" fillId="4" borderId="0" xfId="0" applyFont="1" applyFill="1" applyBorder="1" applyProtection="1"/>
    <xf numFmtId="0" fontId="7" fillId="2" borderId="0" xfId="0" applyFont="1" applyFill="1" applyBorder="1" applyProtection="1"/>
    <xf numFmtId="0" fontId="5" fillId="2" borderId="0" xfId="0" applyFont="1" applyFill="1" applyBorder="1" applyProtection="1"/>
    <xf numFmtId="0" fontId="4" fillId="2" borderId="0" xfId="0" applyFont="1" applyFill="1" applyBorder="1" applyProtection="1"/>
    <xf numFmtId="0" fontId="2" fillId="2" borderId="0" xfId="0" applyFont="1" applyFill="1" applyBorder="1" applyProtection="1"/>
    <xf numFmtId="0" fontId="6" fillId="4" borderId="0" xfId="0" applyFont="1" applyFill="1" applyBorder="1" applyAlignment="1" applyProtection="1">
      <alignment horizontal="right"/>
    </xf>
    <xf numFmtId="0" fontId="6" fillId="2" borderId="0" xfId="0" applyFont="1" applyFill="1" applyBorder="1" applyProtection="1"/>
    <xf numFmtId="0" fontId="7" fillId="2" borderId="0" xfId="0" applyFont="1" applyFill="1" applyProtection="1"/>
    <xf numFmtId="172" fontId="6" fillId="2" borderId="0" xfId="2" applyNumberFormat="1" applyFont="1" applyFill="1" applyBorder="1" applyProtection="1"/>
    <xf numFmtId="1" fontId="6" fillId="2" borderId="0" xfId="0" applyNumberFormat="1" applyFont="1" applyFill="1" applyBorder="1" applyProtection="1"/>
    <xf numFmtId="1" fontId="6" fillId="4" borderId="0" xfId="0" applyNumberFormat="1" applyFont="1" applyFill="1" applyBorder="1" applyProtection="1"/>
    <xf numFmtId="0" fontId="0" fillId="2" borderId="0" xfId="0" quotePrefix="1" applyFill="1" applyProtection="1"/>
    <xf numFmtId="0" fontId="13" fillId="2" borderId="0" xfId="0" applyFont="1" applyFill="1" applyAlignment="1" applyProtection="1">
      <alignment horizontal="right"/>
    </xf>
    <xf numFmtId="0" fontId="13" fillId="2" borderId="0" xfId="0" applyFont="1" applyFill="1" applyProtection="1"/>
    <xf numFmtId="0" fontId="12" fillId="2" borderId="0" xfId="0" applyFont="1" applyFill="1" applyAlignment="1" applyProtection="1">
      <alignment horizontal="left"/>
    </xf>
    <xf numFmtId="0" fontId="12" fillId="2" borderId="0" xfId="0" applyFont="1" applyFill="1" applyAlignment="1" applyProtection="1"/>
    <xf numFmtId="0" fontId="0" fillId="0" borderId="0" xfId="0" quotePrefix="1"/>
    <xf numFmtId="0" fontId="0" fillId="0" borderId="0" xfId="0" applyAlignment="1">
      <alignment horizontal="center"/>
    </xf>
    <xf numFmtId="0" fontId="16" fillId="0" borderId="0" xfId="0" applyFont="1" applyFill="1" applyAlignment="1">
      <alignment horizontal="right"/>
    </xf>
    <xf numFmtId="0" fontId="16" fillId="0" borderId="0" xfId="0" applyFont="1" applyFill="1"/>
    <xf numFmtId="1" fontId="16" fillId="0" borderId="0" xfId="0" applyNumberFormat="1" applyFont="1" applyFill="1"/>
    <xf numFmtId="1" fontId="16" fillId="0" borderId="0" xfId="0" applyNumberFormat="1" applyFont="1" applyFill="1" applyBorder="1"/>
    <xf numFmtId="0" fontId="0" fillId="0" borderId="0" xfId="0" applyBorder="1"/>
    <xf numFmtId="0" fontId="14" fillId="0" borderId="0" xfId="0" applyFont="1" applyBorder="1"/>
    <xf numFmtId="1" fontId="14" fillId="0" borderId="0" xfId="0" applyNumberFormat="1" applyFont="1" applyBorder="1"/>
    <xf numFmtId="1" fontId="14" fillId="0" borderId="0" xfId="0" applyNumberFormat="1" applyFont="1"/>
    <xf numFmtId="0" fontId="14" fillId="0" borderId="0" xfId="0" applyFont="1"/>
    <xf numFmtId="0" fontId="14" fillId="0" borderId="1" xfId="0" applyFont="1" applyBorder="1"/>
    <xf numFmtId="1" fontId="14" fillId="0" borderId="2" xfId="0" applyNumberFormat="1" applyFont="1" applyBorder="1"/>
    <xf numFmtId="0" fontId="14" fillId="0" borderId="3" xfId="0" applyFont="1" applyBorder="1"/>
    <xf numFmtId="1" fontId="14" fillId="0" borderId="4" xfId="0" applyNumberFormat="1" applyFont="1" applyBorder="1"/>
    <xf numFmtId="0" fontId="0" fillId="0" borderId="1" xfId="0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16" fillId="0" borderId="0" xfId="0" applyFont="1" applyFill="1" applyBorder="1" applyAlignment="1">
      <alignment horizontal="right"/>
    </xf>
    <xf numFmtId="0" fontId="5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5" fillId="2" borderId="0" xfId="0" applyFont="1" applyFill="1" applyAlignment="1" applyProtection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Cumulated actualised cash flow (Euro)</a:t>
            </a:r>
          </a:p>
        </c:rich>
      </c:tx>
      <c:layout>
        <c:manualLayout>
          <c:xMode val="edge"/>
          <c:yMode val="edge"/>
          <c:x val="0.23435286594800678"/>
          <c:y val="1.104135890893220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8825415744034097E-2"/>
          <c:y val="8.0444186336506088E-2"/>
          <c:w val="0.84063416692280979"/>
          <c:h val="0.85807132092273153"/>
        </c:manualLayout>
      </c:layout>
      <c:area3DChart>
        <c:grouping val="standard"/>
        <c:varyColors val="0"/>
        <c:ser>
          <c:idx val="1"/>
          <c:order val="0"/>
          <c:tx>
            <c:strRef>
              <c:f>'Detailed calculations'!$A$17</c:f>
              <c:strCache>
                <c:ptCount val="1"/>
                <c:pt idx="0">
                  <c:v>Cumulated actualised cash flow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cat>
            <c:numRef>
              <c:f>'Detailed calculations'!$B$1:$L$1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'Detailed calculations'!$B$17:$L$17</c:f>
              <c:numCache>
                <c:formatCode>0</c:formatCode>
                <c:ptCount val="11"/>
                <c:pt idx="0" formatCode="General">
                  <c:v>-3500</c:v>
                </c:pt>
                <c:pt idx="1">
                  <c:v>-846.69811320754752</c:v>
                </c:pt>
                <c:pt idx="2">
                  <c:v>1656.4168743325022</c:v>
                </c:pt>
                <c:pt idx="3">
                  <c:v>4017.8461078608507</c:v>
                </c:pt>
                <c:pt idx="4">
                  <c:v>6245.6095357177837</c:v>
                </c:pt>
                <c:pt idx="5">
                  <c:v>8347.273146903568</c:v>
                </c:pt>
                <c:pt idx="6">
                  <c:v>10329.974666890157</c:v>
                </c:pt>
                <c:pt idx="7">
                  <c:v>12200.447798952977</c:v>
                </c:pt>
                <c:pt idx="8">
                  <c:v>13965.045093351864</c:v>
                </c:pt>
                <c:pt idx="9">
                  <c:v>15629.759522030059</c:v>
                </c:pt>
                <c:pt idx="10">
                  <c:v>17782.144926933866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9-443F-8C77-9D1288F752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00938608"/>
        <c:axId val="1"/>
        <c:axId val="2"/>
      </c:area3DChart>
      <c:catAx>
        <c:axId val="120093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Operating time (years)</a:t>
                </a:r>
              </a:p>
            </c:rich>
          </c:tx>
          <c:layout>
            <c:manualLayout>
              <c:xMode val="edge"/>
              <c:yMode val="edge"/>
              <c:x val="0.33872053904226079"/>
              <c:y val="0.89277273463651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938608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34</xdr:row>
      <xdr:rowOff>7620</xdr:rowOff>
    </xdr:from>
    <xdr:to>
      <xdr:col>2</xdr:col>
      <xdr:colOff>1432560</xdr:colOff>
      <xdr:row>62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61D45E83-C3B6-4491-12E5-2FAF51FCA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106680</xdr:rowOff>
    </xdr:from>
    <xdr:to>
      <xdr:col>0</xdr:col>
      <xdr:colOff>2194560</xdr:colOff>
      <xdr:row>4</xdr:row>
      <xdr:rowOff>144780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82D60E30-1DB7-9EB8-D6E0-7F4342C01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"/>
          <a:ext cx="2194560" cy="1242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662940</xdr:colOff>
      <xdr:row>10</xdr:row>
      <xdr:rowOff>30480</xdr:rowOff>
    </xdr:from>
    <xdr:to>
      <xdr:col>2</xdr:col>
      <xdr:colOff>1333500</xdr:colOff>
      <xdr:row>13</xdr:row>
      <xdr:rowOff>91440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B29AF001-5A43-6032-2844-A11CA86A7EFD}"/>
            </a:ext>
          </a:extLst>
        </xdr:cNvPr>
        <xdr:cNvSpPr>
          <a:spLocks noChangeArrowheads="1"/>
        </xdr:cNvSpPr>
      </xdr:nvSpPr>
      <xdr:spPr bwMode="auto">
        <a:xfrm>
          <a:off x="7840980" y="2263140"/>
          <a:ext cx="670560" cy="594360"/>
        </a:xfrm>
        <a:prstGeom prst="down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4457700</xdr:colOff>
      <xdr:row>73</xdr:row>
      <xdr:rowOff>144780</xdr:rowOff>
    </xdr:from>
    <xdr:to>
      <xdr:col>2</xdr:col>
      <xdr:colOff>1722120</xdr:colOff>
      <xdr:row>78</xdr:row>
      <xdr:rowOff>22860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B368FD5-EE99-1E44-977B-A3C55E35D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434060"/>
          <a:ext cx="444246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3436620</xdr:colOff>
          <xdr:row>5</xdr:row>
          <xdr:rowOff>45720</xdr:rowOff>
        </xdr:from>
        <xdr:to>
          <xdr:col>1</xdr:col>
          <xdr:colOff>495300</xdr:colOff>
          <xdr:row>6</xdr:row>
          <xdr:rowOff>129540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36DC151-F50E-C002-E243-F253B4F7B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Example 1: Platform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3436620</xdr:colOff>
          <xdr:row>6</xdr:row>
          <xdr:rowOff>160020</xdr:rowOff>
        </xdr:from>
        <xdr:to>
          <xdr:col>1</xdr:col>
          <xdr:colOff>495300</xdr:colOff>
          <xdr:row>8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F14307F-0AC5-75AD-193E-9BFFDD8DAF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Example 2: Large Volume Tipper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3436620</xdr:colOff>
          <xdr:row>8</xdr:row>
          <xdr:rowOff>106680</xdr:rowOff>
        </xdr:from>
        <xdr:to>
          <xdr:col>1</xdr:col>
          <xdr:colOff>495300</xdr:colOff>
          <xdr:row>9</xdr:row>
          <xdr:rowOff>190500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627E90AB-FBAA-7C08-43C5-B6326A64A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Example 3: Public Works Tipper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3436620</xdr:colOff>
          <xdr:row>10</xdr:row>
          <xdr:rowOff>137160</xdr:rowOff>
        </xdr:from>
        <xdr:to>
          <xdr:col>1</xdr:col>
          <xdr:colOff>487680</xdr:colOff>
          <xdr:row>12</xdr:row>
          <xdr:rowOff>30480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8F595F6-F028-433D-25F2-D6FEB205F9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To fill in your own parameters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3977640</xdr:colOff>
          <xdr:row>63</xdr:row>
          <xdr:rowOff>38100</xdr:rowOff>
        </xdr:from>
        <xdr:to>
          <xdr:col>0</xdr:col>
          <xdr:colOff>4869180</xdr:colOff>
          <xdr:row>64</xdr:row>
          <xdr:rowOff>106680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41E11B6-20F7-E1C0-F98D-73F699734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79"/>
  <sheetViews>
    <sheetView tabSelected="1" zoomScale="75" zoomScaleNormal="78" zoomScaleSheetLayoutView="78" workbookViewId="0">
      <selection activeCell="C10" sqref="C10"/>
    </sheetView>
  </sheetViews>
  <sheetFormatPr defaultColWidth="9.109375" defaultRowHeight="13.2" x14ac:dyDescent="0.25"/>
  <cols>
    <col min="1" max="1" width="76.6640625" style="10" customWidth="1"/>
    <col min="2" max="2" width="28" style="10" customWidth="1"/>
    <col min="3" max="3" width="29.88671875" style="10" customWidth="1"/>
    <col min="4" max="16384" width="9.109375" style="10"/>
  </cols>
  <sheetData>
    <row r="1" spans="1:3" ht="24.6" x14ac:dyDescent="0.4">
      <c r="A1" s="12"/>
      <c r="B1" s="13" t="s">
        <v>35</v>
      </c>
      <c r="C1" s="14"/>
    </row>
    <row r="2" spans="1:3" ht="24.6" x14ac:dyDescent="0.4">
      <c r="A2" s="15"/>
      <c r="B2" s="13"/>
      <c r="C2" s="15"/>
    </row>
    <row r="3" spans="1:3" ht="22.8" x14ac:dyDescent="0.4">
      <c r="A3" s="12"/>
      <c r="B3" s="16" t="s">
        <v>18</v>
      </c>
      <c r="C3" s="17"/>
    </row>
    <row r="4" spans="1:3" ht="22.8" x14ac:dyDescent="0.4">
      <c r="A4" s="12"/>
      <c r="B4" s="16" t="s">
        <v>34</v>
      </c>
      <c r="C4" s="17"/>
    </row>
    <row r="5" spans="1:3" x14ac:dyDescent="0.25">
      <c r="A5" s="18"/>
      <c r="B5" s="18"/>
      <c r="C5" s="18"/>
    </row>
    <row r="6" spans="1:3" x14ac:dyDescent="0.25">
      <c r="A6" s="18"/>
      <c r="B6" s="18"/>
      <c r="C6" s="18"/>
    </row>
    <row r="7" spans="1:3" x14ac:dyDescent="0.25">
      <c r="A7" s="18"/>
      <c r="B7" s="18"/>
      <c r="C7" s="18"/>
    </row>
    <row r="8" spans="1:3" x14ac:dyDescent="0.25">
      <c r="A8" s="18"/>
      <c r="B8" s="19"/>
      <c r="C8" s="18"/>
    </row>
    <row r="9" spans="1:3" ht="15" x14ac:dyDescent="0.25">
      <c r="A9" s="20"/>
      <c r="B9" s="19"/>
      <c r="C9" s="11"/>
    </row>
    <row r="10" spans="1:3" x14ac:dyDescent="0.25">
      <c r="A10" s="18"/>
      <c r="B10" s="18"/>
      <c r="C10" s="6" t="s">
        <v>42</v>
      </c>
    </row>
    <row r="11" spans="1:3" x14ac:dyDescent="0.25">
      <c r="A11" s="18"/>
      <c r="B11" s="18"/>
      <c r="C11" s="18"/>
    </row>
    <row r="12" spans="1:3" x14ac:dyDescent="0.25">
      <c r="A12" s="18"/>
      <c r="B12" s="18"/>
      <c r="C12" s="18"/>
    </row>
    <row r="13" spans="1:3" ht="15.6" x14ac:dyDescent="0.3">
      <c r="A13" s="5" t="s">
        <v>36</v>
      </c>
      <c r="B13" s="21"/>
      <c r="C13" s="18"/>
    </row>
    <row r="14" spans="1:3" x14ac:dyDescent="0.25">
      <c r="A14" s="22"/>
      <c r="B14" s="22"/>
      <c r="C14" s="22"/>
    </row>
    <row r="15" spans="1:3" x14ac:dyDescent="0.25">
      <c r="A15" s="23" t="s">
        <v>0</v>
      </c>
      <c r="B15" s="23" t="s">
        <v>1</v>
      </c>
      <c r="C15" s="7">
        <v>1.5</v>
      </c>
    </row>
    <row r="16" spans="1:3" x14ac:dyDescent="0.25">
      <c r="A16" s="23" t="s">
        <v>22</v>
      </c>
      <c r="B16" s="23" t="s">
        <v>2</v>
      </c>
      <c r="C16" s="7">
        <v>3500</v>
      </c>
    </row>
    <row r="17" spans="1:3" x14ac:dyDescent="0.25">
      <c r="A17" s="23" t="s">
        <v>32</v>
      </c>
      <c r="B17" s="23" t="s">
        <v>1</v>
      </c>
      <c r="C17" s="7">
        <v>1.3</v>
      </c>
    </row>
    <row r="18" spans="1:3" x14ac:dyDescent="0.25">
      <c r="A18" s="23" t="s">
        <v>15</v>
      </c>
      <c r="B18" s="23" t="s">
        <v>3</v>
      </c>
      <c r="C18" s="8">
        <v>75000</v>
      </c>
    </row>
    <row r="19" spans="1:3" x14ac:dyDescent="0.25">
      <c r="A19" s="23" t="s">
        <v>39</v>
      </c>
      <c r="B19" s="23" t="s">
        <v>14</v>
      </c>
      <c r="C19" s="7">
        <v>2.5000000000000001E-2</v>
      </c>
    </row>
    <row r="20" spans="1:3" x14ac:dyDescent="0.25">
      <c r="A20" s="24"/>
      <c r="B20" s="25"/>
      <c r="C20" s="31"/>
    </row>
    <row r="21" spans="1:3" x14ac:dyDescent="0.25">
      <c r="A21" s="26"/>
      <c r="B21" s="25"/>
      <c r="C21" s="31"/>
    </row>
    <row r="22" spans="1:3" ht="15.6" x14ac:dyDescent="0.3">
      <c r="A22" s="27" t="s">
        <v>19</v>
      </c>
      <c r="B22" s="28" t="s">
        <v>31</v>
      </c>
      <c r="C22" s="9">
        <v>0.06</v>
      </c>
    </row>
    <row r="23" spans="1:3" x14ac:dyDescent="0.25">
      <c r="A23" s="22"/>
      <c r="B23" s="22"/>
      <c r="C23" s="22"/>
    </row>
    <row r="24" spans="1:3" x14ac:dyDescent="0.25">
      <c r="A24" s="23" t="s">
        <v>7</v>
      </c>
      <c r="B24" s="23" t="s">
        <v>4</v>
      </c>
      <c r="C24" s="33">
        <f>C15*C18*C19</f>
        <v>2812.5</v>
      </c>
    </row>
    <row r="25" spans="1:3" x14ac:dyDescent="0.25">
      <c r="A25" s="23" t="s">
        <v>20</v>
      </c>
      <c r="B25" s="23" t="s">
        <v>5</v>
      </c>
      <c r="C25" s="33">
        <f>C17*'Detailed calculations'!B29/'Detailed calculations'!B30*0.47</f>
        <v>1042.0944444444444</v>
      </c>
    </row>
    <row r="26" spans="1:3" x14ac:dyDescent="0.25">
      <c r="A26" s="30" t="str">
        <f>CONCATENATE("* Scrap price estimation based on LME at ",'Detailed calculations'!B29," $/ton and exchange rate of ",'Detailed calculations'!B30," $/Euro")</f>
        <v>* Scrap price estimation based on LME at 1535 $/ton and exchange rate of 0.9 $/Euro</v>
      </c>
      <c r="B26" s="29"/>
      <c r="C26" s="32"/>
    </row>
    <row r="27" spans="1:3" x14ac:dyDescent="0.25">
      <c r="A27" s="30"/>
      <c r="B27" s="29"/>
      <c r="C27" s="32"/>
    </row>
    <row r="28" spans="1:3" x14ac:dyDescent="0.25">
      <c r="A28" s="23" t="s">
        <v>13</v>
      </c>
      <c r="B28" s="23" t="s">
        <v>5</v>
      </c>
      <c r="C28" s="33">
        <f>'Detailed calculations'!B11</f>
        <v>25667.094444444443</v>
      </c>
    </row>
    <row r="29" spans="1:3" x14ac:dyDescent="0.25">
      <c r="A29" s="23" t="str">
        <f>CONCATENATE("NET PRESENT VALUE assuming a discount rate of ",C22*100,"%")</f>
        <v>NET PRESENT VALUE assuming a discount rate of 6%</v>
      </c>
      <c r="B29" s="23" t="s">
        <v>2</v>
      </c>
      <c r="C29" s="33">
        <f>+'Detailed calculations'!B23</f>
        <v>17782.144926933866</v>
      </c>
    </row>
    <row r="30" spans="1:3" x14ac:dyDescent="0.25">
      <c r="A30" s="23" t="s">
        <v>6</v>
      </c>
      <c r="B30" s="23" t="s">
        <v>16</v>
      </c>
      <c r="C30" s="33">
        <f>12*(1-'Detailed calculations'!C17/'Detailed calculations'!D16)</f>
        <v>16.059093333333337</v>
      </c>
    </row>
    <row r="31" spans="1:3" x14ac:dyDescent="0.25">
      <c r="A31" s="18"/>
      <c r="B31" s="18"/>
      <c r="C31" s="18"/>
    </row>
    <row r="32" spans="1:3" x14ac:dyDescent="0.25">
      <c r="A32" s="18"/>
      <c r="B32" s="18"/>
      <c r="C32" s="18"/>
    </row>
    <row r="33" spans="1:3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  <row r="40" spans="1:3" x14ac:dyDescent="0.25">
      <c r="A40" s="18"/>
      <c r="B40" s="18"/>
      <c r="C40" s="18"/>
    </row>
    <row r="41" spans="1:3" x14ac:dyDescent="0.25">
      <c r="A41" s="18"/>
      <c r="B41" s="18"/>
      <c r="C41" s="18"/>
    </row>
    <row r="42" spans="1:3" x14ac:dyDescent="0.25">
      <c r="A42" s="18"/>
      <c r="B42" s="18"/>
      <c r="C42" s="18"/>
    </row>
    <row r="43" spans="1:3" x14ac:dyDescent="0.25">
      <c r="A43" s="18"/>
      <c r="B43" s="18"/>
      <c r="C43" s="18"/>
    </row>
    <row r="44" spans="1:3" x14ac:dyDescent="0.25">
      <c r="A44" s="18"/>
      <c r="B44" s="18"/>
      <c r="C44" s="35"/>
    </row>
    <row r="45" spans="1:3" x14ac:dyDescent="0.25">
      <c r="A45" s="18"/>
      <c r="B45" s="18"/>
      <c r="C45" s="18"/>
    </row>
    <row r="46" spans="1:3" x14ac:dyDescent="0.25">
      <c r="A46" s="18"/>
      <c r="B46" s="18"/>
      <c r="C46" s="18"/>
    </row>
    <row r="47" spans="1:3" x14ac:dyDescent="0.25">
      <c r="A47" s="18"/>
      <c r="B47" s="18"/>
      <c r="C47" s="18"/>
    </row>
    <row r="48" spans="1:3" x14ac:dyDescent="0.25">
      <c r="A48" s="18"/>
      <c r="B48" s="18"/>
      <c r="C48" s="18"/>
    </row>
    <row r="49" spans="1:3" x14ac:dyDescent="0.25">
      <c r="A49" s="18"/>
      <c r="B49" s="18"/>
      <c r="C49" s="18"/>
    </row>
    <row r="50" spans="1:3" x14ac:dyDescent="0.25">
      <c r="A50" s="36"/>
      <c r="B50" s="18"/>
      <c r="C50" s="18"/>
    </row>
    <row r="51" spans="1:3" x14ac:dyDescent="0.25">
      <c r="A51" s="18"/>
      <c r="B51" s="18"/>
      <c r="C51" s="18"/>
    </row>
    <row r="52" spans="1:3" x14ac:dyDescent="0.25">
      <c r="A52" s="18"/>
      <c r="B52" s="18"/>
      <c r="C52" s="18"/>
    </row>
    <row r="53" spans="1:3" x14ac:dyDescent="0.25">
      <c r="A53" s="18"/>
      <c r="B53" s="18"/>
      <c r="C53" s="18"/>
    </row>
    <row r="54" spans="1:3" x14ac:dyDescent="0.25">
      <c r="A54" s="18"/>
      <c r="B54" s="18"/>
      <c r="C54" s="18"/>
    </row>
    <row r="55" spans="1:3" x14ac:dyDescent="0.25">
      <c r="A55" s="18"/>
      <c r="B55" s="18"/>
      <c r="C55" s="18"/>
    </row>
    <row r="56" spans="1:3" x14ac:dyDescent="0.25">
      <c r="A56" s="18"/>
      <c r="B56" s="18"/>
      <c r="C56" s="18"/>
    </row>
    <row r="57" spans="1:3" x14ac:dyDescent="0.25">
      <c r="A57" s="18"/>
      <c r="B57" s="18"/>
      <c r="C57" s="18"/>
    </row>
    <row r="58" spans="1:3" x14ac:dyDescent="0.25">
      <c r="A58" s="18"/>
      <c r="B58" s="18"/>
      <c r="C58" s="18"/>
    </row>
    <row r="59" spans="1:3" ht="24.6" x14ac:dyDescent="0.4">
      <c r="A59" s="37" t="str">
        <f>CONCATENATE("            ",-C16)</f>
        <v xml:space="preserve">            -3500</v>
      </c>
      <c r="B59" s="18"/>
      <c r="C59" s="18"/>
    </row>
    <row r="60" spans="1:3" x14ac:dyDescent="0.25">
      <c r="A60" s="18"/>
      <c r="B60" s="18"/>
      <c r="C60" s="18"/>
    </row>
    <row r="61" spans="1:3" x14ac:dyDescent="0.25">
      <c r="A61" s="18"/>
      <c r="B61" s="18"/>
      <c r="C61" s="18"/>
    </row>
    <row r="62" spans="1:3" x14ac:dyDescent="0.25">
      <c r="A62" s="18"/>
      <c r="B62" s="18"/>
      <c r="C62" s="18"/>
    </row>
    <row r="63" spans="1:3" ht="24.6" x14ac:dyDescent="0.4">
      <c r="A63" s="18"/>
      <c r="B63" s="38" t="str">
        <f>IF(SIGN(C29)=1,CONCATENATE("                       +",INT(C29+0.5)),CONCATENATE("                       ",INT(C29+0.5)))</f>
        <v xml:space="preserve">                       +17782</v>
      </c>
      <c r="C63" s="18"/>
    </row>
    <row r="64" spans="1:3" x14ac:dyDescent="0.25">
      <c r="A64" s="18"/>
      <c r="B64" s="18"/>
      <c r="C64" s="18"/>
    </row>
    <row r="65" spans="1:3" x14ac:dyDescent="0.25">
      <c r="A65" s="18"/>
      <c r="B65" s="18"/>
      <c r="C65" s="18"/>
    </row>
    <row r="66" spans="1:3" x14ac:dyDescent="0.25">
      <c r="A66" s="18"/>
      <c r="B66" s="18"/>
      <c r="C66" s="18"/>
    </row>
    <row r="67" spans="1:3" x14ac:dyDescent="0.25">
      <c r="A67" s="59" t="s">
        <v>17</v>
      </c>
      <c r="B67" s="60"/>
      <c r="C67" s="60"/>
    </row>
    <row r="68" spans="1:3" x14ac:dyDescent="0.25">
      <c r="A68" s="59" t="s">
        <v>33</v>
      </c>
      <c r="B68" s="60"/>
      <c r="C68" s="60"/>
    </row>
    <row r="69" spans="1:3" x14ac:dyDescent="0.25">
      <c r="A69" s="18"/>
      <c r="B69" s="18"/>
      <c r="C69" s="18"/>
    </row>
    <row r="70" spans="1:3" ht="24.75" customHeight="1" x14ac:dyDescent="0.25">
      <c r="A70" s="61" t="s">
        <v>21</v>
      </c>
      <c r="B70" s="61"/>
      <c r="C70" s="61"/>
    </row>
    <row r="71" spans="1:3" x14ac:dyDescent="0.25">
      <c r="A71" s="18"/>
      <c r="B71" s="18"/>
      <c r="C71" s="18"/>
    </row>
    <row r="72" spans="1:3" x14ac:dyDescent="0.25">
      <c r="A72" s="34"/>
      <c r="B72" s="18"/>
      <c r="C72" s="18"/>
    </row>
    <row r="73" spans="1:3" x14ac:dyDescent="0.25">
      <c r="A73" s="34"/>
      <c r="B73" s="18"/>
      <c r="C73" s="18"/>
    </row>
    <row r="74" spans="1:3" x14ac:dyDescent="0.25">
      <c r="A74" s="18"/>
      <c r="B74" s="18"/>
      <c r="C74" s="18"/>
    </row>
    <row r="75" spans="1:3" x14ac:dyDescent="0.25">
      <c r="A75" s="18"/>
      <c r="B75" s="18"/>
      <c r="C75" s="18"/>
    </row>
    <row r="76" spans="1:3" x14ac:dyDescent="0.25">
      <c r="A76" s="18"/>
      <c r="B76" s="18"/>
      <c r="C76" s="18"/>
    </row>
    <row r="77" spans="1:3" x14ac:dyDescent="0.25">
      <c r="A77" s="18"/>
      <c r="B77" s="18"/>
      <c r="C77" s="18"/>
    </row>
    <row r="78" spans="1:3" x14ac:dyDescent="0.25">
      <c r="A78" s="18"/>
      <c r="B78" s="18"/>
      <c r="C78" s="18"/>
    </row>
    <row r="79" spans="1:3" x14ac:dyDescent="0.25">
      <c r="A79" s="18"/>
      <c r="B79" s="18"/>
      <c r="C79" s="18"/>
    </row>
  </sheetData>
  <sheetProtection password="EE14" sheet="1" objects="1" scenarios="1"/>
  <scenarios current="2" show="2">
    <scenario name="Example 1: Platform" locked="1" count="8" user="Gilmont">
      <inputCells r="A13" val="OPERATIONAL VARIABLES"/>
      <inputCells r="C10" val="Example 1: Platform"/>
      <inputCells r="C15" val="1.5"/>
      <inputCells r="C16" val="3500"/>
      <inputCells r="C17" val="1300"/>
      <inputCells r="C18" val="75000" numFmtId="1"/>
      <inputCells r="C19" val="0.025"/>
      <inputCells r="C22" val="0.06" numFmtId="9"/>
    </scenario>
    <scenario name="Example 2: Large Volume Tipper" locked="1" count="8" user="Gilmont">
      <inputCells r="A13" val="OPERATIONAL VARIABLES"/>
      <inputCells r="C10" val="Example 2: Large Volume Tipper"/>
      <inputCells r="C15" val="2.5"/>
      <inputCells r="C16" val="13300"/>
      <inputCells r="C17" val="2500"/>
      <inputCells r="C18" val="100000" numFmtId="1"/>
      <inputCells r="C19" val="0.025"/>
      <inputCells r="C22" val="0.06" numFmtId="9"/>
    </scenario>
    <scenario name="Example 3: Public Work Tipper" locked="1" count="8" user="Gilmont" comment="Created by EAA on 11/24/00_x000a_Modified by Gilmont on 11/24/00">
      <inputCells r="A13" val="OPERATIONAL VARIABLES"/>
      <inputCells r="C10" val="Example 3: Public Work Tipper"/>
      <inputCells r="C15" val="1.2"/>
      <inputCells r="C16" val="5100"/>
      <inputCells r="C17" val="2400"/>
      <inputCells r="C18" val="89000" numFmtId="1"/>
      <inputCells r="C19" val="0.036"/>
      <inputCells r="C22" val="0.06" numFmtId="9"/>
    </scenario>
    <scenario name="Your parameters" locked="1" count="8" user="Gilmont">
      <inputCells r="A13" val="YOUR OPERATIONAL VARIABLES"/>
      <inputCells r="C10" val="Please fill in your parameters"/>
      <inputCells r="C15" val=""/>
      <inputCells r="C16" val=""/>
      <inputCells r="C17" val=""/>
      <inputCells r="C18" val="" numFmtId="1"/>
      <inputCells r="C19" val=""/>
      <inputCells r="C22" val="" numFmtId="9"/>
    </scenario>
  </scenarios>
  <mergeCells count="3">
    <mergeCell ref="A67:C67"/>
    <mergeCell ref="A68:C68"/>
    <mergeCell ref="A70:C70"/>
  </mergeCells>
  <pageMargins left="0.78" right="0.37" top="1" bottom="1" header="0.5" footer="0.5"/>
  <pageSetup paperSize="9" scale="65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Button 11">
              <controlPr locked="0" defaultSize="0" print="0" autoFill="0" autoPict="0" macro="[0]!Macro1">
                <anchor moveWithCells="1" sizeWithCells="1">
                  <from>
                    <xdr:col>0</xdr:col>
                    <xdr:colOff>3436620</xdr:colOff>
                    <xdr:row>5</xdr:row>
                    <xdr:rowOff>45720</xdr:rowOff>
                  </from>
                  <to>
                    <xdr:col>1</xdr:col>
                    <xdr:colOff>495300</xdr:colOff>
                    <xdr:row>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Button 12">
              <controlPr locked="0" defaultSize="0" print="0" autoFill="0" autoPict="0" macro="[0]!Macro3">
                <anchor moveWithCells="1" sizeWithCells="1">
                  <from>
                    <xdr:col>0</xdr:col>
                    <xdr:colOff>3436620</xdr:colOff>
                    <xdr:row>6</xdr:row>
                    <xdr:rowOff>160020</xdr:rowOff>
                  </from>
                  <to>
                    <xdr:col>1</xdr:col>
                    <xdr:colOff>495300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Button 13">
              <controlPr locked="0" defaultSize="0" print="0" autoFill="0" autoPict="0" macro="[0]!Macro4">
                <anchor moveWithCells="1" sizeWithCells="1">
                  <from>
                    <xdr:col>0</xdr:col>
                    <xdr:colOff>3436620</xdr:colOff>
                    <xdr:row>8</xdr:row>
                    <xdr:rowOff>106680</xdr:rowOff>
                  </from>
                  <to>
                    <xdr:col>1</xdr:col>
                    <xdr:colOff>495300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Button 14">
              <controlPr locked="0" defaultSize="0" print="0" autoFill="0" autoPict="0" macro="[0]!Macro5">
                <anchor moveWithCells="1" sizeWithCells="1">
                  <from>
                    <xdr:col>0</xdr:col>
                    <xdr:colOff>3436620</xdr:colOff>
                    <xdr:row>10</xdr:row>
                    <xdr:rowOff>137160</xdr:rowOff>
                  </from>
                  <to>
                    <xdr:col>1</xdr:col>
                    <xdr:colOff>487680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Button 17">
              <controlPr locked="0" defaultSize="0" print="0" autoFill="0" autoPict="0" macro="[0]!Macro2">
                <anchor moveWithCells="1" sizeWithCells="1">
                  <from>
                    <xdr:col>0</xdr:col>
                    <xdr:colOff>3977640</xdr:colOff>
                    <xdr:row>63</xdr:row>
                    <xdr:rowOff>38100</xdr:rowOff>
                  </from>
                  <to>
                    <xdr:col>0</xdr:col>
                    <xdr:colOff>4869180</xdr:colOff>
                    <xdr:row>64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0"/>
  <sheetViews>
    <sheetView zoomScale="75" workbookViewId="0">
      <selection activeCell="B23" sqref="B23"/>
    </sheetView>
  </sheetViews>
  <sheetFormatPr defaultRowHeight="13.2" x14ac:dyDescent="0.25"/>
  <cols>
    <col min="1" max="1" width="28.109375" bestFit="1" customWidth="1"/>
    <col min="2" max="2" width="8.5546875" customWidth="1"/>
    <col min="3" max="12" width="8" bestFit="1" customWidth="1"/>
    <col min="13" max="13" width="6.109375" bestFit="1" customWidth="1"/>
  </cols>
  <sheetData>
    <row r="1" spans="1:13" x14ac:dyDescent="0.25">
      <c r="A1" s="40" t="s">
        <v>26</v>
      </c>
      <c r="B1" s="40">
        <v>0</v>
      </c>
      <c r="C1" s="40">
        <f>B1+1</f>
        <v>1</v>
      </c>
      <c r="D1" s="40">
        <f t="shared" ref="D1:L1" si="0">C1+1</f>
        <v>2</v>
      </c>
      <c r="E1" s="40">
        <f t="shared" si="0"/>
        <v>3</v>
      </c>
      <c r="F1" s="40">
        <f t="shared" si="0"/>
        <v>4</v>
      </c>
      <c r="G1" s="40">
        <f t="shared" si="0"/>
        <v>5</v>
      </c>
      <c r="H1" s="40">
        <f t="shared" si="0"/>
        <v>6</v>
      </c>
      <c r="I1" s="40">
        <f t="shared" si="0"/>
        <v>7</v>
      </c>
      <c r="J1" s="40">
        <f t="shared" si="0"/>
        <v>8</v>
      </c>
      <c r="K1" s="40">
        <f t="shared" si="0"/>
        <v>9</v>
      </c>
      <c r="L1" s="40">
        <f t="shared" si="0"/>
        <v>10</v>
      </c>
    </row>
    <row r="2" spans="1:13" x14ac:dyDescent="0.25"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3" x14ac:dyDescent="0.25">
      <c r="A3" s="1" t="s">
        <v>29</v>
      </c>
      <c r="B3" s="3"/>
      <c r="C3" s="4"/>
    </row>
    <row r="4" spans="1:13" x14ac:dyDescent="0.25">
      <c r="A4" t="s">
        <v>8</v>
      </c>
      <c r="B4">
        <f>-'Economic Model'!C16</f>
        <v>-3500</v>
      </c>
      <c r="C4" s="2">
        <f>'Economic Model'!C24</f>
        <v>2812.5</v>
      </c>
      <c r="D4" s="2">
        <f>C4</f>
        <v>2812.5</v>
      </c>
      <c r="E4" s="2">
        <f t="shared" ref="E4:K4" si="1">D4</f>
        <v>2812.5</v>
      </c>
      <c r="F4" s="2">
        <f t="shared" si="1"/>
        <v>2812.5</v>
      </c>
      <c r="G4" s="2">
        <f t="shared" si="1"/>
        <v>2812.5</v>
      </c>
      <c r="H4" s="2">
        <f t="shared" si="1"/>
        <v>2812.5</v>
      </c>
      <c r="I4" s="2">
        <f t="shared" si="1"/>
        <v>2812.5</v>
      </c>
      <c r="J4" s="2">
        <f t="shared" si="1"/>
        <v>2812.5</v>
      </c>
      <c r="K4" s="2">
        <f t="shared" si="1"/>
        <v>2812.5</v>
      </c>
      <c r="L4" s="2">
        <f>C4+'Economic Model'!C25</f>
        <v>3854.5944444444444</v>
      </c>
      <c r="M4" s="2"/>
    </row>
    <row r="5" spans="1:13" x14ac:dyDescent="0.25">
      <c r="A5" t="s">
        <v>10</v>
      </c>
      <c r="B5">
        <f>B4</f>
        <v>-3500</v>
      </c>
      <c r="C5" s="2">
        <f>B5+C4</f>
        <v>-687.5</v>
      </c>
      <c r="D5" s="2">
        <f t="shared" ref="D5:L5" si="2">C5+D4</f>
        <v>2125</v>
      </c>
      <c r="E5" s="2">
        <f t="shared" si="2"/>
        <v>4937.5</v>
      </c>
      <c r="F5" s="2">
        <f t="shared" si="2"/>
        <v>7750</v>
      </c>
      <c r="G5" s="2">
        <f t="shared" si="2"/>
        <v>10562.5</v>
      </c>
      <c r="H5" s="2">
        <f t="shared" si="2"/>
        <v>13375</v>
      </c>
      <c r="I5" s="2">
        <f t="shared" si="2"/>
        <v>16187.5</v>
      </c>
      <c r="J5" s="2">
        <f t="shared" si="2"/>
        <v>19000</v>
      </c>
      <c r="K5" s="2">
        <f t="shared" si="2"/>
        <v>21812.5</v>
      </c>
      <c r="L5" s="2">
        <f t="shared" si="2"/>
        <v>25667.094444444443</v>
      </c>
      <c r="M5" s="2"/>
    </row>
    <row r="6" spans="1:13" s="42" customFormat="1" hidden="1" x14ac:dyDescent="0.25">
      <c r="A6" s="41" t="s">
        <v>24</v>
      </c>
      <c r="B6" s="42">
        <f>SIGN(B5)</f>
        <v>-1</v>
      </c>
      <c r="C6" s="42">
        <f t="shared" ref="C6:L6" si="3">SIGN(C5)</f>
        <v>-1</v>
      </c>
      <c r="D6" s="42">
        <f t="shared" si="3"/>
        <v>1</v>
      </c>
      <c r="E6" s="42">
        <f t="shared" si="3"/>
        <v>1</v>
      </c>
      <c r="F6" s="42">
        <f t="shared" si="3"/>
        <v>1</v>
      </c>
      <c r="G6" s="42">
        <f t="shared" si="3"/>
        <v>1</v>
      </c>
      <c r="H6" s="42">
        <f t="shared" si="3"/>
        <v>1</v>
      </c>
      <c r="I6" s="42">
        <f t="shared" si="3"/>
        <v>1</v>
      </c>
      <c r="J6" s="42">
        <f t="shared" si="3"/>
        <v>1</v>
      </c>
      <c r="K6" s="42">
        <f t="shared" si="3"/>
        <v>1</v>
      </c>
      <c r="L6" s="42">
        <f t="shared" si="3"/>
        <v>1</v>
      </c>
      <c r="M6" s="43"/>
    </row>
    <row r="7" spans="1:13" s="42" customFormat="1" hidden="1" x14ac:dyDescent="0.25">
      <c r="A7" s="41" t="s">
        <v>40</v>
      </c>
      <c r="C7" s="42">
        <f>((-C6*B6)+1)/2</f>
        <v>0</v>
      </c>
      <c r="D7" s="42">
        <f t="shared" ref="D7:L7" si="4">((-D6*C6)+1)/2</f>
        <v>1</v>
      </c>
      <c r="E7" s="42">
        <f t="shared" si="4"/>
        <v>0</v>
      </c>
      <c r="F7" s="42">
        <f t="shared" si="4"/>
        <v>0</v>
      </c>
      <c r="G7" s="42">
        <f t="shared" si="4"/>
        <v>0</v>
      </c>
      <c r="H7" s="42">
        <f t="shared" si="4"/>
        <v>0</v>
      </c>
      <c r="I7" s="42">
        <f t="shared" si="4"/>
        <v>0</v>
      </c>
      <c r="J7" s="42">
        <f t="shared" si="4"/>
        <v>0</v>
      </c>
      <c r="K7" s="42">
        <f t="shared" si="4"/>
        <v>0</v>
      </c>
      <c r="L7" s="42">
        <f t="shared" si="4"/>
        <v>0</v>
      </c>
      <c r="M7" s="43"/>
    </row>
    <row r="8" spans="1:13" s="42" customFormat="1" hidden="1" x14ac:dyDescent="0.25">
      <c r="A8" s="58" t="s">
        <v>12</v>
      </c>
      <c r="B8" s="44">
        <f>SUM(C8:L8)</f>
        <v>1</v>
      </c>
      <c r="C8" s="43">
        <f t="shared" ref="C8:L8" si="5">(C7*C1)-1*C7</f>
        <v>0</v>
      </c>
      <c r="D8" s="43">
        <f t="shared" si="5"/>
        <v>1</v>
      </c>
      <c r="E8" s="43">
        <f t="shared" si="5"/>
        <v>0</v>
      </c>
      <c r="F8" s="43">
        <f t="shared" si="5"/>
        <v>0</v>
      </c>
      <c r="G8" s="43">
        <f t="shared" si="5"/>
        <v>0</v>
      </c>
      <c r="H8" s="43">
        <f t="shared" si="5"/>
        <v>0</v>
      </c>
      <c r="I8" s="43">
        <f t="shared" si="5"/>
        <v>0</v>
      </c>
      <c r="J8" s="43">
        <f t="shared" si="5"/>
        <v>0</v>
      </c>
      <c r="K8" s="43">
        <f t="shared" si="5"/>
        <v>0</v>
      </c>
      <c r="L8" s="43">
        <f t="shared" si="5"/>
        <v>0</v>
      </c>
      <c r="M8" s="43"/>
    </row>
    <row r="9" spans="1:13" s="42" customFormat="1" hidden="1" x14ac:dyDescent="0.25">
      <c r="A9" s="58" t="s">
        <v>25</v>
      </c>
      <c r="B9" s="44">
        <f>SUM(C9:L9)</f>
        <v>2.9333333333333331</v>
      </c>
      <c r="C9" s="43">
        <f>-B5/(C5-B5)*12*C7</f>
        <v>0</v>
      </c>
      <c r="D9" s="43">
        <f>-C5/(D5-C5)*12*D7</f>
        <v>2.9333333333333331</v>
      </c>
      <c r="E9" s="43">
        <f t="shared" ref="E9:L9" si="6">-D5/(E5-D5)*12*E7</f>
        <v>0</v>
      </c>
      <c r="F9" s="43">
        <f t="shared" si="6"/>
        <v>0</v>
      </c>
      <c r="G9" s="43">
        <f t="shared" si="6"/>
        <v>0</v>
      </c>
      <c r="H9" s="43">
        <f t="shared" si="6"/>
        <v>0</v>
      </c>
      <c r="I9" s="43">
        <f t="shared" si="6"/>
        <v>0</v>
      </c>
      <c r="J9" s="43">
        <f t="shared" si="6"/>
        <v>0</v>
      </c>
      <c r="K9" s="43">
        <f t="shared" si="6"/>
        <v>0</v>
      </c>
      <c r="L9" s="43">
        <f t="shared" si="6"/>
        <v>0</v>
      </c>
      <c r="M9" s="43"/>
    </row>
    <row r="10" spans="1:13" s="49" customFormat="1" x14ac:dyDescent="0.25">
      <c r="A10" s="50" t="s">
        <v>23</v>
      </c>
      <c r="B10" s="51">
        <f>B8*12+B9</f>
        <v>14.933333333333334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1:13" s="49" customFormat="1" x14ac:dyDescent="0.25">
      <c r="A11" s="52" t="s">
        <v>27</v>
      </c>
      <c r="B11" s="53">
        <f>L5</f>
        <v>25667.094444444443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s="49" customFormat="1" x14ac:dyDescent="0.25">
      <c r="A12" s="46"/>
      <c r="B12" s="47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13" s="49" customFormat="1" x14ac:dyDescent="0.25">
      <c r="A13" s="46"/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1:13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1" t="s">
        <v>28</v>
      </c>
      <c r="C15" s="3" t="s">
        <v>30</v>
      </c>
      <c r="D15" s="4">
        <f>'Economic Model'!C22</f>
        <v>0.06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t="s">
        <v>9</v>
      </c>
      <c r="B16">
        <f>B4</f>
        <v>-3500</v>
      </c>
      <c r="C16" s="2">
        <f>C4/(1+'Economic Model'!$C$22)^C1</f>
        <v>2653.3018867924525</v>
      </c>
      <c r="D16" s="2">
        <f>D4/(1+'Economic Model'!$C$22)^D1</f>
        <v>2503.1149875400497</v>
      </c>
      <c r="E16" s="2">
        <f>E4/(1+'Economic Model'!$C$22)^E1</f>
        <v>2361.4292335283485</v>
      </c>
      <c r="F16" s="2">
        <f>F4/(1+'Economic Model'!$C$22)^F1</f>
        <v>2227.7634278569326</v>
      </c>
      <c r="G16" s="2">
        <f>G4/(1+'Economic Model'!$C$22)^G1</f>
        <v>2101.6636111857852</v>
      </c>
      <c r="H16" s="2">
        <f>H4/(1+'Economic Model'!$C$22)^H1</f>
        <v>1982.7015199865896</v>
      </c>
      <c r="I16" s="2">
        <f>I4/(1+'Economic Model'!$C$22)^I1</f>
        <v>1870.47313206282</v>
      </c>
      <c r="J16" s="2">
        <f>J4/(1+'Economic Model'!$C$22)^J1</f>
        <v>1764.597294398887</v>
      </c>
      <c r="K16" s="2">
        <f>K4/(1+'Economic Model'!$C$22)^K1</f>
        <v>1664.7144286781954</v>
      </c>
      <c r="L16" s="2">
        <f>L4/(1+'Economic Model'!$C$22)^L1</f>
        <v>2152.3854049038082</v>
      </c>
    </row>
    <row r="17" spans="1:12" x14ac:dyDescent="0.25">
      <c r="A17" t="s">
        <v>11</v>
      </c>
      <c r="B17">
        <f>B16</f>
        <v>-3500</v>
      </c>
      <c r="C17" s="2">
        <f t="shared" ref="C17:L17" si="7">B17+C16</f>
        <v>-846.69811320754752</v>
      </c>
      <c r="D17" s="2">
        <f t="shared" si="7"/>
        <v>1656.4168743325022</v>
      </c>
      <c r="E17" s="2">
        <f t="shared" si="7"/>
        <v>4017.8461078608507</v>
      </c>
      <c r="F17" s="2">
        <f t="shared" si="7"/>
        <v>6245.6095357177837</v>
      </c>
      <c r="G17" s="2">
        <f t="shared" si="7"/>
        <v>8347.273146903568</v>
      </c>
      <c r="H17" s="2">
        <f t="shared" si="7"/>
        <v>10329.974666890157</v>
      </c>
      <c r="I17" s="2">
        <f t="shared" si="7"/>
        <v>12200.447798952977</v>
      </c>
      <c r="J17" s="2">
        <f t="shared" si="7"/>
        <v>13965.045093351864</v>
      </c>
      <c r="K17" s="2">
        <f t="shared" si="7"/>
        <v>15629.759522030059</v>
      </c>
      <c r="L17" s="2">
        <f t="shared" si="7"/>
        <v>17782.144926933866</v>
      </c>
    </row>
    <row r="18" spans="1:12" s="42" customFormat="1" hidden="1" x14ac:dyDescent="0.25">
      <c r="A18" s="41" t="s">
        <v>24</v>
      </c>
      <c r="B18" s="42">
        <f t="shared" ref="B18:L18" si="8">SIGN(B17)</f>
        <v>-1</v>
      </c>
      <c r="C18" s="42">
        <f t="shared" si="8"/>
        <v>-1</v>
      </c>
      <c r="D18" s="42">
        <f t="shared" si="8"/>
        <v>1</v>
      </c>
      <c r="E18" s="42">
        <f t="shared" si="8"/>
        <v>1</v>
      </c>
      <c r="F18" s="42">
        <f t="shared" si="8"/>
        <v>1</v>
      </c>
      <c r="G18" s="42">
        <f t="shared" si="8"/>
        <v>1</v>
      </c>
      <c r="H18" s="42">
        <f t="shared" si="8"/>
        <v>1</v>
      </c>
      <c r="I18" s="42">
        <f t="shared" si="8"/>
        <v>1</v>
      </c>
      <c r="J18" s="42">
        <f t="shared" si="8"/>
        <v>1</v>
      </c>
      <c r="K18" s="42">
        <f t="shared" si="8"/>
        <v>1</v>
      </c>
      <c r="L18" s="42">
        <f t="shared" si="8"/>
        <v>1</v>
      </c>
    </row>
    <row r="19" spans="1:12" s="42" customFormat="1" hidden="1" x14ac:dyDescent="0.25">
      <c r="A19" s="41" t="s">
        <v>40</v>
      </c>
      <c r="C19" s="42">
        <f>((-C18*B18)+1)/2</f>
        <v>0</v>
      </c>
      <c r="D19" s="42">
        <f t="shared" ref="D19:L19" si="9">((-D18*C18)+1)/2</f>
        <v>1</v>
      </c>
      <c r="E19" s="42">
        <f t="shared" si="9"/>
        <v>0</v>
      </c>
      <c r="F19" s="42">
        <f t="shared" si="9"/>
        <v>0</v>
      </c>
      <c r="G19" s="42">
        <f t="shared" si="9"/>
        <v>0</v>
      </c>
      <c r="H19" s="42">
        <f t="shared" si="9"/>
        <v>0</v>
      </c>
      <c r="I19" s="42">
        <f t="shared" si="9"/>
        <v>0</v>
      </c>
      <c r="J19" s="42">
        <f t="shared" si="9"/>
        <v>0</v>
      </c>
      <c r="K19" s="42">
        <f t="shared" si="9"/>
        <v>0</v>
      </c>
      <c r="L19" s="42">
        <f t="shared" si="9"/>
        <v>0</v>
      </c>
    </row>
    <row r="20" spans="1:12" s="42" customFormat="1" hidden="1" x14ac:dyDescent="0.25">
      <c r="A20" s="58" t="s">
        <v>12</v>
      </c>
      <c r="B20" s="44">
        <f>SUM(C20:L20)</f>
        <v>1</v>
      </c>
      <c r="C20" s="42">
        <f t="shared" ref="C20:L20" si="10">(C19*C1)-1*C19</f>
        <v>0</v>
      </c>
      <c r="D20" s="42">
        <f t="shared" si="10"/>
        <v>1</v>
      </c>
      <c r="E20" s="42">
        <f t="shared" si="10"/>
        <v>0</v>
      </c>
      <c r="F20" s="42">
        <f t="shared" si="10"/>
        <v>0</v>
      </c>
      <c r="G20" s="42">
        <f t="shared" si="10"/>
        <v>0</v>
      </c>
      <c r="H20" s="42">
        <f t="shared" si="10"/>
        <v>0</v>
      </c>
      <c r="I20" s="42">
        <f t="shared" si="10"/>
        <v>0</v>
      </c>
      <c r="J20" s="42">
        <f t="shared" si="10"/>
        <v>0</v>
      </c>
      <c r="K20" s="42">
        <f t="shared" si="10"/>
        <v>0</v>
      </c>
      <c r="L20" s="42">
        <f t="shared" si="10"/>
        <v>0</v>
      </c>
    </row>
    <row r="21" spans="1:12" s="42" customFormat="1" hidden="1" x14ac:dyDescent="0.25">
      <c r="A21" s="58" t="s">
        <v>25</v>
      </c>
      <c r="B21" s="44">
        <f>SUM(C21:L21)</f>
        <v>4.059093333333335</v>
      </c>
      <c r="C21" s="43">
        <f t="shared" ref="C21:L21" si="11">-B17/(C17-B17)*12*C19</f>
        <v>0</v>
      </c>
      <c r="D21" s="43">
        <f t="shared" si="11"/>
        <v>4.059093333333335</v>
      </c>
      <c r="E21" s="43">
        <f t="shared" si="11"/>
        <v>0</v>
      </c>
      <c r="F21" s="43">
        <f t="shared" si="11"/>
        <v>0</v>
      </c>
      <c r="G21" s="43">
        <f t="shared" si="11"/>
        <v>0</v>
      </c>
      <c r="H21" s="43">
        <f t="shared" si="11"/>
        <v>0</v>
      </c>
      <c r="I21" s="43">
        <f t="shared" si="11"/>
        <v>0</v>
      </c>
      <c r="J21" s="43">
        <f t="shared" si="11"/>
        <v>0</v>
      </c>
      <c r="K21" s="43">
        <f t="shared" si="11"/>
        <v>0</v>
      </c>
      <c r="L21" s="43">
        <f t="shared" si="11"/>
        <v>0</v>
      </c>
    </row>
    <row r="22" spans="1:12" x14ac:dyDescent="0.25">
      <c r="A22" s="54" t="s">
        <v>23</v>
      </c>
      <c r="B22" s="55">
        <f>SUM(C22:L22)</f>
        <v>16.059093333333337</v>
      </c>
      <c r="C22" s="2">
        <f>C20*12+C21</f>
        <v>0</v>
      </c>
      <c r="D22" s="2">
        <f>D20*12+D21</f>
        <v>16.059093333333337</v>
      </c>
      <c r="E22" s="2">
        <f t="shared" ref="E22:L22" si="12">E20*12+E21</f>
        <v>0</v>
      </c>
      <c r="F22" s="2">
        <f t="shared" si="12"/>
        <v>0</v>
      </c>
      <c r="G22" s="2">
        <f t="shared" si="12"/>
        <v>0</v>
      </c>
      <c r="H22" s="2">
        <f t="shared" si="12"/>
        <v>0</v>
      </c>
      <c r="I22" s="2">
        <f t="shared" si="12"/>
        <v>0</v>
      </c>
      <c r="J22" s="2">
        <f t="shared" si="12"/>
        <v>0</v>
      </c>
      <c r="K22" s="2">
        <f t="shared" si="12"/>
        <v>0</v>
      </c>
      <c r="L22" s="2">
        <f t="shared" si="12"/>
        <v>0</v>
      </c>
    </row>
    <row r="23" spans="1:12" x14ac:dyDescent="0.25">
      <c r="A23" s="56" t="s">
        <v>41</v>
      </c>
      <c r="B23" s="57">
        <f>NPV(D15,C4:L4)+B4</f>
        <v>17782.144926933866</v>
      </c>
    </row>
    <row r="29" spans="1:12" x14ac:dyDescent="0.25">
      <c r="A29" s="45" t="s">
        <v>37</v>
      </c>
      <c r="B29" s="45">
        <f>1535</f>
        <v>1535</v>
      </c>
    </row>
    <row r="30" spans="1:12" x14ac:dyDescent="0.25">
      <c r="A30" s="45" t="s">
        <v>38</v>
      </c>
      <c r="B30" s="45">
        <v>0.9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Economic Model</vt:lpstr>
      <vt:lpstr>Detailed calculations</vt:lpstr>
      <vt:lpstr>'Economic Model'!Print_Area</vt:lpstr>
    </vt:vector>
  </TitlesOfParts>
  <Company>EMEAA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CHOW</dc:creator>
  <cp:lastModifiedBy>Aniket Gupta</cp:lastModifiedBy>
  <cp:lastPrinted>2001-02-02T13:05:47Z</cp:lastPrinted>
  <dcterms:created xsi:type="dcterms:W3CDTF">2000-07-05T09:10:27Z</dcterms:created>
  <dcterms:modified xsi:type="dcterms:W3CDTF">2024-02-03T22:14:17Z</dcterms:modified>
</cp:coreProperties>
</file>