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A28A7D4-5CDA-4EF5-AF8C-EAC8024A36A1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H21" i="1" s="1"/>
  <c r="D21" i="1"/>
  <c r="F21" i="1"/>
  <c r="B22" i="1"/>
  <c r="D22" i="1"/>
  <c r="F22" i="1"/>
  <c r="H22" i="1"/>
  <c r="I22" i="1" s="1"/>
  <c r="B23" i="1"/>
  <c r="H23" i="1" s="1"/>
  <c r="I23" i="1" s="1"/>
  <c r="D23" i="1"/>
  <c r="F23" i="1"/>
  <c r="B24" i="1"/>
  <c r="D24" i="1"/>
  <c r="H24" i="1" s="1"/>
  <c r="I24" i="1" s="1"/>
  <c r="F24" i="1"/>
  <c r="B25" i="1"/>
  <c r="H25" i="1" s="1"/>
  <c r="I25" i="1" s="1"/>
  <c r="D25" i="1"/>
  <c r="F25" i="1"/>
  <c r="B26" i="1"/>
  <c r="D26" i="1"/>
  <c r="F26" i="1"/>
  <c r="H26" i="1"/>
  <c r="I26" i="1" s="1"/>
  <c r="B27" i="1"/>
  <c r="H27" i="1" s="1"/>
  <c r="I27" i="1" s="1"/>
  <c r="D27" i="1"/>
  <c r="F27" i="1"/>
  <c r="B28" i="1"/>
  <c r="H28" i="1" s="1"/>
  <c r="I28" i="1" s="1"/>
  <c r="D28" i="1"/>
  <c r="F28" i="1"/>
  <c r="B29" i="1"/>
  <c r="D29" i="1"/>
  <c r="F29" i="1"/>
  <c r="H29" i="1"/>
  <c r="I29" i="1"/>
  <c r="B30" i="1"/>
  <c r="D30" i="1"/>
  <c r="F30" i="1"/>
  <c r="H30" i="1" s="1"/>
  <c r="I30" i="1" s="1"/>
  <c r="B31" i="1"/>
  <c r="H31" i="1" s="1"/>
  <c r="I31" i="1" s="1"/>
  <c r="D31" i="1"/>
  <c r="F31" i="1"/>
  <c r="B32" i="1"/>
  <c r="H32" i="1" s="1"/>
  <c r="I32" i="1" s="1"/>
  <c r="D32" i="1"/>
  <c r="F32" i="1"/>
  <c r="B33" i="1"/>
  <c r="H33" i="1" s="1"/>
  <c r="I33" i="1" s="1"/>
  <c r="D33" i="1"/>
  <c r="F33" i="1"/>
  <c r="B34" i="1"/>
  <c r="D34" i="1"/>
  <c r="F34" i="1"/>
  <c r="H34" i="1"/>
  <c r="I34" i="1" s="1"/>
  <c r="B35" i="1"/>
  <c r="H35" i="1" s="1"/>
  <c r="I35" i="1" s="1"/>
  <c r="D35" i="1"/>
  <c r="F35" i="1"/>
  <c r="B36" i="1"/>
  <c r="H36" i="1" s="1"/>
  <c r="I36" i="1" s="1"/>
  <c r="D36" i="1"/>
  <c r="F36" i="1"/>
  <c r="B37" i="1"/>
  <c r="D37" i="1"/>
  <c r="F37" i="1"/>
  <c r="H37" i="1"/>
  <c r="I37" i="1"/>
  <c r="B38" i="1"/>
  <c r="H38" i="1" s="1"/>
  <c r="I38" i="1" s="1"/>
  <c r="D38" i="1"/>
  <c r="F38" i="1"/>
  <c r="B39" i="1"/>
  <c r="D39" i="1"/>
  <c r="H39" i="1" s="1"/>
  <c r="I39" i="1" s="1"/>
  <c r="F39" i="1"/>
  <c r="B40" i="1"/>
  <c r="H40" i="1" s="1"/>
  <c r="I40" i="1" s="1"/>
  <c r="D40" i="1"/>
  <c r="F40" i="1"/>
  <c r="B41" i="1"/>
  <c r="D41" i="1"/>
  <c r="F41" i="1"/>
  <c r="H41" i="1"/>
  <c r="I41" i="1" s="1"/>
  <c r="B42" i="1"/>
  <c r="D42" i="1"/>
  <c r="F42" i="1"/>
  <c r="H42" i="1"/>
  <c r="I42" i="1" s="1"/>
  <c r="B43" i="1"/>
  <c r="H43" i="1" s="1"/>
  <c r="I43" i="1" s="1"/>
  <c r="D43" i="1"/>
  <c r="F43" i="1"/>
  <c r="B44" i="1"/>
  <c r="D44" i="1"/>
  <c r="F44" i="1"/>
  <c r="H44" i="1"/>
  <c r="I44" i="1"/>
  <c r="B45" i="1"/>
  <c r="D45" i="1"/>
  <c r="F45" i="1"/>
  <c r="H45" i="1"/>
  <c r="I45" i="1"/>
  <c r="B46" i="1"/>
  <c r="H46" i="1" s="1"/>
  <c r="I46" i="1" s="1"/>
  <c r="D46" i="1"/>
  <c r="F46" i="1"/>
  <c r="B47" i="1"/>
  <c r="D47" i="1"/>
  <c r="F47" i="1"/>
  <c r="H47" i="1"/>
  <c r="I47" i="1"/>
  <c r="B48" i="1"/>
  <c r="H48" i="1" s="1"/>
  <c r="I48" i="1" s="1"/>
  <c r="D48" i="1"/>
  <c r="F48" i="1"/>
  <c r="B49" i="1"/>
  <c r="D49" i="1"/>
  <c r="F49" i="1"/>
  <c r="H49" i="1"/>
  <c r="I49" i="1" s="1"/>
  <c r="B50" i="1"/>
  <c r="D50" i="1"/>
  <c r="F50" i="1"/>
  <c r="H50" i="1"/>
  <c r="I50" i="1"/>
  <c r="B51" i="1"/>
  <c r="H51" i="1" s="1"/>
  <c r="I51" i="1" s="1"/>
  <c r="D51" i="1"/>
  <c r="F51" i="1"/>
  <c r="B52" i="1"/>
  <c r="H52" i="1" s="1"/>
  <c r="I52" i="1" s="1"/>
  <c r="D52" i="1"/>
  <c r="F52" i="1"/>
  <c r="B53" i="1"/>
  <c r="D53" i="1"/>
  <c r="F53" i="1"/>
  <c r="H53" i="1"/>
  <c r="I53" i="1"/>
  <c r="B54" i="1"/>
  <c r="H54" i="1" s="1"/>
  <c r="I54" i="1" s="1"/>
  <c r="D54" i="1"/>
  <c r="F54" i="1"/>
  <c r="B55" i="1"/>
  <c r="D55" i="1"/>
  <c r="F55" i="1"/>
  <c r="H55" i="1"/>
  <c r="I55" i="1" s="1"/>
  <c r="B56" i="1"/>
  <c r="H56" i="1" s="1"/>
  <c r="I56" i="1" s="1"/>
  <c r="D56" i="1"/>
  <c r="F56" i="1"/>
  <c r="B57" i="1"/>
  <c r="D57" i="1"/>
  <c r="F57" i="1"/>
  <c r="H57" i="1"/>
  <c r="I57" i="1" s="1"/>
  <c r="B58" i="1"/>
  <c r="D58" i="1"/>
  <c r="F58" i="1"/>
  <c r="H58" i="1"/>
  <c r="I58" i="1"/>
  <c r="B59" i="1"/>
  <c r="H59" i="1" s="1"/>
  <c r="I59" i="1" s="1"/>
  <c r="D59" i="1"/>
  <c r="F59" i="1"/>
  <c r="B60" i="1"/>
  <c r="D60" i="1"/>
  <c r="F60" i="1"/>
  <c r="H60" i="1" s="1"/>
  <c r="I60" i="1" s="1"/>
  <c r="B61" i="1"/>
  <c r="D61" i="1"/>
  <c r="F61" i="1"/>
  <c r="H61" i="1"/>
  <c r="I61" i="1"/>
  <c r="B62" i="1"/>
  <c r="H62" i="1" s="1"/>
  <c r="I62" i="1" s="1"/>
  <c r="D62" i="1"/>
  <c r="F62" i="1"/>
  <c r="B63" i="1"/>
  <c r="D63" i="1"/>
  <c r="F63" i="1"/>
  <c r="H63" i="1"/>
  <c r="I63" i="1" s="1"/>
  <c r="B64" i="1"/>
  <c r="H64" i="1" s="1"/>
  <c r="I64" i="1" s="1"/>
  <c r="D64" i="1"/>
  <c r="F64" i="1"/>
  <c r="B65" i="1"/>
  <c r="D65" i="1"/>
  <c r="F65" i="1"/>
  <c r="H65" i="1"/>
  <c r="I65" i="1" s="1"/>
  <c r="B66" i="1"/>
  <c r="D66" i="1"/>
  <c r="F66" i="1"/>
  <c r="H66" i="1"/>
  <c r="I66" i="1"/>
  <c r="B67" i="1"/>
  <c r="H67" i="1" s="1"/>
  <c r="I67" i="1" s="1"/>
  <c r="D67" i="1"/>
  <c r="F67" i="1"/>
  <c r="B68" i="1"/>
  <c r="D68" i="1"/>
  <c r="F68" i="1"/>
  <c r="H68" i="1" s="1"/>
  <c r="I68" i="1" s="1"/>
  <c r="B69" i="1"/>
  <c r="H69" i="1" s="1"/>
  <c r="I69" i="1" s="1"/>
  <c r="D69" i="1"/>
  <c r="F69" i="1"/>
  <c r="B70" i="1"/>
  <c r="H70" i="1" s="1"/>
  <c r="I70" i="1" s="1"/>
  <c r="D70" i="1"/>
  <c r="F70" i="1"/>
  <c r="B71" i="1"/>
  <c r="D71" i="1"/>
  <c r="F71" i="1"/>
  <c r="H71" i="1"/>
  <c r="I71" i="1" s="1"/>
  <c r="B72" i="1"/>
  <c r="H72" i="1" s="1"/>
  <c r="I72" i="1" s="1"/>
  <c r="D72" i="1"/>
  <c r="F72" i="1"/>
  <c r="B73" i="1"/>
  <c r="D73" i="1"/>
  <c r="F73" i="1"/>
  <c r="H73" i="1"/>
  <c r="I73" i="1" s="1"/>
  <c r="A8" i="1" l="1"/>
  <c r="H74" i="1"/>
  <c r="I21" i="1"/>
  <c r="A4" i="1" l="1"/>
  <c r="I74" i="1"/>
</calcChain>
</file>

<file path=xl/sharedStrings.xml><?xml version="1.0" encoding="utf-8"?>
<sst xmlns="http://schemas.openxmlformats.org/spreadsheetml/2006/main" count="69" uniqueCount="67">
  <si>
    <t>Test Status</t>
  </si>
  <si>
    <t>Accuracy Limit</t>
  </si>
  <si>
    <t>#Succeded</t>
  </si>
  <si>
    <t>#Total</t>
  </si>
  <si>
    <t>Function</t>
  </si>
  <si>
    <t>1st test</t>
  </si>
  <si>
    <t>Correct</t>
  </si>
  <si>
    <t>2nd test</t>
  </si>
  <si>
    <t>3rd test</t>
  </si>
  <si>
    <t>Status</t>
  </si>
  <si>
    <t>Status message</t>
  </si>
  <si>
    <t>Total</t>
  </si>
  <si>
    <t>FINANCIAL FUNCTIONS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</si>
  <si>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</si>
  <si>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</si>
  <si>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</si>
  <si>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</si>
  <si>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</si>
  <si>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</si>
  <si>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</si>
  <si>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</si>
  <si>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</si>
  <si>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</si>
  <si>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</si>
  <si>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</si>
  <si>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</si>
  <si>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</si>
  <si>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</si>
  <si>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</si>
  <si>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</si>
  <si>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</si>
  <si>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</si>
  <si>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</si>
  <si>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</si>
  <si>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</si>
  <si>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</si>
  <si>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IRR</t>
  </si>
  <si>
    <t>ISPMT</t>
  </si>
  <si>
    <t>MDURATION</t>
  </si>
  <si>
    <t>MIRR</t>
  </si>
  <si>
    <t>NOMINAL</t>
  </si>
  <si>
    <t>NPER</t>
  </si>
  <si>
    <t>NPV</t>
  </si>
  <si>
    <t>ODDFPRICE</t>
  </si>
  <si>
    <t>ODDFYIELD</t>
  </si>
  <si>
    <t>ODDLPRICE</t>
  </si>
  <si>
    <t>ODDLYIELD</t>
  </si>
  <si>
    <t>PMT</t>
  </si>
  <si>
    <t>PPMT</t>
  </si>
  <si>
    <t>PRICE</t>
  </si>
  <si>
    <t>PRICEDISC</t>
  </si>
  <si>
    <t>PRICEMAT</t>
  </si>
  <si>
    <t>PV</t>
  </si>
  <si>
    <t>RATE</t>
  </si>
  <si>
    <t>RECEIVED</t>
  </si>
  <si>
    <t>SLN</t>
  </si>
  <si>
    <t>SYD</t>
  </si>
  <si>
    <t>TBILLEQ</t>
  </si>
  <si>
    <t>TBILLPRICE</t>
  </si>
  <si>
    <t>TBILLYIELD</t>
  </si>
  <si>
    <t>VDB</t>
  </si>
  <si>
    <t>XIRR</t>
  </si>
  <si>
    <t>XNPV</t>
  </si>
  <si>
    <t>YIELD</t>
  </si>
  <si>
    <t>YIELDDISC</t>
  </si>
  <si>
    <t>YIELDMAT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</si>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</sst>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0\ &quot;mk&quot;;[Red]\-#,##0.00\ &quot;mk&quot;"/>
  </numFmts>
  <fonts count="7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0" fontId="5" fillId="0" borderId="0" xfId="0" applyFont="1"/>
    <xf numFmtId="0" fontId="0" fillId="0" borderId="0" xfId="0" applyNumberFormat="1"/>
    <xf numFmtId="167" fontId="0" fillId="0" borderId="0" xfId="0" applyNumberFormat="1"/>
    <xf numFmtId="0" fontId="6" fillId="0" borderId="0" xfId="0" applyFont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B24" sqref="B24"/>
    </sheetView>
  </sheetViews>
  <sheetFormatPr defaultRowHeight="13.2" x14ac:dyDescent="0.25"/>
  <cols>
    <col min="1" max="1" width="15.44140625" customWidth="1"/>
    <col min="2" max="2" width="13.44140625" bestFit="1" customWidth="1"/>
    <col min="4" max="4" width="14.88671875" customWidth="1"/>
    <col min="6" max="6" width="14.6640625" customWidth="1"/>
  </cols>
  <sheetData>
    <row r="1" spans="1:4" x14ac:dyDescent="0.25">
      <c r="A1" s="2" t="s">
        <v>12</v>
      </c>
    </row>
    <row r="3" spans="1:4" x14ac:dyDescent="0.25">
      <c r="A3" s="1" t="s">
        <v>0</v>
      </c>
      <c r="C3" s="1" t="s">
        <v>1</v>
      </c>
    </row>
    <row r="4" spans="1:4" x14ac:dyDescent="0.25">
      <c r="A4" s="6" t="str">
        <f>IF(H74,"All ok.","FAILED!!")</f>
        <v>All ok.</v>
      </c>
      <c r="C4" s="5">
        <v>1E-4</v>
      </c>
    </row>
    <row r="5" spans="1:4" x14ac:dyDescent="0.25">
      <c r="A5" s="6"/>
      <c r="C5" s="5"/>
    </row>
    <row r="6" spans="1:4" x14ac:dyDescent="0.25">
      <c r="A6" s="4"/>
      <c r="C6" s="5"/>
    </row>
    <row r="7" spans="1:4" x14ac:dyDescent="0.25">
      <c r="A7" s="1" t="s">
        <v>2</v>
      </c>
      <c r="B7" s="1" t="s">
        <v>3</v>
      </c>
      <c r="C7" s="5"/>
    </row>
    <row r="8" spans="1:4" x14ac:dyDescent="0.25">
      <c r="A8" s="3">
        <f>SUM(H21:H73)</f>
        <v>53</v>
      </c>
      <c r="B8" s="3">
        <v>53</v>
      </c>
      <c r="C8" s="5"/>
    </row>
    <row r="9" spans="1:4" x14ac:dyDescent="0.25">
      <c r="A9" s="1"/>
      <c r="B9" s="1"/>
      <c r="C9" s="5"/>
    </row>
    <row r="10" spans="1:4" x14ac:dyDescent="0.25">
      <c r="A10" s="1" t="s">
        <v>66</v>
      </c>
      <c r="B10" s="1"/>
      <c r="C10" s="5"/>
    </row>
    <row r="11" spans="1:4" x14ac:dyDescent="0.25">
      <c r="A11" s="9">
        <v>-70000</v>
      </c>
      <c r="B11" s="1"/>
      <c r="C11" s="5"/>
    </row>
    <row r="12" spans="1:4" x14ac:dyDescent="0.25">
      <c r="A12" s="9">
        <v>12000</v>
      </c>
      <c r="B12" s="1"/>
      <c r="C12" s="5"/>
    </row>
    <row r="13" spans="1:4" x14ac:dyDescent="0.25">
      <c r="A13" s="9">
        <v>15000</v>
      </c>
      <c r="B13" s="1"/>
      <c r="C13" s="5"/>
    </row>
    <row r="14" spans="1:4" x14ac:dyDescent="0.25">
      <c r="A14" s="9">
        <v>18000</v>
      </c>
      <c r="B14" s="1"/>
      <c r="C14" s="5"/>
      <c r="D14" s="11"/>
    </row>
    <row r="15" spans="1:4" x14ac:dyDescent="0.25">
      <c r="A15" s="9">
        <v>21000</v>
      </c>
    </row>
    <row r="16" spans="1:4" x14ac:dyDescent="0.25">
      <c r="A16" s="9">
        <v>26000</v>
      </c>
    </row>
    <row r="17" spans="1:9" x14ac:dyDescent="0.25">
      <c r="A17" s="9"/>
    </row>
    <row r="18" spans="1:9" x14ac:dyDescent="0.25">
      <c r="A18" s="1"/>
    </row>
    <row r="20" spans="1:9" x14ac:dyDescent="0.25">
      <c r="A20" s="2" t="s">
        <v>4</v>
      </c>
      <c r="B20" s="2" t="s">
        <v>5</v>
      </c>
      <c r="C20" s="2" t="s">
        <v>6</v>
      </c>
      <c r="D20" s="2" t="s">
        <v>7</v>
      </c>
      <c r="E20" s="2" t="s">
        <v>6</v>
      </c>
      <c r="F20" s="2" t="s">
        <v>8</v>
      </c>
      <c r="G20" s="2" t="s">
        <v>6</v>
      </c>
      <c r="H20" s="2" t="s">
        <v>9</v>
      </c>
      <c r="I20" s="2" t="s">
        <v>10</v>
      </c>
    </row>
    <row r="21" spans="1:9" x14ac:dyDescent="0.25">
      <c r="A21" s="3" t="s">
        <v>13</v>
      </c>
      <c r="B21">
        <f>ACCRINT(DATE(1998,2,28),DATE(1998,8,31),DATE(1998,5,1),0.1,1000,2,0)</f>
        <v>16.944444444444446</v>
      </c>
      <c r="C21">
        <v>16.944444444444446</v>
      </c>
      <c r="D21">
        <f>ACCRINT(DATE(1998,2,28),DATE(1998,8,31),DATE(1998,5,1),0.1,1000,2,3)</f>
        <v>16.986301369863014</v>
      </c>
      <c r="E21">
        <v>16.986301369863014</v>
      </c>
      <c r="F21">
        <f>ACCRINT(DATE(1998,2,28),DATE(1998,8,31),DATE(1998,5,1),0.13,2000,2,2)</f>
        <v>44.777777777777779</v>
      </c>
      <c r="G21">
        <v>44.777777777777779</v>
      </c>
      <c r="H21">
        <f t="shared" ref="H21:H73" si="0">IF(((ABS(B21-C21)&lt;$C$4) +(ABS(D21-E21)&lt;$C$4) + (ABS(F21-G21)&lt;$C$4)=3),1,0)</f>
        <v>1</v>
      </c>
      <c r="I21" t="str">
        <f t="shared" ref="I21:I40" si="1">IF(H21,"Ok.","FAILED!!")</f>
        <v>Ok.</v>
      </c>
    </row>
    <row r="22" spans="1:9" x14ac:dyDescent="0.25">
      <c r="A22" s="3" t="s">
        <v>14</v>
      </c>
      <c r="B22">
        <f>ACCRINTM(DATE(1998,4,1),DATE(1998,6,15),0.12,1000,3)</f>
        <v>24.657534246575342</v>
      </c>
      <c r="C22">
        <v>24.657534246575342</v>
      </c>
      <c r="D22">
        <f>ACCRINTM(DATE(1998,4,1),DATE(1998,6,15),0.1,1000,0)</f>
        <v>20.555555555555554</v>
      </c>
      <c r="E22">
        <v>20.555555555555554</v>
      </c>
      <c r="F22">
        <f>ACCRINTM(DATE(1998,4,1),DATE(1998,6,15),0.14,1000,2)</f>
        <v>29.166666666666668</v>
      </c>
      <c r="G22">
        <v>29.166666666666668</v>
      </c>
      <c r="H22">
        <f t="shared" si="0"/>
        <v>1</v>
      </c>
      <c r="I22" t="str">
        <f t="shared" si="1"/>
        <v>Ok.</v>
      </c>
    </row>
    <row r="23" spans="1:9" x14ac:dyDescent="0.25">
      <c r="A23" s="3" t="s">
        <v>15</v>
      </c>
      <c r="B23">
        <f>AMORDEGRC(2400,DATE(1998,8,19),DATE(1998,12,30),300,1,0.14,1)</f>
        <v>733</v>
      </c>
      <c r="C23">
        <v>733</v>
      </c>
      <c r="D23">
        <f>AMORDEGRC(2400,DATE(1998,8,19),DATE(1998,12,30),300,2,0.14,1)</f>
        <v>476</v>
      </c>
      <c r="E23">
        <v>476</v>
      </c>
      <c r="F23">
        <f>AMORDEGRC(2400,DATE(1998,8,19),DATE(1998,12,30),300,3,0.14,1)</f>
        <v>310</v>
      </c>
      <c r="G23">
        <v>310</v>
      </c>
      <c r="H23">
        <f t="shared" si="0"/>
        <v>1</v>
      </c>
      <c r="I23" t="str">
        <f t="shared" si="1"/>
        <v>Ok.</v>
      </c>
    </row>
    <row r="24" spans="1:9" x14ac:dyDescent="0.25">
      <c r="A24" s="3" t="s">
        <v>16</v>
      </c>
      <c r="B24">
        <f>AMORLINC(2400,DATE(1998,8,19),DATE(1998,12,31),300,1,0.15,1)</f>
        <v>360</v>
      </c>
      <c r="C24">
        <v>360</v>
      </c>
      <c r="D24">
        <f>AMORLINC(2400,DATE(1998,8,19),DATE(1998,8,31),100,2,0.5,4)</f>
        <v>1063.3333333333335</v>
      </c>
      <c r="E24">
        <v>1063.3333333333335</v>
      </c>
      <c r="F24">
        <f>AMORLINC(2400,DATE(1998,8,19),DATE(1998,12,31),300,1,0.13,1)</f>
        <v>312</v>
      </c>
      <c r="G24">
        <v>312</v>
      </c>
      <c r="H24">
        <f t="shared" si="0"/>
        <v>1</v>
      </c>
      <c r="I24" t="str">
        <f t="shared" si="1"/>
        <v>Ok.</v>
      </c>
    </row>
    <row r="25" spans="1:9" x14ac:dyDescent="0.25">
      <c r="A25" s="3" t="s">
        <v>17</v>
      </c>
      <c r="B25">
        <f>COUPDAYBS(DATE(1998,1,25),DATE(1999,11,15),2,1)</f>
        <v>71</v>
      </c>
      <c r="C25">
        <v>71</v>
      </c>
      <c r="D25">
        <f>COUPDAYBS(DATE(1998,1,25),DATE(1999,11,15),4,4)</f>
        <v>70</v>
      </c>
      <c r="E25">
        <v>70</v>
      </c>
      <c r="F25">
        <f>COUPDAYBS(DATE(1998,1,25),DATE(1999,11,15),1,2)</f>
        <v>71</v>
      </c>
      <c r="G25">
        <v>71</v>
      </c>
      <c r="H25">
        <f t="shared" si="0"/>
        <v>1</v>
      </c>
      <c r="I25" t="str">
        <f t="shared" si="1"/>
        <v>Ok.</v>
      </c>
    </row>
    <row r="26" spans="1:9" x14ac:dyDescent="0.25">
      <c r="A26" s="3" t="s">
        <v>18</v>
      </c>
      <c r="B26">
        <f>COUPDAYS(DATE(1998,1,25),DATE(1999,11,15),2,1)</f>
        <v>181</v>
      </c>
      <c r="C26">
        <v>181</v>
      </c>
      <c r="D26">
        <f>COUPDAYS(DATE(1998,1,25),DATE(1999,11,15),2,4)</f>
        <v>180</v>
      </c>
      <c r="E26">
        <v>180</v>
      </c>
      <c r="F26">
        <f>COUPDAYS(DATE(1998,1,25),DATE(1999,11,15),4,2)</f>
        <v>90</v>
      </c>
      <c r="G26">
        <v>90</v>
      </c>
      <c r="H26">
        <f t="shared" si="0"/>
        <v>1</v>
      </c>
      <c r="I26" t="str">
        <f t="shared" si="1"/>
        <v>Ok.</v>
      </c>
    </row>
    <row r="27" spans="1:9" x14ac:dyDescent="0.25">
      <c r="A27" s="3" t="s">
        <v>19</v>
      </c>
      <c r="B27">
        <f>COUPDAYSNC(DATE(1998,1,25),DATE(1999,11,15),2,1)</f>
        <v>110</v>
      </c>
      <c r="C27">
        <v>110</v>
      </c>
      <c r="D27">
        <f>COUPDAYSNC(DATE(1998,1,25),DATE(1999,11,15),4,2)</f>
        <v>21</v>
      </c>
      <c r="E27">
        <v>21</v>
      </c>
      <c r="F27">
        <f>COUPDAYSNC(DATE(1998,1,25),DATE(1999,11,15),1,3)</f>
        <v>294</v>
      </c>
      <c r="G27">
        <v>294</v>
      </c>
      <c r="H27">
        <f t="shared" si="0"/>
        <v>1</v>
      </c>
      <c r="I27" t="str">
        <f t="shared" si="1"/>
        <v>Ok.</v>
      </c>
    </row>
    <row r="28" spans="1:9" x14ac:dyDescent="0.25">
      <c r="A28" s="3" t="s">
        <v>20</v>
      </c>
      <c r="B28">
        <f>COUPNCD(DATE(1998,1,25),DATE(1999,11,15),2,1)</f>
        <v>35930</v>
      </c>
      <c r="C28">
        <v>35930</v>
      </c>
      <c r="D28">
        <f>COUPNCD(DATE(1998,1,25),DATE(1999,11,15),4,2)</f>
        <v>35841</v>
      </c>
      <c r="E28">
        <v>35841</v>
      </c>
      <c r="F28">
        <f>COUPNCD(DATE(1998,1,25),DATE(1999,11,15),1,0)</f>
        <v>36114</v>
      </c>
      <c r="G28">
        <v>36114</v>
      </c>
      <c r="H28">
        <f t="shared" si="0"/>
        <v>1</v>
      </c>
      <c r="I28" t="str">
        <f t="shared" si="1"/>
        <v>Ok.</v>
      </c>
    </row>
    <row r="29" spans="1:9" x14ac:dyDescent="0.25">
      <c r="A29" s="3" t="s">
        <v>21</v>
      </c>
      <c r="B29">
        <f>COUPNUM(DATE(1998,1,25),DATE(1999,11,15),2,1)</f>
        <v>4</v>
      </c>
      <c r="C29">
        <v>4</v>
      </c>
      <c r="D29">
        <f>COUPNUM(DATE(1998,1,25),DATE(1999,11,15),4,1)</f>
        <v>8</v>
      </c>
      <c r="E29">
        <v>8</v>
      </c>
      <c r="F29">
        <f>COUPNUM(DATE(1998,1,25),DATE(1999,11,15),1,3)</f>
        <v>2</v>
      </c>
      <c r="G29">
        <v>2</v>
      </c>
      <c r="H29">
        <f t="shared" si="0"/>
        <v>1</v>
      </c>
      <c r="I29" t="str">
        <f t="shared" si="1"/>
        <v>Ok.</v>
      </c>
    </row>
    <row r="30" spans="1:9" x14ac:dyDescent="0.25">
      <c r="A30" s="3" t="s">
        <v>22</v>
      </c>
      <c r="B30">
        <f>COUPPCD(DATE(1998,1,25),DATE(1999,11,15),2,1)</f>
        <v>35749</v>
      </c>
      <c r="C30">
        <v>35749</v>
      </c>
      <c r="D30">
        <f>COUPPCD(DATE(1998,1,25),DATE(1999,11,16),1,0)</f>
        <v>35750</v>
      </c>
      <c r="E30">
        <v>35750</v>
      </c>
      <c r="F30">
        <f>COUPPCD(DATE(1998,1,25),DATE(1999,11,15),2,0)</f>
        <v>35749</v>
      </c>
      <c r="G30">
        <v>35749</v>
      </c>
      <c r="H30">
        <f t="shared" si="0"/>
        <v>1</v>
      </c>
      <c r="I30" t="str">
        <f t="shared" si="1"/>
        <v>Ok.</v>
      </c>
    </row>
    <row r="31" spans="1:9" x14ac:dyDescent="0.25">
      <c r="A31" s="3" t="s">
        <v>23</v>
      </c>
      <c r="B31">
        <f>CUMIPMT(0.0075,360,125000,13,24,0)</f>
        <v>-11135.232130750841</v>
      </c>
      <c r="C31">
        <v>-11135.232130750846</v>
      </c>
      <c r="D31">
        <f>CUMIPMT(0.0075,360,125000,13,24,1)</f>
        <v>-11052.339583871802</v>
      </c>
      <c r="E31">
        <v>-11052.339583871806</v>
      </c>
      <c r="F31">
        <f>CUMIPMT(0.0075,360,125000,12,24,0)</f>
        <v>-12066.883112622832</v>
      </c>
      <c r="G31">
        <v>-12066.883112622838</v>
      </c>
      <c r="H31">
        <f t="shared" si="0"/>
        <v>1</v>
      </c>
      <c r="I31" t="str">
        <f t="shared" si="1"/>
        <v>Ok.</v>
      </c>
    </row>
    <row r="32" spans="1:9" x14ac:dyDescent="0.25">
      <c r="A32" s="3" t="s">
        <v>24</v>
      </c>
      <c r="B32">
        <f>CUMPRINC(0.0075,360,125000,13,24,0)</f>
        <v>-934.10712342089789</v>
      </c>
      <c r="C32">
        <v>-934.10712342087413</v>
      </c>
      <c r="D32">
        <f>CUMPRINC(0.0075,360,125000,13,24,1)</f>
        <v>-927.15347237806236</v>
      </c>
      <c r="E32">
        <v>-927.15347237803917</v>
      </c>
      <c r="F32">
        <f>CUMPRINC(0.0075,365,125000,12,24,1)</f>
        <v>-961.46359836034571</v>
      </c>
      <c r="G32">
        <v>-961.46359836031775</v>
      </c>
      <c r="H32">
        <f t="shared" si="0"/>
        <v>1</v>
      </c>
      <c r="I32" t="str">
        <f t="shared" si="1"/>
        <v>Ok.</v>
      </c>
    </row>
    <row r="33" spans="1:9" x14ac:dyDescent="0.25">
      <c r="A33" s="3" t="s">
        <v>25</v>
      </c>
      <c r="B33" s="8">
        <f>DB(1000000,100000,6,1,7)</f>
        <v>186083.33333333334</v>
      </c>
      <c r="C33">
        <v>186083.33333333334</v>
      </c>
      <c r="D33" s="8">
        <f>DB(1000000,100000,6,2,7)</f>
        <v>259639.41666666666</v>
      </c>
      <c r="E33">
        <v>259639.41666666666</v>
      </c>
      <c r="F33" s="8">
        <f>DB(1000000,100000,5,1,4)</f>
        <v>123000</v>
      </c>
      <c r="G33">
        <v>123000</v>
      </c>
      <c r="H33">
        <f t="shared" si="0"/>
        <v>1</v>
      </c>
      <c r="I33" t="str">
        <f t="shared" si="1"/>
        <v>Ok.</v>
      </c>
    </row>
    <row r="34" spans="1:9" x14ac:dyDescent="0.25">
      <c r="A34" s="3" t="s">
        <v>26</v>
      </c>
      <c r="B34" s="8">
        <f>DDB(2400,300,3650,1)</f>
        <v>1.3150684931506849</v>
      </c>
      <c r="C34">
        <v>1.3150684931506849</v>
      </c>
      <c r="D34" s="8">
        <f>DDB(2500,350,3600,2)</f>
        <v>1.3881172839506173</v>
      </c>
      <c r="E34">
        <v>1.3881172839506173</v>
      </c>
      <c r="F34" s="8">
        <f>DDB(2500,350,360,32)</f>
        <v>11.685944132881756</v>
      </c>
      <c r="G34" s="8">
        <v>11.685944132881756</v>
      </c>
      <c r="H34">
        <f t="shared" si="0"/>
        <v>1</v>
      </c>
      <c r="I34" t="str">
        <f t="shared" si="1"/>
        <v>Ok.</v>
      </c>
    </row>
    <row r="35" spans="1:9" x14ac:dyDescent="0.25">
      <c r="A35" s="3" t="s">
        <v>27</v>
      </c>
      <c r="B35">
        <f>DISC(DATE(1998,2,15),DATE(1998,10,6),97.975,100,2)</f>
        <v>3.1287553648068823E-2</v>
      </c>
      <c r="C35">
        <v>3.1287553648068823E-2</v>
      </c>
      <c r="D35">
        <f>DISC(DATE(1998,2,15),DATE(1998,10,6),97.975,100,1)</f>
        <v>3.1722103004291999E-2</v>
      </c>
      <c r="E35">
        <v>3.1722103004291999E-2</v>
      </c>
      <c r="F35">
        <f>DISC(DATE(1998,2,15),DATE(1998,10,6),97.95,100,2)</f>
        <v>3.1673819742489208E-2</v>
      </c>
      <c r="G35">
        <v>3.1673819742489208E-2</v>
      </c>
      <c r="H35">
        <f t="shared" si="0"/>
        <v>1</v>
      </c>
      <c r="I35" t="str">
        <f t="shared" si="1"/>
        <v>Ok.</v>
      </c>
    </row>
    <row r="36" spans="1:9" x14ac:dyDescent="0.25">
      <c r="A36" s="3" t="s">
        <v>28</v>
      </c>
      <c r="B36">
        <f>DOLLARDE(1.02,16)</f>
        <v>1.125</v>
      </c>
      <c r="C36">
        <v>1.125</v>
      </c>
      <c r="D36">
        <f>DOLLARDE(1.1,6)</f>
        <v>1.1666666666666667</v>
      </c>
      <c r="E36">
        <v>1.1666666666666667</v>
      </c>
      <c r="F36">
        <f>DOLLARDE(1.4,28)</f>
        <v>2.4285714285714284</v>
      </c>
      <c r="G36">
        <v>2.4285714285714284</v>
      </c>
      <c r="H36">
        <f t="shared" si="0"/>
        <v>1</v>
      </c>
      <c r="I36" t="str">
        <f t="shared" si="1"/>
        <v>Ok.</v>
      </c>
    </row>
    <row r="37" spans="1:9" x14ac:dyDescent="0.25">
      <c r="A37" s="3" t="s">
        <v>29</v>
      </c>
      <c r="B37">
        <f>DOLLARFR(1.125,16)</f>
        <v>1.02</v>
      </c>
      <c r="C37">
        <v>1.02</v>
      </c>
      <c r="D37">
        <f>DOLLARFR(1.125,6)</f>
        <v>1.075</v>
      </c>
      <c r="E37">
        <v>1.075</v>
      </c>
      <c r="F37">
        <f>DOLLARFR(1.12,3)</f>
        <v>1.036</v>
      </c>
      <c r="G37">
        <v>1.036</v>
      </c>
      <c r="H37">
        <f t="shared" si="0"/>
        <v>1</v>
      </c>
      <c r="I37" t="str">
        <f t="shared" si="1"/>
        <v>Ok.</v>
      </c>
    </row>
    <row r="38" spans="1:9" x14ac:dyDescent="0.25">
      <c r="A38" s="3" t="s">
        <v>30</v>
      </c>
      <c r="B38">
        <f>DURATION(DATE(1998,1,1),DATE(2006,1,1),0.08,0.09,2,1)</f>
        <v>5.9937749555451862</v>
      </c>
      <c r="C38">
        <v>5.9937749555451854</v>
      </c>
      <c r="D38">
        <f>DURATION(DATE(1998,1,1),DATE(2006,1,1),0.08,0.09,1,0)</f>
        <v>6.1490678867732456</v>
      </c>
      <c r="E38">
        <v>6.1490678867732447</v>
      </c>
      <c r="F38">
        <f>DURATION(DATE(1998,1,1),DATE(2006,1,1),0.18,0.09,2,1)</f>
        <v>5.1701312114213209</v>
      </c>
      <c r="G38">
        <v>5.1701312114213209</v>
      </c>
      <c r="H38">
        <f t="shared" si="0"/>
        <v>1</v>
      </c>
      <c r="I38" t="str">
        <f t="shared" si="1"/>
        <v>Ok.</v>
      </c>
    </row>
    <row r="39" spans="1:9" x14ac:dyDescent="0.25">
      <c r="A39" s="3" t="s">
        <v>31</v>
      </c>
      <c r="B39" s="7">
        <f>EFFECT(5.258,4)</f>
        <v>27.696487426555048</v>
      </c>
      <c r="C39">
        <v>27.696487426555052</v>
      </c>
      <c r="D39" s="7">
        <f>EFFECT(5.8,5)</f>
        <v>46.01849845760001</v>
      </c>
      <c r="E39">
        <v>46.018498457600018</v>
      </c>
      <c r="F39" s="7">
        <f>EFFECT(5.58,5)</f>
        <v>41.420747482776576</v>
      </c>
      <c r="G39">
        <v>41.420747482776584</v>
      </c>
      <c r="H39">
        <f t="shared" si="0"/>
        <v>1</v>
      </c>
      <c r="I39" t="str">
        <f t="shared" si="1"/>
        <v>Ok.</v>
      </c>
    </row>
    <row r="40" spans="1:9" x14ac:dyDescent="0.25">
      <c r="A40" s="3" t="s">
        <v>32</v>
      </c>
      <c r="B40" s="8">
        <f>FV(0.5%,10,-20,-500,1)</f>
        <v>731.15339682436695</v>
      </c>
      <c r="C40">
        <v>731.15339682436695</v>
      </c>
      <c r="D40" s="8">
        <f>FV(0.5%,10,-20,-500,0)</f>
        <v>730.13059418355124</v>
      </c>
      <c r="E40">
        <v>730.13059418355124</v>
      </c>
      <c r="F40" s="8">
        <f>FV(0.5%,3,-20,-500,1)</f>
        <v>568.13956499999836</v>
      </c>
      <c r="G40">
        <v>568.13956499999836</v>
      </c>
      <c r="H40">
        <f t="shared" si="0"/>
        <v>1</v>
      </c>
      <c r="I40" t="str">
        <f t="shared" si="1"/>
        <v>Ok.</v>
      </c>
    </row>
    <row r="41" spans="1:9" x14ac:dyDescent="0.25">
      <c r="A41" s="3" t="s">
        <v>33</v>
      </c>
      <c r="B41">
        <f>FVSCHEDULE(1,{0.09;0.11;0.1})</f>
        <v>1.3308900000000004</v>
      </c>
      <c r="C41">
        <v>1.3308900000000004</v>
      </c>
      <c r="D41">
        <f>FVSCHEDULE(2,{0.09;0.11;0.1})</f>
        <v>2.6617800000000007</v>
      </c>
      <c r="E41">
        <v>2.6617800000000007</v>
      </c>
      <c r="F41">
        <f>FVSCHEDULE(1,{0.07;0.11;0.16})</f>
        <v>1.3777320000000002</v>
      </c>
      <c r="G41">
        <v>1.3777320000000002</v>
      </c>
      <c r="H41">
        <f t="shared" si="0"/>
        <v>1</v>
      </c>
      <c r="I41" t="str">
        <f t="shared" ref="I41:I56" si="2">IF(H41,"Ok.","FAILED!!")</f>
        <v>Ok.</v>
      </c>
    </row>
    <row r="42" spans="1:9" x14ac:dyDescent="0.25">
      <c r="A42" s="3" t="s">
        <v>34</v>
      </c>
      <c r="B42">
        <f>INTRATE(DATE(1999,2,15),DATE(1999,5,15),1000000,1014420,2)</f>
        <v>5.8328089887640454E-2</v>
      </c>
      <c r="C42">
        <v>5.8328089887640454E-2</v>
      </c>
      <c r="D42">
        <f>INTRATE(DATE(1999,2,15),DATE(1999,5,15),1000000,1014420,1)</f>
        <v>5.9138202247191005E-2</v>
      </c>
      <c r="E42">
        <v>5.9138202247191005E-2</v>
      </c>
      <c r="F42">
        <f>INTRATE(DATE(1999,2,15),DATE(1999,5,15),100000,1014420,2)</f>
        <v>36.987775280898873</v>
      </c>
      <c r="G42">
        <v>36.987775280898873</v>
      </c>
      <c r="H42">
        <f t="shared" si="0"/>
        <v>1</v>
      </c>
      <c r="I42" t="str">
        <f t="shared" si="2"/>
        <v>Ok.</v>
      </c>
    </row>
    <row r="43" spans="1:9" x14ac:dyDescent="0.25">
      <c r="A43" t="s">
        <v>35</v>
      </c>
      <c r="B43" s="8">
        <f>IPMT(0.1,1,36,8000)</f>
        <v>-800</v>
      </c>
      <c r="C43">
        <v>-800</v>
      </c>
      <c r="D43" s="8">
        <f>IPMT(0.1,3,36,8000)</f>
        <v>-794.38365278513277</v>
      </c>
      <c r="E43">
        <v>-794.38365278513288</v>
      </c>
      <c r="F43" s="8">
        <f>IPMT(0.1,3,6,8000)</f>
        <v>-582.25960099071892</v>
      </c>
      <c r="G43">
        <v>-582.25960099071892</v>
      </c>
      <c r="H43">
        <f t="shared" si="0"/>
        <v>1</v>
      </c>
      <c r="I43" t="str">
        <f t="shared" si="2"/>
        <v>Ok.</v>
      </c>
    </row>
    <row r="44" spans="1:9" x14ac:dyDescent="0.25">
      <c r="A44" t="s">
        <v>36</v>
      </c>
      <c r="B44" s="10">
        <f>IRR(A11:A16)</f>
        <v>8.663094803652216E-2</v>
      </c>
      <c r="C44">
        <v>8.6630948036342498E-2</v>
      </c>
      <c r="D44" s="10">
        <f>IRR(A11:A15)</f>
        <v>-2.1244848273410888E-2</v>
      </c>
      <c r="E44">
        <v>-2.1244848273020495E-2</v>
      </c>
      <c r="F44" s="10">
        <f>IRR(A11:A16,4)</f>
        <v>8.6630948036495292E-2</v>
      </c>
      <c r="G44">
        <v>8.6630948036342498E-2</v>
      </c>
      <c r="H44">
        <f t="shared" si="0"/>
        <v>1</v>
      </c>
      <c r="I44" t="str">
        <f t="shared" si="2"/>
        <v>Ok.</v>
      </c>
    </row>
    <row r="45" spans="1:9" x14ac:dyDescent="0.25">
      <c r="A45" t="s">
        <v>37</v>
      </c>
      <c r="B45">
        <f>ISPMT(0.1,1,36,8000000)</f>
        <v>-777777.77777777775</v>
      </c>
      <c r="C45">
        <v>-777777.77777777775</v>
      </c>
      <c r="D45">
        <f>ISPMT(0.1,2,36,8000000)</f>
        <v>-755555.5555555555</v>
      </c>
      <c r="E45">
        <v>-755555.5555555555</v>
      </c>
      <c r="F45">
        <f>ISPMT(0.1,1,6,800000)</f>
        <v>-66666.666666666672</v>
      </c>
      <c r="G45">
        <v>-66666.666666666672</v>
      </c>
      <c r="H45">
        <f t="shared" si="0"/>
        <v>1</v>
      </c>
      <c r="I45" t="str">
        <f t="shared" si="2"/>
        <v>Ok.</v>
      </c>
    </row>
    <row r="46" spans="1:9" x14ac:dyDescent="0.25">
      <c r="A46" t="s">
        <v>38</v>
      </c>
      <c r="B46">
        <f>MDURATION(DATE(1999,1,1),DATE(2007,1,1),0.08,0.09,2,1)</f>
        <v>5.7356698139188387</v>
      </c>
      <c r="C46">
        <v>5.7356698139188378</v>
      </c>
      <c r="D46">
        <f>MDURATION(DATE(1999,1,1),DATE(2007,1,1),0.18,0.09,2,2)</f>
        <v>4.9474939822213599</v>
      </c>
      <c r="E46">
        <v>4.9474939822213599</v>
      </c>
      <c r="F46">
        <f>MDURATION(DATE(1999,1,1),DATE(2007,1,1),0.08,0.09,4,1)</f>
        <v>5.7845017204861851</v>
      </c>
      <c r="G46">
        <v>5.7845017204861833</v>
      </c>
      <c r="H46">
        <f t="shared" si="0"/>
        <v>1</v>
      </c>
      <c r="I46" t="str">
        <f t="shared" si="2"/>
        <v>Ok.</v>
      </c>
    </row>
    <row r="47" spans="1:9" x14ac:dyDescent="0.25">
      <c r="A47" t="s">
        <v>39</v>
      </c>
      <c r="B47" s="10">
        <f>MIRR(A11:A16,0.1,0.12)</f>
        <v>9.8669107337150175E-2</v>
      </c>
      <c r="C47">
        <v>9.8669107337150175E-2</v>
      </c>
      <c r="D47" s="10">
        <f>MIRR(A11:A16,0.2,0.13)</f>
        <v>0.1023079320299376</v>
      </c>
      <c r="E47">
        <v>0.1023079320299376</v>
      </c>
      <c r="F47" s="10">
        <f>MIRR(A11:A16,0.12,0.15)</f>
        <v>0.10962733939313596</v>
      </c>
      <c r="G47">
        <v>0.10962733939313596</v>
      </c>
      <c r="H47">
        <f t="shared" si="0"/>
        <v>1</v>
      </c>
      <c r="I47" t="str">
        <f t="shared" si="2"/>
        <v>Ok.</v>
      </c>
    </row>
    <row r="48" spans="1:9" x14ac:dyDescent="0.25">
      <c r="A48" t="s">
        <v>40</v>
      </c>
      <c r="B48">
        <f>NOMINAL(5.323%,4)</f>
        <v>5.2199294200581114E-2</v>
      </c>
      <c r="C48">
        <v>5.2199294200581101E-2</v>
      </c>
      <c r="D48">
        <f>NOMINAL(5.23%,7)</f>
        <v>5.1164323448626536E-2</v>
      </c>
      <c r="E48">
        <v>5.1164323448626536E-2</v>
      </c>
      <c r="F48">
        <f>NOMINAL(5.323%,1)</f>
        <v>5.3230000000000111E-2</v>
      </c>
      <c r="G48">
        <v>5.3230000000000111E-2</v>
      </c>
      <c r="H48">
        <f t="shared" si="0"/>
        <v>1</v>
      </c>
      <c r="I48" t="str">
        <f t="shared" si="2"/>
        <v>Ok.</v>
      </c>
    </row>
    <row r="49" spans="1:9" x14ac:dyDescent="0.25">
      <c r="A49" t="s">
        <v>41</v>
      </c>
      <c r="B49">
        <f>NPER(12%,-100,-1000,10000,1)</f>
        <v>15.288014619990111</v>
      </c>
      <c r="C49">
        <v>15.288014619990111</v>
      </c>
      <c r="D49">
        <f>NPER(12%,-100,-1000,10000,0)</f>
        <v>15.675572272675842</v>
      </c>
      <c r="E49">
        <v>15.675572272675842</v>
      </c>
      <c r="F49">
        <f>NPER(12%,-100,-1100,10000,1)</f>
        <v>14.843018249563006</v>
      </c>
      <c r="G49">
        <v>14.843018249563006</v>
      </c>
      <c r="H49">
        <f t="shared" si="0"/>
        <v>1</v>
      </c>
      <c r="I49" t="str">
        <f t="shared" si="2"/>
        <v>Ok.</v>
      </c>
    </row>
    <row r="50" spans="1:9" x14ac:dyDescent="0.25">
      <c r="A50" t="s">
        <v>42</v>
      </c>
      <c r="B50" s="8">
        <f>NPV(8%,A11:A16)</f>
        <v>1287.929431114819</v>
      </c>
      <c r="C50">
        <v>1287.929431114819</v>
      </c>
      <c r="D50" s="8">
        <f>NPV(8%,A11:A16,-4000)</f>
        <v>-1046.0321499337165</v>
      </c>
      <c r="E50">
        <v>-1046.0321499337165</v>
      </c>
      <c r="F50" s="8">
        <f>NPV(8%,A11:A16,-2000)</f>
        <v>120.94864059055119</v>
      </c>
      <c r="G50">
        <v>120.94864059055119</v>
      </c>
      <c r="H50">
        <f t="shared" si="0"/>
        <v>1</v>
      </c>
      <c r="I50" t="str">
        <f t="shared" si="2"/>
        <v>Ok.</v>
      </c>
    </row>
    <row r="51" spans="1:9" x14ac:dyDescent="0.25">
      <c r="A51" t="s">
        <v>43</v>
      </c>
      <c r="B51">
        <f>ODDFPRICE(DATE(1999,11,11),DATE(2012,3,1),DATE(1999,10,15),DATE(2000,3,1),0.0785,0.0625,100,2,1)</f>
        <v>113.59850693094664</v>
      </c>
      <c r="C51">
        <v>113.59850693094664</v>
      </c>
      <c r="D51">
        <f>ODDFPRICE(DATE(1999,11,11),DATE(2012,3,1),DATE(1999,10,15),DATE(2000,3,1),0.0785,0.0625,100,2,0)</f>
        <v>113.59920582823824</v>
      </c>
      <c r="E51">
        <v>113.59920582823824</v>
      </c>
      <c r="F51">
        <f>ODDFPRICE(DATE(1999,11,11),DATE(2012,3,1),DATE(1999,10,15),DATE(2000,3,1),0.0785,0.0625,100,4,1)</f>
        <v>113.65002161109066</v>
      </c>
      <c r="G51">
        <v>113.65002161109069</v>
      </c>
      <c r="H51">
        <f t="shared" si="0"/>
        <v>1</v>
      </c>
      <c r="I51" t="str">
        <f t="shared" si="2"/>
        <v>Ok.</v>
      </c>
    </row>
    <row r="52" spans="1:9" x14ac:dyDescent="0.25">
      <c r="A52" t="s">
        <v>44</v>
      </c>
      <c r="B52">
        <f>ODDFYIELD(DATE(1999,11,11),DATE(2012,3,1),DATE(1999,10,15),DATE(2000,3,1),0.0785,0.0625,100,2,1)</f>
        <v>26.662394546136639</v>
      </c>
      <c r="C52">
        <v>26.662394546136635</v>
      </c>
      <c r="D52">
        <f>ODDFYIELD(DATE(1999,11,11),DATE(2012,3,1),DATE(1999,10,15),DATE(2000,3,1),0.0785,0.0625,100,2,0)</f>
        <v>27.384604078755249</v>
      </c>
      <c r="E52">
        <v>27.384604078755256</v>
      </c>
      <c r="F52">
        <f>ODDFYIELD(DATE(1999,11,11),DATE(2012,3,1),DATE(1999,10,15),DATE(2000,3,1),0.0785,0.0625,100,4,0)</f>
        <v>12.615078687777377</v>
      </c>
      <c r="G52">
        <v>12.615078687748444</v>
      </c>
      <c r="H52">
        <f t="shared" si="0"/>
        <v>1</v>
      </c>
      <c r="I52" t="str">
        <f t="shared" si="2"/>
        <v>Ok.</v>
      </c>
    </row>
    <row r="53" spans="1:9" x14ac:dyDescent="0.25">
      <c r="A53" t="s">
        <v>45</v>
      </c>
      <c r="B53">
        <f>ODDLPRICE(DATE(1999,11,11),DATE(2012,3,1),DATE(1999,10,15),0.0785,0.0625,100,2,0)</f>
        <v>110.88286909824446</v>
      </c>
      <c r="C53">
        <v>110.88286909824446</v>
      </c>
      <c r="D53">
        <f>ODDLPRICE(DATE(1999,11,11),DATE(2012,3,1),DATE(1999,10,15),0.0785,0.0625,100,2,1)</f>
        <v>110.87644754145835</v>
      </c>
      <c r="E53">
        <v>110.87644754145835</v>
      </c>
      <c r="F53">
        <f>ODDLPRICE(DATE(1999,11,11),DATE(2012,3,1),DATE(1999,10,15),0.0785,0.0625,200,4,0)</f>
        <v>167.40887498637008</v>
      </c>
      <c r="G53">
        <v>167.40887498637008</v>
      </c>
      <c r="H53">
        <f t="shared" si="0"/>
        <v>1</v>
      </c>
      <c r="I53" t="str">
        <f t="shared" si="2"/>
        <v>Ok.</v>
      </c>
    </row>
    <row r="54" spans="1:9" x14ac:dyDescent="0.25">
      <c r="A54" t="s">
        <v>46</v>
      </c>
      <c r="B54">
        <f>ODDLYIELD(DATE(1999,11,11),DATE(2012,3,1),DATE(1999,10,15),0.0785,0.0625,100,2,0)</f>
        <v>25.373695755689671</v>
      </c>
      <c r="C54">
        <v>25.373695755689671</v>
      </c>
      <c r="D54">
        <f>ODDLYIELD(DATE(1999,11,11),DATE(2012,3,1),DATE(1999,10,15),0.0785,0.0625,100,2,1)</f>
        <v>24.895379658530633</v>
      </c>
      <c r="E54">
        <v>24.895379658530633</v>
      </c>
      <c r="F54">
        <f>ODDLYIELD(DATE(1999,11,11),DATE(2012,3,1),DATE(1999,10,15),0.0785,0.0625,200,4,0)</f>
        <v>38.284145449763813</v>
      </c>
      <c r="G54">
        <v>38.284145449763813</v>
      </c>
      <c r="H54">
        <f t="shared" si="0"/>
        <v>1</v>
      </c>
      <c r="I54" t="str">
        <f t="shared" si="2"/>
        <v>Ok.</v>
      </c>
    </row>
    <row r="55" spans="1:9" x14ac:dyDescent="0.25">
      <c r="A55" t="s">
        <v>47</v>
      </c>
      <c r="B55" s="8">
        <f>PMT(6%,5,3)</f>
        <v>-0.71218920129356889</v>
      </c>
      <c r="C55">
        <v>-0.71218920129356811</v>
      </c>
      <c r="D55" s="8">
        <f>PMT(6%,5,3,4)</f>
        <v>-1.4217748030183273</v>
      </c>
      <c r="E55">
        <v>-1.4217748030183255</v>
      </c>
      <c r="F55" s="8">
        <f>PMT(6%,7,3)</f>
        <v>-0.53740505417703277</v>
      </c>
      <c r="G55">
        <v>-0.53740505417703199</v>
      </c>
      <c r="H55">
        <f t="shared" si="0"/>
        <v>1</v>
      </c>
      <c r="I55" t="str">
        <f t="shared" si="2"/>
        <v>Ok.</v>
      </c>
    </row>
    <row r="56" spans="1:9" x14ac:dyDescent="0.25">
      <c r="A56" t="s">
        <v>48</v>
      </c>
      <c r="B56" s="8">
        <f>PPMT(6%,1,24,2000)</f>
        <v>-39.358009967086815</v>
      </c>
      <c r="C56">
        <v>-39.35800996708673</v>
      </c>
      <c r="D56" s="8">
        <f>PPMT(6%,2,24,2000)</f>
        <v>-41.719490565112018</v>
      </c>
      <c r="E56">
        <v>-41.719490565111954</v>
      </c>
      <c r="F56" s="8">
        <f>PPMT(6%,2,14,2000)</f>
        <v>-100.88000709292224</v>
      </c>
      <c r="G56">
        <v>-100.88000709292209</v>
      </c>
      <c r="H56">
        <f t="shared" si="0"/>
        <v>1</v>
      </c>
      <c r="I56" t="str">
        <f t="shared" si="2"/>
        <v>Ok.</v>
      </c>
    </row>
    <row r="57" spans="1:9" x14ac:dyDescent="0.25">
      <c r="A57" t="s">
        <v>49</v>
      </c>
      <c r="B57">
        <f>PRICE(DATE(1999,2,15),DATE(2007,11,15),0.0575,0.065,100,2,0)</f>
        <v>95.042874399392048</v>
      </c>
      <c r="C57">
        <v>95.042874399392048</v>
      </c>
      <c r="D57">
        <f>PRICE(DATE(1999,2,15),DATE(2007,11,15),0.0575,0.065,100,2,1)</f>
        <v>95.044624221624801</v>
      </c>
      <c r="E57">
        <v>95.044624221624801</v>
      </c>
      <c r="F57">
        <f>PRICE(DATE(1999,2,15),DATE(2007,11,15),0.0575,0.065,100,4,1)</f>
        <v>95.024930647599419</v>
      </c>
      <c r="G57">
        <v>95.02493064759949</v>
      </c>
      <c r="H57">
        <f t="shared" si="0"/>
        <v>1</v>
      </c>
      <c r="I57" t="str">
        <f t="shared" ref="I57:I73" si="3">IF(H57,"Ok.","FAILED!!")</f>
        <v>Ok.</v>
      </c>
    </row>
    <row r="58" spans="1:9" x14ac:dyDescent="0.25">
      <c r="A58" t="s">
        <v>50</v>
      </c>
      <c r="B58">
        <f>PRICEDISC(DATE(1999,2,15),DATE(1999,11,15),0.0575,100,2)</f>
        <v>95.639583333333334</v>
      </c>
      <c r="C58">
        <v>95.639583333333334</v>
      </c>
      <c r="D58">
        <f>PRICEDISC(DATE(1999,2,15),DATE(1999,11,15),0.0575,100,1)</f>
        <v>95.699315068493149</v>
      </c>
      <c r="E58">
        <v>95.699315068493149</v>
      </c>
      <c r="F58">
        <f>PRICEDISC(DATE(1999,2,15),DATE(1999,11,15),0.0575,200,2)</f>
        <v>191.27916666666667</v>
      </c>
      <c r="G58">
        <v>191.27916666666667</v>
      </c>
      <c r="H58">
        <f t="shared" si="0"/>
        <v>1</v>
      </c>
      <c r="I58" t="str">
        <f t="shared" si="3"/>
        <v>Ok.</v>
      </c>
    </row>
    <row r="59" spans="1:9" x14ac:dyDescent="0.25">
      <c r="A59" t="s">
        <v>51</v>
      </c>
      <c r="B59">
        <f>PRICEMAT(DATE(1999,2,15),DATE(1999,11,15),DATE(1998,11,11),0.0575,100,2)</f>
        <v>-0.1551066522053508</v>
      </c>
      <c r="C59">
        <v>-0.1551066522053508</v>
      </c>
      <c r="D59">
        <f>PRICEMAT(DATE(1999,2,15),DATE(1999,11,15),DATE(1998,11,11),0.0575,100,1)</f>
        <v>-0.11627780019756928</v>
      </c>
      <c r="E59">
        <v>-0.11627780019756928</v>
      </c>
      <c r="F59">
        <f>PRICEMAT(DATE(1999,2,15),DATE(1999,11,15),DATE(1998,11,11),0.0575,200,2)</f>
        <v>-0.83970614992721992</v>
      </c>
      <c r="G59">
        <v>-0.83970614992721992</v>
      </c>
      <c r="H59">
        <f t="shared" si="0"/>
        <v>1</v>
      </c>
      <c r="I59" t="str">
        <f t="shared" si="3"/>
        <v>Ok.</v>
      </c>
    </row>
    <row r="60" spans="1:9" x14ac:dyDescent="0.25">
      <c r="A60" t="s">
        <v>52</v>
      </c>
      <c r="B60" s="8">
        <f>PV(0.08,12*20,500,2,0)</f>
        <v>-6249.9999405653516</v>
      </c>
      <c r="C60">
        <v>-6249.9999405653516</v>
      </c>
      <c r="D60" s="8">
        <f>PV(0.08,12*20,500,2,1)</f>
        <v>-6749.9999358090563</v>
      </c>
      <c r="E60">
        <v>-6749.9999358090563</v>
      </c>
      <c r="F60" s="8">
        <f>PV(0.08,12*20,100,1,0)</f>
        <v>-1249.9999881187778</v>
      </c>
      <c r="G60">
        <v>-1249.9999881187778</v>
      </c>
      <c r="H60">
        <f t="shared" si="0"/>
        <v>1</v>
      </c>
      <c r="I60" t="str">
        <f t="shared" si="3"/>
        <v>Ok.</v>
      </c>
    </row>
    <row r="61" spans="1:9" x14ac:dyDescent="0.25">
      <c r="A61" t="s">
        <v>53</v>
      </c>
      <c r="B61" s="10">
        <f>RATE(48,-200,8000)</f>
        <v>7.7014724882013682E-3</v>
      </c>
      <c r="C61">
        <v>7.7014724882013682E-3</v>
      </c>
      <c r="D61" s="10">
        <f>RATE(8,-200,8000)</f>
        <v>-0.26337164595922907</v>
      </c>
      <c r="E61">
        <v>-0.26337164595922907</v>
      </c>
      <c r="F61" s="10">
        <f>RATE(48,-100,8000)</f>
        <v>-1.9201481727445641E-2</v>
      </c>
      <c r="G61">
        <v>-1.9201481727445641E-2</v>
      </c>
      <c r="H61">
        <f t="shared" si="0"/>
        <v>1</v>
      </c>
      <c r="I61" t="str">
        <f t="shared" si="3"/>
        <v>Ok.</v>
      </c>
    </row>
    <row r="62" spans="1:9" x14ac:dyDescent="0.25">
      <c r="A62" t="s">
        <v>54</v>
      </c>
      <c r="B62">
        <f>RECEIVED(DATE(1999,2,15),DATE(1999,4,15),100000,0.0575,2)</f>
        <v>100951.32603773056</v>
      </c>
      <c r="C62">
        <v>100951.32603773056</v>
      </c>
      <c r="D62">
        <f>RECEIVED(DATE(1999,2,15),DATE(1999,4,15),100000,0.0575,1)</f>
        <v>100938.17191291663</v>
      </c>
      <c r="E62">
        <v>100938.17191291663</v>
      </c>
      <c r="F62">
        <f>RECEIVED(DATE(1999,2,15),DATE(1999,4,15),100000,0.055,2)</f>
        <v>100909.58781236423</v>
      </c>
      <c r="G62">
        <v>100909.58781236423</v>
      </c>
      <c r="H62">
        <f t="shared" si="0"/>
        <v>1</v>
      </c>
      <c r="I62" t="str">
        <f t="shared" si="3"/>
        <v>Ok.</v>
      </c>
    </row>
    <row r="63" spans="1:9" x14ac:dyDescent="0.25">
      <c r="A63" t="s">
        <v>55</v>
      </c>
      <c r="B63" s="8">
        <f>SLN(30000,7500,10)</f>
        <v>2250</v>
      </c>
      <c r="C63">
        <v>2250</v>
      </c>
      <c r="D63" s="8">
        <f>SLN(30000,7500,7)</f>
        <v>3214.2857142857142</v>
      </c>
      <c r="E63">
        <v>3214.2857142857142</v>
      </c>
      <c r="F63" s="8">
        <f>SLN(30000,1500,10)</f>
        <v>2850</v>
      </c>
      <c r="G63">
        <v>2850</v>
      </c>
      <c r="H63">
        <f t="shared" si="0"/>
        <v>1</v>
      </c>
      <c r="I63" t="str">
        <f t="shared" si="3"/>
        <v>Ok.</v>
      </c>
    </row>
    <row r="64" spans="1:9" x14ac:dyDescent="0.25">
      <c r="A64" t="s">
        <v>56</v>
      </c>
      <c r="B64" s="8">
        <f>SYD(30000,7500,10,1)</f>
        <v>4090.909090909091</v>
      </c>
      <c r="C64">
        <v>4090.909090909091</v>
      </c>
      <c r="D64" s="8">
        <f>SYD(30000,7500,10,2)</f>
        <v>3681.818181818182</v>
      </c>
      <c r="E64">
        <v>3681.818181818182</v>
      </c>
      <c r="F64" s="8">
        <f>SYD(30000,7500,9,1)</f>
        <v>4500</v>
      </c>
      <c r="G64">
        <v>4500</v>
      </c>
      <c r="H64">
        <f t="shared" si="0"/>
        <v>1</v>
      </c>
      <c r="I64" t="str">
        <f t="shared" si="3"/>
        <v>Ok.</v>
      </c>
    </row>
    <row r="65" spans="1:9" x14ac:dyDescent="0.25">
      <c r="A65" t="s">
        <v>57</v>
      </c>
      <c r="B65">
        <f>TBILLEQ(DATE(1999,3,31),DATE(1999,6,6),0.0234)</f>
        <v>2.3828774312129323E-2</v>
      </c>
      <c r="C65">
        <v>2.3828774312129323E-2</v>
      </c>
      <c r="D65">
        <f>TBILLEQ(DATE(1999,3,31),DATE(1999,6,6),0.06534)</f>
        <v>6.7063019852921443E-2</v>
      </c>
      <c r="E65">
        <v>6.7063019852921443E-2</v>
      </c>
      <c r="F65">
        <f>TBILLEQ(DATE(1999,3,31),DATE(1999,7,6),0.2234)</f>
        <v>0.24101011378824591</v>
      </c>
      <c r="G65">
        <v>0.24101011378824591</v>
      </c>
      <c r="H65">
        <f t="shared" si="0"/>
        <v>1</v>
      </c>
      <c r="I65" t="str">
        <f t="shared" si="3"/>
        <v>Ok.</v>
      </c>
    </row>
    <row r="66" spans="1:9" x14ac:dyDescent="0.25">
      <c r="A66" t="s">
        <v>58</v>
      </c>
      <c r="B66">
        <f>TBILLPRICE(DATE(1999,3,31),DATE(1999,6,1),0.09)</f>
        <v>98.45</v>
      </c>
      <c r="C66">
        <v>98.45</v>
      </c>
      <c r="D66">
        <f>TBILLPRICE(DATE(1999,3,31),DATE(1999,6,1),0.19)</f>
        <v>96.727777777777774</v>
      </c>
      <c r="E66">
        <v>96.727777777777774</v>
      </c>
      <c r="F66">
        <f>TBILLPRICE(DATE(1999,3,31),DATE(1999,7,1),0.09)</f>
        <v>97.7</v>
      </c>
      <c r="G66">
        <v>97.7</v>
      </c>
      <c r="H66">
        <f t="shared" si="0"/>
        <v>1</v>
      </c>
      <c r="I66" t="str">
        <f t="shared" si="3"/>
        <v>Ok.</v>
      </c>
    </row>
    <row r="67" spans="1:9" x14ac:dyDescent="0.25">
      <c r="A67" t="s">
        <v>59</v>
      </c>
      <c r="B67">
        <f>TBILLYIELD(DATE(1999,3,31),DATE(1999,6,1),0.09)</f>
        <v>6445.8064516129034</v>
      </c>
      <c r="C67">
        <v>6445.8064516129034</v>
      </c>
      <c r="D67">
        <f>TBILLYIELD(DATE(1999,3,31),DATE(1999,6,1),0.19)</f>
        <v>3050.2207130730048</v>
      </c>
      <c r="E67">
        <v>3050.2207130730048</v>
      </c>
      <c r="F67">
        <f>TBILLYIELD(DATE(1999,3,31),DATE(1999,7,1),0.09)</f>
        <v>4343.913043478261</v>
      </c>
      <c r="G67">
        <v>4343.913043478261</v>
      </c>
      <c r="H67">
        <f t="shared" si="0"/>
        <v>1</v>
      </c>
      <c r="I67" t="str">
        <f t="shared" si="3"/>
        <v>Ok.</v>
      </c>
    </row>
    <row r="68" spans="1:9" x14ac:dyDescent="0.25">
      <c r="A68" t="s">
        <v>60</v>
      </c>
      <c r="B68" s="8">
        <f>VDB(2400,300,10,0,0.3234,1.5)</f>
        <v>116.42400000000001</v>
      </c>
      <c r="C68">
        <v>116.42400000000001</v>
      </c>
      <c r="D68" s="8">
        <f>VDB(2400,300,10,0,0.3234,1.7)</f>
        <v>131.94719999999998</v>
      </c>
      <c r="E68">
        <v>131.94719999999998</v>
      </c>
      <c r="F68" s="8">
        <f>VDB(2400,300,10,0,0.3234,2.5)</f>
        <v>194.04000000000002</v>
      </c>
      <c r="G68">
        <v>194.04</v>
      </c>
      <c r="H68">
        <f t="shared" si="0"/>
        <v>1</v>
      </c>
      <c r="I68" t="str">
        <f t="shared" si="3"/>
        <v>Ok.</v>
      </c>
    </row>
    <row r="69" spans="1:9" x14ac:dyDescent="0.25">
      <c r="A69" t="s">
        <v>61</v>
      </c>
      <c r="B69">
        <f>XIRR({-10000;2750;4250;3250;2742},{"1998/1/1";"1998/1/3";"1998/10/30";"1999/2/15";"1999/1/4"},0.1)</f>
        <v>0.42845830321311962</v>
      </c>
      <c r="C69">
        <v>0.42845830321311962</v>
      </c>
      <c r="D69">
        <f>XIRR({-10000;2750;4250;3250;2742},{"1998/1/1";"1998/1/3";"1998/10/30";"1999/2/15";"1999/2/4"},0.01)</f>
        <v>0.41707635402679444</v>
      </c>
      <c r="E69">
        <v>0.41707635402679444</v>
      </c>
      <c r="F69">
        <f>XIRR({-10000;2750;4290;3250;2742},{"1998/1/1";"1998/1/3";"1998/10/30";"1999/2/15";"1999/2/4"},0.01)</f>
        <v>0.42300886631011969</v>
      </c>
      <c r="G69">
        <v>0.42300886631011969</v>
      </c>
      <c r="H69">
        <f t="shared" si="0"/>
        <v>1</v>
      </c>
      <c r="I69" t="str">
        <f t="shared" si="3"/>
        <v>Ok.</v>
      </c>
    </row>
    <row r="70" spans="1:9" x14ac:dyDescent="0.25">
      <c r="A70" t="s">
        <v>62</v>
      </c>
      <c r="B70">
        <f>XNPV(0.09,{-10000;2750;4250;3250;2750},{35794;35855;36098;36206;36251})</f>
        <v>2083.7942417773552</v>
      </c>
      <c r="C70">
        <v>2083.7942417773552</v>
      </c>
      <c r="D70">
        <f>XNPV(0.03,{-10000;2750;4250;3250;2750},{35794;35855;36098;36206;36251})</f>
        <v>2676.5336244134619</v>
      </c>
      <c r="E70">
        <v>2676.5336244134619</v>
      </c>
      <c r="F70">
        <f>XNPV(0.09,{-10000;2720;4250;3250;2750},{35794;35855;36098;36206;36251})</f>
        <v>2054.2232142647504</v>
      </c>
      <c r="G70">
        <v>2054.2232142647504</v>
      </c>
      <c r="H70">
        <f t="shared" si="0"/>
        <v>1</v>
      </c>
      <c r="I70" t="str">
        <f t="shared" si="3"/>
        <v>Ok.</v>
      </c>
    </row>
    <row r="71" spans="1:9" x14ac:dyDescent="0.25">
      <c r="A71" t="s">
        <v>63</v>
      </c>
      <c r="B71">
        <f>YIELD(DATE(1999,2,15),DATE(2007,11,15),0.0575,95.0423,100,2,0)</f>
        <v>6.5000898377699901E-2</v>
      </c>
      <c r="C71">
        <v>6.5000898377699859E-2</v>
      </c>
      <c r="D71">
        <f>YIELD(DATE(1999,2,15),DATE(2007,11,15),0.0575,95.0423,100,4,1)</f>
        <v>6.4973003173050381E-2</v>
      </c>
      <c r="E71">
        <v>6.4973003173050645E-2</v>
      </c>
      <c r="F71">
        <f>YIELD(DATE(1999,2,15),DATE(2007,11,15),0.0575,95.0423,200,2,0)</f>
        <v>0.13140301523558054</v>
      </c>
      <c r="G71">
        <v>0.13140301523558054</v>
      </c>
      <c r="H71">
        <f t="shared" si="0"/>
        <v>1</v>
      </c>
      <c r="I71" t="str">
        <f t="shared" si="3"/>
        <v>Ok.</v>
      </c>
    </row>
    <row r="72" spans="1:9" x14ac:dyDescent="0.25">
      <c r="A72" t="s">
        <v>64</v>
      </c>
      <c r="B72">
        <f>YIELDDISC(DATE(1999,2,15),DATE(2007,11,15),0.0575,100,2)</f>
        <v>195.84568279240659</v>
      </c>
      <c r="C72">
        <v>195.84568279240659</v>
      </c>
      <c r="D72">
        <f>YIELDDISC(DATE(1999,2,15),DATE(2007,11,15),0.0575,100,1)</f>
        <v>198.68665411686433</v>
      </c>
      <c r="E72">
        <v>198.68665411686433</v>
      </c>
      <c r="F72">
        <f>YIELDDISC(DATE(1999,2,15),DATE(2007,11,15),0.0575,200,2)</f>
        <v>391.80404164115123</v>
      </c>
      <c r="G72">
        <v>391.80404164115123</v>
      </c>
      <c r="H72">
        <f t="shared" si="0"/>
        <v>1</v>
      </c>
      <c r="I72" t="str">
        <f t="shared" si="3"/>
        <v>Ok.</v>
      </c>
    </row>
    <row r="73" spans="1:9" x14ac:dyDescent="0.25">
      <c r="A73" t="s">
        <v>65</v>
      </c>
      <c r="B73">
        <f>YIELDMAT(DATE(1999,2,15),DATE(1999,11,15),DATE(1998,11,11),0.0575,100,2)</f>
        <v>5.6631648063033474E-2</v>
      </c>
      <c r="C73">
        <v>5.6631648063033474E-2</v>
      </c>
      <c r="D73">
        <f>YIELDMAT(DATE(1999,2,15),DATE(1999,11,15),DATE(1998,11,11),0.0575,200,0)</f>
        <v>-0.63316354312418577</v>
      </c>
      <c r="E73">
        <v>-0.63316354312418577</v>
      </c>
      <c r="F73">
        <f>YIELDMAT(DATE(1999,2,15),DATE(1999,11,15),DATE(1998,11,11),0.1575,100,2)</f>
        <v>0.15115163147792687</v>
      </c>
      <c r="G73">
        <v>0.15115163147792687</v>
      </c>
      <c r="H73">
        <f t="shared" si="0"/>
        <v>1</v>
      </c>
      <c r="I73" t="str">
        <f t="shared" si="3"/>
        <v>Ok.</v>
      </c>
    </row>
    <row r="74" spans="1:9" x14ac:dyDescent="0.25">
      <c r="A74" s="4" t="s">
        <v>11</v>
      </c>
      <c r="H74" t="b">
        <f>B8=SUM(H21:H73)</f>
        <v>1</v>
      </c>
      <c r="I74">
        <f>IF(H74,1,0)</f>
        <v>1</v>
      </c>
    </row>
  </sheetData>
  <phoneticPr fontId="0" type="noConversion"/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 Iivonen</dc:creator>
  <cp:lastModifiedBy>Aniket Gupta</cp:lastModifiedBy>
  <dcterms:created xsi:type="dcterms:W3CDTF">1999-05-15T18:48:49Z</dcterms:created>
  <dcterms:modified xsi:type="dcterms:W3CDTF">2024-02-03T22:14:18Z</dcterms:modified>
</cp:coreProperties>
</file>