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873ADE0-E957-4F06-B1A0-1637C6D627A6}" xr6:coauthVersionLast="47" xr6:coauthVersionMax="47" xr10:uidLastSave="{00000000-0000-0000-0000-000000000000}"/>
  <bookViews>
    <workbookView xWindow="3348" yWindow="3348" windowWidth="17280" windowHeight="8880" tabRatio="908"/>
  </bookViews>
  <sheets>
    <sheet name="Earnings" sheetId="8" r:id="rId1"/>
    <sheet name="Business Activity" sheetId="10" r:id="rId2"/>
    <sheet name="Balance Sheet" sheetId="11" r:id="rId3"/>
    <sheet name="Credit Loss" sheetId="12" r:id="rId4"/>
  </sheets>
  <definedNames>
    <definedName name="_xlnm.Print_Area" localSheetId="2">'Balance Sheet'!$A$1:$AM$54</definedName>
    <definedName name="_xlnm.Print_Area" localSheetId="3">'Credit Loss'!$A$2:$AM$42</definedName>
    <definedName name="_xlnm.Print_Area" localSheetId="0">Earnings!$A$1:$AM$49</definedName>
    <definedName name="wrn.Report._.1." hidden="1">{#N/A,#N/A,FALSE,"NewForm-Aug01 - Minimum "}</definedName>
    <definedName name="wrn.Report._.2." hidden="1">{#N/A,#N/A,FALSE,"NewForm-Aug01 - Minimum "}</definedName>
    <definedName name="wrn.Report._.3." hidden="1">{#N/A,#N/A,FALSE,"NewForm-Aug01 - Minimum 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1" l="1"/>
  <c r="D20" i="11"/>
  <c r="AE20" i="11"/>
  <c r="AE23" i="11" s="1"/>
  <c r="AL20" i="11"/>
  <c r="AM20" i="11"/>
  <c r="C21" i="11"/>
  <c r="C23" i="11" s="1"/>
  <c r="D21" i="11"/>
  <c r="E21" i="11"/>
  <c r="E23" i="11" s="1"/>
  <c r="F21" i="11"/>
  <c r="G21" i="11"/>
  <c r="G23" i="11" s="1"/>
  <c r="H21" i="11"/>
  <c r="I21" i="11"/>
  <c r="J21" i="11"/>
  <c r="K21" i="11"/>
  <c r="K23" i="11" s="1"/>
  <c r="AE21" i="11"/>
  <c r="AL21" i="11"/>
  <c r="AM21" i="11" s="1"/>
  <c r="AM23" i="11" s="1"/>
  <c r="C22" i="11"/>
  <c r="D22" i="11"/>
  <c r="E22" i="11"/>
  <c r="F22" i="11"/>
  <c r="G22" i="11"/>
  <c r="H22" i="11"/>
  <c r="H23" i="11" s="1"/>
  <c r="I22" i="11"/>
  <c r="I23" i="11" s="1"/>
  <c r="J22" i="11"/>
  <c r="K22" i="11"/>
  <c r="L22" i="11"/>
  <c r="M22" i="11"/>
  <c r="M23" i="11" s="1"/>
  <c r="N22" i="11"/>
  <c r="O22" i="11"/>
  <c r="O23" i="11" s="1"/>
  <c r="P22" i="11"/>
  <c r="Q22" i="11"/>
  <c r="Q23" i="11" s="1"/>
  <c r="R22" i="11"/>
  <c r="S22" i="11"/>
  <c r="S23" i="11" s="1"/>
  <c r="T22" i="11"/>
  <c r="AE22" i="11"/>
  <c r="AL22" i="11"/>
  <c r="AM22" i="11"/>
  <c r="D23" i="11"/>
  <c r="F23" i="11"/>
  <c r="J23" i="11"/>
  <c r="L23" i="11"/>
  <c r="N23" i="11"/>
  <c r="P23" i="11"/>
  <c r="R23" i="11"/>
  <c r="T23" i="11"/>
  <c r="C24" i="11"/>
  <c r="D24" i="11"/>
  <c r="AM24" i="11"/>
  <c r="D25" i="11"/>
  <c r="AE25" i="11"/>
  <c r="AM25" i="11"/>
  <c r="AE26" i="11"/>
  <c r="AM26" i="11"/>
  <c r="C27" i="11"/>
  <c r="D27" i="11"/>
  <c r="AM27" i="11"/>
  <c r="C30" i="11"/>
  <c r="D30" i="11"/>
  <c r="M30" i="11"/>
  <c r="N30" i="11"/>
  <c r="N33" i="11" s="1"/>
  <c r="O30" i="11"/>
  <c r="P30" i="11"/>
  <c r="Q30" i="11"/>
  <c r="R30" i="11"/>
  <c r="R33" i="11" s="1"/>
  <c r="S30" i="11"/>
  <c r="T30" i="11"/>
  <c r="T33" i="11" s="1"/>
  <c r="AE30" i="11"/>
  <c r="AL30" i="11"/>
  <c r="AM30" i="11" s="1"/>
  <c r="AM33" i="11" s="1"/>
  <c r="C31" i="11"/>
  <c r="D31" i="11"/>
  <c r="M31" i="11"/>
  <c r="M33" i="11" s="1"/>
  <c r="N31" i="11"/>
  <c r="O31" i="11"/>
  <c r="O33" i="11" s="1"/>
  <c r="P31" i="11"/>
  <c r="Q31" i="11"/>
  <c r="R31" i="11"/>
  <c r="S31" i="11"/>
  <c r="T31" i="11"/>
  <c r="AE31" i="11"/>
  <c r="AL31" i="11"/>
  <c r="AM31" i="11"/>
  <c r="C32" i="11"/>
  <c r="D32" i="11"/>
  <c r="K32" i="11"/>
  <c r="M32" i="11"/>
  <c r="N32" i="11"/>
  <c r="O32" i="11"/>
  <c r="P32" i="11"/>
  <c r="Q32" i="11"/>
  <c r="Q33" i="11" s="1"/>
  <c r="R32" i="11"/>
  <c r="S32" i="11"/>
  <c r="T32" i="11"/>
  <c r="AE32" i="11"/>
  <c r="AL32" i="11"/>
  <c r="AM32" i="11"/>
  <c r="C33" i="11"/>
  <c r="D33" i="11"/>
  <c r="L33" i="11"/>
  <c r="P33" i="11"/>
  <c r="S33" i="11"/>
  <c r="AE33" i="11"/>
  <c r="AK33" i="11"/>
  <c r="C35" i="11"/>
  <c r="D35" i="11"/>
  <c r="M35" i="11"/>
  <c r="N35" i="11"/>
  <c r="O35" i="11"/>
  <c r="P35" i="11"/>
  <c r="Q35" i="11"/>
  <c r="R35" i="11"/>
  <c r="S35" i="11"/>
  <c r="T35" i="11"/>
  <c r="AE35" i="11"/>
  <c r="AM35" i="11"/>
  <c r="C37" i="11"/>
  <c r="D37" i="11"/>
  <c r="M37" i="11"/>
  <c r="N37" i="11"/>
  <c r="O37" i="11"/>
  <c r="P37" i="11"/>
  <c r="Q37" i="11"/>
  <c r="R37" i="11"/>
  <c r="S37" i="11"/>
  <c r="T37" i="11"/>
  <c r="AE37" i="11"/>
  <c r="AM37" i="11"/>
  <c r="C40" i="11"/>
  <c r="D40" i="11"/>
  <c r="M40" i="11"/>
  <c r="N40" i="11"/>
  <c r="O40" i="11"/>
  <c r="P40" i="11"/>
  <c r="Q40" i="11"/>
  <c r="R40" i="11"/>
  <c r="S40" i="11"/>
  <c r="T40" i="11"/>
  <c r="AE40" i="11"/>
  <c r="AM40" i="11"/>
  <c r="S41" i="11"/>
  <c r="T41" i="11"/>
  <c r="U41" i="11"/>
  <c r="V41" i="11"/>
  <c r="W41" i="11"/>
  <c r="X41" i="11"/>
  <c r="Y41" i="11"/>
  <c r="Z41" i="11" s="1"/>
  <c r="AE41" i="11"/>
  <c r="AM41" i="11"/>
  <c r="C42" i="11"/>
  <c r="D42" i="11"/>
  <c r="AM42" i="11"/>
  <c r="C43" i="11"/>
  <c r="D43" i="11"/>
  <c r="M43" i="11"/>
  <c r="N43" i="11"/>
  <c r="O43" i="11"/>
  <c r="P43" i="11"/>
  <c r="Q43" i="11"/>
  <c r="R43" i="11"/>
  <c r="S43" i="11"/>
  <c r="T43" i="11"/>
  <c r="AE43" i="11"/>
  <c r="AM43" i="11"/>
  <c r="C44" i="11"/>
  <c r="D44" i="11"/>
  <c r="M44" i="11"/>
  <c r="N44" i="11"/>
  <c r="O44" i="11"/>
  <c r="P44" i="11"/>
  <c r="Q44" i="11"/>
  <c r="R44" i="11"/>
  <c r="S44" i="11"/>
  <c r="T44" i="11"/>
  <c r="AE44" i="11"/>
  <c r="AM44" i="11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L33" i="11" l="1"/>
  <c r="AL23" i="11"/>
</calcChain>
</file>

<file path=xl/sharedStrings.xml><?xml version="1.0" encoding="utf-8"?>
<sst xmlns="http://schemas.openxmlformats.org/spreadsheetml/2006/main" count="433" uniqueCount="114">
  <si>
    <t>Quarter</t>
  </si>
  <si>
    <t>1991</t>
  </si>
  <si>
    <t>1992</t>
  </si>
  <si>
    <t>1993</t>
  </si>
  <si>
    <t>1994</t>
  </si>
  <si>
    <t>Payout ratio</t>
  </si>
  <si>
    <t>Income Statement</t>
  </si>
  <si>
    <t xml:space="preserve">Net interest income </t>
  </si>
  <si>
    <t>Guaranty fees</t>
  </si>
  <si>
    <t>Retained commitments</t>
  </si>
  <si>
    <t>Purchases</t>
  </si>
  <si>
    <t>Principal liquidations (gross)</t>
  </si>
  <si>
    <t>Mortgage sales</t>
  </si>
  <si>
    <t>Short-term debt issued</t>
  </si>
  <si>
    <t>Cost (includes hedging)</t>
  </si>
  <si>
    <t>Long-term debt issued</t>
  </si>
  <si>
    <t>Total debt issued</t>
  </si>
  <si>
    <t xml:space="preserve">Average maturity of debt </t>
  </si>
  <si>
    <t>Conventional ARMs</t>
  </si>
  <si>
    <t>Total (gross)</t>
  </si>
  <si>
    <t>Average maturity of debt</t>
  </si>
  <si>
    <t>Equity</t>
  </si>
  <si>
    <t>Total investment yield</t>
  </si>
  <si>
    <t>Total borrowing cost</t>
  </si>
  <si>
    <t>Investment spread</t>
  </si>
  <si>
    <t>Net interest margin</t>
  </si>
  <si>
    <t>MBS in Portfolio</t>
  </si>
  <si>
    <t xml:space="preserve">Delinquencies &amp; </t>
  </si>
  <si>
    <t>Foreclosures</t>
  </si>
  <si>
    <t>---</t>
  </si>
  <si>
    <t>Single-family REO acquired</t>
  </si>
  <si>
    <t>Single-family REO inventory</t>
  </si>
  <si>
    <t>Multifamily REO acquired</t>
  </si>
  <si>
    <t>Multifamily REO inventory</t>
  </si>
  <si>
    <t>Fees and other income</t>
  </si>
  <si>
    <t>1st</t>
  </si>
  <si>
    <t>2nd</t>
  </si>
  <si>
    <t>3rd</t>
  </si>
  <si>
    <t>4th</t>
  </si>
  <si>
    <t>1989</t>
  </si>
  <si>
    <t>1990</t>
  </si>
  <si>
    <t>Earnings</t>
  </si>
  <si>
    <t xml:space="preserve">Net income available to </t>
  </si>
  <si>
    <t xml:space="preserve">     common stockholders</t>
  </si>
  <si>
    <t xml:space="preserve">  Cost (includes hedging)</t>
  </si>
  <si>
    <t xml:space="preserve">  Yield (net)</t>
  </si>
  <si>
    <t xml:space="preserve">     outstanding (months)</t>
  </si>
  <si>
    <t>Balance Sheet</t>
  </si>
  <si>
    <t>Business Activity</t>
  </si>
  <si>
    <t>Mortgage Portfolio Yield</t>
  </si>
  <si>
    <t>Credit loss ratio</t>
  </si>
  <si>
    <t>(Dollars in millions)</t>
  </si>
  <si>
    <t>Common shares outstanding</t>
  </si>
  <si>
    <t>Book value/common share</t>
  </si>
  <si>
    <t xml:space="preserve">Net income  </t>
  </si>
  <si>
    <t>Dividends per common share</t>
  </si>
  <si>
    <t>per share amounts)</t>
  </si>
  <si>
    <t>Common Dividends</t>
  </si>
  <si>
    <t>Highlights</t>
  </si>
  <si>
    <r>
      <t>Debt activity</t>
    </r>
    <r>
      <rPr>
        <sz val="10"/>
        <rFont val="Arial"/>
      </rPr>
      <t xml:space="preserve"> (Gross)</t>
    </r>
  </si>
  <si>
    <t>MBS</t>
  </si>
  <si>
    <r>
      <t>Mortgage Portfolio</t>
    </r>
    <r>
      <rPr>
        <sz val="10"/>
        <rFont val="Arial"/>
      </rPr>
      <t xml:space="preserve"> (UPB)</t>
    </r>
  </si>
  <si>
    <t>Liabilities</t>
  </si>
  <si>
    <t>Credit Loss</t>
  </si>
  <si>
    <t xml:space="preserve">  issued (months)</t>
  </si>
  <si>
    <t>N/A</t>
  </si>
  <si>
    <t>MBS issues acquired by others</t>
  </si>
  <si>
    <t>Outstanding MBS liquidations</t>
  </si>
  <si>
    <t>Total Equity</t>
  </si>
  <si>
    <t>Credit-related losses</t>
  </si>
  <si>
    <t>EPS:     Diluted</t>
  </si>
  <si>
    <t>1/  MBS held by investors other than Fannie Mae's portfolio</t>
  </si>
  <si>
    <t xml:space="preserve">Core net interest income </t>
  </si>
  <si>
    <t>Core business earnings      1/</t>
  </si>
  <si>
    <t xml:space="preserve">1/  Excludes unrealized gains and losses on purchased options recorded under FAS 133 and includes purchased options premiums amortized on a straight-line basis over the original estimated life of the option.  Presented net of tax. </t>
  </si>
  <si>
    <t>Outstanding MBS       1/</t>
  </si>
  <si>
    <t>4/  Prior periods through 1998 were reclassified to present charge-offs, foreclosed property expenses and provision for losses on a comparable basis due to rescission of SOP 92-3.</t>
  </si>
  <si>
    <t xml:space="preserve">     as a percent of the number of loans.</t>
  </si>
  <si>
    <t>2/  Prior periods through 1998 were restated to include all loans that are two or more months delinquent as a percent of loan dollars.</t>
  </si>
  <si>
    <t>(Dollars in millions except</t>
  </si>
  <si>
    <t xml:space="preserve">             Core Business</t>
  </si>
  <si>
    <t>Core return on average realized common equity</t>
  </si>
  <si>
    <t>Net interest yield</t>
  </si>
  <si>
    <t>3/  Prior periods through 1998 were restated to reclassify a portion of the allowance for losses from the asset side to the liability side of the balance sheet.</t>
  </si>
  <si>
    <t>1/  Prior periods through 1998 were restated to reclassify HRBs from Conventional FRMs to FHA/VA.</t>
  </si>
  <si>
    <t>2/  Includes gains or losses on available for sale securities</t>
  </si>
  <si>
    <t>4/  Effective 1st Quarter of 2003, the duration gap is a weighted average for the month.  Prior to 2003, the duration gap was calculated on the last day of the month.</t>
  </si>
  <si>
    <t>5/  Classification based on maturity at inception.</t>
  </si>
  <si>
    <t>6/  Includes other basis adjustments to debt.</t>
  </si>
  <si>
    <t>Core Capital                       7/</t>
  </si>
  <si>
    <t>Total Capital                       8/</t>
  </si>
  <si>
    <t>7/  The sum of (a) the stated value of common stock, (b) the stated value of outstanding noncumulative perpetual preferred stock, (c)paid-in capital, and (d) retained earnings, less treasury stock.</t>
  </si>
  <si>
    <t>8/  The sum of (a) core capital and (b) the total allowance for loan losses and guaranty liability for MBS, less (c)the specific loss allowance.</t>
  </si>
  <si>
    <t>1/  Prior periods through 1998 were restated to expand measurement from "at risk" loans to include conventional loans that are three or more months delinquent or in foreclosure</t>
  </si>
  <si>
    <t xml:space="preserve">    Non-credit enhanced</t>
  </si>
  <si>
    <t xml:space="preserve">    Credit enhanced</t>
  </si>
  <si>
    <t>3/  Effective 1998, excludes the allowance related to foreclosed Federal Housing Administration loans.</t>
  </si>
  <si>
    <t>Foreign debt adjustment      6/</t>
  </si>
  <si>
    <t>Long-term debt                    5/</t>
  </si>
  <si>
    <t>Short-term debt                   5/</t>
  </si>
  <si>
    <t>Total assets                        3/</t>
  </si>
  <si>
    <t>Total (net)                           3/</t>
  </si>
  <si>
    <t>Total (gross)                       2/</t>
  </si>
  <si>
    <t>Duration (Months)               4/</t>
  </si>
  <si>
    <t>FHA/VA                              1/</t>
  </si>
  <si>
    <t>Conventional FRMs            1/</t>
  </si>
  <si>
    <t xml:space="preserve">Foreclosed property expense (income)           4/ </t>
  </si>
  <si>
    <t xml:space="preserve">Charge-offs (Recoveries)                                4/ </t>
  </si>
  <si>
    <t>Provision for Losses                                        4/</t>
  </si>
  <si>
    <t>Total MF serious delinquency rate                    2/</t>
  </si>
  <si>
    <t>SF conventional serious delinquency rate         1/</t>
  </si>
  <si>
    <t>Return on Common Equity</t>
  </si>
  <si>
    <t>Allow. for loan losses &amp; gty liability for MBS    3/</t>
  </si>
  <si>
    <t>2003YTD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</si>
</sst>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7" formatCode="&quot;$&quot;#,##0.00_);\(&quot;$&quot;#,##0.00\)"/>
    <numFmt numFmtId="164" formatCode="0.0%"/>
    <numFmt numFmtId="168" formatCode="&quot;$&quot;#,##0"/>
    <numFmt numFmtId="173" formatCode="0.00_);\(0.00\)"/>
    <numFmt numFmtId="175" formatCode="0.000%"/>
    <numFmt numFmtId="177" formatCode="0.0"/>
  </numFmts>
  <fonts count="14" x14ac:knownFonts="1">
    <font>
      <sz val="10"/>
      <name val="Arial"/>
    </font>
    <font>
      <b/>
      <sz val="10"/>
      <name val="Arial"/>
    </font>
    <font>
      <b/>
      <sz val="12"/>
      <name val="Arial"/>
      <family val="2"/>
    </font>
    <font>
      <sz val="10"/>
      <color indexed="5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1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5" fontId="0" fillId="0" borderId="0" xfId="0" applyNumberFormat="1"/>
    <xf numFmtId="0" fontId="1" fillId="0" borderId="0" xfId="0" quotePrefix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7" fontId="0" fillId="0" borderId="0" xfId="0" applyNumberFormat="1"/>
    <xf numFmtId="37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  <xf numFmtId="173" fontId="0" fillId="0" borderId="0" xfId="0" applyNumberFormat="1"/>
    <xf numFmtId="37" fontId="0" fillId="0" borderId="0" xfId="0" applyNumberFormat="1" applyAlignment="1">
      <alignment horizontal="right"/>
    </xf>
    <xf numFmtId="5" fontId="0" fillId="2" borderId="0" xfId="0" applyNumberFormat="1" applyFill="1"/>
    <xf numFmtId="37" fontId="0" fillId="2" borderId="0" xfId="0" applyNumberFormat="1" applyFill="1"/>
    <xf numFmtId="37" fontId="0" fillId="0" borderId="0" xfId="0" applyNumberFormat="1" applyAlignment="1">
      <alignment horizontal="left"/>
    </xf>
    <xf numFmtId="0" fontId="4" fillId="0" borderId="0" xfId="0" applyFont="1"/>
    <xf numFmtId="0" fontId="3" fillId="0" borderId="0" xfId="0" applyFont="1" applyFill="1"/>
    <xf numFmtId="0" fontId="0" fillId="0" borderId="0" xfId="0" applyAlignment="1"/>
    <xf numFmtId="0" fontId="5" fillId="0" borderId="0" xfId="0" applyFont="1"/>
    <xf numFmtId="0" fontId="0" fillId="0" borderId="0" xfId="0" applyBorder="1" applyAlignment="1">
      <alignment horizontal="left"/>
    </xf>
    <xf numFmtId="175" fontId="0" fillId="0" borderId="0" xfId="0" applyNumberFormat="1"/>
    <xf numFmtId="168" fontId="0" fillId="0" borderId="0" xfId="0" applyNumberFormat="1"/>
    <xf numFmtId="0" fontId="6" fillId="0" borderId="0" xfId="0" applyFont="1"/>
    <xf numFmtId="0" fontId="7" fillId="0" borderId="0" xfId="0" applyFont="1"/>
    <xf numFmtId="38" fontId="8" fillId="0" borderId="0" xfId="0" quotePrefix="1" applyNumberFormat="1" applyFont="1" applyFill="1"/>
    <xf numFmtId="0" fontId="0" fillId="0" borderId="0" xfId="0" applyFill="1"/>
    <xf numFmtId="173" fontId="0" fillId="0" borderId="0" xfId="0" applyNumberFormat="1" applyFill="1"/>
    <xf numFmtId="5" fontId="0" fillId="0" borderId="0" xfId="0" applyNumberFormat="1" applyFill="1"/>
    <xf numFmtId="38" fontId="0" fillId="0" borderId="0" xfId="0" quotePrefix="1" applyNumberFormat="1" applyFill="1"/>
    <xf numFmtId="0" fontId="1" fillId="0" borderId="1" xfId="0" quotePrefix="1" applyFont="1" applyBorder="1" applyAlignment="1">
      <alignment horizontal="center"/>
    </xf>
    <xf numFmtId="0" fontId="0" fillId="0" borderId="1" xfId="0" applyBorder="1"/>
    <xf numFmtId="0" fontId="1" fillId="0" borderId="0" xfId="0" quotePrefix="1" applyFont="1" applyBorder="1" applyAlignment="1">
      <alignment horizontal="center"/>
    </xf>
    <xf numFmtId="5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77" fontId="0" fillId="0" borderId="0" xfId="0" applyNumberFormat="1"/>
    <xf numFmtId="0" fontId="10" fillId="0" borderId="0" xfId="0" applyFont="1" applyAlignment="1">
      <alignment horizontal="left"/>
    </xf>
    <xf numFmtId="5" fontId="10" fillId="0" borderId="0" xfId="0" applyNumberFormat="1" applyFont="1" applyAlignment="1">
      <alignment horizontal="left"/>
    </xf>
    <xf numFmtId="5" fontId="12" fillId="1" borderId="0" xfId="0" applyNumberFormat="1" applyFont="1" applyFill="1" applyAlignment="1">
      <alignment horizontal="left"/>
    </xf>
    <xf numFmtId="0" fontId="8" fillId="0" borderId="0" xfId="0" applyFont="1"/>
    <xf numFmtId="164" fontId="9" fillId="0" borderId="0" xfId="0" applyNumberFormat="1" applyFont="1"/>
    <xf numFmtId="164" fontId="0" fillId="0" borderId="0" xfId="0" quotePrefix="1" applyNumberFormat="1" applyAlignment="1">
      <alignment horizontal="center"/>
    </xf>
    <xf numFmtId="37" fontId="0" fillId="3" borderId="0" xfId="0" applyNumberFormat="1" applyFill="1"/>
    <xf numFmtId="164" fontId="0" fillId="3" borderId="0" xfId="0" applyNumberFormat="1" applyFill="1"/>
    <xf numFmtId="10" fontId="0" fillId="3" borderId="0" xfId="0" applyNumberFormat="1" applyFill="1" applyAlignment="1">
      <alignment horizontal="center"/>
    </xf>
    <xf numFmtId="10" fontId="0" fillId="3" borderId="0" xfId="0" applyNumberFormat="1" applyFill="1"/>
    <xf numFmtId="168" fontId="0" fillId="3" borderId="0" xfId="0" applyNumberFormat="1" applyFill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83820</xdr:colOff>
      <xdr:row>3</xdr:row>
      <xdr:rowOff>30480</xdr:rowOff>
    </xdr:from>
    <xdr:to>
      <xdr:col>9</xdr:col>
      <xdr:colOff>411480</xdr:colOff>
      <xdr:row>4</xdr:row>
      <xdr:rowOff>144780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1BB0DDD-107B-120E-6EBF-16DCBC781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4540" y="533400"/>
          <a:ext cx="154686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251460</xdr:colOff>
      <xdr:row>3</xdr:row>
      <xdr:rowOff>38100</xdr:rowOff>
    </xdr:from>
    <xdr:to>
      <xdr:col>10</xdr:col>
      <xdr:colOff>541020</xdr:colOff>
      <xdr:row>4</xdr:row>
      <xdr:rowOff>144780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D5D410DB-9A96-9FD1-B4FD-B555FE46C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3120" y="541020"/>
          <a:ext cx="150876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365760</xdr:colOff>
      <xdr:row>3</xdr:row>
      <xdr:rowOff>38100</xdr:rowOff>
    </xdr:from>
    <xdr:to>
      <xdr:col>10</xdr:col>
      <xdr:colOff>45720</xdr:colOff>
      <xdr:row>4</xdr:row>
      <xdr:rowOff>144780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3550EB37-F047-9458-0752-3D6680E26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5960" y="541020"/>
          <a:ext cx="150876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426720</xdr:colOff>
      <xdr:row>3</xdr:row>
      <xdr:rowOff>38100</xdr:rowOff>
    </xdr:from>
    <xdr:to>
      <xdr:col>9</xdr:col>
      <xdr:colOff>114300</xdr:colOff>
      <xdr:row>4</xdr:row>
      <xdr:rowOff>144780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87A5E968-2310-B4CD-9420-6392D845A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480" y="541020"/>
          <a:ext cx="151638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N52"/>
  <sheetViews>
    <sheetView tabSelected="1" zoomScale="75" workbookViewId="0">
      <selection activeCell="H38" sqref="H38"/>
    </sheetView>
  </sheetViews>
  <sheetFormatPr defaultRowHeight="13.2" x14ac:dyDescent="0.25"/>
  <cols>
    <col min="1" max="1" width="35.44140625" customWidth="1"/>
    <col min="2" max="2" width="4.109375" customWidth="1"/>
    <col min="12" max="15" width="9.109375" hidden="1" customWidth="1"/>
    <col min="17" max="20" width="9.109375" hidden="1" customWidth="1"/>
    <col min="22" max="25" width="0" hidden="1" customWidth="1"/>
    <col min="27" max="30" width="0" hidden="1" customWidth="1"/>
    <col min="32" max="35" width="0" hidden="1" customWidth="1"/>
    <col min="42" max="42" width="22.44140625" customWidth="1"/>
  </cols>
  <sheetData>
    <row r="6" spans="1:39" ht="22.8" x14ac:dyDescent="0.4">
      <c r="A6" s="49" t="s">
        <v>41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</row>
    <row r="7" spans="1:39" ht="17.399999999999999" x14ac:dyDescent="0.3">
      <c r="A7" s="21"/>
    </row>
    <row r="8" spans="1:39" ht="17.399999999999999" x14ac:dyDescent="0.3">
      <c r="A8" s="21"/>
    </row>
    <row r="10" spans="1:39" x14ac:dyDescent="0.25">
      <c r="B10" s="18"/>
      <c r="C10" s="18"/>
      <c r="D10" s="18"/>
      <c r="E10" s="18"/>
      <c r="F10" s="18"/>
      <c r="G10" s="18"/>
      <c r="H10" s="18"/>
    </row>
    <row r="11" spans="1:39" x14ac:dyDescent="0.25">
      <c r="A11" s="25" t="s">
        <v>79</v>
      </c>
      <c r="B11" s="18"/>
      <c r="L11" s="5" t="s">
        <v>35</v>
      </c>
      <c r="M11" s="5" t="s">
        <v>36</v>
      </c>
      <c r="N11" s="5" t="s">
        <v>37</v>
      </c>
      <c r="O11" s="5" t="s">
        <v>38</v>
      </c>
      <c r="Q11" s="5" t="s">
        <v>35</v>
      </c>
      <c r="R11" s="5" t="s">
        <v>36</v>
      </c>
      <c r="S11" s="5" t="s">
        <v>37</v>
      </c>
      <c r="T11" s="5" t="s">
        <v>38</v>
      </c>
      <c r="V11" s="5" t="s">
        <v>35</v>
      </c>
      <c r="W11" s="5" t="s">
        <v>36</v>
      </c>
      <c r="X11" s="5" t="s">
        <v>37</v>
      </c>
      <c r="Y11" s="5" t="s">
        <v>38</v>
      </c>
      <c r="AA11" s="5" t="s">
        <v>35</v>
      </c>
      <c r="AB11" s="5" t="s">
        <v>36</v>
      </c>
      <c r="AC11" s="5" t="s">
        <v>37</v>
      </c>
      <c r="AD11" s="5" t="s">
        <v>38</v>
      </c>
      <c r="AF11" s="5" t="s">
        <v>35</v>
      </c>
      <c r="AG11" s="5" t="s">
        <v>36</v>
      </c>
      <c r="AH11" s="5" t="s">
        <v>37</v>
      </c>
      <c r="AI11" s="5" t="s">
        <v>38</v>
      </c>
      <c r="AK11" s="5" t="s">
        <v>35</v>
      </c>
      <c r="AL11" s="5" t="s">
        <v>36</v>
      </c>
    </row>
    <row r="12" spans="1:39" x14ac:dyDescent="0.25">
      <c r="A12" s="25" t="s">
        <v>56</v>
      </c>
      <c r="B12" s="18"/>
      <c r="L12" s="5" t="s">
        <v>0</v>
      </c>
      <c r="M12" s="5" t="s">
        <v>0</v>
      </c>
      <c r="N12" s="5" t="s">
        <v>0</v>
      </c>
      <c r="O12" s="5" t="s">
        <v>0</v>
      </c>
      <c r="P12" s="5"/>
      <c r="Q12" s="5" t="s">
        <v>0</v>
      </c>
      <c r="R12" s="5" t="s">
        <v>0</v>
      </c>
      <c r="S12" s="5" t="s">
        <v>0</v>
      </c>
      <c r="T12" s="5" t="s">
        <v>0</v>
      </c>
      <c r="U12" s="5"/>
      <c r="V12" s="5" t="s">
        <v>0</v>
      </c>
      <c r="W12" s="5" t="s">
        <v>0</v>
      </c>
      <c r="X12" s="5" t="s">
        <v>0</v>
      </c>
      <c r="Y12" s="5" t="s">
        <v>0</v>
      </c>
      <c r="Z12" s="5"/>
      <c r="AA12" s="5" t="s">
        <v>0</v>
      </c>
      <c r="AB12" s="5" t="s">
        <v>0</v>
      </c>
      <c r="AC12" s="5" t="s">
        <v>0</v>
      </c>
      <c r="AD12" s="5" t="s">
        <v>0</v>
      </c>
      <c r="AE12" s="5"/>
      <c r="AF12" s="5" t="s">
        <v>0</v>
      </c>
      <c r="AG12" s="5" t="s">
        <v>0</v>
      </c>
      <c r="AH12" s="5" t="s">
        <v>0</v>
      </c>
      <c r="AI12" s="5" t="s">
        <v>0</v>
      </c>
      <c r="AJ12" s="5"/>
      <c r="AK12" s="5" t="s">
        <v>0</v>
      </c>
      <c r="AL12" s="5" t="s">
        <v>0</v>
      </c>
      <c r="AM12" s="5"/>
    </row>
    <row r="13" spans="1:39" x14ac:dyDescent="0.25">
      <c r="B13" s="18"/>
      <c r="C13" s="3" t="s">
        <v>39</v>
      </c>
      <c r="D13" s="3" t="s">
        <v>40</v>
      </c>
      <c r="E13" s="3" t="s">
        <v>1</v>
      </c>
      <c r="F13" s="3" t="s">
        <v>2</v>
      </c>
      <c r="G13" s="3" t="s">
        <v>3</v>
      </c>
      <c r="H13" s="3" t="s">
        <v>4</v>
      </c>
      <c r="I13" s="3">
        <v>1995</v>
      </c>
      <c r="J13" s="3">
        <v>1996</v>
      </c>
      <c r="K13" s="3">
        <v>1997</v>
      </c>
      <c r="L13" s="3">
        <v>1998</v>
      </c>
      <c r="M13" s="3">
        <v>1998</v>
      </c>
      <c r="N13" s="3">
        <v>1998</v>
      </c>
      <c r="O13" s="3">
        <v>1998</v>
      </c>
      <c r="P13" s="3">
        <v>1998</v>
      </c>
      <c r="Q13" s="3">
        <v>1999</v>
      </c>
      <c r="R13" s="3">
        <v>1999</v>
      </c>
      <c r="S13" s="3">
        <v>1999</v>
      </c>
      <c r="T13" s="3">
        <v>1999</v>
      </c>
      <c r="U13" s="3">
        <v>1999</v>
      </c>
      <c r="V13" s="3">
        <v>2000</v>
      </c>
      <c r="W13" s="3">
        <v>2000</v>
      </c>
      <c r="X13" s="3">
        <v>2000</v>
      </c>
      <c r="Y13" s="3">
        <v>2000</v>
      </c>
      <c r="Z13" s="3">
        <v>2000</v>
      </c>
      <c r="AA13" s="3">
        <v>2001</v>
      </c>
      <c r="AB13" s="3">
        <v>2001</v>
      </c>
      <c r="AC13" s="3">
        <v>2001</v>
      </c>
      <c r="AD13" s="3">
        <v>2001</v>
      </c>
      <c r="AE13" s="3">
        <v>2001</v>
      </c>
      <c r="AF13" s="3">
        <v>2002</v>
      </c>
      <c r="AG13" s="3">
        <v>2002</v>
      </c>
      <c r="AH13" s="3">
        <v>2002</v>
      </c>
      <c r="AI13" s="3">
        <v>2002</v>
      </c>
      <c r="AJ13" s="3">
        <v>2002</v>
      </c>
      <c r="AK13" s="3">
        <v>2003</v>
      </c>
      <c r="AL13" s="3">
        <v>2003</v>
      </c>
      <c r="AM13" s="5" t="s">
        <v>113</v>
      </c>
    </row>
    <row r="14" spans="1:39" ht="5.25" customHeight="1" thickBot="1" x14ac:dyDescent="0.3"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</row>
    <row r="15" spans="1:39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0" ht="15.6" x14ac:dyDescent="0.3">
      <c r="A17" s="1" t="s">
        <v>41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0" x14ac:dyDescent="0.25">
      <c r="A18" t="s">
        <v>54</v>
      </c>
      <c r="C18" s="2">
        <v>807.3</v>
      </c>
      <c r="D18" s="2">
        <v>1173.4000000000001</v>
      </c>
      <c r="E18" s="2">
        <v>1363</v>
      </c>
      <c r="F18" s="2">
        <v>1623</v>
      </c>
      <c r="G18" s="2">
        <v>1873</v>
      </c>
      <c r="H18" s="2">
        <v>2132</v>
      </c>
      <c r="I18" s="2">
        <v>2144</v>
      </c>
      <c r="J18" s="2">
        <v>2725</v>
      </c>
      <c r="K18" s="2">
        <v>3056</v>
      </c>
      <c r="L18" s="2">
        <v>824.2</v>
      </c>
      <c r="M18" s="2">
        <v>848</v>
      </c>
      <c r="N18" s="2">
        <v>857.4</v>
      </c>
      <c r="O18" s="2">
        <v>889</v>
      </c>
      <c r="P18" s="2">
        <v>3418</v>
      </c>
      <c r="Q18" s="2">
        <v>924.9</v>
      </c>
      <c r="R18" s="2">
        <v>957.6</v>
      </c>
      <c r="S18" s="2">
        <v>991</v>
      </c>
      <c r="T18" s="2">
        <v>1038</v>
      </c>
      <c r="U18" s="2">
        <v>3911.5</v>
      </c>
      <c r="V18" s="2">
        <v>1062</v>
      </c>
      <c r="W18" s="2">
        <v>1097</v>
      </c>
      <c r="X18" s="2">
        <v>1124</v>
      </c>
      <c r="Y18" s="2">
        <v>1164</v>
      </c>
      <c r="Z18" s="2">
        <v>4448</v>
      </c>
      <c r="AA18" s="2">
        <v>1293</v>
      </c>
      <c r="AB18" s="2">
        <v>1403</v>
      </c>
      <c r="AC18" s="2">
        <v>1229</v>
      </c>
      <c r="AD18" s="2">
        <v>1969</v>
      </c>
      <c r="AE18" s="2">
        <v>5894</v>
      </c>
      <c r="AF18" s="2">
        <v>1210</v>
      </c>
      <c r="AG18" s="2">
        <v>1464</v>
      </c>
      <c r="AH18" s="2">
        <v>993</v>
      </c>
      <c r="AI18" s="2">
        <v>952.21447479000005</v>
      </c>
      <c r="AJ18" s="2">
        <v>4618.5144747900003</v>
      </c>
      <c r="AK18" s="2">
        <v>1941</v>
      </c>
      <c r="AL18" s="2">
        <v>1102</v>
      </c>
      <c r="AM18" s="2">
        <v>3042</v>
      </c>
      <c r="AN18" s="38"/>
    </row>
    <row r="19" spans="1:40" x14ac:dyDescent="0.25">
      <c r="A19" s="20" t="s">
        <v>42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2"/>
      <c r="T19" s="2"/>
      <c r="U19" s="2"/>
      <c r="V19" s="31"/>
      <c r="W19" s="31"/>
      <c r="X19" s="31"/>
      <c r="Y19" s="31"/>
      <c r="Z19" s="2"/>
      <c r="AA19" s="31"/>
      <c r="AB19" s="31"/>
      <c r="AC19" s="31"/>
      <c r="AD19" s="31"/>
      <c r="AE19" s="2"/>
      <c r="AF19" s="31"/>
      <c r="AG19" s="31"/>
      <c r="AH19" s="31"/>
      <c r="AI19" s="31"/>
      <c r="AJ19" s="2"/>
      <c r="AK19" s="31"/>
      <c r="AL19" s="31"/>
      <c r="AM19" s="2"/>
      <c r="AN19" s="39"/>
    </row>
    <row r="20" spans="1:40" x14ac:dyDescent="0.25">
      <c r="A20" t="s">
        <v>43</v>
      </c>
      <c r="C20" s="31">
        <v>807</v>
      </c>
      <c r="D20" s="31">
        <v>1173</v>
      </c>
      <c r="E20" s="31">
        <v>1363</v>
      </c>
      <c r="F20" s="31">
        <v>1623</v>
      </c>
      <c r="G20" s="31">
        <v>1873</v>
      </c>
      <c r="H20" s="31">
        <v>2132</v>
      </c>
      <c r="I20" s="31">
        <v>2144</v>
      </c>
      <c r="J20" s="31">
        <v>2683</v>
      </c>
      <c r="K20" s="31">
        <v>2991</v>
      </c>
      <c r="L20" s="31">
        <v>808</v>
      </c>
      <c r="M20" s="31">
        <v>831.9</v>
      </c>
      <c r="N20" s="31">
        <v>841.3</v>
      </c>
      <c r="O20" s="31">
        <v>871</v>
      </c>
      <c r="P20" s="31">
        <v>3352</v>
      </c>
      <c r="Q20" s="31">
        <v>906.8</v>
      </c>
      <c r="R20" s="31">
        <v>937.9</v>
      </c>
      <c r="S20" s="27">
        <v>971</v>
      </c>
      <c r="T20" s="27">
        <v>1018</v>
      </c>
      <c r="U20" s="27">
        <v>3833.7</v>
      </c>
      <c r="V20" s="31">
        <v>1042</v>
      </c>
      <c r="W20" s="31">
        <v>1065</v>
      </c>
      <c r="X20" s="31">
        <v>1091</v>
      </c>
      <c r="Y20" s="31">
        <v>1129</v>
      </c>
      <c r="Z20" s="27">
        <v>4327</v>
      </c>
      <c r="AA20" s="31">
        <v>1260</v>
      </c>
      <c r="AB20" s="31">
        <v>1368</v>
      </c>
      <c r="AC20" s="31">
        <v>1194</v>
      </c>
      <c r="AD20" s="31">
        <v>1934</v>
      </c>
      <c r="AE20" s="27">
        <v>5756</v>
      </c>
      <c r="AF20" s="31">
        <v>1177</v>
      </c>
      <c r="AG20" s="31">
        <v>1440</v>
      </c>
      <c r="AH20" s="31">
        <v>971</v>
      </c>
      <c r="AI20" s="31">
        <v>932.27892479000013</v>
      </c>
      <c r="AJ20" s="27">
        <v>4520.27892479</v>
      </c>
      <c r="AK20" s="31">
        <v>1911</v>
      </c>
      <c r="AL20" s="31">
        <v>1068</v>
      </c>
      <c r="AM20" s="27">
        <v>2978</v>
      </c>
      <c r="AN20" s="38"/>
    </row>
    <row r="21" spans="1:40" x14ac:dyDescent="0.25">
      <c r="A21" s="41" t="s">
        <v>73</v>
      </c>
      <c r="C21" s="31">
        <v>807.3</v>
      </c>
      <c r="D21" s="31">
        <v>1173.4000000000001</v>
      </c>
      <c r="E21" s="31">
        <v>1363</v>
      </c>
      <c r="F21" s="31">
        <v>1623</v>
      </c>
      <c r="G21" s="31">
        <v>1873</v>
      </c>
      <c r="H21" s="31">
        <v>2132</v>
      </c>
      <c r="I21" s="31">
        <v>2144</v>
      </c>
      <c r="J21" s="31">
        <v>2725</v>
      </c>
      <c r="K21" s="31">
        <v>3056</v>
      </c>
      <c r="L21" s="31">
        <v>824.2</v>
      </c>
      <c r="M21" s="31">
        <v>848</v>
      </c>
      <c r="N21" s="31">
        <v>857.4</v>
      </c>
      <c r="O21" s="31">
        <v>889</v>
      </c>
      <c r="P21" s="31">
        <v>3418</v>
      </c>
      <c r="Q21" s="31">
        <v>924.9</v>
      </c>
      <c r="R21" s="31">
        <v>957.6</v>
      </c>
      <c r="S21" s="31">
        <v>991</v>
      </c>
      <c r="T21" s="31">
        <v>1038</v>
      </c>
      <c r="U21" s="31">
        <v>3911.5</v>
      </c>
      <c r="V21" s="31">
        <v>1062</v>
      </c>
      <c r="W21" s="31">
        <v>1097</v>
      </c>
      <c r="X21" s="31">
        <v>1124</v>
      </c>
      <c r="Y21" s="31">
        <v>1164</v>
      </c>
      <c r="Z21" s="27">
        <v>4448</v>
      </c>
      <c r="AA21" s="31">
        <v>1238.4000000000001</v>
      </c>
      <c r="AB21" s="31">
        <v>1314.2</v>
      </c>
      <c r="AC21" s="31">
        <v>1376.5</v>
      </c>
      <c r="AD21" s="31">
        <v>1437.8</v>
      </c>
      <c r="AE21" s="27">
        <v>5366.9</v>
      </c>
      <c r="AF21" s="31">
        <v>1518.7</v>
      </c>
      <c r="AG21" s="31">
        <v>1572.7</v>
      </c>
      <c r="AH21" s="31">
        <v>1630.7</v>
      </c>
      <c r="AI21" s="31">
        <v>1671.9074355800001</v>
      </c>
      <c r="AJ21" s="27">
        <v>6394.0074355800007</v>
      </c>
      <c r="AK21" s="31">
        <v>1851</v>
      </c>
      <c r="AL21" s="31">
        <v>1860</v>
      </c>
      <c r="AM21" s="27">
        <v>3710</v>
      </c>
      <c r="AN21" s="38"/>
    </row>
    <row r="22" spans="1:40" x14ac:dyDescent="0.25">
      <c r="A22" t="s">
        <v>70</v>
      </c>
      <c r="C22" s="28">
        <v>0.78</v>
      </c>
      <c r="D22" s="19">
        <v>1.1200000000000001</v>
      </c>
      <c r="E22" s="28">
        <v>1.25</v>
      </c>
      <c r="F22" s="28">
        <v>1.48</v>
      </c>
      <c r="G22" s="28">
        <v>1.71</v>
      </c>
      <c r="H22" s="28">
        <v>1.94</v>
      </c>
      <c r="I22" s="28">
        <v>1.95</v>
      </c>
      <c r="J22" s="28">
        <v>2.48</v>
      </c>
      <c r="K22" s="28">
        <v>2.83</v>
      </c>
      <c r="L22" s="29">
        <v>0.77</v>
      </c>
      <c r="M22" s="29">
        <v>0.8</v>
      </c>
      <c r="N22" s="29">
        <v>0.81</v>
      </c>
      <c r="O22" s="29">
        <v>0.84</v>
      </c>
      <c r="P22" s="28">
        <v>3.23</v>
      </c>
      <c r="Q22" s="29">
        <v>0.88</v>
      </c>
      <c r="R22" s="29">
        <v>0.91</v>
      </c>
      <c r="S22" s="13">
        <v>0.94</v>
      </c>
      <c r="T22" s="13">
        <v>0.99</v>
      </c>
      <c r="U22" s="13">
        <v>3.72</v>
      </c>
      <c r="V22" s="29">
        <v>1.02</v>
      </c>
      <c r="W22" s="29">
        <v>1.05</v>
      </c>
      <c r="X22" s="29">
        <v>1.0871</v>
      </c>
      <c r="Y22" s="29">
        <v>1.12229</v>
      </c>
      <c r="Z22" s="13">
        <v>4.28939</v>
      </c>
      <c r="AA22" s="13">
        <v>1.25</v>
      </c>
      <c r="AB22" s="13">
        <v>1.36</v>
      </c>
      <c r="AC22" s="13">
        <v>1.19</v>
      </c>
      <c r="AD22" s="13">
        <v>1.92</v>
      </c>
      <c r="AE22" s="13">
        <v>5.72</v>
      </c>
      <c r="AF22" s="13">
        <v>1.17</v>
      </c>
      <c r="AG22" s="13">
        <v>1.44</v>
      </c>
      <c r="AH22" s="13">
        <v>0.98</v>
      </c>
      <c r="AI22" s="13">
        <v>0.93937852029951219</v>
      </c>
      <c r="AJ22" s="13">
        <v>4.5293785202995123</v>
      </c>
      <c r="AK22" s="13">
        <v>1.9291155295799367</v>
      </c>
      <c r="AL22" s="13">
        <v>1.0900000000000001</v>
      </c>
      <c r="AM22" s="13">
        <v>3.0291155295799364</v>
      </c>
      <c r="AN22" s="38"/>
    </row>
    <row r="23" spans="1:40" x14ac:dyDescent="0.25">
      <c r="A23" t="s">
        <v>80</v>
      </c>
      <c r="C23" s="28">
        <v>0.78</v>
      </c>
      <c r="D23" s="19">
        <v>1.1200000000000001</v>
      </c>
      <c r="E23" s="28">
        <v>1.25</v>
      </c>
      <c r="F23" s="28">
        <v>1.48</v>
      </c>
      <c r="G23" s="28">
        <v>1.71</v>
      </c>
      <c r="H23" s="28">
        <v>1.94</v>
      </c>
      <c r="I23" s="28">
        <v>1.95</v>
      </c>
      <c r="J23" s="28">
        <v>2.48</v>
      </c>
      <c r="K23" s="28">
        <v>2.83</v>
      </c>
      <c r="L23" s="29">
        <v>0.77</v>
      </c>
      <c r="M23" s="29">
        <v>0.8</v>
      </c>
      <c r="N23" s="29">
        <v>0.81</v>
      </c>
      <c r="O23" s="29">
        <v>0.84</v>
      </c>
      <c r="P23" s="28">
        <v>3.23</v>
      </c>
      <c r="Q23" s="29">
        <v>0.88</v>
      </c>
      <c r="R23" s="29">
        <v>0.91</v>
      </c>
      <c r="S23" s="13">
        <v>0.94</v>
      </c>
      <c r="T23" s="13">
        <v>0.99</v>
      </c>
      <c r="U23" s="13">
        <v>3.72</v>
      </c>
      <c r="V23" s="29">
        <v>1.02</v>
      </c>
      <c r="W23" s="29">
        <v>1.05</v>
      </c>
      <c r="X23" s="29">
        <v>1.0871</v>
      </c>
      <c r="Y23" s="29">
        <v>1.12229</v>
      </c>
      <c r="Z23" s="13">
        <v>4.28939</v>
      </c>
      <c r="AA23" s="13">
        <v>1.2</v>
      </c>
      <c r="AB23" s="13">
        <v>1.27</v>
      </c>
      <c r="AC23" s="13">
        <v>1.33</v>
      </c>
      <c r="AD23" s="13">
        <v>1.4</v>
      </c>
      <c r="AE23" s="13">
        <v>5.2</v>
      </c>
      <c r="AF23" s="13">
        <v>1.48</v>
      </c>
      <c r="AG23" s="13">
        <v>1.55</v>
      </c>
      <c r="AH23" s="13">
        <v>1.62</v>
      </c>
      <c r="AI23" s="13">
        <v>1.66</v>
      </c>
      <c r="AJ23" s="13">
        <v>6.31</v>
      </c>
      <c r="AK23" s="13">
        <v>1.84</v>
      </c>
      <c r="AL23" s="13">
        <v>1.86</v>
      </c>
      <c r="AM23" s="13">
        <v>3.7</v>
      </c>
      <c r="AN23" s="38"/>
    </row>
    <row r="24" spans="1:40" x14ac:dyDescent="0.25">
      <c r="AN24" s="12"/>
    </row>
    <row r="25" spans="1:40" x14ac:dyDescent="0.25">
      <c r="A25" t="s">
        <v>81</v>
      </c>
      <c r="C25" s="43" t="s">
        <v>65</v>
      </c>
      <c r="D25" s="43" t="s">
        <v>65</v>
      </c>
      <c r="E25" s="43" t="s">
        <v>65</v>
      </c>
      <c r="F25" s="43" t="s">
        <v>65</v>
      </c>
      <c r="G25" s="43" t="s">
        <v>65</v>
      </c>
      <c r="H25" s="43" t="s">
        <v>65</v>
      </c>
      <c r="I25" s="43" t="s">
        <v>65</v>
      </c>
      <c r="J25" s="43" t="s">
        <v>65</v>
      </c>
      <c r="K25" s="43" t="s">
        <v>65</v>
      </c>
      <c r="L25" s="43" t="s">
        <v>65</v>
      </c>
      <c r="M25" s="43" t="s">
        <v>65</v>
      </c>
      <c r="N25" s="43" t="s">
        <v>65</v>
      </c>
      <c r="O25" s="43" t="s">
        <v>65</v>
      </c>
      <c r="P25" s="43" t="s">
        <v>65</v>
      </c>
      <c r="Q25" s="43" t="s">
        <v>65</v>
      </c>
      <c r="R25" s="43" t="s">
        <v>65</v>
      </c>
      <c r="S25" s="43" t="s">
        <v>65</v>
      </c>
      <c r="T25" s="43" t="s">
        <v>65</v>
      </c>
      <c r="U25" s="45">
        <v>0.25</v>
      </c>
      <c r="V25" s="6">
        <v>0.252</v>
      </c>
      <c r="W25" s="6">
        <v>0.254</v>
      </c>
      <c r="X25" s="6">
        <v>0.253</v>
      </c>
      <c r="Y25" s="6">
        <v>0.251</v>
      </c>
      <c r="Z25" s="6">
        <v>0.252</v>
      </c>
      <c r="AA25" s="6">
        <v>0.25359999999999999</v>
      </c>
      <c r="AB25" s="6">
        <v>0.25519999999999998</v>
      </c>
      <c r="AC25" s="6">
        <v>0.255</v>
      </c>
      <c r="AD25" s="6">
        <v>0.25259999999999999</v>
      </c>
      <c r="AE25" s="6">
        <v>0.25409999999999999</v>
      </c>
      <c r="AF25" s="6">
        <v>0.25769999999999998</v>
      </c>
      <c r="AG25" s="6">
        <v>0.25840000000000002</v>
      </c>
      <c r="AH25" s="6">
        <v>0.26229999999999998</v>
      </c>
      <c r="AI25" s="6">
        <v>0.26379999999999998</v>
      </c>
      <c r="AJ25" s="6">
        <v>0.26090000000000002</v>
      </c>
      <c r="AK25" s="6">
        <v>0.28047</v>
      </c>
      <c r="AL25" s="6">
        <v>0.27700000000000002</v>
      </c>
      <c r="AM25" s="6">
        <v>0.27900000000000003</v>
      </c>
      <c r="AN25" s="38"/>
    </row>
    <row r="26" spans="1:40" x14ac:dyDescent="0.25">
      <c r="A26" t="s">
        <v>111</v>
      </c>
      <c r="C26" s="6">
        <v>0.311</v>
      </c>
      <c r="D26" s="6">
        <v>0.33700000000000002</v>
      </c>
      <c r="E26" s="6">
        <v>0.27700000000000002</v>
      </c>
      <c r="F26" s="6">
        <v>0.26500000000000001</v>
      </c>
      <c r="G26" s="6">
        <v>0.253</v>
      </c>
      <c r="H26" s="6">
        <v>0.24299999999999999</v>
      </c>
      <c r="I26" s="6">
        <v>0.20899999999999999</v>
      </c>
      <c r="J26" s="6">
        <v>0.24099999999999999</v>
      </c>
      <c r="K26" s="6">
        <v>0.246</v>
      </c>
      <c r="L26" s="6">
        <v>0.25019999999999998</v>
      </c>
      <c r="M26" s="6">
        <v>0.25590000000000002</v>
      </c>
      <c r="N26" s="6">
        <v>0.25159999999999999</v>
      </c>
      <c r="O26" s="6">
        <v>0.25</v>
      </c>
      <c r="P26" s="6">
        <v>0.252</v>
      </c>
      <c r="Q26" s="6">
        <v>0.24840000000000001</v>
      </c>
      <c r="R26" s="6">
        <v>0.249</v>
      </c>
      <c r="S26" s="6">
        <v>0.25190000000000001</v>
      </c>
      <c r="T26" s="6">
        <v>0.25519999999999998</v>
      </c>
      <c r="U26" s="45">
        <v>0.2515</v>
      </c>
      <c r="V26" s="42">
        <v>0.25669999999999998</v>
      </c>
      <c r="W26" s="42">
        <v>0.25819999999999999</v>
      </c>
      <c r="X26" s="42">
        <v>0.25650000000000001</v>
      </c>
      <c r="Y26" s="42">
        <v>0.25259999999999999</v>
      </c>
      <c r="Z26" s="42">
        <v>0.25580000000000003</v>
      </c>
      <c r="AA26" s="42">
        <v>0.33610000000000001</v>
      </c>
      <c r="AB26" s="42">
        <v>0.3468</v>
      </c>
      <c r="AC26" s="42">
        <v>0.33560000000000001</v>
      </c>
      <c r="AD26" s="42">
        <v>0.61219999999999997</v>
      </c>
      <c r="AE26" s="42">
        <v>0.39850000000000002</v>
      </c>
      <c r="AF26" s="42">
        <v>0.29049999999999998</v>
      </c>
      <c r="AG26" s="42">
        <v>0.33929999999999999</v>
      </c>
      <c r="AH26" s="42">
        <v>0.28849999999999998</v>
      </c>
      <c r="AI26" s="42">
        <v>0.2656</v>
      </c>
      <c r="AJ26" s="42">
        <v>0.30159999999999998</v>
      </c>
      <c r="AK26" s="42">
        <v>0.53639999999999999</v>
      </c>
      <c r="AL26" s="42">
        <v>0.31341999999999998</v>
      </c>
      <c r="AM26" s="42">
        <v>0.43131999999999998</v>
      </c>
      <c r="AN26" s="38"/>
    </row>
    <row r="27" spans="1:40" x14ac:dyDescent="0.25">
      <c r="M27" s="12"/>
      <c r="N27" s="12"/>
      <c r="O27" s="12"/>
      <c r="P27" s="6"/>
      <c r="Q27" s="12"/>
      <c r="R27" s="12"/>
      <c r="S27" s="12"/>
      <c r="T27" s="12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M27" s="6"/>
      <c r="AN27" s="38"/>
    </row>
    <row r="28" spans="1:40" ht="15.6" x14ac:dyDescent="0.3">
      <c r="A28" s="1" t="s">
        <v>57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22"/>
      <c r="N28" s="22"/>
      <c r="O28" s="22"/>
      <c r="P28" s="4"/>
      <c r="Q28" s="22"/>
      <c r="R28" s="22"/>
      <c r="S28" s="22"/>
      <c r="T28" s="22"/>
      <c r="U28" s="4"/>
      <c r="Z28" s="4"/>
      <c r="AE28" s="4"/>
      <c r="AJ28" s="4"/>
      <c r="AM28" s="4"/>
    </row>
    <row r="29" spans="1:40" x14ac:dyDescent="0.25">
      <c r="A29" t="s">
        <v>55</v>
      </c>
      <c r="C29" s="7">
        <v>0.11</v>
      </c>
      <c r="D29" s="7">
        <v>0.18</v>
      </c>
      <c r="E29" s="7">
        <v>0.26</v>
      </c>
      <c r="F29" s="7">
        <v>0.35</v>
      </c>
      <c r="G29" s="7">
        <v>0.46</v>
      </c>
      <c r="H29" s="7">
        <v>0.6</v>
      </c>
      <c r="I29" s="7">
        <v>0.68</v>
      </c>
      <c r="J29" s="7">
        <v>0.76</v>
      </c>
      <c r="K29" s="7">
        <v>0.84</v>
      </c>
      <c r="L29" s="7">
        <v>0.24</v>
      </c>
      <c r="M29" s="7">
        <v>0.24</v>
      </c>
      <c r="N29" s="7">
        <v>0.24</v>
      </c>
      <c r="O29" s="7">
        <v>0.24</v>
      </c>
      <c r="P29" s="7">
        <v>0.96</v>
      </c>
      <c r="Q29" s="7">
        <v>0.27</v>
      </c>
      <c r="R29" s="7">
        <v>0.27</v>
      </c>
      <c r="S29" s="7">
        <v>0.27</v>
      </c>
      <c r="T29" s="7">
        <v>0.27</v>
      </c>
      <c r="U29" s="7">
        <v>1.08</v>
      </c>
      <c r="V29" s="7">
        <v>0.28000000000000003</v>
      </c>
      <c r="W29" s="7">
        <v>0.28000000000000003</v>
      </c>
      <c r="X29" s="7">
        <v>0.28000000000000003</v>
      </c>
      <c r="Y29" s="7">
        <v>0.28000000000000003</v>
      </c>
      <c r="Z29" s="7">
        <v>1.1200000000000001</v>
      </c>
      <c r="AA29" s="7">
        <v>0.3</v>
      </c>
      <c r="AB29" s="7">
        <v>0.3</v>
      </c>
      <c r="AC29" s="7">
        <v>0.3</v>
      </c>
      <c r="AD29" s="7">
        <v>0.3</v>
      </c>
      <c r="AE29" s="7">
        <v>1.2</v>
      </c>
      <c r="AF29" s="7">
        <v>0.33</v>
      </c>
      <c r="AG29" s="7">
        <v>0.33</v>
      </c>
      <c r="AH29" s="7">
        <v>0.33</v>
      </c>
      <c r="AI29" s="7">
        <v>0.33</v>
      </c>
      <c r="AJ29" s="7">
        <v>1.32</v>
      </c>
      <c r="AK29" s="7">
        <v>0.39</v>
      </c>
      <c r="AL29" s="7">
        <v>0.39</v>
      </c>
      <c r="AM29" s="7">
        <v>0.78</v>
      </c>
      <c r="AN29" s="38"/>
    </row>
    <row r="30" spans="1:40" x14ac:dyDescent="0.25">
      <c r="A30" t="s">
        <v>5</v>
      </c>
      <c r="C30" s="6">
        <v>0.128</v>
      </c>
      <c r="D30" s="6">
        <v>0.14699999999999999</v>
      </c>
      <c r="E30" s="6">
        <v>0.20699999999999999</v>
      </c>
      <c r="F30" s="6">
        <v>0.23200000000000001</v>
      </c>
      <c r="G30" s="6">
        <v>0.26900000000000002</v>
      </c>
      <c r="H30" s="6">
        <v>0.308</v>
      </c>
      <c r="I30" s="6">
        <v>0.34599999999999997</v>
      </c>
      <c r="J30" s="6">
        <v>0.30399999999999999</v>
      </c>
      <c r="K30" s="6">
        <v>0.29399999999999998</v>
      </c>
      <c r="L30" s="6">
        <v>0.308</v>
      </c>
      <c r="M30" s="6">
        <v>0.29699999999999999</v>
      </c>
      <c r="N30" s="6">
        <v>0.29276120290027341</v>
      </c>
      <c r="O30" s="6">
        <v>0.28343398392652125</v>
      </c>
      <c r="P30" s="6">
        <v>0.29499999999999998</v>
      </c>
      <c r="Q30" s="6">
        <v>0.30580061755624177</v>
      </c>
      <c r="R30" s="6">
        <v>0.29523403347904892</v>
      </c>
      <c r="S30" s="6">
        <v>0.28450837392152478</v>
      </c>
      <c r="T30" s="6">
        <v>0.27034168931764263</v>
      </c>
      <c r="U30" s="6">
        <v>0.28840661018810276</v>
      </c>
      <c r="V30" s="6">
        <v>0.27300000000000002</v>
      </c>
      <c r="W30" s="6">
        <v>0.26439154929577463</v>
      </c>
      <c r="X30" s="6">
        <v>0.25638130155820349</v>
      </c>
      <c r="Y30" s="6">
        <v>0.24747209920283439</v>
      </c>
      <c r="Z30" s="6">
        <v>0.25999607118095674</v>
      </c>
      <c r="AA30" s="6">
        <v>0.23806825396825398</v>
      </c>
      <c r="AB30" s="6">
        <v>0.21941513157894738</v>
      </c>
      <c r="AC30" s="6">
        <v>0.25153768844221108</v>
      </c>
      <c r="AD30" s="6">
        <v>0.15506256463288523</v>
      </c>
      <c r="AE30" s="6">
        <v>0.20853941973592774</v>
      </c>
      <c r="AF30" s="6">
        <v>0.27985289115646261</v>
      </c>
      <c r="AG30" s="6">
        <v>0.22817152777777777</v>
      </c>
      <c r="AH30" s="6">
        <v>0.33585493827160495</v>
      </c>
      <c r="AI30" s="6">
        <v>0.35002507438801672</v>
      </c>
      <c r="AJ30" s="6">
        <v>0.28991684402769075</v>
      </c>
      <c r="AK30" s="6">
        <v>0.20200000000000001</v>
      </c>
      <c r="AL30" s="6">
        <v>0.3579</v>
      </c>
      <c r="AM30" s="6">
        <v>0.25790000000000002</v>
      </c>
      <c r="AN30" s="38"/>
    </row>
    <row r="31" spans="1:40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AA31" s="6"/>
      <c r="AB31" s="6"/>
      <c r="AC31" s="6"/>
      <c r="AD31" s="6"/>
      <c r="AF31" s="6"/>
      <c r="AG31" s="6"/>
      <c r="AH31" s="6"/>
      <c r="AI31" s="6"/>
      <c r="AK31" s="6"/>
      <c r="AL31" s="6"/>
    </row>
    <row r="33" spans="1:40" ht="15.6" x14ac:dyDescent="0.3">
      <c r="A33" s="1" t="s">
        <v>6</v>
      </c>
    </row>
    <row r="34" spans="1:40" ht="15.6" x14ac:dyDescent="0.3">
      <c r="A34" s="1" t="s">
        <v>58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AA34" s="4"/>
      <c r="AB34" s="4"/>
      <c r="AC34" s="4"/>
      <c r="AD34" s="4"/>
      <c r="AF34" s="4"/>
      <c r="AG34" s="4"/>
      <c r="AH34" s="4"/>
      <c r="AI34" s="4"/>
      <c r="AK34" s="4"/>
      <c r="AL34" s="4"/>
    </row>
    <row r="35" spans="1:40" ht="12.75" customHeight="1" x14ac:dyDescent="0.25">
      <c r="A35" t="s">
        <v>7</v>
      </c>
      <c r="C35" s="2">
        <v>1190.8</v>
      </c>
      <c r="D35" s="2">
        <v>1592.5</v>
      </c>
      <c r="E35" s="2">
        <v>1778</v>
      </c>
      <c r="F35" s="2">
        <v>2058</v>
      </c>
      <c r="G35" s="2">
        <v>2533</v>
      </c>
      <c r="H35" s="2">
        <v>2823</v>
      </c>
      <c r="I35" s="2">
        <v>3047</v>
      </c>
      <c r="J35" s="2">
        <v>3592</v>
      </c>
      <c r="K35" s="2">
        <v>3949</v>
      </c>
      <c r="L35" s="2">
        <v>1035.9000000000001</v>
      </c>
      <c r="M35" s="2">
        <v>1031</v>
      </c>
      <c r="N35" s="2">
        <v>1066.5999999999999</v>
      </c>
      <c r="O35" s="2">
        <v>976</v>
      </c>
      <c r="P35" s="2">
        <v>4110</v>
      </c>
      <c r="Q35" s="2">
        <v>1159</v>
      </c>
      <c r="R35" s="2">
        <v>1187.9000000000001</v>
      </c>
      <c r="S35" s="2">
        <v>1241</v>
      </c>
      <c r="T35" s="2">
        <v>1306</v>
      </c>
      <c r="U35" s="2">
        <v>4893.8999999999996</v>
      </c>
      <c r="V35" s="2">
        <v>1362</v>
      </c>
      <c r="W35" s="2">
        <v>1399</v>
      </c>
      <c r="X35" s="2">
        <v>1428</v>
      </c>
      <c r="Y35" s="2">
        <v>1486</v>
      </c>
      <c r="Z35" s="2">
        <v>5674</v>
      </c>
      <c r="AA35" s="2">
        <v>1707.3</v>
      </c>
      <c r="AB35" s="2">
        <v>1900</v>
      </c>
      <c r="AC35" s="2">
        <v>2079</v>
      </c>
      <c r="AD35" s="2">
        <v>2404</v>
      </c>
      <c r="AE35" s="2">
        <v>8090.3</v>
      </c>
      <c r="AF35" s="2">
        <v>2431</v>
      </c>
      <c r="AG35" s="2">
        <v>2532</v>
      </c>
      <c r="AH35" s="2">
        <v>2591</v>
      </c>
      <c r="AI35" s="2">
        <v>3012.2299575700004</v>
      </c>
      <c r="AJ35" s="2">
        <v>10566.22995757</v>
      </c>
      <c r="AK35" s="2">
        <v>3368.4260424099957</v>
      </c>
      <c r="AL35" s="2">
        <v>3501</v>
      </c>
      <c r="AM35" s="2">
        <v>6869.4260424099957</v>
      </c>
      <c r="AN35" s="38"/>
    </row>
    <row r="36" spans="1:40" ht="12.75" customHeight="1" x14ac:dyDescent="0.25">
      <c r="A36" t="s">
        <v>72</v>
      </c>
      <c r="C36" s="31">
        <v>1190.8</v>
      </c>
      <c r="D36" s="31">
        <v>1592.5</v>
      </c>
      <c r="E36" s="31">
        <v>1778</v>
      </c>
      <c r="F36" s="31">
        <v>2058</v>
      </c>
      <c r="G36" s="31">
        <v>2533</v>
      </c>
      <c r="H36" s="31">
        <v>2823</v>
      </c>
      <c r="I36" s="31">
        <v>3047</v>
      </c>
      <c r="J36" s="31">
        <v>3592</v>
      </c>
      <c r="K36" s="31">
        <v>3949</v>
      </c>
      <c r="L36" s="31">
        <v>1035.9000000000001</v>
      </c>
      <c r="M36" s="31">
        <v>1031</v>
      </c>
      <c r="N36" s="31">
        <v>1066.5999999999999</v>
      </c>
      <c r="O36" s="31">
        <v>976</v>
      </c>
      <c r="P36" s="31">
        <v>4110</v>
      </c>
      <c r="Q36" s="31">
        <v>1159</v>
      </c>
      <c r="R36" s="31">
        <v>1187.9000000000001</v>
      </c>
      <c r="S36" s="31">
        <v>1241</v>
      </c>
      <c r="T36" s="31">
        <v>1306</v>
      </c>
      <c r="U36" s="31">
        <v>4893.8999999999996</v>
      </c>
      <c r="V36" s="31">
        <v>1362</v>
      </c>
      <c r="W36" s="31">
        <v>1399</v>
      </c>
      <c r="X36" s="31">
        <v>1428</v>
      </c>
      <c r="Y36" s="31">
        <v>1486</v>
      </c>
      <c r="Z36" s="31">
        <v>5674</v>
      </c>
      <c r="AA36" s="31">
        <v>1643.2</v>
      </c>
      <c r="AB36" s="31">
        <v>1799.3</v>
      </c>
      <c r="AC36" s="31">
        <v>1892.2</v>
      </c>
      <c r="AD36" s="31">
        <v>2165.3049999999998</v>
      </c>
      <c r="AE36" s="31">
        <v>7500.0049999999992</v>
      </c>
      <c r="AF36" s="31">
        <v>2119.81226367</v>
      </c>
      <c r="AG36" s="31">
        <v>2201.6375005800001</v>
      </c>
      <c r="AH36" s="31">
        <v>2191.69148769</v>
      </c>
      <c r="AI36" s="31">
        <v>2238.3691959600001</v>
      </c>
      <c r="AJ36" s="31">
        <v>8751.5104479000001</v>
      </c>
      <c r="AK36" s="31">
        <v>2604.0727934499955</v>
      </c>
      <c r="AL36" s="31">
        <v>2785</v>
      </c>
      <c r="AM36" s="31">
        <v>5388.0727934499955</v>
      </c>
      <c r="AN36" s="38"/>
    </row>
    <row r="37" spans="1:40" x14ac:dyDescent="0.25">
      <c r="A37" t="s">
        <v>8</v>
      </c>
      <c r="C37" s="8">
        <v>407.7</v>
      </c>
      <c r="D37" s="8">
        <v>536.20000000000005</v>
      </c>
      <c r="E37" s="8">
        <v>675</v>
      </c>
      <c r="F37" s="8">
        <v>834</v>
      </c>
      <c r="G37" s="8">
        <v>961</v>
      </c>
      <c r="H37" s="8">
        <v>1083</v>
      </c>
      <c r="I37" s="8">
        <v>1086</v>
      </c>
      <c r="J37" s="8">
        <v>1196</v>
      </c>
      <c r="K37" s="8">
        <v>1274</v>
      </c>
      <c r="L37" s="8">
        <v>321.2</v>
      </c>
      <c r="M37" s="8">
        <v>323</v>
      </c>
      <c r="N37" s="8">
        <v>324</v>
      </c>
      <c r="O37" s="8">
        <v>261</v>
      </c>
      <c r="P37" s="8">
        <v>1229</v>
      </c>
      <c r="Q37" s="8">
        <v>316.8</v>
      </c>
      <c r="R37" s="8">
        <v>320.3</v>
      </c>
      <c r="S37" s="8">
        <v>320</v>
      </c>
      <c r="T37" s="8">
        <v>325</v>
      </c>
      <c r="U37" s="8">
        <v>1282.0999999999999</v>
      </c>
      <c r="V37" s="8">
        <v>332</v>
      </c>
      <c r="W37" s="8">
        <v>339</v>
      </c>
      <c r="X37" s="8">
        <v>341</v>
      </c>
      <c r="Y37" s="8">
        <v>339</v>
      </c>
      <c r="Z37" s="8">
        <v>1351</v>
      </c>
      <c r="AA37" s="8">
        <v>343.1</v>
      </c>
      <c r="AB37" s="8">
        <v>357</v>
      </c>
      <c r="AC37" s="8">
        <v>384</v>
      </c>
      <c r="AD37" s="8">
        <v>398</v>
      </c>
      <c r="AE37" s="8">
        <v>1482.1</v>
      </c>
      <c r="AF37" s="8">
        <v>407</v>
      </c>
      <c r="AG37" s="8">
        <v>423.3</v>
      </c>
      <c r="AH37" s="8">
        <v>462.5</v>
      </c>
      <c r="AI37" s="8">
        <v>523.37958454</v>
      </c>
      <c r="AJ37" s="8">
        <v>1816.17958454</v>
      </c>
      <c r="AK37" s="8">
        <v>546.64134051999997</v>
      </c>
      <c r="AL37" s="8">
        <v>632</v>
      </c>
      <c r="AM37" s="8">
        <v>1178.6413405200001</v>
      </c>
      <c r="AN37" s="38"/>
    </row>
    <row r="38" spans="1:40" x14ac:dyDescent="0.25">
      <c r="A38" t="s">
        <v>34</v>
      </c>
      <c r="C38" s="8">
        <v>60.3</v>
      </c>
      <c r="D38" s="8">
        <v>107</v>
      </c>
      <c r="E38" s="8">
        <v>78</v>
      </c>
      <c r="F38" s="8">
        <v>191</v>
      </c>
      <c r="G38" s="8">
        <v>259</v>
      </c>
      <c r="H38" s="8">
        <v>143</v>
      </c>
      <c r="I38" s="8">
        <v>93</v>
      </c>
      <c r="J38" s="8">
        <v>86</v>
      </c>
      <c r="K38" s="8">
        <v>125</v>
      </c>
      <c r="L38" s="8">
        <v>55.5</v>
      </c>
      <c r="M38" s="8">
        <v>79</v>
      </c>
      <c r="N38" s="8">
        <v>69</v>
      </c>
      <c r="O38" s="8">
        <v>71</v>
      </c>
      <c r="P38" s="8">
        <v>275</v>
      </c>
      <c r="Q38" s="8">
        <v>58.2</v>
      </c>
      <c r="R38" s="8">
        <v>54</v>
      </c>
      <c r="S38" s="8">
        <v>34</v>
      </c>
      <c r="T38" s="8">
        <v>45</v>
      </c>
      <c r="U38" s="8">
        <v>191.2</v>
      </c>
      <c r="V38" s="8">
        <v>0</v>
      </c>
      <c r="W38" s="8">
        <v>-46</v>
      </c>
      <c r="X38" s="8">
        <v>1</v>
      </c>
      <c r="Y38" s="8">
        <v>1</v>
      </c>
      <c r="Z38" s="8">
        <v>-44</v>
      </c>
      <c r="AA38" s="8">
        <v>27.3</v>
      </c>
      <c r="AB38" s="8">
        <v>25</v>
      </c>
      <c r="AC38" s="8">
        <v>48</v>
      </c>
      <c r="AD38" s="8">
        <v>51</v>
      </c>
      <c r="AE38" s="8">
        <v>151.30000000000001</v>
      </c>
      <c r="AF38" s="8">
        <v>4</v>
      </c>
      <c r="AG38" s="8">
        <v>42</v>
      </c>
      <c r="AH38" s="8">
        <v>90.6</v>
      </c>
      <c r="AI38" s="8">
        <v>95.395736240000019</v>
      </c>
      <c r="AJ38" s="8">
        <v>231.99573624000001</v>
      </c>
      <c r="AK38" s="8">
        <v>114</v>
      </c>
      <c r="AL38" s="8">
        <v>232</v>
      </c>
      <c r="AM38" s="8">
        <v>345</v>
      </c>
      <c r="AN38" s="38"/>
    </row>
    <row r="39" spans="1:40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1" spans="1:40" ht="15.6" x14ac:dyDescent="0.3">
      <c r="A41" s="1" t="s">
        <v>25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40" x14ac:dyDescent="0.25">
      <c r="A42" t="s">
        <v>22</v>
      </c>
      <c r="C42" s="9">
        <v>9.9299999999999999E-2</v>
      </c>
      <c r="D42" s="9">
        <v>9.8400000000000001E-2</v>
      </c>
      <c r="E42" s="9">
        <v>9.4299999999999995E-2</v>
      </c>
      <c r="F42" s="9">
        <v>8.5400000000000004E-2</v>
      </c>
      <c r="G42" s="9">
        <v>7.7399999999999997E-2</v>
      </c>
      <c r="H42" s="9">
        <v>7.2999999999999995E-2</v>
      </c>
      <c r="I42" s="9">
        <v>7.5600000000000001E-2</v>
      </c>
      <c r="J42" s="9">
        <v>7.3599999999999999E-2</v>
      </c>
      <c r="K42" s="9">
        <v>7.3400000000000007E-2</v>
      </c>
      <c r="L42" s="9">
        <v>7.2400000000000006E-2</v>
      </c>
      <c r="M42" s="9">
        <v>7.1400000000000005E-2</v>
      </c>
      <c r="N42" s="9">
        <v>7.0699999999999999E-2</v>
      </c>
      <c r="O42" s="9">
        <v>6.9599999999999995E-2</v>
      </c>
      <c r="P42" s="9">
        <v>7.0900000000000005E-2</v>
      </c>
      <c r="Q42" s="9">
        <v>6.8599999999999994E-2</v>
      </c>
      <c r="R42" s="9">
        <v>6.8500000000000005E-2</v>
      </c>
      <c r="S42" s="9">
        <v>6.8900000000000003E-2</v>
      </c>
      <c r="T42" s="9">
        <v>6.9599999999999995E-2</v>
      </c>
      <c r="U42" s="9">
        <v>6.8900000000000003E-2</v>
      </c>
      <c r="V42" s="9">
        <v>7.0099999999999996E-2</v>
      </c>
      <c r="W42" s="9">
        <v>7.0699999999999999E-2</v>
      </c>
      <c r="X42" s="9">
        <v>7.1499999999999994E-2</v>
      </c>
      <c r="Y42" s="9">
        <v>7.1900000000000006E-2</v>
      </c>
      <c r="Z42" s="9">
        <v>7.1099999999999997E-2</v>
      </c>
      <c r="AA42" s="9">
        <v>7.1300000000000002E-2</v>
      </c>
      <c r="AB42" s="9">
        <v>6.9800000000000001E-2</v>
      </c>
      <c r="AC42" s="9">
        <v>6.8699999999999997E-2</v>
      </c>
      <c r="AD42" s="9">
        <v>6.6600000000000006E-2</v>
      </c>
      <c r="AE42" s="9">
        <v>6.9000000000000006E-2</v>
      </c>
      <c r="AF42" s="9">
        <v>6.4899999999999999E-2</v>
      </c>
      <c r="AG42" s="9">
        <v>6.4000000000000001E-2</v>
      </c>
      <c r="AH42" s="9">
        <v>6.3700000000000007E-2</v>
      </c>
      <c r="AI42" s="9">
        <v>6.1598909054072594E-2</v>
      </c>
      <c r="AJ42" s="9">
        <v>6.35243016971586E-2</v>
      </c>
      <c r="AK42" s="9">
        <v>5.9378929323599401E-2</v>
      </c>
      <c r="AL42" s="9">
        <v>5.6599999999999998E-2</v>
      </c>
      <c r="AM42" s="9">
        <v>5.8000000000000003E-2</v>
      </c>
      <c r="AN42" s="38"/>
    </row>
    <row r="43" spans="1:40" x14ac:dyDescent="0.25">
      <c r="A43" t="s">
        <v>23</v>
      </c>
      <c r="C43" s="10">
        <v>9.18</v>
      </c>
      <c r="D43" s="10">
        <v>8.91</v>
      </c>
      <c r="E43" s="10">
        <v>8.56</v>
      </c>
      <c r="F43" s="10">
        <v>7.77</v>
      </c>
      <c r="G43" s="10">
        <v>6.89</v>
      </c>
      <c r="H43" s="10">
        <v>6.47</v>
      </c>
      <c r="I43" s="10">
        <v>6.75</v>
      </c>
      <c r="J43" s="10">
        <v>6.49</v>
      </c>
      <c r="K43" s="10">
        <v>6.48</v>
      </c>
      <c r="L43" s="10">
        <v>6.42</v>
      </c>
      <c r="M43" s="10">
        <v>6.37</v>
      </c>
      <c r="N43" s="10">
        <v>6.31</v>
      </c>
      <c r="O43" s="10">
        <v>6.17</v>
      </c>
      <c r="P43" s="10">
        <v>6.31</v>
      </c>
      <c r="Q43" s="10">
        <v>6.09</v>
      </c>
      <c r="R43" s="10">
        <v>6.07</v>
      </c>
      <c r="S43" s="10">
        <v>6.11</v>
      </c>
      <c r="T43" s="10">
        <v>6.16</v>
      </c>
      <c r="U43" s="10">
        <v>6.11</v>
      </c>
      <c r="V43" s="10">
        <v>6.22</v>
      </c>
      <c r="W43" s="10">
        <v>6.31</v>
      </c>
      <c r="X43" s="10">
        <v>6.39</v>
      </c>
      <c r="Y43" s="10">
        <v>6.45</v>
      </c>
      <c r="Z43" s="10">
        <v>6.35</v>
      </c>
      <c r="AA43" s="10">
        <v>6.32</v>
      </c>
      <c r="AB43" s="10">
        <v>6.12</v>
      </c>
      <c r="AC43" s="10">
        <v>5.96</v>
      </c>
      <c r="AD43" s="10">
        <v>5.66</v>
      </c>
      <c r="AE43" s="10">
        <v>6</v>
      </c>
      <c r="AF43" s="10">
        <v>5.52</v>
      </c>
      <c r="AG43" s="10">
        <v>5.42</v>
      </c>
      <c r="AH43" s="10">
        <v>5.4</v>
      </c>
      <c r="AI43" s="10">
        <v>5.2012937575606797</v>
      </c>
      <c r="AJ43" s="10">
        <v>5.3822615437107295</v>
      </c>
      <c r="AK43" s="10">
        <v>4.8830803949979718</v>
      </c>
      <c r="AL43" s="10">
        <v>4.5599999999999996</v>
      </c>
      <c r="AM43" s="10">
        <v>4.72</v>
      </c>
      <c r="AN43" s="38"/>
    </row>
    <row r="44" spans="1:40" x14ac:dyDescent="0.25">
      <c r="A44" t="s">
        <v>24</v>
      </c>
      <c r="C44" s="10">
        <v>0.75</v>
      </c>
      <c r="D44" s="10">
        <v>0.93</v>
      </c>
      <c r="E44" s="10">
        <v>0.87</v>
      </c>
      <c r="F44" s="10">
        <v>0.77</v>
      </c>
      <c r="G44" s="10">
        <v>0.85</v>
      </c>
      <c r="H44" s="10">
        <v>0.83</v>
      </c>
      <c r="I44" s="10">
        <v>0.81</v>
      </c>
      <c r="J44" s="10">
        <v>0.87</v>
      </c>
      <c r="K44" s="10">
        <v>0.86</v>
      </c>
      <c r="L44" s="10">
        <v>0.82</v>
      </c>
      <c r="M44" s="10">
        <v>0.77</v>
      </c>
      <c r="N44" s="10">
        <v>0.76</v>
      </c>
      <c r="O44" s="10">
        <v>0.79</v>
      </c>
      <c r="P44" s="10">
        <v>0.78</v>
      </c>
      <c r="Q44" s="10">
        <v>0.77</v>
      </c>
      <c r="R44" s="10">
        <v>0.78</v>
      </c>
      <c r="S44" s="10">
        <v>0.78</v>
      </c>
      <c r="T44" s="10">
        <v>0.8</v>
      </c>
      <c r="U44" s="10">
        <v>0.78</v>
      </c>
      <c r="V44" s="10">
        <v>0.79</v>
      </c>
      <c r="W44" s="10">
        <v>0.76</v>
      </c>
      <c r="X44" s="10">
        <v>0.76</v>
      </c>
      <c r="Y44" s="10">
        <v>0.74</v>
      </c>
      <c r="Z44" s="10">
        <v>0.76</v>
      </c>
      <c r="AA44" s="10">
        <v>0.81</v>
      </c>
      <c r="AB44" s="10">
        <v>0.86</v>
      </c>
      <c r="AC44" s="10">
        <v>0.91</v>
      </c>
      <c r="AD44" s="10">
        <v>1</v>
      </c>
      <c r="AE44" s="10">
        <v>0.9</v>
      </c>
      <c r="AF44" s="10">
        <v>0.97</v>
      </c>
      <c r="AG44" s="10">
        <v>0.98</v>
      </c>
      <c r="AH44" s="10">
        <v>0.97</v>
      </c>
      <c r="AI44" s="10">
        <v>0.95859714784657934</v>
      </c>
      <c r="AJ44" s="10">
        <v>0.97016862600513076</v>
      </c>
      <c r="AK44" s="10">
        <v>1.0648125373619679</v>
      </c>
      <c r="AL44" s="10">
        <v>1.1000000000000001</v>
      </c>
      <c r="AM44" s="10">
        <v>1.08</v>
      </c>
      <c r="AN44" s="38"/>
    </row>
    <row r="45" spans="1:40" x14ac:dyDescent="0.25">
      <c r="A45" t="s">
        <v>25</v>
      </c>
      <c r="C45" s="10">
        <v>1.1599999999999999</v>
      </c>
      <c r="D45" s="10">
        <v>1.39</v>
      </c>
      <c r="E45" s="10">
        <v>1.42</v>
      </c>
      <c r="F45" s="10">
        <v>1.37</v>
      </c>
      <c r="G45" s="10">
        <v>1.38</v>
      </c>
      <c r="H45" s="10">
        <v>1.24</v>
      </c>
      <c r="I45" s="10">
        <v>1.1599999999999999</v>
      </c>
      <c r="J45" s="10">
        <v>1.18</v>
      </c>
      <c r="K45" s="10">
        <v>1.17</v>
      </c>
      <c r="L45" s="10">
        <v>1.1399999999999999</v>
      </c>
      <c r="M45" s="10">
        <v>1.07</v>
      </c>
      <c r="N45" s="10">
        <v>1.05</v>
      </c>
      <c r="O45" s="10">
        <v>0.9</v>
      </c>
      <c r="P45" s="10">
        <v>1.03</v>
      </c>
      <c r="Q45" s="10">
        <v>1.02</v>
      </c>
      <c r="R45" s="10">
        <v>1.01</v>
      </c>
      <c r="S45" s="10">
        <v>1</v>
      </c>
      <c r="T45" s="10">
        <v>1.01</v>
      </c>
      <c r="U45" s="10">
        <v>1.01</v>
      </c>
      <c r="V45" s="10">
        <v>1.02</v>
      </c>
      <c r="W45" s="10">
        <v>1.02</v>
      </c>
      <c r="X45" s="10">
        <v>1</v>
      </c>
      <c r="Y45" s="10">
        <v>0.99</v>
      </c>
      <c r="Z45" s="10">
        <v>1.01</v>
      </c>
      <c r="AA45" s="10">
        <v>1.03</v>
      </c>
      <c r="AB45" s="10">
        <v>1.0900000000000001</v>
      </c>
      <c r="AC45" s="10">
        <v>1.1000000000000001</v>
      </c>
      <c r="AD45" s="10">
        <v>1.21</v>
      </c>
      <c r="AE45" s="10">
        <v>1.1100000000000001</v>
      </c>
      <c r="AF45" s="10">
        <v>1.1499999999999999</v>
      </c>
      <c r="AG45" s="10">
        <v>1.1599999999999999</v>
      </c>
      <c r="AH45" s="10">
        <v>1.1599999999999999</v>
      </c>
      <c r="AI45" s="10">
        <v>1.1356709624522634</v>
      </c>
      <c r="AJ45" s="10">
        <v>1.1501598673076703</v>
      </c>
      <c r="AK45" s="10">
        <v>1.251024779436493</v>
      </c>
      <c r="AL45" s="10">
        <v>1.3</v>
      </c>
      <c r="AM45" s="10">
        <v>1.28</v>
      </c>
      <c r="AN45" s="38"/>
    </row>
    <row r="46" spans="1:40" x14ac:dyDescent="0.25">
      <c r="A46" t="s">
        <v>82</v>
      </c>
      <c r="C46" s="10">
        <v>1.1599999999999999</v>
      </c>
      <c r="D46" s="10">
        <v>1.39</v>
      </c>
      <c r="E46" s="10">
        <v>1.42</v>
      </c>
      <c r="F46" s="10">
        <v>1.37</v>
      </c>
      <c r="G46" s="10">
        <v>1.38</v>
      </c>
      <c r="H46" s="10">
        <v>1.24</v>
      </c>
      <c r="I46" s="10">
        <v>1.1599999999999999</v>
      </c>
      <c r="J46" s="10">
        <v>1.18</v>
      </c>
      <c r="K46" s="10">
        <v>1.17</v>
      </c>
      <c r="L46" s="10">
        <v>1.1399999999999999</v>
      </c>
      <c r="M46" s="10">
        <v>1.07</v>
      </c>
      <c r="N46" s="10">
        <v>1.05</v>
      </c>
      <c r="O46" s="10">
        <v>0.9</v>
      </c>
      <c r="P46" s="10">
        <v>1.03</v>
      </c>
      <c r="Q46" s="10">
        <v>1.02</v>
      </c>
      <c r="R46" s="10">
        <v>1.01</v>
      </c>
      <c r="S46" s="10">
        <v>1</v>
      </c>
      <c r="T46" s="10">
        <v>1.01</v>
      </c>
      <c r="U46" s="10">
        <v>1.01</v>
      </c>
      <c r="V46" s="10">
        <v>1.02</v>
      </c>
      <c r="W46" s="10">
        <v>1.02</v>
      </c>
      <c r="X46" s="10">
        <v>1</v>
      </c>
      <c r="Y46" s="10">
        <v>0.99</v>
      </c>
      <c r="Z46" s="10">
        <v>1.01</v>
      </c>
      <c r="AA46" s="10">
        <v>1.07</v>
      </c>
      <c r="AB46" s="10">
        <v>1.1499999999999999</v>
      </c>
      <c r="AC46" s="10">
        <v>1.21</v>
      </c>
      <c r="AD46" s="10">
        <v>1.35</v>
      </c>
      <c r="AE46" s="10">
        <v>1.19</v>
      </c>
      <c r="AF46" s="10">
        <v>1.31</v>
      </c>
      <c r="AG46" s="10">
        <v>1.33</v>
      </c>
      <c r="AH46" s="10">
        <v>1.35</v>
      </c>
      <c r="AI46" s="10">
        <v>1.51</v>
      </c>
      <c r="AJ46" s="10">
        <v>1.38</v>
      </c>
      <c r="AK46" s="10">
        <v>1.6</v>
      </c>
      <c r="AL46" s="10">
        <v>1.63</v>
      </c>
      <c r="AM46" s="10">
        <v>1.61</v>
      </c>
      <c r="AN46" s="38"/>
    </row>
    <row r="49" spans="1:1" x14ac:dyDescent="0.25">
      <c r="A49" t="s">
        <v>74</v>
      </c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</sheetData>
  <mergeCells count="1">
    <mergeCell ref="A6:AM6"/>
  </mergeCells>
  <phoneticPr fontId="0" type="noConversion"/>
  <pageMargins left="0.25" right="0.25" top="1" bottom="1" header="0.5" footer="0.5"/>
  <pageSetup paperSize="5" scale="73" orientation="landscape" useFirstPageNumber="1" verticalDpi="300" r:id="rId1"/>
  <headerFooter alignWithMargins="0">
    <oddFooter>&amp;C&amp;P&amp;R&amp;D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N43"/>
  <sheetViews>
    <sheetView workbookViewId="0">
      <selection activeCell="AM13" sqref="AM13"/>
    </sheetView>
  </sheetViews>
  <sheetFormatPr defaultRowHeight="13.2" x14ac:dyDescent="0.25"/>
  <cols>
    <col min="1" max="1" width="21.33203125" customWidth="1"/>
    <col min="2" max="2" width="7.88671875" customWidth="1"/>
    <col min="12" max="15" width="9.109375" hidden="1" customWidth="1"/>
    <col min="17" max="20" width="9.109375" hidden="1" customWidth="1"/>
    <col min="21" max="21" width="11.33203125" customWidth="1"/>
    <col min="22" max="23" width="0" hidden="1" customWidth="1"/>
    <col min="24" max="25" width="11" hidden="1" customWidth="1"/>
    <col min="26" max="26" width="11.88671875" customWidth="1"/>
    <col min="27" max="27" width="9.6640625" hidden="1" customWidth="1"/>
    <col min="28" max="29" width="10.33203125" hidden="1" customWidth="1"/>
    <col min="30" max="30" width="10.44140625" hidden="1" customWidth="1"/>
    <col min="31" max="31" width="10.6640625" customWidth="1"/>
    <col min="32" max="32" width="10.33203125" hidden="1" customWidth="1"/>
    <col min="33" max="34" width="0" hidden="1" customWidth="1"/>
    <col min="35" max="35" width="10.5546875" hidden="1" customWidth="1"/>
    <col min="36" max="36" width="11.5546875" customWidth="1"/>
    <col min="37" max="38" width="10.33203125" customWidth="1"/>
    <col min="39" max="39" width="11.5546875" customWidth="1"/>
    <col min="42" max="42" width="10.6640625" customWidth="1"/>
  </cols>
  <sheetData>
    <row r="6" spans="1:39" ht="22.8" x14ac:dyDescent="0.4">
      <c r="A6" s="50" t="s">
        <v>48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</row>
    <row r="7" spans="1:39" ht="17.399999999999999" x14ac:dyDescent="0.3">
      <c r="A7" s="21"/>
    </row>
    <row r="9" spans="1:39" x14ac:dyDescent="0.25">
      <c r="B9" s="18"/>
      <c r="C9" s="18"/>
      <c r="D9" s="18"/>
      <c r="E9" s="18"/>
      <c r="F9" s="18"/>
      <c r="G9" s="18"/>
      <c r="H9" s="18"/>
    </row>
    <row r="11" spans="1:39" x14ac:dyDescent="0.25">
      <c r="A11" s="26" t="s">
        <v>51</v>
      </c>
      <c r="L11" s="5" t="s">
        <v>35</v>
      </c>
      <c r="M11" s="5" t="s">
        <v>36</v>
      </c>
      <c r="N11" s="5" t="s">
        <v>37</v>
      </c>
      <c r="O11" s="5" t="s">
        <v>38</v>
      </c>
      <c r="Q11" s="5" t="s">
        <v>35</v>
      </c>
      <c r="R11" s="5" t="s">
        <v>36</v>
      </c>
      <c r="S11" s="5" t="s">
        <v>37</v>
      </c>
      <c r="T11" s="5" t="s">
        <v>38</v>
      </c>
      <c r="V11" s="5" t="s">
        <v>35</v>
      </c>
      <c r="W11" s="5" t="s">
        <v>36</v>
      </c>
      <c r="X11" s="5" t="s">
        <v>37</v>
      </c>
      <c r="Y11" s="5" t="s">
        <v>38</v>
      </c>
      <c r="AA11" s="5" t="s">
        <v>35</v>
      </c>
      <c r="AB11" s="5" t="s">
        <v>36</v>
      </c>
      <c r="AC11" s="5" t="s">
        <v>37</v>
      </c>
      <c r="AD11" s="5" t="s">
        <v>38</v>
      </c>
      <c r="AF11" s="5" t="s">
        <v>35</v>
      </c>
      <c r="AG11" s="5" t="s">
        <v>36</v>
      </c>
      <c r="AH11" s="5" t="s">
        <v>37</v>
      </c>
      <c r="AI11" s="5" t="s">
        <v>38</v>
      </c>
      <c r="AK11" s="5" t="s">
        <v>35</v>
      </c>
      <c r="AL11" s="5" t="s">
        <v>36</v>
      </c>
    </row>
    <row r="12" spans="1:39" x14ac:dyDescent="0.25">
      <c r="L12" s="5" t="s">
        <v>0</v>
      </c>
      <c r="M12" s="5" t="s">
        <v>0</v>
      </c>
      <c r="N12" s="5" t="s">
        <v>0</v>
      </c>
      <c r="O12" s="5" t="s">
        <v>0</v>
      </c>
      <c r="P12" s="5"/>
      <c r="Q12" s="5" t="s">
        <v>0</v>
      </c>
      <c r="R12" s="5" t="s">
        <v>0</v>
      </c>
      <c r="S12" s="5" t="s">
        <v>0</v>
      </c>
      <c r="T12" s="5" t="s">
        <v>0</v>
      </c>
      <c r="U12" s="5"/>
      <c r="V12" s="5" t="s">
        <v>0</v>
      </c>
      <c r="W12" s="5" t="s">
        <v>0</v>
      </c>
      <c r="X12" s="5" t="s">
        <v>0</v>
      </c>
      <c r="Y12" s="5" t="s">
        <v>0</v>
      </c>
      <c r="Z12" s="5"/>
      <c r="AA12" s="5" t="s">
        <v>0</v>
      </c>
      <c r="AB12" s="5" t="s">
        <v>0</v>
      </c>
      <c r="AC12" s="5" t="s">
        <v>0</v>
      </c>
      <c r="AD12" s="5" t="s">
        <v>0</v>
      </c>
      <c r="AE12" s="5"/>
      <c r="AF12" s="5" t="s">
        <v>0</v>
      </c>
      <c r="AG12" s="5" t="s">
        <v>0</v>
      </c>
      <c r="AH12" s="5" t="s">
        <v>0</v>
      </c>
      <c r="AI12" s="5" t="s">
        <v>0</v>
      </c>
      <c r="AJ12" s="5"/>
      <c r="AK12" s="5" t="s">
        <v>0</v>
      </c>
      <c r="AL12" s="5" t="s">
        <v>0</v>
      </c>
      <c r="AM12" s="5"/>
    </row>
    <row r="13" spans="1:39" x14ac:dyDescent="0.25">
      <c r="C13" s="3" t="s">
        <v>39</v>
      </c>
      <c r="D13" s="3" t="s">
        <v>40</v>
      </c>
      <c r="E13" s="3" t="s">
        <v>1</v>
      </c>
      <c r="F13" s="3" t="s">
        <v>2</v>
      </c>
      <c r="G13" s="3" t="s">
        <v>3</v>
      </c>
      <c r="H13" s="3" t="s">
        <v>4</v>
      </c>
      <c r="I13" s="3">
        <v>1995</v>
      </c>
      <c r="J13" s="3">
        <v>1996</v>
      </c>
      <c r="K13" s="3">
        <v>1997</v>
      </c>
      <c r="L13" s="3">
        <v>1998</v>
      </c>
      <c r="M13" s="3">
        <v>1998</v>
      </c>
      <c r="N13" s="3">
        <v>1998</v>
      </c>
      <c r="O13" s="3">
        <v>1998</v>
      </c>
      <c r="P13" s="3">
        <v>1998</v>
      </c>
      <c r="Q13" s="3">
        <v>1999</v>
      </c>
      <c r="R13" s="3">
        <v>1999</v>
      </c>
      <c r="S13" s="3">
        <v>1999</v>
      </c>
      <c r="T13" s="3">
        <v>1999</v>
      </c>
      <c r="U13" s="3">
        <v>1999</v>
      </c>
      <c r="V13" s="3">
        <v>2000</v>
      </c>
      <c r="W13" s="3">
        <v>2000</v>
      </c>
      <c r="X13" s="3">
        <v>2000</v>
      </c>
      <c r="Y13" s="3">
        <v>2000</v>
      </c>
      <c r="Z13" s="3">
        <v>2000</v>
      </c>
      <c r="AA13" s="3">
        <v>2001</v>
      </c>
      <c r="AB13" s="3">
        <v>2001</v>
      </c>
      <c r="AC13" s="3">
        <v>2001</v>
      </c>
      <c r="AD13" s="3">
        <v>2001</v>
      </c>
      <c r="AE13" s="3">
        <v>2001</v>
      </c>
      <c r="AF13" s="3">
        <v>2002</v>
      </c>
      <c r="AG13" s="3">
        <v>2002</v>
      </c>
      <c r="AH13" s="3">
        <v>2002</v>
      </c>
      <c r="AI13" s="3">
        <v>2002</v>
      </c>
      <c r="AJ13" s="3">
        <v>2002</v>
      </c>
      <c r="AK13" s="3">
        <v>2003</v>
      </c>
      <c r="AL13" s="3">
        <v>2003</v>
      </c>
      <c r="AM13" s="5" t="s">
        <v>113</v>
      </c>
    </row>
    <row r="14" spans="1:39" ht="4.5" customHeight="1" thickBot="1" x14ac:dyDescent="0.3"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</row>
    <row r="15" spans="1:39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5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0" ht="15.6" x14ac:dyDescent="0.3">
      <c r="A17" s="1" t="s">
        <v>48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0" x14ac:dyDescent="0.25">
      <c r="A18" t="s">
        <v>9</v>
      </c>
      <c r="C18" s="2">
        <v>20936</v>
      </c>
      <c r="D18" s="2">
        <v>18114</v>
      </c>
      <c r="E18" s="2">
        <v>31991</v>
      </c>
      <c r="F18" s="2">
        <v>64477</v>
      </c>
      <c r="G18" s="2">
        <v>87440</v>
      </c>
      <c r="H18" s="2">
        <v>52220</v>
      </c>
      <c r="I18" s="2">
        <v>55732</v>
      </c>
      <c r="J18" s="2">
        <v>65729</v>
      </c>
      <c r="K18" s="2">
        <v>68667</v>
      </c>
      <c r="L18" s="2">
        <v>36691</v>
      </c>
      <c r="M18" s="2">
        <v>45089</v>
      </c>
      <c r="N18" s="2">
        <v>45614</v>
      </c>
      <c r="O18" s="2">
        <v>64521</v>
      </c>
      <c r="P18" s="2">
        <v>191915</v>
      </c>
      <c r="Q18" s="2">
        <v>63888</v>
      </c>
      <c r="R18" s="2">
        <v>51612</v>
      </c>
      <c r="S18" s="2">
        <v>37770</v>
      </c>
      <c r="T18" s="2">
        <v>28778</v>
      </c>
      <c r="U18" s="2">
        <v>182048</v>
      </c>
      <c r="V18" s="2">
        <v>25139</v>
      </c>
      <c r="W18" s="2">
        <v>30611</v>
      </c>
      <c r="X18" s="2">
        <v>45691</v>
      </c>
      <c r="Y18" s="2">
        <v>50462</v>
      </c>
      <c r="Z18" s="2">
        <v>151903</v>
      </c>
      <c r="AA18" s="2">
        <v>76342</v>
      </c>
      <c r="AB18" s="2">
        <v>65592</v>
      </c>
      <c r="AC18" s="2">
        <v>54079</v>
      </c>
      <c r="AD18" s="2">
        <v>100485</v>
      </c>
      <c r="AE18" s="2">
        <v>296498</v>
      </c>
      <c r="AF18" s="2">
        <v>50783</v>
      </c>
      <c r="AG18" s="2">
        <v>59928</v>
      </c>
      <c r="AH18" s="2">
        <v>128026</v>
      </c>
      <c r="AI18" s="2">
        <v>149321.932</v>
      </c>
      <c r="AJ18" s="2">
        <v>388058.93200000003</v>
      </c>
      <c r="AK18" s="2">
        <v>115883.09600000001</v>
      </c>
      <c r="AL18" s="2">
        <v>190726</v>
      </c>
      <c r="AM18" s="2">
        <v>306609.09600000002</v>
      </c>
      <c r="AN18" s="38"/>
    </row>
    <row r="19" spans="1:40" x14ac:dyDescent="0.25">
      <c r="A19" t="s">
        <v>10</v>
      </c>
      <c r="C19" s="8">
        <v>22518</v>
      </c>
      <c r="D19" s="8">
        <v>23959</v>
      </c>
      <c r="E19" s="8">
        <v>37202</v>
      </c>
      <c r="F19" s="8">
        <v>75905</v>
      </c>
      <c r="G19" s="8">
        <v>92037</v>
      </c>
      <c r="H19" s="8">
        <v>62389</v>
      </c>
      <c r="I19" s="8">
        <v>56598</v>
      </c>
      <c r="J19" s="8">
        <v>68618</v>
      </c>
      <c r="K19" s="8">
        <v>70465</v>
      </c>
      <c r="L19" s="8">
        <v>28372</v>
      </c>
      <c r="M19" s="8">
        <v>44007</v>
      </c>
      <c r="N19" s="8">
        <v>47323</v>
      </c>
      <c r="O19" s="8">
        <v>68746</v>
      </c>
      <c r="P19" s="8">
        <v>188448</v>
      </c>
      <c r="Q19" s="8">
        <v>52957</v>
      </c>
      <c r="R19" s="8">
        <v>55799</v>
      </c>
      <c r="S19" s="8">
        <v>50298</v>
      </c>
      <c r="T19" s="8">
        <v>36156</v>
      </c>
      <c r="U19" s="8">
        <v>195210</v>
      </c>
      <c r="V19" s="8">
        <v>29320</v>
      </c>
      <c r="W19" s="8">
        <v>31971</v>
      </c>
      <c r="X19" s="8">
        <v>39981</v>
      </c>
      <c r="Y19" s="8">
        <v>52959</v>
      </c>
      <c r="Z19" s="8">
        <v>154231</v>
      </c>
      <c r="AA19" s="8">
        <v>58727</v>
      </c>
      <c r="AB19" s="8">
        <v>65270</v>
      </c>
      <c r="AC19" s="8">
        <v>64209</v>
      </c>
      <c r="AD19" s="8">
        <v>82378</v>
      </c>
      <c r="AE19" s="8">
        <v>270584</v>
      </c>
      <c r="AF19" s="8">
        <v>90946</v>
      </c>
      <c r="AG19" s="8">
        <v>56917</v>
      </c>
      <c r="AH19" s="8">
        <v>74227</v>
      </c>
      <c r="AI19" s="8">
        <v>148551.019</v>
      </c>
      <c r="AJ19" s="8">
        <v>370641.01899999997</v>
      </c>
      <c r="AK19" s="8">
        <v>132005.427</v>
      </c>
      <c r="AL19" s="8">
        <v>127960</v>
      </c>
      <c r="AM19" s="8">
        <v>259965.427</v>
      </c>
      <c r="AN19" s="38"/>
    </row>
    <row r="20" spans="1:40" x14ac:dyDescent="0.25">
      <c r="A20" t="s">
        <v>45</v>
      </c>
      <c r="C20" s="9">
        <v>9.8799999999999999E-2</v>
      </c>
      <c r="D20" s="9">
        <v>9.8199999999999996E-2</v>
      </c>
      <c r="E20" s="9">
        <v>8.8900000000000007E-2</v>
      </c>
      <c r="F20" s="9">
        <v>7.7700000000000005E-2</v>
      </c>
      <c r="G20" s="9">
        <v>6.8900000000000003E-2</v>
      </c>
      <c r="H20" s="9">
        <v>7.7499999999999999E-2</v>
      </c>
      <c r="I20" s="9">
        <v>7.7499999999999999E-2</v>
      </c>
      <c r="J20" s="9">
        <v>7.5700000000000003E-2</v>
      </c>
      <c r="K20" s="9">
        <v>7.3999999999999996E-2</v>
      </c>
      <c r="L20" s="9">
        <v>6.7919999999999994E-2</v>
      </c>
      <c r="M20" s="9">
        <v>6.7299999999999999E-2</v>
      </c>
      <c r="N20" s="9">
        <v>6.6629999999999995E-2</v>
      </c>
      <c r="O20" s="9">
        <v>6.4060000000000006E-2</v>
      </c>
      <c r="P20" s="9">
        <v>6.6100000000000006E-2</v>
      </c>
      <c r="Q20" s="9">
        <v>6.4019999999999994E-2</v>
      </c>
      <c r="R20" s="9">
        <v>6.6549999999999998E-2</v>
      </c>
      <c r="S20" s="9">
        <v>7.2400000000000006E-2</v>
      </c>
      <c r="T20" s="9">
        <v>7.442E-2</v>
      </c>
      <c r="U20" s="9">
        <v>6.8830000000000002E-2</v>
      </c>
      <c r="V20" s="9">
        <v>7.6600000000000001E-2</v>
      </c>
      <c r="W20" s="9">
        <v>7.621E-2</v>
      </c>
      <c r="X20" s="9">
        <v>7.6950000000000005E-2</v>
      </c>
      <c r="Y20" s="9">
        <v>7.5499999999999998E-2</v>
      </c>
      <c r="Z20" s="9">
        <v>7.6230000000000006E-2</v>
      </c>
      <c r="AA20" s="9">
        <v>6.8610000000000004E-2</v>
      </c>
      <c r="AB20" s="9">
        <v>6.7559999999999995E-2</v>
      </c>
      <c r="AC20" s="9">
        <v>6.7199999999999996E-2</v>
      </c>
      <c r="AD20" s="9">
        <v>6.0699999999999997E-2</v>
      </c>
      <c r="AE20" s="9">
        <v>6.5600000000000006E-2</v>
      </c>
      <c r="AF20" s="9">
        <v>6.3100000000000003E-2</v>
      </c>
      <c r="AG20" s="9">
        <v>6.3700000000000007E-2</v>
      </c>
      <c r="AH20" s="9">
        <v>5.9400000000000001E-2</v>
      </c>
      <c r="AI20" s="9">
        <v>5.4916939830509673E-2</v>
      </c>
      <c r="AJ20" s="9">
        <v>5.9168937689485862E-2</v>
      </c>
      <c r="AK20" s="9">
        <v>5.3405903028472236E-2</v>
      </c>
      <c r="AL20" s="9">
        <v>5.0900000000000001E-2</v>
      </c>
      <c r="AM20" s="9">
        <v>5.2200000000000003E-2</v>
      </c>
      <c r="AN20" s="38"/>
    </row>
    <row r="21" spans="1:40" x14ac:dyDescent="0.25">
      <c r="A21" t="s">
        <v>11</v>
      </c>
      <c r="C21" s="2">
        <v>11787</v>
      </c>
      <c r="D21" s="2">
        <v>12220</v>
      </c>
      <c r="E21" s="2">
        <v>17688</v>
      </c>
      <c r="F21" s="2">
        <v>37967</v>
      </c>
      <c r="G21" s="2">
        <v>52365</v>
      </c>
      <c r="H21" s="2">
        <v>29392</v>
      </c>
      <c r="I21" s="2">
        <v>24727</v>
      </c>
      <c r="J21" s="2">
        <v>34928</v>
      </c>
      <c r="K21" s="2">
        <v>39751</v>
      </c>
      <c r="L21" s="2">
        <v>17646</v>
      </c>
      <c r="M21" s="2">
        <v>21795</v>
      </c>
      <c r="N21" s="2">
        <v>20011</v>
      </c>
      <c r="O21" s="2">
        <v>29415</v>
      </c>
      <c r="P21" s="2">
        <v>88867</v>
      </c>
      <c r="Q21" s="2">
        <v>26591</v>
      </c>
      <c r="R21" s="2">
        <v>22120</v>
      </c>
      <c r="S21" s="2">
        <v>17319</v>
      </c>
      <c r="T21" s="2">
        <v>13720</v>
      </c>
      <c r="U21" s="2">
        <v>79750</v>
      </c>
      <c r="V21" s="2">
        <v>11715</v>
      </c>
      <c r="W21" s="2">
        <v>14192</v>
      </c>
      <c r="X21" s="2">
        <v>15684</v>
      </c>
      <c r="Y21" s="2">
        <v>15642</v>
      </c>
      <c r="Z21" s="2">
        <v>57233</v>
      </c>
      <c r="AA21" s="2">
        <v>22943</v>
      </c>
      <c r="AB21" s="2">
        <v>41560</v>
      </c>
      <c r="AC21" s="2">
        <v>39835</v>
      </c>
      <c r="AD21" s="2">
        <v>60074</v>
      </c>
      <c r="AE21" s="2">
        <v>164412</v>
      </c>
      <c r="AF21" s="2">
        <v>60972</v>
      </c>
      <c r="AG21" s="2">
        <v>46475</v>
      </c>
      <c r="AH21" s="2">
        <v>62148</v>
      </c>
      <c r="AI21" s="2">
        <v>107824.16499999999</v>
      </c>
      <c r="AJ21" s="2">
        <v>277419.16499999998</v>
      </c>
      <c r="AK21" s="2">
        <v>105607.842</v>
      </c>
      <c r="AL21" s="2">
        <v>125947</v>
      </c>
      <c r="AM21" s="2">
        <v>231554.842</v>
      </c>
      <c r="AN21" s="38"/>
    </row>
    <row r="22" spans="1:40" x14ac:dyDescent="0.25">
      <c r="A22" t="s">
        <v>12</v>
      </c>
      <c r="C22" s="8">
        <v>3036</v>
      </c>
      <c r="D22" s="8">
        <v>5845</v>
      </c>
      <c r="E22" s="8">
        <v>7165</v>
      </c>
      <c r="F22" s="8">
        <v>8807</v>
      </c>
      <c r="G22" s="8">
        <v>6935</v>
      </c>
      <c r="H22" s="8">
        <v>1802</v>
      </c>
      <c r="I22" s="8">
        <v>418</v>
      </c>
      <c r="J22" s="8">
        <v>149</v>
      </c>
      <c r="K22" s="8">
        <v>1088</v>
      </c>
      <c r="L22" s="8">
        <v>379</v>
      </c>
      <c r="M22" s="3" t="s">
        <v>29</v>
      </c>
      <c r="N22" s="14">
        <v>908</v>
      </c>
      <c r="O22" s="14">
        <v>506</v>
      </c>
      <c r="P22" s="8">
        <v>1793</v>
      </c>
      <c r="Q22" s="14">
        <v>767</v>
      </c>
      <c r="R22" s="14">
        <v>531</v>
      </c>
      <c r="S22" s="14">
        <v>1373</v>
      </c>
      <c r="T22" s="14">
        <v>3477</v>
      </c>
      <c r="U22" s="8">
        <v>6148</v>
      </c>
      <c r="V22" s="14">
        <v>2831</v>
      </c>
      <c r="W22" s="14">
        <v>4403</v>
      </c>
      <c r="X22" s="14">
        <v>2420</v>
      </c>
      <c r="Y22" s="14">
        <v>1328</v>
      </c>
      <c r="Z22" s="8">
        <v>10982</v>
      </c>
      <c r="AA22" s="14">
        <v>2576</v>
      </c>
      <c r="AB22" s="14">
        <v>1397</v>
      </c>
      <c r="AC22" s="14">
        <v>602</v>
      </c>
      <c r="AD22" s="14">
        <v>4406</v>
      </c>
      <c r="AE22" s="8">
        <v>8981</v>
      </c>
      <c r="AF22" s="14">
        <v>3131</v>
      </c>
      <c r="AG22" s="14">
        <v>3629</v>
      </c>
      <c r="AH22" s="14">
        <v>1436</v>
      </c>
      <c r="AI22" s="14">
        <v>1386.3240000000001</v>
      </c>
      <c r="AJ22" s="14">
        <v>9582.3240000000005</v>
      </c>
      <c r="AK22" s="14">
        <v>1271.3630000000001</v>
      </c>
      <c r="AL22" s="14">
        <v>5425</v>
      </c>
      <c r="AM22" s="14">
        <v>6696.3630000000003</v>
      </c>
      <c r="AN22" s="38"/>
    </row>
    <row r="23" spans="1:40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17"/>
      <c r="N23" s="14"/>
      <c r="O23" s="14"/>
      <c r="P23" s="8"/>
      <c r="Q23" s="14"/>
      <c r="R23" s="14"/>
      <c r="S23" s="14"/>
      <c r="T23" s="14"/>
      <c r="U23" s="8"/>
      <c r="V23" s="14"/>
      <c r="W23" s="14"/>
      <c r="X23" s="14"/>
      <c r="Y23" s="14"/>
      <c r="Z23" s="8"/>
      <c r="AA23" s="14"/>
      <c r="AB23" s="14"/>
      <c r="AC23" s="14"/>
      <c r="AD23" s="14"/>
      <c r="AE23" s="8"/>
      <c r="AF23" s="14"/>
      <c r="AG23" s="14"/>
      <c r="AH23" s="14"/>
      <c r="AI23" s="14"/>
      <c r="AJ23" s="8"/>
      <c r="AK23" s="14"/>
      <c r="AL23" s="14"/>
      <c r="AM23" s="8"/>
    </row>
    <row r="25" spans="1:40" ht="15.6" x14ac:dyDescent="0.3">
      <c r="A25" s="1" t="s">
        <v>59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40" x14ac:dyDescent="0.25">
      <c r="A26" t="s">
        <v>13</v>
      </c>
      <c r="C26" s="2">
        <v>55037</v>
      </c>
      <c r="D26" s="2">
        <v>94407.3</v>
      </c>
      <c r="E26" s="2">
        <v>151223</v>
      </c>
      <c r="F26" s="2">
        <v>203230</v>
      </c>
      <c r="G26" s="2">
        <v>288295</v>
      </c>
      <c r="H26" s="2">
        <v>564014</v>
      </c>
      <c r="I26" s="2">
        <v>699311</v>
      </c>
      <c r="J26" s="2">
        <v>635596</v>
      </c>
      <c r="K26" s="2">
        <v>578281</v>
      </c>
      <c r="L26" s="2">
        <v>179046</v>
      </c>
      <c r="M26" s="2">
        <v>181319</v>
      </c>
      <c r="N26" s="2">
        <v>173549</v>
      </c>
      <c r="O26" s="2">
        <v>161581</v>
      </c>
      <c r="P26" s="2">
        <v>695495</v>
      </c>
      <c r="Q26" s="2">
        <v>142206</v>
      </c>
      <c r="R26" s="2">
        <v>232398</v>
      </c>
      <c r="S26" s="2">
        <v>339687.02899999998</v>
      </c>
      <c r="T26" s="2">
        <v>421710.36099999992</v>
      </c>
      <c r="U26" s="2">
        <v>1136001.3899999999</v>
      </c>
      <c r="V26" s="2">
        <v>327021</v>
      </c>
      <c r="W26" s="2">
        <v>268126</v>
      </c>
      <c r="X26" s="2">
        <v>269026.96299999999</v>
      </c>
      <c r="Y26" s="2">
        <v>278957.22600000002</v>
      </c>
      <c r="Z26" s="2">
        <v>1143131.189</v>
      </c>
      <c r="AA26" s="2">
        <v>384427.73100000003</v>
      </c>
      <c r="AB26" s="2">
        <v>396509.69699999999</v>
      </c>
      <c r="AC26" s="2">
        <v>503084.58199999999</v>
      </c>
      <c r="AD26" s="2">
        <v>472668.75199999998</v>
      </c>
      <c r="AE26" s="2">
        <v>1756690.7620000001</v>
      </c>
      <c r="AF26" s="2">
        <v>461929.011</v>
      </c>
      <c r="AG26" s="2">
        <v>338956.70899999997</v>
      </c>
      <c r="AH26" s="2">
        <v>411566.70199999999</v>
      </c>
      <c r="AI26" s="2">
        <v>423467.00099999999</v>
      </c>
      <c r="AJ26" s="2">
        <v>1635919.423</v>
      </c>
      <c r="AK26" s="2">
        <v>574164.36399999994</v>
      </c>
      <c r="AL26" s="2">
        <v>608338.90500000003</v>
      </c>
      <c r="AM26" s="2">
        <v>1182503.2689999999</v>
      </c>
      <c r="AN26" s="38"/>
    </row>
    <row r="27" spans="1:40" x14ac:dyDescent="0.25">
      <c r="A27" t="s">
        <v>44</v>
      </c>
      <c r="C27" s="9">
        <v>8.4599999999999995E-2</v>
      </c>
      <c r="D27" s="9">
        <v>7.8270000000000006E-2</v>
      </c>
      <c r="E27" s="9">
        <v>5.6000000000000001E-2</v>
      </c>
      <c r="F27" s="9">
        <v>3.4299999999999997E-2</v>
      </c>
      <c r="G27" s="9">
        <v>2.9600000000000001E-2</v>
      </c>
      <c r="H27" s="9">
        <v>4.58E-2</v>
      </c>
      <c r="I27" s="9">
        <v>5.8700000000000002E-2</v>
      </c>
      <c r="J27" s="9">
        <v>5.3600000000000002E-2</v>
      </c>
      <c r="K27" s="9">
        <v>5.5300000000000002E-2</v>
      </c>
      <c r="L27" s="9">
        <v>5.5370000000000003E-2</v>
      </c>
      <c r="M27" s="9">
        <v>5.5362000000000001E-2</v>
      </c>
      <c r="N27" s="9">
        <v>5.5097E-2</v>
      </c>
      <c r="O27" s="9">
        <v>5.0412999999999999E-2</v>
      </c>
      <c r="P27" s="9">
        <v>5.4199999999999998E-2</v>
      </c>
      <c r="Q27" s="9">
        <v>4.8124E-2</v>
      </c>
      <c r="R27" s="9">
        <v>4.8638229999999998E-2</v>
      </c>
      <c r="S27" s="9">
        <v>5.2241999999999997E-2</v>
      </c>
      <c r="T27" s="9">
        <v>5.4075999999999999E-2</v>
      </c>
      <c r="U27" s="9">
        <v>5.1672999999999997E-2</v>
      </c>
      <c r="V27" s="9">
        <v>5.7700000000000001E-2</v>
      </c>
      <c r="W27" s="9">
        <v>6.4027000000000001E-2</v>
      </c>
      <c r="X27" s="9">
        <v>6.5421000000000007E-2</v>
      </c>
      <c r="Y27" s="9">
        <v>6.4725000000000005E-2</v>
      </c>
      <c r="Z27" s="9">
        <v>6.2702999999999995E-2</v>
      </c>
      <c r="AA27" s="9">
        <v>5.4043000000000001E-2</v>
      </c>
      <c r="AB27" s="9">
        <v>4.2023999999999999E-2</v>
      </c>
      <c r="AC27" s="9">
        <v>3.4522999999999998E-2</v>
      </c>
      <c r="AD27" s="9">
        <v>2.1458000000000001E-2</v>
      </c>
      <c r="AE27" s="9">
        <v>3.6942000000000003E-2</v>
      </c>
      <c r="AF27" s="9">
        <v>1.7559999999999999E-2</v>
      </c>
      <c r="AG27" s="9">
        <v>1.7988000000000001E-2</v>
      </c>
      <c r="AH27" s="9">
        <v>1.7023E-2</v>
      </c>
      <c r="AI27" s="9">
        <v>1.4257000000000001E-2</v>
      </c>
      <c r="AJ27" s="9">
        <v>1.6657999999999999E-2</v>
      </c>
      <c r="AK27" s="9">
        <v>1.2154999999999999E-2</v>
      </c>
      <c r="AL27" s="9">
        <v>1.0871E-2</v>
      </c>
      <c r="AM27" s="9">
        <v>1.1494000000000001E-2</v>
      </c>
      <c r="AN27" s="38"/>
    </row>
    <row r="28" spans="1:40" x14ac:dyDescent="0.25">
      <c r="A28" t="s">
        <v>15</v>
      </c>
      <c r="C28" s="2">
        <v>23531</v>
      </c>
      <c r="D28" s="2">
        <v>19580.8</v>
      </c>
      <c r="E28" s="2">
        <v>30234</v>
      </c>
      <c r="F28" s="2">
        <v>30599</v>
      </c>
      <c r="G28" s="2">
        <v>46323</v>
      </c>
      <c r="H28" s="2">
        <v>39238</v>
      </c>
      <c r="I28" s="2">
        <v>49922</v>
      </c>
      <c r="J28" s="2">
        <v>80301</v>
      </c>
      <c r="K28" s="2">
        <v>86325</v>
      </c>
      <c r="L28" s="2">
        <v>39442</v>
      </c>
      <c r="M28" s="2">
        <v>36928</v>
      </c>
      <c r="N28" s="2">
        <v>34115</v>
      </c>
      <c r="O28" s="2">
        <v>36945</v>
      </c>
      <c r="P28" s="2">
        <v>147430</v>
      </c>
      <c r="Q28" s="2">
        <v>47725</v>
      </c>
      <c r="R28" s="2">
        <v>41481</v>
      </c>
      <c r="S28" s="2">
        <v>21480.786999999997</v>
      </c>
      <c r="T28" s="2">
        <v>28333.213000000003</v>
      </c>
      <c r="U28" s="2">
        <v>139020</v>
      </c>
      <c r="V28" s="2">
        <v>24137</v>
      </c>
      <c r="W28" s="2">
        <v>23219</v>
      </c>
      <c r="X28" s="2">
        <v>27837.473999999998</v>
      </c>
      <c r="Y28" s="2">
        <v>35021.002</v>
      </c>
      <c r="Z28" s="2">
        <v>110215.476</v>
      </c>
      <c r="AA28" s="2">
        <v>57752.317999999999</v>
      </c>
      <c r="AB28" s="2">
        <v>65563.982999999993</v>
      </c>
      <c r="AC28" s="2">
        <v>51652.849000000002</v>
      </c>
      <c r="AD28" s="2">
        <v>74383.429000000004</v>
      </c>
      <c r="AE28" s="2">
        <v>249352</v>
      </c>
      <c r="AF28" s="2">
        <v>61936.167999999998</v>
      </c>
      <c r="AG28" s="2">
        <v>50066.942999999999</v>
      </c>
      <c r="AH28" s="2">
        <v>60479.112999999998</v>
      </c>
      <c r="AI28" s="2">
        <v>65984.39</v>
      </c>
      <c r="AJ28" s="2">
        <v>238466.614</v>
      </c>
      <c r="AK28" s="2">
        <v>76708.660999999993</v>
      </c>
      <c r="AL28" s="2">
        <v>78390.403000000006</v>
      </c>
      <c r="AM28" s="2">
        <v>155099.06400000001</v>
      </c>
      <c r="AN28" s="38"/>
    </row>
    <row r="29" spans="1:40" x14ac:dyDescent="0.25">
      <c r="A29" t="s">
        <v>44</v>
      </c>
      <c r="C29" s="9">
        <v>8.8999999999999996E-2</v>
      </c>
      <c r="D29" s="9">
        <v>8.9340000000000003E-2</v>
      </c>
      <c r="E29" s="9">
        <v>7.7299999999999994E-2</v>
      </c>
      <c r="F29" s="9">
        <v>6.2399999999999997E-2</v>
      </c>
      <c r="G29" s="9">
        <v>5.1900000000000002E-2</v>
      </c>
      <c r="H29" s="9">
        <v>6.1899999999999997E-2</v>
      </c>
      <c r="I29" s="9">
        <v>6.5500000000000003E-2</v>
      </c>
      <c r="J29" s="9">
        <v>6.1699999999999998E-2</v>
      </c>
      <c r="K29" s="9">
        <v>6.3700000000000007E-2</v>
      </c>
      <c r="L29" s="9">
        <v>5.9700000000000003E-2</v>
      </c>
      <c r="M29" s="9">
        <v>6.1055999999999999E-2</v>
      </c>
      <c r="N29" s="9">
        <v>5.8791999999999997E-2</v>
      </c>
      <c r="O29" s="9">
        <v>5.2826999999999999E-2</v>
      </c>
      <c r="P29" s="9">
        <v>5.8099999999999999E-2</v>
      </c>
      <c r="Q29" s="9">
        <v>5.6695000000000002E-2</v>
      </c>
      <c r="R29" s="9">
        <v>5.9988119999999999E-2</v>
      </c>
      <c r="S29" s="9">
        <v>6.3823000000000005E-2</v>
      </c>
      <c r="T29" s="9">
        <v>6.6073000000000007E-2</v>
      </c>
      <c r="U29" s="9">
        <v>6.0684000000000002E-2</v>
      </c>
      <c r="V29" s="9">
        <v>6.93E-2</v>
      </c>
      <c r="W29" s="9">
        <v>7.0719000000000004E-2</v>
      </c>
      <c r="X29" s="9">
        <v>7.0598999999999995E-2</v>
      </c>
      <c r="Y29" s="9">
        <v>6.6938999999999999E-2</v>
      </c>
      <c r="Z29" s="9">
        <v>6.9178000000000003E-2</v>
      </c>
      <c r="AA29" s="9">
        <v>5.6319000000000001E-2</v>
      </c>
      <c r="AB29" s="9">
        <v>5.0427E-2</v>
      </c>
      <c r="AC29" s="9">
        <v>4.7640000000000002E-2</v>
      </c>
      <c r="AD29" s="9">
        <v>4.0597000000000001E-2</v>
      </c>
      <c r="AE29" s="9">
        <v>4.8280000000000003E-2</v>
      </c>
      <c r="AF29" s="9">
        <v>4.5796000000000003E-2</v>
      </c>
      <c r="AG29" s="9">
        <v>4.3698000000000001E-2</v>
      </c>
      <c r="AH29" s="9">
        <v>3.3189999999999997E-2</v>
      </c>
      <c r="AI29" s="9">
        <v>3.0034999999999999E-2</v>
      </c>
      <c r="AJ29" s="9">
        <v>3.7798999999999999E-2</v>
      </c>
      <c r="AK29" s="9">
        <v>2.8194E-2</v>
      </c>
      <c r="AL29" s="9">
        <v>2.7026000000000001E-2</v>
      </c>
      <c r="AM29" s="9">
        <v>2.7604E-2</v>
      </c>
      <c r="AN29" s="38"/>
    </row>
    <row r="30" spans="1:40" x14ac:dyDescent="0.25">
      <c r="A30" t="s">
        <v>16</v>
      </c>
      <c r="C30" s="2">
        <v>78568</v>
      </c>
      <c r="D30" s="2">
        <v>113988.1</v>
      </c>
      <c r="E30" s="2">
        <v>181457</v>
      </c>
      <c r="F30" s="2">
        <v>233829</v>
      </c>
      <c r="G30" s="2">
        <v>334618</v>
      </c>
      <c r="H30" s="2">
        <v>603252</v>
      </c>
      <c r="I30" s="2">
        <v>749233</v>
      </c>
      <c r="J30" s="2">
        <v>715897</v>
      </c>
      <c r="K30" s="2">
        <v>841606</v>
      </c>
      <c r="L30" s="2">
        <v>218488</v>
      </c>
      <c r="M30" s="2">
        <v>218247</v>
      </c>
      <c r="N30" s="2">
        <v>207664</v>
      </c>
      <c r="O30" s="2">
        <v>198526</v>
      </c>
      <c r="P30" s="2">
        <v>842925</v>
      </c>
      <c r="Q30" s="2">
        <v>189931</v>
      </c>
      <c r="R30" s="2">
        <v>273879</v>
      </c>
      <c r="S30" s="2">
        <v>361167.81599999999</v>
      </c>
      <c r="T30" s="2">
        <v>450042.57399999991</v>
      </c>
      <c r="U30" s="2">
        <v>1275021.3899999999</v>
      </c>
      <c r="V30" s="2">
        <v>351158</v>
      </c>
      <c r="W30" s="2">
        <v>291345</v>
      </c>
      <c r="X30" s="2">
        <v>296864.43699999998</v>
      </c>
      <c r="Y30" s="2">
        <v>313978.228</v>
      </c>
      <c r="Z30" s="2">
        <v>1253345.665</v>
      </c>
      <c r="AA30" s="2">
        <v>442180.049</v>
      </c>
      <c r="AB30" s="2">
        <v>462073.68</v>
      </c>
      <c r="AC30" s="2">
        <v>554737.43099999998</v>
      </c>
      <c r="AD30" s="2">
        <v>547052.18099999998</v>
      </c>
      <c r="AE30" s="2">
        <v>2006043.341</v>
      </c>
      <c r="AF30" s="2">
        <v>523865.179</v>
      </c>
      <c r="AG30" s="2">
        <v>389023.652</v>
      </c>
      <c r="AH30" s="2">
        <v>472045.815</v>
      </c>
      <c r="AI30" s="2">
        <v>489451.391</v>
      </c>
      <c r="AJ30" s="2">
        <v>1874386.037</v>
      </c>
      <c r="AK30" s="2">
        <v>650873.02499999991</v>
      </c>
      <c r="AL30" s="2">
        <v>686729.30799999996</v>
      </c>
      <c r="AM30" s="2">
        <v>1337602.3329999999</v>
      </c>
      <c r="AN30" s="38"/>
    </row>
    <row r="31" spans="1:40" x14ac:dyDescent="0.25">
      <c r="A31" t="s">
        <v>44</v>
      </c>
      <c r="C31" s="9">
        <v>8.5999999999999993E-2</v>
      </c>
      <c r="D31" s="9">
        <v>8.0259999999999998E-2</v>
      </c>
      <c r="E31" s="9">
        <v>5.96E-2</v>
      </c>
      <c r="F31" s="9">
        <v>3.8100000000000002E-2</v>
      </c>
      <c r="G31" s="9">
        <v>3.39E-2</v>
      </c>
      <c r="H31" s="9">
        <v>4.7600000000000003E-2</v>
      </c>
      <c r="I31" s="9">
        <v>5.9299999999999999E-2</v>
      </c>
      <c r="J31" s="9">
        <v>5.5100000000000003E-2</v>
      </c>
      <c r="K31" s="9">
        <v>5.6300000000000003E-2</v>
      </c>
      <c r="L31" s="9">
        <v>5.6154000000000003E-2</v>
      </c>
      <c r="M31" s="9">
        <v>5.6339E-2</v>
      </c>
      <c r="N31" s="9">
        <v>5.5691999999999998E-2</v>
      </c>
      <c r="O31" s="9">
        <v>5.1261000000000001E-2</v>
      </c>
      <c r="P31" s="9">
        <v>5.4899999999999997E-2</v>
      </c>
      <c r="Q31" s="9">
        <v>5.0993999999999998E-2</v>
      </c>
      <c r="R31" s="9">
        <v>5.112191E-2</v>
      </c>
      <c r="S31" s="9">
        <v>5.3887999999999998E-2</v>
      </c>
      <c r="T31" s="9">
        <v>5.5058000000000003E-2</v>
      </c>
      <c r="U31" s="9">
        <v>5.3276999999999998E-2</v>
      </c>
      <c r="V31" s="9">
        <v>5.8700000000000002E-2</v>
      </c>
      <c r="W31" s="9">
        <v>6.4824999999999994E-2</v>
      </c>
      <c r="X31" s="9">
        <v>6.6077999999999998E-2</v>
      </c>
      <c r="Y31" s="9">
        <v>6.4946000000000004E-2</v>
      </c>
      <c r="Z31" s="9">
        <v>6.3423999999999994E-2</v>
      </c>
      <c r="AA31" s="9">
        <v>5.4372999999999998E-2</v>
      </c>
      <c r="AB31" s="9">
        <v>4.5610999999999999E-2</v>
      </c>
      <c r="AC31" s="9">
        <v>3.6889999999999999E-2</v>
      </c>
      <c r="AD31" s="9">
        <v>2.5696E-2</v>
      </c>
      <c r="AE31" s="9">
        <v>3.9676000000000003E-2</v>
      </c>
      <c r="AF31" s="9">
        <v>2.121E-2</v>
      </c>
      <c r="AG31" s="9">
        <v>2.2735999999999999E-2</v>
      </c>
      <c r="AH31" s="9">
        <v>2.3321999999999999E-2</v>
      </c>
      <c r="AI31" s="9">
        <v>2.1287E-2</v>
      </c>
      <c r="AJ31" s="9">
        <v>2.2079000000000001E-2</v>
      </c>
      <c r="AK31" s="9">
        <v>1.4135999999999999E-2</v>
      </c>
      <c r="AL31" s="9">
        <v>1.2285000000000001E-2</v>
      </c>
      <c r="AM31" s="9">
        <v>1.3186E-2</v>
      </c>
      <c r="AN31" s="38"/>
    </row>
    <row r="32" spans="1:40" x14ac:dyDescent="0.25">
      <c r="A32" t="s">
        <v>17</v>
      </c>
    </row>
    <row r="33" spans="1:40" x14ac:dyDescent="0.25">
      <c r="A33" t="s">
        <v>64</v>
      </c>
      <c r="C33" s="8">
        <v>28</v>
      </c>
      <c r="D33" s="8">
        <v>20</v>
      </c>
      <c r="E33" s="8">
        <v>16</v>
      </c>
      <c r="F33" s="8">
        <v>15</v>
      </c>
      <c r="G33" s="8">
        <v>17</v>
      </c>
      <c r="H33" s="8">
        <v>10</v>
      </c>
      <c r="I33" s="8">
        <v>9</v>
      </c>
      <c r="J33" s="8">
        <v>13</v>
      </c>
      <c r="K33" s="8">
        <v>11</v>
      </c>
      <c r="L33" s="8">
        <v>16.600000000000001</v>
      </c>
      <c r="M33" s="8">
        <v>15.043100000000001</v>
      </c>
      <c r="N33" s="8">
        <v>16.058879999999998</v>
      </c>
      <c r="O33" s="8">
        <v>16.185289999999998</v>
      </c>
      <c r="P33" s="8">
        <v>16</v>
      </c>
      <c r="Q33" s="8">
        <v>25</v>
      </c>
      <c r="R33" s="8">
        <v>24</v>
      </c>
      <c r="S33" s="8">
        <v>20.792590000000001</v>
      </c>
      <c r="T33" s="8">
        <v>11.78262</v>
      </c>
      <c r="U33" s="8">
        <v>18.6509</v>
      </c>
      <c r="V33" s="8">
        <v>10</v>
      </c>
      <c r="W33" s="8">
        <v>15.75</v>
      </c>
      <c r="X33" s="8">
        <v>15.44</v>
      </c>
      <c r="Y33" s="8">
        <v>13.87</v>
      </c>
      <c r="Z33" s="8">
        <v>13.65</v>
      </c>
      <c r="AA33" s="8">
        <v>13.56</v>
      </c>
      <c r="AB33" s="8">
        <v>20.51</v>
      </c>
      <c r="AC33" s="8">
        <v>12.75</v>
      </c>
      <c r="AD33" s="8">
        <v>18.04</v>
      </c>
      <c r="AE33" s="8">
        <v>16.16</v>
      </c>
      <c r="AF33" s="8">
        <v>14.79</v>
      </c>
      <c r="AG33" s="8">
        <v>17.29</v>
      </c>
      <c r="AH33" s="8">
        <v>9.3000000000000007</v>
      </c>
      <c r="AI33" s="8">
        <v>10.050000000000001</v>
      </c>
      <c r="AJ33" s="8">
        <v>12.69</v>
      </c>
      <c r="AK33" s="8">
        <v>12.56</v>
      </c>
      <c r="AL33" s="8">
        <v>2.75</v>
      </c>
      <c r="AM33" s="8">
        <v>7.52</v>
      </c>
      <c r="AN33" s="38"/>
    </row>
    <row r="34" spans="1:40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6" spans="1:40" ht="15.6" x14ac:dyDescent="0.3">
      <c r="A36" s="1" t="s">
        <v>60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40" x14ac:dyDescent="0.25">
      <c r="A37" t="s">
        <v>66</v>
      </c>
      <c r="C37" s="35" t="s">
        <v>65</v>
      </c>
      <c r="D37" s="35" t="s">
        <v>65</v>
      </c>
      <c r="E37" s="35" t="s">
        <v>65</v>
      </c>
      <c r="F37" s="35">
        <v>175810</v>
      </c>
      <c r="G37" s="35">
        <v>202957</v>
      </c>
      <c r="H37" s="35">
        <v>104564</v>
      </c>
      <c r="I37" s="35">
        <v>79608</v>
      </c>
      <c r="J37" s="35">
        <v>107803</v>
      </c>
      <c r="K37" s="35">
        <v>108120</v>
      </c>
      <c r="L37" s="2">
        <v>44091</v>
      </c>
      <c r="M37" s="2">
        <v>55526</v>
      </c>
      <c r="N37" s="2">
        <v>60597</v>
      </c>
      <c r="O37" s="2">
        <v>60509</v>
      </c>
      <c r="P37" s="2">
        <v>220723</v>
      </c>
      <c r="Q37" s="2">
        <v>69308</v>
      </c>
      <c r="R37" s="2">
        <v>39503</v>
      </c>
      <c r="S37" s="2">
        <v>38105</v>
      </c>
      <c r="T37" s="2">
        <v>27934</v>
      </c>
      <c r="U37" s="2">
        <v>174850</v>
      </c>
      <c r="V37" s="2">
        <v>21467</v>
      </c>
      <c r="W37" s="2">
        <v>29989</v>
      </c>
      <c r="X37" s="2">
        <v>26917</v>
      </c>
      <c r="Y37" s="2">
        <v>27034</v>
      </c>
      <c r="Z37" s="2">
        <v>105407</v>
      </c>
      <c r="AA37" s="2">
        <v>46850</v>
      </c>
      <c r="AB37" s="2">
        <v>100439</v>
      </c>
      <c r="AC37" s="2">
        <v>94596</v>
      </c>
      <c r="AD37" s="2">
        <v>102854</v>
      </c>
      <c r="AE37" s="2">
        <v>344739</v>
      </c>
      <c r="AF37" s="2">
        <v>106804</v>
      </c>
      <c r="AG37" s="2">
        <v>102909</v>
      </c>
      <c r="AH37" s="2">
        <v>112592</v>
      </c>
      <c r="AI37" s="2">
        <v>155955.35513953003</v>
      </c>
      <c r="AJ37" s="2">
        <v>478260.35513953003</v>
      </c>
      <c r="AK37" s="2">
        <v>203933.65215563998</v>
      </c>
      <c r="AL37" s="2">
        <v>282502</v>
      </c>
      <c r="AM37" s="2">
        <v>486434.65215563995</v>
      </c>
      <c r="AN37" s="38"/>
    </row>
    <row r="38" spans="1:40" x14ac:dyDescent="0.25">
      <c r="A38" t="s">
        <v>67</v>
      </c>
      <c r="C38" s="35" t="s">
        <v>65</v>
      </c>
      <c r="D38" s="35" t="s">
        <v>65</v>
      </c>
      <c r="E38" s="35" t="s">
        <v>65</v>
      </c>
      <c r="F38" s="8">
        <v>115457</v>
      </c>
      <c r="G38" s="8">
        <v>163030</v>
      </c>
      <c r="H38" s="8">
        <v>91327</v>
      </c>
      <c r="I38" s="8">
        <v>53141</v>
      </c>
      <c r="J38" s="8">
        <v>73009</v>
      </c>
      <c r="K38" s="8">
        <v>78243</v>
      </c>
      <c r="L38" s="8">
        <v>30305</v>
      </c>
      <c r="M38" s="8">
        <v>43725</v>
      </c>
      <c r="N38" s="8">
        <v>40427</v>
      </c>
      <c r="O38" s="8">
        <v>49435</v>
      </c>
      <c r="P38" s="8">
        <v>163892</v>
      </c>
      <c r="Q38" s="8">
        <v>46820</v>
      </c>
      <c r="R38" s="8">
        <v>38167</v>
      </c>
      <c r="S38" s="8">
        <v>30613</v>
      </c>
      <c r="T38" s="8">
        <v>22100</v>
      </c>
      <c r="U38" s="8">
        <v>137700</v>
      </c>
      <c r="V38" s="8">
        <v>18783</v>
      </c>
      <c r="W38" s="8">
        <v>22503</v>
      </c>
      <c r="X38" s="8">
        <v>24187</v>
      </c>
      <c r="Y38" s="8">
        <v>22676</v>
      </c>
      <c r="Z38" s="8">
        <v>88149</v>
      </c>
      <c r="AA38" s="8">
        <v>30018</v>
      </c>
      <c r="AB38" s="8">
        <v>53355</v>
      </c>
      <c r="AC38" s="8">
        <v>52050</v>
      </c>
      <c r="AD38" s="8">
        <v>65117</v>
      </c>
      <c r="AE38" s="8">
        <v>200540</v>
      </c>
      <c r="AF38" s="8">
        <v>72586</v>
      </c>
      <c r="AG38" s="8">
        <v>57285</v>
      </c>
      <c r="AH38" s="8">
        <v>69087</v>
      </c>
      <c r="AI38" s="8">
        <v>125219.39331142817</v>
      </c>
      <c r="AJ38" s="8">
        <v>324177.39331142814</v>
      </c>
      <c r="AK38" s="8">
        <v>127029.25280834414</v>
      </c>
      <c r="AL38" s="8">
        <v>157789</v>
      </c>
      <c r="AM38" s="8">
        <v>284818.25280834414</v>
      </c>
      <c r="AN38" s="38"/>
    </row>
    <row r="39" spans="1:40" x14ac:dyDescent="0.25">
      <c r="A39" t="s">
        <v>75</v>
      </c>
      <c r="C39" s="8">
        <v>216512</v>
      </c>
      <c r="D39" s="8">
        <v>288075</v>
      </c>
      <c r="E39" s="8">
        <v>355284</v>
      </c>
      <c r="F39" s="8">
        <v>424444</v>
      </c>
      <c r="G39" s="8">
        <v>471306</v>
      </c>
      <c r="H39" s="8">
        <v>486345</v>
      </c>
      <c r="I39" s="8">
        <v>513230</v>
      </c>
      <c r="J39" s="8">
        <v>548173</v>
      </c>
      <c r="K39" s="8">
        <v>579138</v>
      </c>
      <c r="L39" s="8">
        <v>593303</v>
      </c>
      <c r="M39" s="8">
        <v>605104</v>
      </c>
      <c r="N39" s="8">
        <v>625563</v>
      </c>
      <c r="O39" s="8">
        <v>637143</v>
      </c>
      <c r="P39" s="8">
        <v>637143</v>
      </c>
      <c r="Q39" s="8">
        <v>660102</v>
      </c>
      <c r="R39" s="8">
        <v>661619</v>
      </c>
      <c r="S39" s="8">
        <v>670157</v>
      </c>
      <c r="T39" s="8">
        <v>679169</v>
      </c>
      <c r="U39" s="8">
        <v>679169</v>
      </c>
      <c r="V39" s="8">
        <v>684684</v>
      </c>
      <c r="W39" s="8">
        <v>696573</v>
      </c>
      <c r="X39" s="8">
        <v>701024</v>
      </c>
      <c r="Y39" s="8">
        <v>706684</v>
      </c>
      <c r="Z39" s="8">
        <v>706684</v>
      </c>
      <c r="AA39" s="8">
        <v>725685</v>
      </c>
      <c r="AB39" s="8">
        <v>773836</v>
      </c>
      <c r="AC39" s="8">
        <v>816724</v>
      </c>
      <c r="AD39" s="8">
        <v>858867</v>
      </c>
      <c r="AE39" s="8">
        <v>858867</v>
      </c>
      <c r="AF39" s="8">
        <v>896310</v>
      </c>
      <c r="AG39" s="8">
        <v>945497</v>
      </c>
      <c r="AH39" s="8">
        <v>990393</v>
      </c>
      <c r="AI39" s="8">
        <v>1029455.5441608001</v>
      </c>
      <c r="AJ39" s="8">
        <v>1029455.5441608001</v>
      </c>
      <c r="AK39" s="8">
        <v>1107520.0203188099</v>
      </c>
      <c r="AL39" s="8">
        <v>1237461</v>
      </c>
      <c r="AM39" s="8">
        <v>1237461</v>
      </c>
      <c r="AN39" s="38"/>
    </row>
    <row r="40" spans="1:40" x14ac:dyDescent="0.25">
      <c r="A40" t="s">
        <v>26</v>
      </c>
      <c r="C40" s="8">
        <v>11720</v>
      </c>
      <c r="D40" s="8">
        <v>11758</v>
      </c>
      <c r="E40" s="8">
        <v>16700</v>
      </c>
      <c r="F40" s="8">
        <v>20535</v>
      </c>
      <c r="G40" s="8">
        <v>24219</v>
      </c>
      <c r="H40" s="8">
        <v>43998</v>
      </c>
      <c r="I40" s="8">
        <v>69729</v>
      </c>
      <c r="J40" s="8">
        <v>102607</v>
      </c>
      <c r="K40" s="8">
        <v>130444</v>
      </c>
      <c r="L40" s="8">
        <v>137529</v>
      </c>
      <c r="M40" s="8">
        <v>156255</v>
      </c>
      <c r="N40" s="8">
        <v>172897</v>
      </c>
      <c r="O40" s="8">
        <v>197375</v>
      </c>
      <c r="P40" s="8">
        <v>197375</v>
      </c>
      <c r="Q40" s="8">
        <v>221713</v>
      </c>
      <c r="R40" s="8">
        <v>249816</v>
      </c>
      <c r="S40" s="8">
        <v>268327</v>
      </c>
      <c r="T40" s="8">
        <v>281714</v>
      </c>
      <c r="U40" s="8">
        <v>281714</v>
      </c>
      <c r="V40" s="8">
        <v>291131</v>
      </c>
      <c r="W40" s="8">
        <v>299242</v>
      </c>
      <c r="X40" s="8">
        <v>319804</v>
      </c>
      <c r="Y40" s="8">
        <v>351066</v>
      </c>
      <c r="Z40" s="8">
        <v>351066</v>
      </c>
      <c r="AA40" s="8">
        <v>373364</v>
      </c>
      <c r="AB40" s="8">
        <v>390142</v>
      </c>
      <c r="AC40" s="8">
        <v>411407</v>
      </c>
      <c r="AD40" s="8">
        <v>431484</v>
      </c>
      <c r="AE40" s="8">
        <v>431484</v>
      </c>
      <c r="AF40" s="8">
        <v>458941</v>
      </c>
      <c r="AG40" s="8">
        <v>459097</v>
      </c>
      <c r="AH40" s="8">
        <v>468552</v>
      </c>
      <c r="AI40" s="8">
        <v>508830.87593463995</v>
      </c>
      <c r="AJ40" s="8">
        <v>508830.87593463995</v>
      </c>
      <c r="AK40" s="8">
        <v>529953.77464580012</v>
      </c>
      <c r="AL40" s="8">
        <v>512435</v>
      </c>
      <c r="AM40" s="8">
        <v>512435</v>
      </c>
      <c r="AN40" s="38"/>
    </row>
    <row r="43" spans="1:40" x14ac:dyDescent="0.25">
      <c r="A43" t="s">
        <v>71</v>
      </c>
    </row>
  </sheetData>
  <mergeCells count="1">
    <mergeCell ref="A6:AM6"/>
  </mergeCells>
  <phoneticPr fontId="0" type="noConversion"/>
  <pageMargins left="0.25" right="0.25" top="1" bottom="1" header="0.5" footer="0.5"/>
  <pageSetup paperSize="5" scale="84" firstPageNumber="2" orientation="landscape" useFirstPageNumber="1" r:id="rId1"/>
  <headerFooter alignWithMargins="0">
    <oddFooter>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N54"/>
  <sheetViews>
    <sheetView workbookViewId="0">
      <selection activeCell="AM13" sqref="AM13"/>
    </sheetView>
  </sheetViews>
  <sheetFormatPr defaultRowHeight="13.2" x14ac:dyDescent="0.25"/>
  <cols>
    <col min="1" max="1" width="25.88671875" customWidth="1"/>
    <col min="2" max="2" width="8.5546875" customWidth="1"/>
    <col min="12" max="15" width="9.109375" hidden="1" customWidth="1"/>
    <col min="17" max="20" width="9.109375" hidden="1" customWidth="1"/>
    <col min="22" max="23" width="0" hidden="1" customWidth="1"/>
    <col min="24" max="24" width="10.33203125" hidden="1" customWidth="1"/>
    <col min="25" max="25" width="10.44140625" hidden="1" customWidth="1"/>
    <col min="26" max="26" width="10.6640625" customWidth="1"/>
    <col min="27" max="30" width="10.44140625" hidden="1" customWidth="1"/>
    <col min="31" max="31" width="10.6640625" customWidth="1"/>
    <col min="32" max="35" width="0" hidden="1" customWidth="1"/>
    <col min="42" max="42" width="27.44140625" customWidth="1"/>
  </cols>
  <sheetData>
    <row r="6" spans="1:39" ht="22.8" x14ac:dyDescent="0.4">
      <c r="A6" s="49" t="s">
        <v>47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</row>
    <row r="7" spans="1:39" ht="17.399999999999999" x14ac:dyDescent="0.3">
      <c r="A7" s="21"/>
    </row>
    <row r="9" spans="1:39" x14ac:dyDescent="0.25">
      <c r="B9" s="18"/>
      <c r="C9" s="18"/>
      <c r="D9" s="18"/>
      <c r="E9" s="18"/>
      <c r="F9" s="18"/>
      <c r="G9" s="18"/>
      <c r="H9" s="18"/>
    </row>
    <row r="11" spans="1:39" x14ac:dyDescent="0.25">
      <c r="A11" s="26" t="s">
        <v>51</v>
      </c>
      <c r="L11" s="5" t="s">
        <v>35</v>
      </c>
      <c r="M11" s="5" t="s">
        <v>36</v>
      </c>
      <c r="N11" s="5" t="s">
        <v>37</v>
      </c>
      <c r="O11" s="5" t="s">
        <v>38</v>
      </c>
      <c r="Q11" s="5" t="s">
        <v>35</v>
      </c>
      <c r="R11" s="5" t="s">
        <v>36</v>
      </c>
      <c r="S11" s="5" t="s">
        <v>37</v>
      </c>
      <c r="T11" s="5" t="s">
        <v>38</v>
      </c>
      <c r="V11" s="5" t="s">
        <v>35</v>
      </c>
      <c r="W11" s="5" t="s">
        <v>36</v>
      </c>
      <c r="X11" s="5" t="s">
        <v>37</v>
      </c>
      <c r="Y11" s="5" t="s">
        <v>38</v>
      </c>
      <c r="AA11" s="5" t="s">
        <v>35</v>
      </c>
      <c r="AB11" s="5" t="s">
        <v>36</v>
      </c>
      <c r="AC11" s="5" t="s">
        <v>37</v>
      </c>
      <c r="AD11" s="5" t="s">
        <v>38</v>
      </c>
      <c r="AF11" s="5" t="s">
        <v>35</v>
      </c>
      <c r="AG11" s="5" t="s">
        <v>36</v>
      </c>
      <c r="AH11" s="5" t="s">
        <v>37</v>
      </c>
      <c r="AI11" s="5" t="s">
        <v>38</v>
      </c>
      <c r="AK11" s="5" t="s">
        <v>35</v>
      </c>
      <c r="AL11" s="5" t="s">
        <v>36</v>
      </c>
    </row>
    <row r="12" spans="1:39" x14ac:dyDescent="0.25">
      <c r="L12" s="5" t="s">
        <v>0</v>
      </c>
      <c r="M12" s="5" t="s">
        <v>0</v>
      </c>
      <c r="N12" s="5" t="s">
        <v>0</v>
      </c>
      <c r="O12" s="5" t="s">
        <v>0</v>
      </c>
      <c r="P12" s="5"/>
      <c r="Q12" s="5" t="s">
        <v>0</v>
      </c>
      <c r="R12" s="5" t="s">
        <v>0</v>
      </c>
      <c r="S12" s="5" t="s">
        <v>0</v>
      </c>
      <c r="T12" s="5" t="s">
        <v>0</v>
      </c>
      <c r="U12" s="5"/>
      <c r="V12" s="5" t="s">
        <v>0</v>
      </c>
      <c r="W12" s="5" t="s">
        <v>0</v>
      </c>
      <c r="X12" s="5" t="s">
        <v>0</v>
      </c>
      <c r="Y12" s="5" t="s">
        <v>0</v>
      </c>
      <c r="Z12" s="5"/>
      <c r="AA12" s="5" t="s">
        <v>0</v>
      </c>
      <c r="AB12" s="5" t="s">
        <v>0</v>
      </c>
      <c r="AC12" s="5" t="s">
        <v>0</v>
      </c>
      <c r="AD12" s="5" t="s">
        <v>0</v>
      </c>
      <c r="AE12" s="5"/>
      <c r="AF12" s="5" t="s">
        <v>0</v>
      </c>
      <c r="AG12" s="5" t="s">
        <v>0</v>
      </c>
      <c r="AH12" s="5" t="s">
        <v>0</v>
      </c>
      <c r="AI12" s="5" t="s">
        <v>0</v>
      </c>
      <c r="AJ12" s="5"/>
      <c r="AK12" s="5" t="s">
        <v>0</v>
      </c>
      <c r="AL12" s="5" t="s">
        <v>0</v>
      </c>
      <c r="AM12" s="5"/>
    </row>
    <row r="13" spans="1:39" x14ac:dyDescent="0.25">
      <c r="C13" s="3" t="s">
        <v>39</v>
      </c>
      <c r="D13" s="3" t="s">
        <v>40</v>
      </c>
      <c r="E13" s="3" t="s">
        <v>1</v>
      </c>
      <c r="F13" s="3" t="s">
        <v>2</v>
      </c>
      <c r="G13" s="3" t="s">
        <v>3</v>
      </c>
      <c r="H13" s="3" t="s">
        <v>4</v>
      </c>
      <c r="I13" s="3">
        <v>1995</v>
      </c>
      <c r="J13" s="3">
        <v>1996</v>
      </c>
      <c r="K13" s="3">
        <v>1997</v>
      </c>
      <c r="L13" s="3">
        <v>1998</v>
      </c>
      <c r="M13" s="3">
        <v>1998</v>
      </c>
      <c r="N13" s="3">
        <v>1998</v>
      </c>
      <c r="O13" s="3">
        <v>1998</v>
      </c>
      <c r="P13" s="3">
        <v>1998</v>
      </c>
      <c r="Q13" s="3">
        <v>1999</v>
      </c>
      <c r="R13" s="3">
        <v>1999</v>
      </c>
      <c r="S13" s="3">
        <v>1999</v>
      </c>
      <c r="T13" s="3">
        <v>1999</v>
      </c>
      <c r="U13" s="3">
        <v>1999</v>
      </c>
      <c r="V13" s="3">
        <v>2000</v>
      </c>
      <c r="W13" s="3">
        <v>2000</v>
      </c>
      <c r="X13" s="3">
        <v>2000</v>
      </c>
      <c r="Y13" s="3">
        <v>2000</v>
      </c>
      <c r="Z13" s="3">
        <v>2000</v>
      </c>
      <c r="AA13" s="3">
        <v>2001</v>
      </c>
      <c r="AB13" s="3">
        <v>2001</v>
      </c>
      <c r="AC13" s="3">
        <v>2001</v>
      </c>
      <c r="AD13" s="3">
        <v>2001</v>
      </c>
      <c r="AE13" s="3">
        <v>2001</v>
      </c>
      <c r="AF13" s="3">
        <v>2002</v>
      </c>
      <c r="AG13" s="3">
        <v>2002</v>
      </c>
      <c r="AH13" s="3">
        <v>2002</v>
      </c>
      <c r="AI13" s="3">
        <v>2002</v>
      </c>
      <c r="AJ13" s="3">
        <v>2002</v>
      </c>
      <c r="AK13" s="3">
        <v>2003</v>
      </c>
      <c r="AL13" s="3">
        <v>2003</v>
      </c>
      <c r="AM13" s="5" t="s">
        <v>113</v>
      </c>
    </row>
    <row r="14" spans="1:39" ht="5.25" customHeight="1" thickBot="1" x14ac:dyDescent="0.3"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</row>
    <row r="15" spans="1:39" x14ac:dyDescent="0.25"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</row>
    <row r="16" spans="1:39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40" ht="17.399999999999999" x14ac:dyDescent="0.3">
      <c r="A17" s="21" t="s">
        <v>47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0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40" ht="15.6" x14ac:dyDescent="0.3">
      <c r="A19" s="1" t="s">
        <v>61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40" x14ac:dyDescent="0.25">
      <c r="A20" t="s">
        <v>104</v>
      </c>
      <c r="C20" s="2">
        <f>16218</f>
        <v>16218</v>
      </c>
      <c r="D20" s="2">
        <f>15446.9</f>
        <v>15446.9</v>
      </c>
      <c r="E20" s="2">
        <v>13990</v>
      </c>
      <c r="F20" s="2">
        <v>12999</v>
      </c>
      <c r="G20" s="2">
        <v>12332</v>
      </c>
      <c r="H20" s="2">
        <v>15381</v>
      </c>
      <c r="I20" s="2">
        <v>16761</v>
      </c>
      <c r="J20" s="2">
        <v>19585</v>
      </c>
      <c r="K20" s="2">
        <v>22838</v>
      </c>
      <c r="L20" s="2">
        <v>24673</v>
      </c>
      <c r="M20" s="2">
        <v>26044</v>
      </c>
      <c r="N20" s="2">
        <v>26342</v>
      </c>
      <c r="O20" s="2">
        <v>27164</v>
      </c>
      <c r="P20" s="2">
        <v>27164</v>
      </c>
      <c r="Q20" s="2">
        <v>28356</v>
      </c>
      <c r="R20" s="2">
        <v>34462</v>
      </c>
      <c r="S20" s="2">
        <v>42168</v>
      </c>
      <c r="T20" s="2">
        <v>47768</v>
      </c>
      <c r="U20" s="2">
        <v>47768</v>
      </c>
      <c r="V20" s="2">
        <v>50488</v>
      </c>
      <c r="W20" s="2">
        <v>50862</v>
      </c>
      <c r="X20" s="2">
        <v>50536</v>
      </c>
      <c r="Y20" s="2">
        <v>51350</v>
      </c>
      <c r="Z20" s="2">
        <v>51350</v>
      </c>
      <c r="AA20" s="2">
        <v>52074</v>
      </c>
      <c r="AB20" s="2">
        <v>51672</v>
      </c>
      <c r="AC20" s="2">
        <v>51109</v>
      </c>
      <c r="AD20" s="2">
        <v>50213</v>
      </c>
      <c r="AE20" s="2">
        <f>AD20</f>
        <v>50213</v>
      </c>
      <c r="AF20" s="2">
        <v>48800</v>
      </c>
      <c r="AG20" s="2">
        <v>52231</v>
      </c>
      <c r="AH20" s="2">
        <v>50235</v>
      </c>
      <c r="AI20" s="2">
        <v>47474</v>
      </c>
      <c r="AJ20" s="2">
        <v>47474</v>
      </c>
      <c r="AK20" s="2">
        <v>44139</v>
      </c>
      <c r="AL20" s="2">
        <f>32182+9224</f>
        <v>41406</v>
      </c>
      <c r="AM20" s="2">
        <f>AL20</f>
        <v>41406</v>
      </c>
      <c r="AN20" s="38"/>
    </row>
    <row r="21" spans="1:40" x14ac:dyDescent="0.25">
      <c r="A21" t="s">
        <v>105</v>
      </c>
      <c r="C21" s="8">
        <f>70859+1614</f>
        <v>72473</v>
      </c>
      <c r="D21" s="8">
        <f>78585.3+1851</f>
        <v>80436.3</v>
      </c>
      <c r="E21" s="8">
        <f>91998+2046</f>
        <v>94044</v>
      </c>
      <c r="F21" s="8">
        <f>120480+1356</f>
        <v>121836</v>
      </c>
      <c r="G21" s="8">
        <f>158318+772</f>
        <v>159090</v>
      </c>
      <c r="H21" s="8">
        <f>189422+536</f>
        <v>189958</v>
      </c>
      <c r="I21" s="8">
        <f>221219+423</f>
        <v>221642</v>
      </c>
      <c r="J21" s="8">
        <f>254361+323</f>
        <v>254684</v>
      </c>
      <c r="K21" s="8">
        <f>282199+268</f>
        <v>282467</v>
      </c>
      <c r="L21" s="8">
        <v>289853</v>
      </c>
      <c r="M21" s="8">
        <v>311515</v>
      </c>
      <c r="N21" s="8">
        <v>337978</v>
      </c>
      <c r="O21" s="8">
        <v>375478</v>
      </c>
      <c r="P21" s="8">
        <v>375478</v>
      </c>
      <c r="Q21" s="8">
        <v>399627</v>
      </c>
      <c r="R21" s="8">
        <v>426768</v>
      </c>
      <c r="S21" s="8">
        <v>449370</v>
      </c>
      <c r="T21" s="8">
        <v>462066</v>
      </c>
      <c r="U21" s="8">
        <v>462066</v>
      </c>
      <c r="V21" s="8">
        <v>472175</v>
      </c>
      <c r="W21" s="8">
        <v>476936</v>
      </c>
      <c r="X21" s="8">
        <v>497749</v>
      </c>
      <c r="Y21" s="8">
        <v>531637</v>
      </c>
      <c r="Z21" s="8">
        <v>531637</v>
      </c>
      <c r="AA21" s="8">
        <v>565712</v>
      </c>
      <c r="AB21" s="8">
        <v>590581</v>
      </c>
      <c r="AC21" s="8">
        <v>616625</v>
      </c>
      <c r="AD21" s="8">
        <v>636498</v>
      </c>
      <c r="AE21" s="8">
        <f>AD21</f>
        <v>636498</v>
      </c>
      <c r="AF21" s="8">
        <v>665995</v>
      </c>
      <c r="AG21" s="8">
        <v>670394</v>
      </c>
      <c r="AH21" s="8">
        <v>688317</v>
      </c>
      <c r="AI21" s="8">
        <v>726835</v>
      </c>
      <c r="AJ21" s="8">
        <v>726835</v>
      </c>
      <c r="AK21" s="8">
        <v>753995</v>
      </c>
      <c r="AL21" s="8">
        <f>728122+300+22475</f>
        <v>750897</v>
      </c>
      <c r="AM21" s="8">
        <f>AL21</f>
        <v>750897</v>
      </c>
      <c r="AN21" s="38"/>
    </row>
    <row r="22" spans="1:40" x14ac:dyDescent="0.25">
      <c r="A22" t="s">
        <v>18</v>
      </c>
      <c r="C22" s="8">
        <f>22030</f>
        <v>22030</v>
      </c>
      <c r="D22" s="8">
        <f>20745</f>
        <v>20745</v>
      </c>
      <c r="E22" s="8">
        <f>20949</f>
        <v>20949</v>
      </c>
      <c r="F22" s="8">
        <f>23284</f>
        <v>23284</v>
      </c>
      <c r="G22" s="8">
        <f>19439</f>
        <v>19439</v>
      </c>
      <c r="H22" s="8">
        <f>16718</f>
        <v>16718</v>
      </c>
      <c r="I22" s="8">
        <f>15108</f>
        <v>15108</v>
      </c>
      <c r="J22" s="8">
        <f>12783</f>
        <v>12783</v>
      </c>
      <c r="K22" s="8">
        <f>11373</f>
        <v>11373</v>
      </c>
      <c r="L22" s="8">
        <f>12499</f>
        <v>12499</v>
      </c>
      <c r="M22" s="8">
        <f>11690</f>
        <v>11690</v>
      </c>
      <c r="N22" s="8">
        <f>11345</f>
        <v>11345</v>
      </c>
      <c r="O22" s="8">
        <f>11873</f>
        <v>11873</v>
      </c>
      <c r="P22" s="8">
        <f>11873</f>
        <v>11873</v>
      </c>
      <c r="Q22" s="8">
        <f>12156</f>
        <v>12156</v>
      </c>
      <c r="R22" s="8">
        <f>12085</f>
        <v>12085</v>
      </c>
      <c r="S22" s="8">
        <f>13400</f>
        <v>13400</v>
      </c>
      <c r="T22" s="8">
        <f>14107</f>
        <v>14107</v>
      </c>
      <c r="U22" s="8">
        <v>14107</v>
      </c>
      <c r="V22" s="8">
        <v>16088</v>
      </c>
      <c r="W22" s="8">
        <v>24368</v>
      </c>
      <c r="X22" s="8">
        <v>25802</v>
      </c>
      <c r="Y22" s="8">
        <v>27135</v>
      </c>
      <c r="Z22" s="8">
        <v>27135</v>
      </c>
      <c r="AA22" s="8">
        <v>25594</v>
      </c>
      <c r="AB22" s="8">
        <v>23482</v>
      </c>
      <c r="AC22" s="8">
        <v>21814</v>
      </c>
      <c r="AD22" s="8">
        <v>20765</v>
      </c>
      <c r="AE22" s="8">
        <f>AD22</f>
        <v>20765</v>
      </c>
      <c r="AF22" s="8">
        <v>19231</v>
      </c>
      <c r="AG22" s="8">
        <v>19130</v>
      </c>
      <c r="AH22" s="8">
        <v>20145</v>
      </c>
      <c r="AI22" s="8">
        <v>22991</v>
      </c>
      <c r="AJ22" s="8">
        <v>22991</v>
      </c>
      <c r="AK22" s="8">
        <v>24081</v>
      </c>
      <c r="AL22" s="8">
        <f>25164</f>
        <v>25164</v>
      </c>
      <c r="AM22" s="8">
        <f>AL22</f>
        <v>25164</v>
      </c>
      <c r="AN22" s="38"/>
    </row>
    <row r="23" spans="1:40" x14ac:dyDescent="0.25">
      <c r="A23" t="s">
        <v>102</v>
      </c>
      <c r="C23" s="8">
        <f t="shared" ref="C23:R23" si="0">SUM(C20:C22)</f>
        <v>110721</v>
      </c>
      <c r="D23" s="8">
        <f t="shared" si="0"/>
        <v>116628.2</v>
      </c>
      <c r="E23" s="8">
        <f t="shared" si="0"/>
        <v>128983</v>
      </c>
      <c r="F23" s="8">
        <f t="shared" si="0"/>
        <v>158119</v>
      </c>
      <c r="G23" s="8">
        <f t="shared" si="0"/>
        <v>190861</v>
      </c>
      <c r="H23" s="8">
        <f t="shared" si="0"/>
        <v>222057</v>
      </c>
      <c r="I23" s="8">
        <f t="shared" si="0"/>
        <v>253511</v>
      </c>
      <c r="J23" s="8">
        <f t="shared" si="0"/>
        <v>287052</v>
      </c>
      <c r="K23" s="8">
        <f t="shared" si="0"/>
        <v>316678</v>
      </c>
      <c r="L23" s="8">
        <f t="shared" si="0"/>
        <v>327025</v>
      </c>
      <c r="M23" s="8">
        <f t="shared" si="0"/>
        <v>349249</v>
      </c>
      <c r="N23" s="8">
        <f t="shared" si="0"/>
        <v>375665</v>
      </c>
      <c r="O23" s="8">
        <f t="shared" si="0"/>
        <v>414515</v>
      </c>
      <c r="P23" s="8">
        <f t="shared" si="0"/>
        <v>414515</v>
      </c>
      <c r="Q23" s="8">
        <f t="shared" si="0"/>
        <v>440139</v>
      </c>
      <c r="R23" s="8">
        <f t="shared" si="0"/>
        <v>473315</v>
      </c>
      <c r="S23" s="8">
        <f>SUM(S20:S22)</f>
        <v>504938</v>
      </c>
      <c r="T23" s="8">
        <f>SUM(T20:T22)</f>
        <v>523941</v>
      </c>
      <c r="U23" s="8">
        <v>523941</v>
      </c>
      <c r="V23" s="8">
        <v>538751</v>
      </c>
      <c r="W23" s="8">
        <v>552166</v>
      </c>
      <c r="X23" s="8">
        <v>574087</v>
      </c>
      <c r="Y23" s="8">
        <v>610122</v>
      </c>
      <c r="Z23" s="8">
        <v>610122</v>
      </c>
      <c r="AA23" s="8">
        <v>643380</v>
      </c>
      <c r="AB23" s="8">
        <v>665735</v>
      </c>
      <c r="AC23" s="8">
        <v>689548</v>
      </c>
      <c r="AD23" s="8">
        <v>707476</v>
      </c>
      <c r="AE23" s="8">
        <f>SUM(AE20:AE22)</f>
        <v>707476</v>
      </c>
      <c r="AF23" s="8">
        <v>734026</v>
      </c>
      <c r="AG23" s="8">
        <v>741755</v>
      </c>
      <c r="AH23" s="8">
        <v>758697</v>
      </c>
      <c r="AI23" s="8">
        <v>797300</v>
      </c>
      <c r="AJ23" s="8">
        <v>797300</v>
      </c>
      <c r="AK23" s="8">
        <v>822215</v>
      </c>
      <c r="AL23" s="8">
        <f>SUM(AL20:AL22)</f>
        <v>817467</v>
      </c>
      <c r="AM23" s="8">
        <f>SUM(AM20:AM22)</f>
        <v>817467</v>
      </c>
      <c r="AN23" s="38"/>
    </row>
    <row r="24" spans="1:40" x14ac:dyDescent="0.25">
      <c r="A24" s="11" t="s">
        <v>101</v>
      </c>
      <c r="C24" s="8">
        <f>107756.4</f>
        <v>107756.4</v>
      </c>
      <c r="D24" s="8">
        <f>113875</f>
        <v>113875</v>
      </c>
      <c r="E24" s="8">
        <v>126486</v>
      </c>
      <c r="F24" s="8">
        <v>156021</v>
      </c>
      <c r="G24" s="8">
        <v>189892</v>
      </c>
      <c r="H24" s="8">
        <v>220525</v>
      </c>
      <c r="I24" s="8">
        <v>252588</v>
      </c>
      <c r="J24" s="8">
        <v>286259</v>
      </c>
      <c r="K24" s="8">
        <v>316316</v>
      </c>
      <c r="L24" s="8">
        <v>327072.5</v>
      </c>
      <c r="M24" s="8">
        <v>349441.6</v>
      </c>
      <c r="N24" s="8">
        <v>376236.3</v>
      </c>
      <c r="O24" s="8">
        <v>415355</v>
      </c>
      <c r="P24" s="8">
        <v>415355</v>
      </c>
      <c r="Q24" s="8">
        <v>440867.7</v>
      </c>
      <c r="R24" s="8">
        <v>473598.2</v>
      </c>
      <c r="S24" s="8">
        <v>504441.4</v>
      </c>
      <c r="T24" s="8">
        <v>522921</v>
      </c>
      <c r="U24" s="8">
        <v>522921</v>
      </c>
      <c r="V24" s="8">
        <v>537135.30000000005</v>
      </c>
      <c r="W24" s="8">
        <v>550130.6</v>
      </c>
      <c r="X24" s="8">
        <v>571554</v>
      </c>
      <c r="Y24" s="8">
        <v>607551</v>
      </c>
      <c r="Z24" s="8">
        <v>607551</v>
      </c>
      <c r="AA24" s="8">
        <v>640887.30000000005</v>
      </c>
      <c r="AB24" s="8">
        <v>663152.19999999995</v>
      </c>
      <c r="AC24" s="8">
        <v>686954.9</v>
      </c>
      <c r="AD24" s="8">
        <v>705324</v>
      </c>
      <c r="AE24" s="8">
        <v>705324</v>
      </c>
      <c r="AF24" s="8">
        <v>731877</v>
      </c>
      <c r="AG24" s="8">
        <v>740755.8</v>
      </c>
      <c r="AH24" s="8">
        <v>758099.8</v>
      </c>
      <c r="AI24" s="8">
        <v>797693</v>
      </c>
      <c r="AJ24" s="8">
        <v>797693</v>
      </c>
      <c r="AK24" s="8">
        <v>823329</v>
      </c>
      <c r="AL24" s="8">
        <v>820276</v>
      </c>
      <c r="AM24" s="8">
        <f>AL24</f>
        <v>820276</v>
      </c>
      <c r="AN24" s="38"/>
    </row>
    <row r="25" spans="1:40" x14ac:dyDescent="0.25">
      <c r="A25" t="s">
        <v>49</v>
      </c>
      <c r="C25" s="9">
        <v>0.1003</v>
      </c>
      <c r="D25" s="9">
        <f>0.0994</f>
        <v>9.9400000000000002E-2</v>
      </c>
      <c r="E25" s="9">
        <v>9.5399999999999999E-2</v>
      </c>
      <c r="F25" s="9">
        <v>8.6800000000000002E-2</v>
      </c>
      <c r="G25" s="9">
        <v>7.7899999999999997E-2</v>
      </c>
      <c r="H25" s="9">
        <v>7.8E-2</v>
      </c>
      <c r="I25" s="9">
        <v>7.8E-2</v>
      </c>
      <c r="J25" s="9">
        <v>7.6899999999999996E-2</v>
      </c>
      <c r="K25" s="9">
        <v>7.5999999999999998E-2</v>
      </c>
      <c r="L25" s="9">
        <v>7.4999999999999997E-2</v>
      </c>
      <c r="M25" s="9">
        <v>7.4099999999999999E-2</v>
      </c>
      <c r="N25" s="9">
        <v>7.2999999999999995E-2</v>
      </c>
      <c r="O25" s="9">
        <v>7.1199999999999999E-2</v>
      </c>
      <c r="P25" s="9">
        <v>7.1199999999999999E-2</v>
      </c>
      <c r="Q25" s="9">
        <v>7.0400000000000004E-2</v>
      </c>
      <c r="R25" s="9">
        <v>7.0000000000000007E-2</v>
      </c>
      <c r="S25" s="9">
        <v>7.0400000000000004E-2</v>
      </c>
      <c r="T25" s="9">
        <v>7.0800000000000002E-2</v>
      </c>
      <c r="U25" s="9">
        <v>7.0800000000000002E-2</v>
      </c>
      <c r="V25" s="9">
        <v>7.0999999999999994E-2</v>
      </c>
      <c r="W25" s="9">
        <v>7.1499999999999994E-2</v>
      </c>
      <c r="X25" s="9">
        <v>7.1999999999999995E-2</v>
      </c>
      <c r="Y25" s="9">
        <v>7.2400000000000006E-2</v>
      </c>
      <c r="Z25" s="9">
        <v>7.2400000000000006E-2</v>
      </c>
      <c r="AA25" s="9">
        <v>7.1900000000000006E-2</v>
      </c>
      <c r="AB25" s="9">
        <v>7.1199999999999999E-2</v>
      </c>
      <c r="AC25" s="9">
        <v>7.0699999999999999E-2</v>
      </c>
      <c r="AD25" s="9">
        <v>6.9500000000000006E-2</v>
      </c>
      <c r="AE25" s="9">
        <f>AD25</f>
        <v>6.9500000000000006E-2</v>
      </c>
      <c r="AF25" s="9">
        <v>6.8000000000000005E-2</v>
      </c>
      <c r="AG25" s="9">
        <v>6.7599999999999993E-2</v>
      </c>
      <c r="AH25" s="9">
        <v>6.6350999999999993E-2</v>
      </c>
      <c r="AI25" s="9">
        <v>6.4500000000000002E-2</v>
      </c>
      <c r="AJ25" s="9">
        <v>6.4500000000000002E-2</v>
      </c>
      <c r="AK25" s="9">
        <v>6.2100000000000002E-2</v>
      </c>
      <c r="AL25" s="9">
        <v>5.9900000000000002E-2</v>
      </c>
      <c r="AM25" s="9">
        <f>AL25</f>
        <v>5.9900000000000002E-2</v>
      </c>
      <c r="AN25" s="38"/>
    </row>
    <row r="26" spans="1:40" x14ac:dyDescent="0.25">
      <c r="A26" s="11" t="s">
        <v>103</v>
      </c>
      <c r="C26" s="36" t="s">
        <v>65</v>
      </c>
      <c r="D26" s="36" t="s">
        <v>65</v>
      </c>
      <c r="E26" s="36" t="s">
        <v>65</v>
      </c>
      <c r="F26" s="36" t="s">
        <v>65</v>
      </c>
      <c r="G26" s="36" t="s">
        <v>65</v>
      </c>
      <c r="H26" s="37">
        <v>8.6999999999999993</v>
      </c>
      <c r="I26" s="37">
        <v>-3.1</v>
      </c>
      <c r="J26" s="37">
        <v>4.3</v>
      </c>
      <c r="K26" s="37">
        <v>-3.8</v>
      </c>
      <c r="L26" s="37">
        <v>-3</v>
      </c>
      <c r="M26" s="37">
        <v>-3</v>
      </c>
      <c r="N26" s="37">
        <v>-8</v>
      </c>
      <c r="O26" s="37">
        <v>-3</v>
      </c>
      <c r="P26" s="37">
        <v>-3</v>
      </c>
      <c r="Q26" s="37">
        <v>4</v>
      </c>
      <c r="R26" s="37">
        <v>9</v>
      </c>
      <c r="S26" s="37">
        <v>7</v>
      </c>
      <c r="T26" s="37">
        <v>7</v>
      </c>
      <c r="U26" s="37">
        <v>7</v>
      </c>
      <c r="V26" s="37">
        <v>3.6</v>
      </c>
      <c r="W26" s="37">
        <v>3.96</v>
      </c>
      <c r="X26" s="37">
        <v>2.2799999999999998</v>
      </c>
      <c r="Y26" s="37">
        <v>-3.36</v>
      </c>
      <c r="Z26" s="37">
        <v>-3.36</v>
      </c>
      <c r="AA26" s="37">
        <v>1.2</v>
      </c>
      <c r="AB26" s="37">
        <v>5.4</v>
      </c>
      <c r="AC26" s="37">
        <v>-1</v>
      </c>
      <c r="AD26" s="37">
        <v>5</v>
      </c>
      <c r="AE26" s="37">
        <f>AD26</f>
        <v>5</v>
      </c>
      <c r="AF26" s="37">
        <v>5</v>
      </c>
      <c r="AG26" s="37">
        <v>-4</v>
      </c>
      <c r="AH26" s="37">
        <v>-10</v>
      </c>
      <c r="AI26" s="37">
        <v>-5</v>
      </c>
      <c r="AJ26" s="37">
        <v>-5</v>
      </c>
      <c r="AK26" s="37">
        <v>-2</v>
      </c>
      <c r="AL26" s="37">
        <v>-1</v>
      </c>
      <c r="AM26" s="37">
        <f>AL26</f>
        <v>-1</v>
      </c>
      <c r="AN26" s="38"/>
    </row>
    <row r="27" spans="1:40" x14ac:dyDescent="0.25">
      <c r="A27" s="11" t="s">
        <v>100</v>
      </c>
      <c r="C27" s="2">
        <f>124314.8</f>
        <v>124314.8</v>
      </c>
      <c r="D27" s="2">
        <f>133112.9</f>
        <v>133112.9</v>
      </c>
      <c r="E27" s="2">
        <v>147072</v>
      </c>
      <c r="F27" s="2">
        <v>180978</v>
      </c>
      <c r="G27" s="2">
        <v>216979</v>
      </c>
      <c r="H27" s="2">
        <v>272508</v>
      </c>
      <c r="I27" s="2">
        <v>316550</v>
      </c>
      <c r="J27" s="2">
        <v>351041</v>
      </c>
      <c r="K27" s="2">
        <v>391673</v>
      </c>
      <c r="L27" s="2">
        <v>404156.6</v>
      </c>
      <c r="M27" s="2">
        <v>429608.1</v>
      </c>
      <c r="N27" s="2">
        <v>455257.59999999998</v>
      </c>
      <c r="O27" s="2">
        <v>485146</v>
      </c>
      <c r="P27" s="2">
        <v>485146</v>
      </c>
      <c r="Q27" s="2">
        <v>501200.3</v>
      </c>
      <c r="R27" s="2">
        <v>526397.80000000005</v>
      </c>
      <c r="S27" s="2">
        <v>551670.6</v>
      </c>
      <c r="T27" s="2">
        <v>575308</v>
      </c>
      <c r="U27" s="2">
        <v>575308</v>
      </c>
      <c r="V27" s="2">
        <v>586841.19999999995</v>
      </c>
      <c r="W27" s="2">
        <v>608921.1</v>
      </c>
      <c r="X27" s="2">
        <v>638296</v>
      </c>
      <c r="Y27" s="2">
        <v>675224</v>
      </c>
      <c r="Z27" s="2">
        <v>675224</v>
      </c>
      <c r="AA27" s="2">
        <v>701129.8</v>
      </c>
      <c r="AB27" s="2">
        <v>737305.2</v>
      </c>
      <c r="AC27" s="2">
        <v>766803.5</v>
      </c>
      <c r="AD27" s="2">
        <v>799948</v>
      </c>
      <c r="AE27" s="2">
        <v>799948</v>
      </c>
      <c r="AF27" s="2">
        <v>808122.1</v>
      </c>
      <c r="AG27" s="2">
        <v>826842.7</v>
      </c>
      <c r="AH27" s="2">
        <v>837879.9</v>
      </c>
      <c r="AI27" s="2">
        <v>887515</v>
      </c>
      <c r="AJ27" s="2">
        <v>887515</v>
      </c>
      <c r="AK27" s="2">
        <v>913263.76329515013</v>
      </c>
      <c r="AL27" s="2">
        <v>923795</v>
      </c>
      <c r="AM27" s="2">
        <f>AL27</f>
        <v>923795</v>
      </c>
      <c r="AN27" s="38"/>
    </row>
    <row r="29" spans="1:40" ht="15.6" x14ac:dyDescent="0.3">
      <c r="A29" s="1" t="s">
        <v>62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40" x14ac:dyDescent="0.25">
      <c r="A30" s="11" t="s">
        <v>99</v>
      </c>
      <c r="C30" s="2">
        <f>24753</f>
        <v>24753</v>
      </c>
      <c r="D30" s="2">
        <f>23252.9</f>
        <v>23252.9</v>
      </c>
      <c r="E30" s="2">
        <v>21175</v>
      </c>
      <c r="F30" s="2">
        <v>45787</v>
      </c>
      <c r="G30" s="2">
        <v>59082</v>
      </c>
      <c r="H30" s="2">
        <v>99733</v>
      </c>
      <c r="I30" s="2">
        <v>120410</v>
      </c>
      <c r="J30" s="2">
        <v>120917</v>
      </c>
      <c r="K30" s="2">
        <v>137451</v>
      </c>
      <c r="L30" s="2">
        <v>132631</v>
      </c>
      <c r="M30" s="2">
        <f>140851</f>
        <v>140851</v>
      </c>
      <c r="N30" s="2">
        <f>153615</f>
        <v>153615</v>
      </c>
      <c r="O30" s="2">
        <f>174852</f>
        <v>174852</v>
      </c>
      <c r="P30" s="2">
        <f>174852</f>
        <v>174852</v>
      </c>
      <c r="Q30" s="2">
        <f>160182</f>
        <v>160182</v>
      </c>
      <c r="R30" s="2">
        <f>163139730/1000</f>
        <v>163139.73000000001</v>
      </c>
      <c r="S30" s="2">
        <f>179391.452</f>
        <v>179391.45199999999</v>
      </c>
      <c r="T30" s="2">
        <f>185282</f>
        <v>185282</v>
      </c>
      <c r="U30" s="15">
        <v>185282</v>
      </c>
      <c r="V30" s="2">
        <v>177111</v>
      </c>
      <c r="W30" s="2">
        <v>183356</v>
      </c>
      <c r="X30" s="2">
        <v>198487.565</v>
      </c>
      <c r="Y30" s="2">
        <v>220667.27900000001</v>
      </c>
      <c r="Z30" s="15">
        <v>220667.27900000001</v>
      </c>
      <c r="AA30" s="2">
        <v>279241.63500000001</v>
      </c>
      <c r="AB30" s="2">
        <v>285145.36300000001</v>
      </c>
      <c r="AC30" s="2">
        <v>291572.51799999998</v>
      </c>
      <c r="AD30" s="2">
        <v>287002.85499999998</v>
      </c>
      <c r="AE30" s="15">
        <f>AD30</f>
        <v>287002.85499999998</v>
      </c>
      <c r="AF30" s="2">
        <v>270683</v>
      </c>
      <c r="AG30" s="2">
        <v>274144.84000000003</v>
      </c>
      <c r="AH30" s="2">
        <v>256121.761</v>
      </c>
      <c r="AI30" s="2">
        <v>302826.13099999999</v>
      </c>
      <c r="AJ30" s="15">
        <v>302826.13099999999</v>
      </c>
      <c r="AK30" s="2">
        <v>317990.19400000002</v>
      </c>
      <c r="AL30" s="2">
        <f>339597.738</f>
        <v>339597.73800000001</v>
      </c>
      <c r="AM30" s="15">
        <f>AL30</f>
        <v>339597.73800000001</v>
      </c>
      <c r="AN30" s="38"/>
    </row>
    <row r="31" spans="1:40" x14ac:dyDescent="0.25">
      <c r="A31" s="11" t="s">
        <v>98</v>
      </c>
      <c r="C31" s="8">
        <f>91187</f>
        <v>91187</v>
      </c>
      <c r="D31" s="8">
        <f>99806.2</f>
        <v>99806.2</v>
      </c>
      <c r="E31" s="8">
        <v>112144</v>
      </c>
      <c r="F31" s="8">
        <v>120718</v>
      </c>
      <c r="G31" s="8">
        <v>141979</v>
      </c>
      <c r="H31" s="8">
        <v>157416</v>
      </c>
      <c r="I31" s="8">
        <v>178651</v>
      </c>
      <c r="J31" s="8">
        <v>210542</v>
      </c>
      <c r="K31" s="8">
        <v>233188</v>
      </c>
      <c r="L31" s="8">
        <v>249396</v>
      </c>
      <c r="M31" s="8">
        <f>266493</f>
        <v>266493</v>
      </c>
      <c r="N31" s="8">
        <f>278049.8</f>
        <v>278049.8</v>
      </c>
      <c r="O31" s="8">
        <f>286018</f>
        <v>286018</v>
      </c>
      <c r="P31" s="8">
        <f>286018</f>
        <v>286018</v>
      </c>
      <c r="Q31" s="8">
        <f>316105</f>
        <v>316105</v>
      </c>
      <c r="R31" s="8">
        <f>337727222/1000</f>
        <v>337727.22200000001</v>
      </c>
      <c r="S31" s="8">
        <f>345884.499</f>
        <v>345884.49900000001</v>
      </c>
      <c r="T31" s="8">
        <f>362753</f>
        <v>362753</v>
      </c>
      <c r="U31" s="16">
        <v>362753</v>
      </c>
      <c r="V31" s="8">
        <v>381166</v>
      </c>
      <c r="W31" s="8">
        <v>396269</v>
      </c>
      <c r="X31" s="8">
        <v>409535.962</v>
      </c>
      <c r="Y31" s="8">
        <v>422977.03899999999</v>
      </c>
      <c r="Z31" s="16">
        <v>422977.03899999999</v>
      </c>
      <c r="AA31" s="8">
        <v>387374.02399999998</v>
      </c>
      <c r="AB31" s="8">
        <v>417769.33500000002</v>
      </c>
      <c r="AC31" s="8">
        <v>433663.22100000002</v>
      </c>
      <c r="AD31" s="8">
        <v>476316.31300000002</v>
      </c>
      <c r="AE31" s="16">
        <f>AD31</f>
        <v>476316.31300000002</v>
      </c>
      <c r="AF31" s="8">
        <v>499477</v>
      </c>
      <c r="AG31" s="8">
        <v>512473</v>
      </c>
      <c r="AH31" s="8">
        <v>536083.06000000006</v>
      </c>
      <c r="AI31" s="8">
        <v>539420.44099999999</v>
      </c>
      <c r="AJ31" s="16">
        <v>539420.44099999999</v>
      </c>
      <c r="AK31" s="8">
        <v>546984.73699999996</v>
      </c>
      <c r="AL31" s="8">
        <f>532500.625</f>
        <v>532500.625</v>
      </c>
      <c r="AM31" s="16">
        <f>AL31</f>
        <v>532500.625</v>
      </c>
      <c r="AN31" s="38"/>
    </row>
    <row r="32" spans="1:40" x14ac:dyDescent="0.25">
      <c r="A32" s="11" t="s">
        <v>97</v>
      </c>
      <c r="C32" s="8">
        <f>435</f>
        <v>435</v>
      </c>
      <c r="D32" s="8">
        <f>632</f>
        <v>632</v>
      </c>
      <c r="E32" s="8">
        <v>795</v>
      </c>
      <c r="F32" s="8">
        <v>125</v>
      </c>
      <c r="G32" s="8">
        <v>51</v>
      </c>
      <c r="H32" s="8">
        <v>81</v>
      </c>
      <c r="I32" s="8">
        <v>113</v>
      </c>
      <c r="J32" s="8">
        <v>-189</v>
      </c>
      <c r="K32" s="8">
        <f>-865</f>
        <v>-865</v>
      </c>
      <c r="L32" s="8">
        <v>-934</v>
      </c>
      <c r="M32" s="8">
        <f>-1182</f>
        <v>-1182</v>
      </c>
      <c r="N32" s="8">
        <f>-1083</f>
        <v>-1083</v>
      </c>
      <c r="O32" s="8">
        <f>-579</f>
        <v>-579</v>
      </c>
      <c r="P32" s="8">
        <f>-579</f>
        <v>-579</v>
      </c>
      <c r="Q32" s="8">
        <f>-869</f>
        <v>-869</v>
      </c>
      <c r="R32" s="8">
        <f>-970</f>
        <v>-970</v>
      </c>
      <c r="S32" s="8">
        <f>-396</f>
        <v>-396</v>
      </c>
      <c r="T32" s="8">
        <f>-416</f>
        <v>-416</v>
      </c>
      <c r="U32" s="16">
        <v>-416</v>
      </c>
      <c r="V32" s="8">
        <v>-734</v>
      </c>
      <c r="W32" s="8">
        <v>-1098</v>
      </c>
      <c r="X32" s="8">
        <v>-984</v>
      </c>
      <c r="Y32" s="8">
        <v>-962</v>
      </c>
      <c r="Z32" s="16">
        <v>-962</v>
      </c>
      <c r="AA32" s="8">
        <v>-23.353999999999999</v>
      </c>
      <c r="AB32" s="8">
        <v>-581</v>
      </c>
      <c r="AC32" s="8">
        <v>1756</v>
      </c>
      <c r="AD32" s="8">
        <v>148</v>
      </c>
      <c r="AE32" s="16">
        <f>AD32</f>
        <v>148</v>
      </c>
      <c r="AF32" s="8">
        <v>-385</v>
      </c>
      <c r="AG32" s="8">
        <v>2291</v>
      </c>
      <c r="AH32" s="8">
        <v>8050</v>
      </c>
      <c r="AI32" s="8">
        <v>8735</v>
      </c>
      <c r="AJ32" s="16">
        <v>8735</v>
      </c>
      <c r="AK32" s="8">
        <v>8945</v>
      </c>
      <c r="AL32" s="8">
        <f>12064-81</f>
        <v>11983</v>
      </c>
      <c r="AM32" s="16">
        <f>AL32</f>
        <v>11983</v>
      </c>
      <c r="AN32" s="38"/>
    </row>
    <row r="33" spans="1:40" x14ac:dyDescent="0.25">
      <c r="A33" t="s">
        <v>19</v>
      </c>
      <c r="C33" s="8">
        <f>116735</f>
        <v>116735</v>
      </c>
      <c r="D33" s="8">
        <f>123691</f>
        <v>123691</v>
      </c>
      <c r="E33" s="8">
        <v>134114</v>
      </c>
      <c r="F33" s="8">
        <v>166630</v>
      </c>
      <c r="G33" s="8">
        <v>201112</v>
      </c>
      <c r="H33" s="8">
        <v>257230</v>
      </c>
      <c r="I33" s="8">
        <v>299174</v>
      </c>
      <c r="J33" s="8">
        <v>331270</v>
      </c>
      <c r="K33" s="8">
        <v>369774</v>
      </c>
      <c r="L33" s="8">
        <f>SUM(L30:L32)</f>
        <v>381093</v>
      </c>
      <c r="M33" s="8">
        <f>SUM(M30:M32)</f>
        <v>406162</v>
      </c>
      <c r="N33" s="8">
        <f>SUM(N30:N32)</f>
        <v>430581.8</v>
      </c>
      <c r="O33" s="8">
        <f>SUM(O30:O32)</f>
        <v>460291</v>
      </c>
      <c r="P33" s="8">
        <f>460291</f>
        <v>460291</v>
      </c>
      <c r="Q33" s="8">
        <f>SUM(Q30:Q32)</f>
        <v>475418</v>
      </c>
      <c r="R33" s="8">
        <f>SUM(R30:R32)</f>
        <v>499896.95200000005</v>
      </c>
      <c r="S33" s="8">
        <f>SUM(S30:S32)</f>
        <v>524879.951</v>
      </c>
      <c r="T33" s="8">
        <f>SUM(T30:T32)</f>
        <v>547619</v>
      </c>
      <c r="U33" s="8">
        <v>547619</v>
      </c>
      <c r="V33" s="8">
        <v>557543</v>
      </c>
      <c r="W33" s="8">
        <v>578527</v>
      </c>
      <c r="X33" s="8">
        <v>607039.527</v>
      </c>
      <c r="Y33" s="8">
        <v>642682.31799999997</v>
      </c>
      <c r="Z33" s="8">
        <v>642682.31799999997</v>
      </c>
      <c r="AA33" s="8">
        <v>666592.30499999993</v>
      </c>
      <c r="AB33" s="8">
        <v>702332.69800000009</v>
      </c>
      <c r="AC33" s="8">
        <v>726991.73900000006</v>
      </c>
      <c r="AD33" s="8">
        <v>763467.16800000006</v>
      </c>
      <c r="AE33" s="8">
        <f>AD33</f>
        <v>763467.16800000006</v>
      </c>
      <c r="AF33" s="8">
        <v>769775</v>
      </c>
      <c r="AG33" s="8">
        <v>788908.84</v>
      </c>
      <c r="AH33" s="8">
        <v>800254.821</v>
      </c>
      <c r="AI33" s="8">
        <v>850981.57199999993</v>
      </c>
      <c r="AJ33" s="8">
        <v>850981.57199999993</v>
      </c>
      <c r="AK33" s="8">
        <f>SUM(AK30:AK32)</f>
        <v>873919.93099999998</v>
      </c>
      <c r="AL33" s="8">
        <f>SUM(AL30:AL32)</f>
        <v>884081.36300000001</v>
      </c>
      <c r="AM33" s="8">
        <f>SUM(AM30:AM32)</f>
        <v>884081.36300000001</v>
      </c>
      <c r="AN33" s="40"/>
    </row>
    <row r="34" spans="1:40" x14ac:dyDescent="0.25">
      <c r="AK34" s="2"/>
    </row>
    <row r="35" spans="1:40" x14ac:dyDescent="0.25">
      <c r="A35" t="s">
        <v>14</v>
      </c>
      <c r="C35" s="9">
        <f>0.0904</f>
        <v>9.0399999999999994E-2</v>
      </c>
      <c r="D35" s="9">
        <f>0.0881</f>
        <v>8.8099999999999998E-2</v>
      </c>
      <c r="E35" s="9">
        <v>8.2500000000000004E-2</v>
      </c>
      <c r="F35" s="9">
        <v>7.2099999999999997E-2</v>
      </c>
      <c r="G35" s="9">
        <v>6.5299999999999997E-2</v>
      </c>
      <c r="H35" s="9">
        <v>6.7799999999999999E-2</v>
      </c>
      <c r="I35" s="9">
        <v>6.5500000000000003E-2</v>
      </c>
      <c r="J35" s="9">
        <v>6.4899999999999999E-2</v>
      </c>
      <c r="K35" s="9">
        <v>6.4600000000000005E-2</v>
      </c>
      <c r="L35" s="9">
        <v>6.3799999999999996E-2</v>
      </c>
      <c r="M35" s="9">
        <f>0.063294</f>
        <v>6.3294000000000003E-2</v>
      </c>
      <c r="N35" s="9">
        <f>0.062599</f>
        <v>6.2599000000000002E-2</v>
      </c>
      <c r="O35" s="9">
        <f>0.061025</f>
        <v>6.1025000000000003E-2</v>
      </c>
      <c r="P35" s="9">
        <f>0.061</f>
        <v>6.0999999999999999E-2</v>
      </c>
      <c r="Q35" s="9">
        <f>0.060629</f>
        <v>6.0629000000000002E-2</v>
      </c>
      <c r="R35" s="9">
        <f>0.060526</f>
        <v>6.0526000000000003E-2</v>
      </c>
      <c r="S35" s="9">
        <f>0.061342</f>
        <v>6.1342000000000001E-2</v>
      </c>
      <c r="T35" s="9">
        <f>0.061798</f>
        <v>6.1797999999999999E-2</v>
      </c>
      <c r="U35" s="9">
        <v>6.1797999999999999E-2</v>
      </c>
      <c r="V35" s="9">
        <v>6.2700000000000006E-2</v>
      </c>
      <c r="W35" s="9">
        <v>6.3798999999999995E-2</v>
      </c>
      <c r="X35" s="9">
        <v>6.4457E-2</v>
      </c>
      <c r="Y35" s="9">
        <v>6.4667000000000002E-2</v>
      </c>
      <c r="Z35" s="9">
        <v>6.4667000000000002E-2</v>
      </c>
      <c r="AA35" s="9">
        <v>6.1866999999999998E-2</v>
      </c>
      <c r="AB35" s="9">
        <v>6.0267000000000001E-2</v>
      </c>
      <c r="AC35" s="9">
        <v>5.7803E-2</v>
      </c>
      <c r="AD35" s="9">
        <v>5.4892000000000003E-2</v>
      </c>
      <c r="AE35" s="9">
        <f>AD35</f>
        <v>5.4892000000000003E-2</v>
      </c>
      <c r="AF35" s="9">
        <v>5.4399999999999997E-2</v>
      </c>
      <c r="AG35" s="9">
        <v>5.3587999999999997E-2</v>
      </c>
      <c r="AH35" s="9">
        <v>5.1774000000000001E-2</v>
      </c>
      <c r="AI35" s="9">
        <v>4.8089E-2</v>
      </c>
      <c r="AJ35" s="9">
        <v>4.8089E-2</v>
      </c>
      <c r="AK35" s="9">
        <v>4.6016000000000001E-2</v>
      </c>
      <c r="AL35" s="9">
        <v>4.1300000000000003E-2</v>
      </c>
      <c r="AM35" s="9">
        <f>AL35</f>
        <v>4.1300000000000003E-2</v>
      </c>
      <c r="AN35" s="38"/>
    </row>
    <row r="36" spans="1:40" x14ac:dyDescent="0.25">
      <c r="A36" t="s">
        <v>20</v>
      </c>
    </row>
    <row r="37" spans="1:40" x14ac:dyDescent="0.25">
      <c r="A37" t="s">
        <v>46</v>
      </c>
      <c r="C37" s="8">
        <f>47</f>
        <v>47</v>
      </c>
      <c r="D37" s="8">
        <f>50</f>
        <v>50</v>
      </c>
      <c r="E37" s="8">
        <v>56</v>
      </c>
      <c r="F37" s="8">
        <v>54</v>
      </c>
      <c r="G37" s="8">
        <v>56</v>
      </c>
      <c r="H37" s="8">
        <v>53</v>
      </c>
      <c r="I37" s="8">
        <v>51</v>
      </c>
      <c r="J37" s="8">
        <v>56</v>
      </c>
      <c r="K37" s="8">
        <v>57</v>
      </c>
      <c r="L37" s="8">
        <v>59</v>
      </c>
      <c r="M37" s="8">
        <f>57</f>
        <v>57</v>
      </c>
      <c r="N37" s="8">
        <f>57</f>
        <v>57</v>
      </c>
      <c r="O37" s="8">
        <f>55</f>
        <v>55</v>
      </c>
      <c r="P37" s="8">
        <f>55</f>
        <v>55</v>
      </c>
      <c r="Q37" s="8">
        <f>58</f>
        <v>58</v>
      </c>
      <c r="R37" s="8">
        <f>62</f>
        <v>62</v>
      </c>
      <c r="S37" s="8">
        <f>70</f>
        <v>70</v>
      </c>
      <c r="T37" s="8">
        <f>72</f>
        <v>72</v>
      </c>
      <c r="U37" s="8">
        <v>72</v>
      </c>
      <c r="V37" s="8">
        <v>74</v>
      </c>
      <c r="W37" s="8">
        <v>73</v>
      </c>
      <c r="X37" s="8">
        <v>73</v>
      </c>
      <c r="Y37" s="8">
        <v>69</v>
      </c>
      <c r="Z37" s="8">
        <v>69</v>
      </c>
      <c r="AA37" s="8">
        <v>66</v>
      </c>
      <c r="AB37" s="8">
        <v>68</v>
      </c>
      <c r="AC37" s="8">
        <v>68</v>
      </c>
      <c r="AD37" s="8">
        <v>66</v>
      </c>
      <c r="AE37" s="8">
        <f>AD37</f>
        <v>66</v>
      </c>
      <c r="AF37" s="8">
        <v>68</v>
      </c>
      <c r="AG37" s="8">
        <v>68</v>
      </c>
      <c r="AH37" s="8">
        <v>64</v>
      </c>
      <c r="AI37" s="8">
        <v>58</v>
      </c>
      <c r="AJ37" s="8">
        <v>58</v>
      </c>
      <c r="AK37" s="8">
        <v>56</v>
      </c>
      <c r="AL37" s="8">
        <v>50</v>
      </c>
      <c r="AM37" s="8">
        <f>AL37</f>
        <v>50</v>
      </c>
      <c r="AN37" s="38"/>
    </row>
    <row r="38" spans="1:40" x14ac:dyDescent="0.25">
      <c r="S38" s="8"/>
      <c r="T38" s="8"/>
      <c r="U38" s="8"/>
      <c r="X38" s="8"/>
      <c r="Y38" s="8"/>
      <c r="Z38" s="8"/>
      <c r="AE38" s="8"/>
      <c r="AJ38" s="8"/>
      <c r="AM38" s="8"/>
    </row>
    <row r="39" spans="1:40" ht="15.6" x14ac:dyDescent="0.3">
      <c r="A39" s="1" t="s">
        <v>21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40" x14ac:dyDescent="0.25">
      <c r="A40" s="11" t="s">
        <v>68</v>
      </c>
      <c r="C40" s="2">
        <f>2991.2</f>
        <v>2991.2</v>
      </c>
      <c r="D40" s="2">
        <f>3941</f>
        <v>3941</v>
      </c>
      <c r="E40" s="2">
        <v>5547</v>
      </c>
      <c r="F40" s="2">
        <v>6774</v>
      </c>
      <c r="G40" s="2">
        <v>8052</v>
      </c>
      <c r="H40" s="2">
        <v>9541</v>
      </c>
      <c r="I40" s="2">
        <v>10959</v>
      </c>
      <c r="J40" s="2">
        <v>12773</v>
      </c>
      <c r="K40" s="2">
        <v>13793</v>
      </c>
      <c r="L40" s="2">
        <v>14071</v>
      </c>
      <c r="M40" s="2">
        <f>14185</f>
        <v>14185</v>
      </c>
      <c r="N40" s="2">
        <f>14852.1</f>
        <v>14852.1</v>
      </c>
      <c r="O40" s="2">
        <f>15453</f>
        <v>15453</v>
      </c>
      <c r="P40" s="2">
        <f>15453</f>
        <v>15453</v>
      </c>
      <c r="Q40" s="2">
        <f>16134</f>
        <v>16134</v>
      </c>
      <c r="R40" s="2">
        <f>16581</f>
        <v>16581</v>
      </c>
      <c r="S40" s="2">
        <f>17055</f>
        <v>17055</v>
      </c>
      <c r="T40" s="2">
        <f>17629</f>
        <v>17629</v>
      </c>
      <c r="U40" s="2">
        <v>17629</v>
      </c>
      <c r="V40" s="2">
        <v>18371</v>
      </c>
      <c r="W40" s="2">
        <v>18791</v>
      </c>
      <c r="X40" s="2">
        <v>19687</v>
      </c>
      <c r="Y40" s="2">
        <v>20838</v>
      </c>
      <c r="Z40" s="2">
        <v>20838</v>
      </c>
      <c r="AA40" s="2">
        <v>16086</v>
      </c>
      <c r="AB40" s="2">
        <v>19431.3</v>
      </c>
      <c r="AC40" s="2">
        <v>13778</v>
      </c>
      <c r="AD40" s="2">
        <v>18118</v>
      </c>
      <c r="AE40" s="2">
        <f>AD40</f>
        <v>18118</v>
      </c>
      <c r="AF40" s="2">
        <v>20753</v>
      </c>
      <c r="AG40" s="2">
        <v>17730</v>
      </c>
      <c r="AH40" s="2">
        <v>14963.8</v>
      </c>
      <c r="AI40" s="2">
        <v>16287.859759771989</v>
      </c>
      <c r="AJ40" s="2">
        <v>16287.859759771989</v>
      </c>
      <c r="AK40" s="2">
        <v>17904.498162791999</v>
      </c>
      <c r="AL40" s="2">
        <v>17364</v>
      </c>
      <c r="AM40" s="2">
        <f>AL40</f>
        <v>17364</v>
      </c>
      <c r="AN40" s="38"/>
    </row>
    <row r="41" spans="1:40" x14ac:dyDescent="0.25">
      <c r="A41" s="11" t="s">
        <v>89</v>
      </c>
      <c r="C41" s="8">
        <v>2991</v>
      </c>
      <c r="D41" s="8">
        <v>3941</v>
      </c>
      <c r="E41" s="8">
        <v>5547</v>
      </c>
      <c r="F41" s="8">
        <v>6774</v>
      </c>
      <c r="G41" s="8">
        <v>8052</v>
      </c>
      <c r="H41" s="8">
        <v>9541</v>
      </c>
      <c r="I41" s="8">
        <v>10959</v>
      </c>
      <c r="J41" s="8">
        <v>12773</v>
      </c>
      <c r="K41" s="8">
        <v>13794</v>
      </c>
      <c r="L41" s="8">
        <v>14070</v>
      </c>
      <c r="M41" s="8">
        <v>14184</v>
      </c>
      <c r="N41" s="8">
        <v>14836</v>
      </c>
      <c r="O41" s="8">
        <v>15465</v>
      </c>
      <c r="P41" s="8">
        <v>15465</v>
      </c>
      <c r="Q41" s="8">
        <v>16153</v>
      </c>
      <c r="R41" s="8">
        <v>16690</v>
      </c>
      <c r="S41" s="8">
        <f>18024-802</f>
        <v>17222</v>
      </c>
      <c r="T41" s="8">
        <f>17875.5</f>
        <v>17875.5</v>
      </c>
      <c r="U41" s="8">
        <f>T41</f>
        <v>17875.5</v>
      </c>
      <c r="V41" s="8">
        <f>18371+266</f>
        <v>18637</v>
      </c>
      <c r="W41" s="8">
        <f>18791+253</f>
        <v>19044</v>
      </c>
      <c r="X41" s="8">
        <f>19687+184</f>
        <v>19871</v>
      </c>
      <c r="Y41" s="8">
        <f>20827.2</f>
        <v>20827.2</v>
      </c>
      <c r="Z41" s="8">
        <f>Y41</f>
        <v>20827.2</v>
      </c>
      <c r="AA41" s="8">
        <v>21481.8</v>
      </c>
      <c r="AB41" s="8">
        <v>22978.400000000001</v>
      </c>
      <c r="AC41" s="8">
        <v>23778</v>
      </c>
      <c r="AD41" s="8">
        <v>25182</v>
      </c>
      <c r="AE41" s="8">
        <f>AD41</f>
        <v>25182</v>
      </c>
      <c r="AF41" s="8">
        <v>25500</v>
      </c>
      <c r="AG41" s="8">
        <v>26382</v>
      </c>
      <c r="AH41" s="8">
        <v>26484</v>
      </c>
      <c r="AI41" s="8">
        <v>28079.461806311992</v>
      </c>
      <c r="AJ41" s="8">
        <v>28079.461806311992</v>
      </c>
      <c r="AK41" s="8">
        <v>29516.635076602</v>
      </c>
      <c r="AL41" s="8">
        <v>30675</v>
      </c>
      <c r="AM41" s="44">
        <f>AL41</f>
        <v>30675</v>
      </c>
      <c r="AN41" s="38"/>
    </row>
    <row r="42" spans="1:40" x14ac:dyDescent="0.25">
      <c r="A42" t="s">
        <v>90</v>
      </c>
      <c r="C42" s="8">
        <f>3454</f>
        <v>3454</v>
      </c>
      <c r="D42" s="8">
        <f>4480.3</f>
        <v>4480.3</v>
      </c>
      <c r="E42" s="44">
        <v>6251</v>
      </c>
      <c r="F42" s="44">
        <v>7554</v>
      </c>
      <c r="G42" s="44">
        <v>8893</v>
      </c>
      <c r="H42" s="44">
        <v>10367</v>
      </c>
      <c r="I42" s="44">
        <v>11703</v>
      </c>
      <c r="J42" s="44">
        <v>13520</v>
      </c>
      <c r="K42" s="44">
        <v>14575</v>
      </c>
      <c r="L42" s="44">
        <v>14853</v>
      </c>
      <c r="M42" s="44">
        <v>14971</v>
      </c>
      <c r="N42" s="44">
        <v>15622</v>
      </c>
      <c r="O42" s="44">
        <v>16257</v>
      </c>
      <c r="P42" s="44">
        <v>16257</v>
      </c>
      <c r="Q42" s="44">
        <v>16949</v>
      </c>
      <c r="R42" s="44">
        <v>17484</v>
      </c>
      <c r="S42" s="44">
        <v>18024</v>
      </c>
      <c r="T42" s="44">
        <v>18677</v>
      </c>
      <c r="U42" s="44">
        <v>18677</v>
      </c>
      <c r="V42" s="44">
        <v>19438</v>
      </c>
      <c r="W42" s="44">
        <v>19850</v>
      </c>
      <c r="X42" s="44">
        <v>20681</v>
      </c>
      <c r="Y42" s="44">
        <v>21634</v>
      </c>
      <c r="Z42" s="44">
        <v>21634</v>
      </c>
      <c r="AA42" s="44">
        <v>22290</v>
      </c>
      <c r="AB42" s="44">
        <v>23785</v>
      </c>
      <c r="AC42" s="44">
        <v>24580</v>
      </c>
      <c r="AD42" s="44">
        <v>25976</v>
      </c>
      <c r="AE42" s="44">
        <v>25976</v>
      </c>
      <c r="AF42" s="44">
        <v>26290</v>
      </c>
      <c r="AG42" s="44">
        <v>27179</v>
      </c>
      <c r="AH42" s="44">
        <v>27282</v>
      </c>
      <c r="AI42" s="44">
        <v>28871</v>
      </c>
      <c r="AJ42" s="44">
        <v>28871</v>
      </c>
      <c r="AK42" s="44">
        <v>30309</v>
      </c>
      <c r="AL42" s="44">
        <v>31469</v>
      </c>
      <c r="AM42" s="44">
        <f>AL42</f>
        <v>31469</v>
      </c>
      <c r="AN42" s="38"/>
    </row>
    <row r="43" spans="1:40" x14ac:dyDescent="0.25">
      <c r="A43" t="s">
        <v>52</v>
      </c>
      <c r="C43" s="8">
        <f>956</f>
        <v>956</v>
      </c>
      <c r="D43" s="8">
        <f>953</f>
        <v>953</v>
      </c>
      <c r="E43" s="8">
        <v>1092</v>
      </c>
      <c r="F43" s="8">
        <v>1093</v>
      </c>
      <c r="G43" s="8">
        <v>1090</v>
      </c>
      <c r="H43" s="8">
        <v>1091</v>
      </c>
      <c r="I43" s="8">
        <v>1092</v>
      </c>
      <c r="J43" s="8">
        <v>1061</v>
      </c>
      <c r="K43" s="8">
        <v>1037</v>
      </c>
      <c r="L43" s="8">
        <v>1034</v>
      </c>
      <c r="M43" s="8">
        <f>1025.9</f>
        <v>1025.9000000000001</v>
      </c>
      <c r="N43" s="8">
        <f>1024.6</f>
        <v>1024.5999999999999</v>
      </c>
      <c r="O43" s="8">
        <f>1025.4</f>
        <v>1025.4000000000001</v>
      </c>
      <c r="P43" s="8">
        <f>1025</f>
        <v>1025</v>
      </c>
      <c r="Q43" s="8">
        <f>1026.9</f>
        <v>1026.9000000000001</v>
      </c>
      <c r="R43" s="8">
        <f>1023.1</f>
        <v>1023.1</v>
      </c>
      <c r="S43" s="8">
        <f>1020.6</f>
        <v>1020.6</v>
      </c>
      <c r="T43" s="8">
        <f>1019.4</f>
        <v>1019.4</v>
      </c>
      <c r="U43" s="8">
        <v>1019.4</v>
      </c>
      <c r="V43" s="8">
        <v>1007</v>
      </c>
      <c r="W43" s="8">
        <v>1001.1</v>
      </c>
      <c r="X43" s="8">
        <v>996.3</v>
      </c>
      <c r="Y43" s="8">
        <v>998.8</v>
      </c>
      <c r="Z43" s="8">
        <v>998.8</v>
      </c>
      <c r="AA43" s="8">
        <v>1000.3</v>
      </c>
      <c r="AB43" s="8">
        <v>1001</v>
      </c>
      <c r="AC43" s="8">
        <v>999.9</v>
      </c>
      <c r="AD43" s="8">
        <v>997</v>
      </c>
      <c r="AE43" s="8">
        <f>AD43</f>
        <v>997</v>
      </c>
      <c r="AF43" s="8">
        <v>995.5</v>
      </c>
      <c r="AG43" s="8">
        <v>992.8</v>
      </c>
      <c r="AH43" s="8">
        <v>988.7</v>
      </c>
      <c r="AI43" s="8">
        <v>988.84475299999997</v>
      </c>
      <c r="AJ43" s="8">
        <v>988.84475299999997</v>
      </c>
      <c r="AK43" s="8">
        <v>980.96953299999996</v>
      </c>
      <c r="AL43" s="8">
        <v>976</v>
      </c>
      <c r="AM43" s="8">
        <f>AL43</f>
        <v>976</v>
      </c>
      <c r="AN43" s="38"/>
    </row>
    <row r="44" spans="1:40" x14ac:dyDescent="0.25">
      <c r="A44" t="s">
        <v>53</v>
      </c>
      <c r="C44" s="7">
        <f>3.13</f>
        <v>3.13</v>
      </c>
      <c r="D44" s="7">
        <f>4.14</f>
        <v>4.1399999999999997</v>
      </c>
      <c r="E44" s="7">
        <v>5.08</v>
      </c>
      <c r="F44" s="7">
        <v>6.2</v>
      </c>
      <c r="G44" s="7">
        <v>7.39</v>
      </c>
      <c r="H44" s="7">
        <v>8.74</v>
      </c>
      <c r="I44" s="7">
        <v>10.039999999999999</v>
      </c>
      <c r="J44" s="7">
        <v>11.09</v>
      </c>
      <c r="K44" s="7">
        <v>12.34</v>
      </c>
      <c r="L44" s="7">
        <v>12.64</v>
      </c>
      <c r="M44" s="7">
        <f>12.85</f>
        <v>12.85</v>
      </c>
      <c r="N44" s="7">
        <f>13.37</f>
        <v>13.37</v>
      </c>
      <c r="O44" s="7">
        <f>13.95</f>
        <v>13.95</v>
      </c>
      <c r="P44" s="7">
        <f>13.95</f>
        <v>13.95</v>
      </c>
      <c r="Q44" s="7">
        <f>14.59</f>
        <v>14.59</v>
      </c>
      <c r="R44" s="7">
        <f>14.94</f>
        <v>14.94</v>
      </c>
      <c r="S44" s="7">
        <f>15.44</f>
        <v>15.44</v>
      </c>
      <c r="T44" s="7">
        <f>16.02</f>
        <v>16.02</v>
      </c>
      <c r="U44" s="7">
        <v>16.02</v>
      </c>
      <c r="V44" s="7">
        <v>16.260000000000002</v>
      </c>
      <c r="W44" s="7">
        <v>16.78</v>
      </c>
      <c r="X44" s="7">
        <v>17.47</v>
      </c>
      <c r="Y44" s="7">
        <v>18.579999999999998</v>
      </c>
      <c r="Z44" s="7">
        <v>18.579999999999998</v>
      </c>
      <c r="AA44" s="7">
        <v>14.18</v>
      </c>
      <c r="AB44" s="7">
        <v>17.11</v>
      </c>
      <c r="AC44" s="7">
        <v>11.48</v>
      </c>
      <c r="AD44" s="7">
        <v>15.86</v>
      </c>
      <c r="AE44" s="7">
        <f>AD44</f>
        <v>15.86</v>
      </c>
      <c r="AF44" s="7">
        <v>18.91</v>
      </c>
      <c r="AG44" s="7">
        <v>15.92</v>
      </c>
      <c r="AH44" s="7">
        <v>13.44</v>
      </c>
      <c r="AI44" s="7">
        <v>13.763899457908121</v>
      </c>
      <c r="AJ44" s="7">
        <v>13.763899457908121</v>
      </c>
      <c r="AK44" s="7">
        <v>15.114636758848249</v>
      </c>
      <c r="AL44" s="7">
        <v>13.81</v>
      </c>
      <c r="AM44" s="7">
        <f>AL44</f>
        <v>13.81</v>
      </c>
      <c r="AN44" s="38"/>
    </row>
    <row r="46" spans="1:40" x14ac:dyDescent="0.25">
      <c r="X46" s="8"/>
    </row>
    <row r="47" spans="1:40" x14ac:dyDescent="0.25">
      <c r="A47" t="s">
        <v>84</v>
      </c>
      <c r="O47" s="8"/>
      <c r="T47" s="8"/>
    </row>
    <row r="48" spans="1:40" x14ac:dyDescent="0.25">
      <c r="A48" t="s">
        <v>85</v>
      </c>
    </row>
    <row r="49" spans="1:1" x14ac:dyDescent="0.25">
      <c r="A49" t="s">
        <v>83</v>
      </c>
    </row>
    <row r="50" spans="1:1" x14ac:dyDescent="0.25">
      <c r="A50" t="s">
        <v>86</v>
      </c>
    </row>
    <row r="51" spans="1:1" x14ac:dyDescent="0.25">
      <c r="A51" t="s">
        <v>87</v>
      </c>
    </row>
    <row r="52" spans="1:1" x14ac:dyDescent="0.25">
      <c r="A52" t="s">
        <v>88</v>
      </c>
    </row>
    <row r="53" spans="1:1" x14ac:dyDescent="0.25">
      <c r="A53" t="s">
        <v>91</v>
      </c>
    </row>
    <row r="54" spans="1:1" x14ac:dyDescent="0.25">
      <c r="A54" t="s">
        <v>92</v>
      </c>
    </row>
  </sheetData>
  <mergeCells count="1">
    <mergeCell ref="A6:AM6"/>
  </mergeCells>
  <phoneticPr fontId="0" type="noConversion"/>
  <pageMargins left="0.25" right="0.25" top="1" bottom="1" header="0.5" footer="0.5"/>
  <pageSetup paperSize="5" scale="67" firstPageNumber="3" orientation="landscape" useFirstPageNumber="1" horizontalDpi="300" r:id="rId1"/>
  <headerFooter alignWithMargins="0"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N42"/>
  <sheetViews>
    <sheetView workbookViewId="0">
      <selection activeCell="A6" sqref="A6:AM6"/>
    </sheetView>
  </sheetViews>
  <sheetFormatPr defaultRowHeight="13.2" x14ac:dyDescent="0.25"/>
  <cols>
    <col min="1" max="1" width="40.5546875" customWidth="1"/>
    <col min="2" max="2" width="7" customWidth="1"/>
    <col min="12" max="15" width="9.109375" hidden="1" customWidth="1"/>
    <col min="17" max="20" width="9.109375" hidden="1" customWidth="1"/>
    <col min="22" max="25" width="0" hidden="1" customWidth="1"/>
    <col min="27" max="30" width="0" hidden="1" customWidth="1"/>
    <col min="32" max="35" width="0" hidden="1" customWidth="1"/>
    <col min="42" max="42" width="15" customWidth="1"/>
    <col min="43" max="43" width="24.44140625" customWidth="1"/>
  </cols>
  <sheetData>
    <row r="6" spans="1:39" ht="22.8" x14ac:dyDescent="0.4">
      <c r="A6" s="49" t="s">
        <v>63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</row>
    <row r="7" spans="1:39" ht="17.399999999999999" x14ac:dyDescent="0.3">
      <c r="A7" s="21"/>
    </row>
    <row r="9" spans="1:39" x14ac:dyDescent="0.25">
      <c r="B9" s="18"/>
      <c r="C9" s="18"/>
      <c r="D9" s="18"/>
      <c r="E9" s="18"/>
      <c r="F9" s="18"/>
      <c r="G9" s="18"/>
      <c r="H9" s="18"/>
    </row>
    <row r="11" spans="1:39" x14ac:dyDescent="0.25">
      <c r="A11" s="26" t="s">
        <v>51</v>
      </c>
      <c r="L11" s="5" t="s">
        <v>35</v>
      </c>
      <c r="M11" s="5" t="s">
        <v>36</v>
      </c>
      <c r="N11" s="5" t="s">
        <v>37</v>
      </c>
      <c r="O11" s="5" t="s">
        <v>38</v>
      </c>
      <c r="Q11" s="5" t="s">
        <v>35</v>
      </c>
      <c r="R11" s="5" t="s">
        <v>36</v>
      </c>
      <c r="S11" s="5" t="s">
        <v>37</v>
      </c>
      <c r="T11" s="5" t="s">
        <v>38</v>
      </c>
      <c r="V11" s="5" t="s">
        <v>35</v>
      </c>
      <c r="W11" s="5" t="s">
        <v>36</v>
      </c>
      <c r="X11" s="5" t="s">
        <v>37</v>
      </c>
      <c r="Y11" s="5" t="s">
        <v>38</v>
      </c>
      <c r="AA11" s="5" t="s">
        <v>35</v>
      </c>
      <c r="AB11" s="5" t="s">
        <v>36</v>
      </c>
      <c r="AC11" s="5" t="s">
        <v>37</v>
      </c>
      <c r="AD11" s="5" t="s">
        <v>38</v>
      </c>
      <c r="AF11" s="5" t="s">
        <v>35</v>
      </c>
      <c r="AG11" s="5" t="s">
        <v>36</v>
      </c>
      <c r="AH11" s="5" t="s">
        <v>37</v>
      </c>
      <c r="AI11" s="5" t="s">
        <v>38</v>
      </c>
      <c r="AK11" s="5" t="s">
        <v>35</v>
      </c>
      <c r="AL11" s="5" t="s">
        <v>36</v>
      </c>
    </row>
    <row r="12" spans="1:39" x14ac:dyDescent="0.25">
      <c r="L12" s="5" t="s">
        <v>0</v>
      </c>
      <c r="M12" s="5" t="s">
        <v>0</v>
      </c>
      <c r="N12" s="5" t="s">
        <v>0</v>
      </c>
      <c r="O12" s="5" t="s">
        <v>0</v>
      </c>
      <c r="P12" s="5"/>
      <c r="Q12" s="5" t="s">
        <v>0</v>
      </c>
      <c r="R12" s="5" t="s">
        <v>0</v>
      </c>
      <c r="S12" s="5" t="s">
        <v>0</v>
      </c>
      <c r="T12" s="5" t="s">
        <v>0</v>
      </c>
      <c r="U12" s="5"/>
      <c r="V12" s="5" t="s">
        <v>0</v>
      </c>
      <c r="W12" s="5" t="s">
        <v>0</v>
      </c>
      <c r="X12" s="5" t="s">
        <v>0</v>
      </c>
      <c r="Y12" s="5" t="s">
        <v>0</v>
      </c>
      <c r="Z12" s="5"/>
      <c r="AA12" s="5" t="s">
        <v>0</v>
      </c>
      <c r="AB12" s="5" t="s">
        <v>0</v>
      </c>
      <c r="AC12" s="5" t="s">
        <v>0</v>
      </c>
      <c r="AD12" s="5" t="s">
        <v>0</v>
      </c>
      <c r="AE12" s="5"/>
      <c r="AF12" s="5" t="s">
        <v>0</v>
      </c>
      <c r="AG12" s="5" t="s">
        <v>0</v>
      </c>
      <c r="AH12" s="5" t="s">
        <v>0</v>
      </c>
      <c r="AI12" s="5" t="s">
        <v>0</v>
      </c>
      <c r="AJ12" s="5"/>
      <c r="AK12" s="5" t="s">
        <v>0</v>
      </c>
      <c r="AL12" s="5" t="s">
        <v>0</v>
      </c>
      <c r="AM12" s="5"/>
    </row>
    <row r="13" spans="1:39" x14ac:dyDescent="0.25">
      <c r="C13" s="3" t="s">
        <v>39</v>
      </c>
      <c r="D13" s="3" t="s">
        <v>40</v>
      </c>
      <c r="E13" s="3" t="s">
        <v>1</v>
      </c>
      <c r="F13" s="3" t="s">
        <v>2</v>
      </c>
      <c r="G13" s="3" t="s">
        <v>3</v>
      </c>
      <c r="H13" s="3" t="s">
        <v>4</v>
      </c>
      <c r="I13" s="3">
        <v>1995</v>
      </c>
      <c r="J13" s="3">
        <v>1996</v>
      </c>
      <c r="K13" s="3">
        <v>1997</v>
      </c>
      <c r="L13" s="3">
        <v>1998</v>
      </c>
      <c r="M13" s="3">
        <v>1998</v>
      </c>
      <c r="N13" s="3">
        <v>1998</v>
      </c>
      <c r="O13" s="3">
        <v>1998</v>
      </c>
      <c r="P13" s="3">
        <v>1998</v>
      </c>
      <c r="Q13" s="3">
        <v>1999</v>
      </c>
      <c r="R13" s="3">
        <v>1999</v>
      </c>
      <c r="S13" s="3">
        <v>1999</v>
      </c>
      <c r="T13" s="3">
        <v>1999</v>
      </c>
      <c r="U13" s="3">
        <v>1999</v>
      </c>
      <c r="V13" s="3">
        <v>2000</v>
      </c>
      <c r="W13" s="3">
        <v>2000</v>
      </c>
      <c r="X13" s="3">
        <v>2000</v>
      </c>
      <c r="Y13" s="3">
        <v>2000</v>
      </c>
      <c r="Z13" s="3">
        <v>2000</v>
      </c>
      <c r="AA13" s="3">
        <v>2001</v>
      </c>
      <c r="AB13" s="3">
        <v>2001</v>
      </c>
      <c r="AC13" s="3">
        <v>2001</v>
      </c>
      <c r="AD13" s="3">
        <v>2001</v>
      </c>
      <c r="AE13" s="3">
        <v>2001</v>
      </c>
      <c r="AF13" s="3">
        <v>2002</v>
      </c>
      <c r="AG13" s="3">
        <v>2002</v>
      </c>
      <c r="AH13" s="3">
        <v>2002</v>
      </c>
      <c r="AI13" s="3">
        <v>2002</v>
      </c>
      <c r="AJ13" s="3">
        <v>2002</v>
      </c>
      <c r="AK13" s="3">
        <v>2003</v>
      </c>
      <c r="AL13" s="3">
        <v>2003</v>
      </c>
      <c r="AM13" s="5" t="s">
        <v>113</v>
      </c>
    </row>
    <row r="14" spans="1:39" ht="5.25" customHeight="1" thickBot="1" x14ac:dyDescent="0.3"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</row>
    <row r="15" spans="1:39" x14ac:dyDescent="0.25"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</row>
    <row r="16" spans="1:39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40" ht="15.6" x14ac:dyDescent="0.3">
      <c r="A17" s="1" t="s">
        <v>27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0" ht="15.6" x14ac:dyDescent="0.3">
      <c r="A18" s="1" t="s">
        <v>28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40" ht="15.6" x14ac:dyDescent="0.3">
      <c r="A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40" x14ac:dyDescent="0.25">
      <c r="A20" t="s">
        <v>110</v>
      </c>
      <c r="C20" s="3" t="s">
        <v>29</v>
      </c>
      <c r="D20" s="3" t="s">
        <v>29</v>
      </c>
      <c r="E20" s="3" t="s">
        <v>29</v>
      </c>
      <c r="F20" s="9">
        <v>5.3E-3</v>
      </c>
      <c r="G20" s="9">
        <v>4.7999999999999996E-3</v>
      </c>
      <c r="H20" s="9">
        <v>4.7000000000000002E-3</v>
      </c>
      <c r="I20" s="9">
        <v>5.5999999999999999E-3</v>
      </c>
      <c r="J20" s="9">
        <v>5.7999999999999996E-3</v>
      </c>
      <c r="K20" s="9">
        <v>6.1999999999999998E-3</v>
      </c>
      <c r="L20" s="46" t="s">
        <v>65</v>
      </c>
      <c r="M20" s="46" t="s">
        <v>65</v>
      </c>
      <c r="N20" s="46" t="s">
        <v>65</v>
      </c>
      <c r="O20" s="47">
        <v>5.5999999999999999E-3</v>
      </c>
      <c r="P20" s="47">
        <v>5.5999999999999999E-3</v>
      </c>
      <c r="Q20" s="47">
        <v>5.1999999999999998E-3</v>
      </c>
      <c r="R20" s="47">
        <v>4.7000000000000002E-3</v>
      </c>
      <c r="S20" s="47">
        <v>4.7000000000000002E-3</v>
      </c>
      <c r="T20" s="47">
        <v>4.7000000000000002E-3</v>
      </c>
      <c r="U20" s="47">
        <v>4.7000000000000002E-3</v>
      </c>
      <c r="V20" s="47">
        <v>4.3E-3</v>
      </c>
      <c r="W20" s="47">
        <v>4.0000000000000001E-3</v>
      </c>
      <c r="X20" s="47">
        <v>4.1000000000000003E-3</v>
      </c>
      <c r="Y20" s="47">
        <v>4.4999999999999997E-3</v>
      </c>
      <c r="Z20" s="47">
        <v>4.4999999999999997E-3</v>
      </c>
      <c r="AA20" s="47">
        <v>4.4999999999999997E-3</v>
      </c>
      <c r="AB20" s="47">
        <v>4.5999999999999999E-3</v>
      </c>
      <c r="AC20" s="47">
        <v>4.8999999999999998E-3</v>
      </c>
      <c r="AD20" s="47">
        <v>5.4999999999999997E-3</v>
      </c>
      <c r="AE20" s="47">
        <v>5.4999999999999997E-3</v>
      </c>
      <c r="AF20" s="47">
        <v>5.3E-3</v>
      </c>
      <c r="AG20" s="47">
        <v>4.8999999999999998E-3</v>
      </c>
      <c r="AH20" s="47">
        <v>5.3E-3</v>
      </c>
      <c r="AI20" s="47">
        <v>5.7000000000000002E-3</v>
      </c>
      <c r="AJ20" s="47">
        <v>5.7000000000000002E-3</v>
      </c>
      <c r="AK20" s="9">
        <v>5.7000000000000002E-3</v>
      </c>
      <c r="AL20" s="9">
        <v>5.5999999999999999E-3</v>
      </c>
      <c r="AM20" s="9">
        <f>AL20</f>
        <v>5.5999999999999999E-3</v>
      </c>
      <c r="AN20" s="38"/>
    </row>
    <row r="21" spans="1:40" x14ac:dyDescent="0.25">
      <c r="A21" t="s">
        <v>94</v>
      </c>
      <c r="C21" s="3" t="s">
        <v>29</v>
      </c>
      <c r="D21" s="3" t="s">
        <v>29</v>
      </c>
      <c r="E21" s="3" t="s">
        <v>29</v>
      </c>
      <c r="F21" s="36" t="s">
        <v>65</v>
      </c>
      <c r="G21" s="36" t="s">
        <v>65</v>
      </c>
      <c r="H21" s="36" t="s">
        <v>65</v>
      </c>
      <c r="I21" s="36" t="s">
        <v>65</v>
      </c>
      <c r="J21" s="36" t="s">
        <v>65</v>
      </c>
      <c r="K21" s="36" t="s">
        <v>65</v>
      </c>
      <c r="L21" s="46" t="s">
        <v>65</v>
      </c>
      <c r="M21" s="46" t="s">
        <v>65</v>
      </c>
      <c r="N21" s="46" t="s">
        <v>65</v>
      </c>
      <c r="O21" s="47">
        <v>3.7000000000000002E-3</v>
      </c>
      <c r="P21" s="47">
        <v>3.7000000000000002E-3</v>
      </c>
      <c r="Q21" s="47">
        <v>3.5000000000000001E-3</v>
      </c>
      <c r="R21" s="47">
        <v>3.0999999999999999E-3</v>
      </c>
      <c r="S21" s="47">
        <v>3.0999999999999999E-3</v>
      </c>
      <c r="T21" s="47">
        <v>3.0000000000000001E-3</v>
      </c>
      <c r="U21" s="47">
        <v>3.0000000000000001E-3</v>
      </c>
      <c r="V21" s="47">
        <v>2.8E-3</v>
      </c>
      <c r="W21" s="47">
        <v>2.5999999999999999E-3</v>
      </c>
      <c r="X21" s="47">
        <v>2.5999999999999999E-3</v>
      </c>
      <c r="Y21" s="47">
        <v>2.8999999999999998E-3</v>
      </c>
      <c r="Z21" s="47">
        <v>2.8999999999999998E-3</v>
      </c>
      <c r="AA21" s="47">
        <v>2.8999999999999998E-3</v>
      </c>
      <c r="AB21" s="47">
        <v>2.8E-3</v>
      </c>
      <c r="AC21" s="47">
        <v>3.0000000000000001E-3</v>
      </c>
      <c r="AD21" s="47">
        <v>3.3E-3</v>
      </c>
      <c r="AE21" s="47">
        <v>3.3E-3</v>
      </c>
      <c r="AF21" s="47">
        <v>3.0999999999999999E-3</v>
      </c>
      <c r="AG21" s="47">
        <v>2.7000000000000001E-3</v>
      </c>
      <c r="AH21" s="47">
        <v>2.8999999999999998E-3</v>
      </c>
      <c r="AI21" s="47">
        <v>3.0999999999999999E-3</v>
      </c>
      <c r="AJ21" s="47">
        <v>3.0999999999999999E-3</v>
      </c>
      <c r="AK21" s="9">
        <v>3.0000000000000001E-3</v>
      </c>
      <c r="AL21" s="9">
        <v>2.8999999999999998E-3</v>
      </c>
      <c r="AM21" s="9">
        <f>AL21</f>
        <v>2.8999999999999998E-3</v>
      </c>
      <c r="AN21" s="38"/>
    </row>
    <row r="22" spans="1:40" x14ac:dyDescent="0.25">
      <c r="A22" t="s">
        <v>95</v>
      </c>
      <c r="C22" s="3" t="s">
        <v>29</v>
      </c>
      <c r="D22" s="3" t="s">
        <v>29</v>
      </c>
      <c r="E22" s="3" t="s">
        <v>29</v>
      </c>
      <c r="F22" s="36" t="s">
        <v>65</v>
      </c>
      <c r="G22" s="36" t="s">
        <v>65</v>
      </c>
      <c r="H22" s="36" t="s">
        <v>65</v>
      </c>
      <c r="I22" s="36" t="s">
        <v>65</v>
      </c>
      <c r="J22" s="36" t="s">
        <v>65</v>
      </c>
      <c r="K22" s="36" t="s">
        <v>65</v>
      </c>
      <c r="L22" s="46" t="s">
        <v>65</v>
      </c>
      <c r="M22" s="46" t="s">
        <v>65</v>
      </c>
      <c r="N22" s="46" t="s">
        <v>65</v>
      </c>
      <c r="O22" s="47">
        <v>9.1999999999999998E-3</v>
      </c>
      <c r="P22" s="47">
        <v>9.1999999999999998E-3</v>
      </c>
      <c r="Q22" s="47">
        <v>8.6999999999999994E-3</v>
      </c>
      <c r="R22" s="47">
        <v>7.7999999999999996E-3</v>
      </c>
      <c r="S22" s="47">
        <v>7.7999999999999996E-3</v>
      </c>
      <c r="T22" s="47">
        <v>7.7000000000000002E-3</v>
      </c>
      <c r="U22" s="47">
        <v>7.7000000000000002E-3</v>
      </c>
      <c r="V22" s="47">
        <v>7.1999999999999998E-3</v>
      </c>
      <c r="W22" s="47">
        <v>6.7999999999999996E-3</v>
      </c>
      <c r="X22" s="47">
        <v>7.0000000000000001E-3</v>
      </c>
      <c r="Y22" s="47">
        <v>7.7000000000000002E-3</v>
      </c>
      <c r="Z22" s="47">
        <v>7.7000000000000002E-3</v>
      </c>
      <c r="AA22" s="47">
        <v>7.9000000000000008E-3</v>
      </c>
      <c r="AB22" s="47">
        <v>8.2000000000000007E-3</v>
      </c>
      <c r="AC22" s="47">
        <v>9.1999999999999998E-3</v>
      </c>
      <c r="AD22" s="47">
        <v>1.0500000000000001E-2</v>
      </c>
      <c r="AE22" s="47">
        <v>1.0500000000000001E-2</v>
      </c>
      <c r="AF22" s="47">
        <v>1.06E-2</v>
      </c>
      <c r="AG22" s="47">
        <v>1.0200000000000001E-2</v>
      </c>
      <c r="AH22" s="47">
        <v>1.12E-2</v>
      </c>
      <c r="AI22" s="47">
        <v>1.29E-2</v>
      </c>
      <c r="AJ22" s="47">
        <v>1.29E-2</v>
      </c>
      <c r="AK22" s="9">
        <v>1.34E-2</v>
      </c>
      <c r="AL22" s="9">
        <v>1.4200000000000001E-2</v>
      </c>
      <c r="AM22" s="9">
        <f>AL22</f>
        <v>1.4200000000000001E-2</v>
      </c>
      <c r="AN22" s="38"/>
    </row>
    <row r="23" spans="1:40" x14ac:dyDescent="0.25">
      <c r="A23" t="s">
        <v>109</v>
      </c>
      <c r="C23" s="9">
        <v>3.2000000000000001E-2</v>
      </c>
      <c r="D23" s="9">
        <v>1.7000000000000001E-2</v>
      </c>
      <c r="E23" s="9">
        <v>3.6200000000000003E-2</v>
      </c>
      <c r="F23" s="9">
        <v>2.6499999999999999E-2</v>
      </c>
      <c r="G23" s="9">
        <v>2.3400000000000001E-2</v>
      </c>
      <c r="H23" s="9">
        <v>1.21E-2</v>
      </c>
      <c r="I23" s="9">
        <v>8.0999999999999996E-3</v>
      </c>
      <c r="J23" s="9">
        <v>6.7999999999999996E-3</v>
      </c>
      <c r="K23" s="9">
        <v>3.7000000000000002E-3</v>
      </c>
      <c r="L23" s="46" t="s">
        <v>65</v>
      </c>
      <c r="M23" s="46" t="s">
        <v>65</v>
      </c>
      <c r="N23" s="46" t="s">
        <v>65</v>
      </c>
      <c r="O23" s="47">
        <v>2.3E-3</v>
      </c>
      <c r="P23" s="47">
        <v>2.3E-3</v>
      </c>
      <c r="Q23" s="46" t="s">
        <v>65</v>
      </c>
      <c r="R23" s="46" t="s">
        <v>65</v>
      </c>
      <c r="S23" s="46" t="s">
        <v>65</v>
      </c>
      <c r="T23" s="47">
        <v>1.1000000000000001E-3</v>
      </c>
      <c r="U23" s="47">
        <v>1.1000000000000001E-3</v>
      </c>
      <c r="V23" s="46" t="s">
        <v>65</v>
      </c>
      <c r="W23" s="46" t="s">
        <v>65</v>
      </c>
      <c r="X23" s="46" t="s">
        <v>65</v>
      </c>
      <c r="Y23" s="47">
        <v>6.9999999999999999E-4</v>
      </c>
      <c r="Z23" s="47">
        <v>6.9999999999999999E-4</v>
      </c>
      <c r="AA23" s="47">
        <v>5.9999999999999995E-4</v>
      </c>
      <c r="AB23" s="47">
        <v>5.9999999999999995E-4</v>
      </c>
      <c r="AC23" s="47">
        <v>1E-3</v>
      </c>
      <c r="AD23" s="47">
        <v>2.7000000000000001E-3</v>
      </c>
      <c r="AE23" s="47">
        <v>2.7000000000000001E-3</v>
      </c>
      <c r="AF23" s="47">
        <v>2.3999999999999998E-3</v>
      </c>
      <c r="AG23" s="47">
        <v>1.1999999999999999E-3</v>
      </c>
      <c r="AH23" s="47">
        <v>8.0000000000000004E-4</v>
      </c>
      <c r="AI23" s="47">
        <v>5.0000000000000001E-4</v>
      </c>
      <c r="AJ23" s="47">
        <v>5.0000000000000001E-4</v>
      </c>
      <c r="AK23" s="9">
        <v>8.9999999999999998E-4</v>
      </c>
      <c r="AL23" s="9">
        <v>1.2999999999999999E-3</v>
      </c>
      <c r="AM23" s="9">
        <f>AL23</f>
        <v>1.2999999999999999E-3</v>
      </c>
      <c r="AN23" s="38"/>
    </row>
    <row r="24" spans="1:40" x14ac:dyDescent="0.25">
      <c r="A24" t="s">
        <v>30</v>
      </c>
      <c r="C24" s="8">
        <v>10162</v>
      </c>
      <c r="D24" s="8">
        <v>8006</v>
      </c>
      <c r="E24" s="8">
        <v>7450</v>
      </c>
      <c r="F24" s="8">
        <v>9646</v>
      </c>
      <c r="G24" s="8">
        <v>11557</v>
      </c>
      <c r="H24" s="8">
        <v>13216</v>
      </c>
      <c r="I24" s="8">
        <v>13941</v>
      </c>
      <c r="J24" s="8">
        <v>20726</v>
      </c>
      <c r="K24" s="8">
        <v>22222</v>
      </c>
      <c r="L24" s="8">
        <v>5658</v>
      </c>
      <c r="M24" s="8">
        <v>5365</v>
      </c>
      <c r="N24" s="8">
        <v>5021</v>
      </c>
      <c r="O24" s="8">
        <v>4659</v>
      </c>
      <c r="P24" s="8">
        <v>20703</v>
      </c>
      <c r="Q24" s="8">
        <v>4438</v>
      </c>
      <c r="R24" s="8">
        <v>4357</v>
      </c>
      <c r="S24" s="8">
        <v>4140</v>
      </c>
      <c r="T24" s="8">
        <v>3871</v>
      </c>
      <c r="U24" s="8">
        <v>16806</v>
      </c>
      <c r="V24" s="8">
        <v>3953</v>
      </c>
      <c r="W24" s="8">
        <v>3649</v>
      </c>
      <c r="X24" s="8">
        <v>3351</v>
      </c>
      <c r="Y24" s="8">
        <v>3398</v>
      </c>
      <c r="Z24" s="8">
        <v>14351</v>
      </c>
      <c r="AA24" s="8">
        <v>3593</v>
      </c>
      <c r="AB24" s="8">
        <v>3566</v>
      </c>
      <c r="AC24" s="8">
        <v>3435</v>
      </c>
      <c r="AD24" s="8">
        <v>3892</v>
      </c>
      <c r="AE24" s="8">
        <v>14486</v>
      </c>
      <c r="AF24" s="8">
        <v>4337</v>
      </c>
      <c r="AG24" s="8">
        <v>4688</v>
      </c>
      <c r="AH24" s="8">
        <v>5060</v>
      </c>
      <c r="AI24" s="8">
        <v>5415</v>
      </c>
      <c r="AJ24" s="8">
        <v>19500</v>
      </c>
      <c r="AK24" s="8">
        <v>5918</v>
      </c>
      <c r="AL24" s="8">
        <v>6569</v>
      </c>
      <c r="AM24" s="8">
        <f>SUM(AK24:AL24)</f>
        <v>12487</v>
      </c>
      <c r="AN24" s="38"/>
    </row>
    <row r="25" spans="1:40" x14ac:dyDescent="0.25">
      <c r="A25" t="s">
        <v>31</v>
      </c>
      <c r="C25" s="8">
        <v>4975</v>
      </c>
      <c r="D25" s="8">
        <v>3585</v>
      </c>
      <c r="E25" s="8">
        <v>3295</v>
      </c>
      <c r="F25" s="8">
        <v>4413</v>
      </c>
      <c r="G25" s="8">
        <v>5323</v>
      </c>
      <c r="H25" s="8">
        <v>6162</v>
      </c>
      <c r="I25" s="8">
        <v>6613</v>
      </c>
      <c r="J25" s="8">
        <v>9631</v>
      </c>
      <c r="K25" s="8">
        <v>9481</v>
      </c>
      <c r="L25" s="8">
        <v>9614</v>
      </c>
      <c r="M25" s="8">
        <v>9408</v>
      </c>
      <c r="N25" s="8">
        <v>8936</v>
      </c>
      <c r="O25" s="8">
        <v>8576</v>
      </c>
      <c r="P25" s="8">
        <v>8576</v>
      </c>
      <c r="Q25" s="8">
        <v>8013</v>
      </c>
      <c r="R25" s="8">
        <v>7490</v>
      </c>
      <c r="S25" s="8">
        <v>7323</v>
      </c>
      <c r="T25" s="8">
        <v>7104</v>
      </c>
      <c r="U25" s="8">
        <v>7104</v>
      </c>
      <c r="V25" s="8">
        <v>6935</v>
      </c>
      <c r="W25" s="8">
        <v>6785</v>
      </c>
      <c r="X25" s="8">
        <v>6578</v>
      </c>
      <c r="Y25" s="8">
        <v>6414</v>
      </c>
      <c r="Z25" s="8">
        <v>6414</v>
      </c>
      <c r="AA25" s="8">
        <v>6517</v>
      </c>
      <c r="AB25" s="8">
        <v>6458</v>
      </c>
      <c r="AC25" s="8">
        <v>6515</v>
      </c>
      <c r="AD25" s="8">
        <v>7073</v>
      </c>
      <c r="AE25" s="8">
        <v>7073</v>
      </c>
      <c r="AF25" s="8">
        <v>7634</v>
      </c>
      <c r="AG25" s="8">
        <v>8039</v>
      </c>
      <c r="AH25" s="8">
        <v>9129</v>
      </c>
      <c r="AI25" s="8">
        <v>9975</v>
      </c>
      <c r="AJ25" s="8">
        <v>9975</v>
      </c>
      <c r="AK25" s="8">
        <v>11043</v>
      </c>
      <c r="AL25" s="8">
        <v>11844</v>
      </c>
      <c r="AM25" s="8">
        <f>AK25</f>
        <v>11043</v>
      </c>
      <c r="AN25" s="38"/>
    </row>
    <row r="26" spans="1:40" x14ac:dyDescent="0.25">
      <c r="A26" t="s">
        <v>32</v>
      </c>
      <c r="C26" s="8">
        <v>23</v>
      </c>
      <c r="D26" s="8">
        <v>25</v>
      </c>
      <c r="E26" s="8">
        <v>27</v>
      </c>
      <c r="F26" s="8">
        <v>26</v>
      </c>
      <c r="G26" s="8">
        <v>36</v>
      </c>
      <c r="H26" s="8">
        <v>31</v>
      </c>
      <c r="I26" s="8">
        <v>75</v>
      </c>
      <c r="J26" s="8">
        <v>54</v>
      </c>
      <c r="K26" s="8">
        <v>28</v>
      </c>
      <c r="L26" s="8">
        <v>4</v>
      </c>
      <c r="M26" s="8">
        <v>1</v>
      </c>
      <c r="N26" s="8">
        <v>4</v>
      </c>
      <c r="O26" s="8">
        <v>3</v>
      </c>
      <c r="P26" s="8">
        <v>12</v>
      </c>
      <c r="Q26" s="8">
        <v>4</v>
      </c>
      <c r="R26" s="8">
        <v>3</v>
      </c>
      <c r="S26" s="8">
        <v>0</v>
      </c>
      <c r="T26" s="8">
        <v>0</v>
      </c>
      <c r="U26" s="8">
        <v>7</v>
      </c>
      <c r="V26" s="8">
        <v>1</v>
      </c>
      <c r="W26" s="8">
        <v>0</v>
      </c>
      <c r="X26" s="8">
        <v>1</v>
      </c>
      <c r="Y26" s="8">
        <v>0</v>
      </c>
      <c r="Z26" s="8">
        <v>2</v>
      </c>
      <c r="AA26" s="8">
        <v>1</v>
      </c>
      <c r="AB26" s="8">
        <v>0</v>
      </c>
      <c r="AC26" s="8">
        <v>0</v>
      </c>
      <c r="AD26" s="8">
        <v>0</v>
      </c>
      <c r="AE26" s="8">
        <v>1</v>
      </c>
      <c r="AF26" s="8">
        <v>0</v>
      </c>
      <c r="AG26" s="8">
        <v>0</v>
      </c>
      <c r="AH26" s="8">
        <v>2</v>
      </c>
      <c r="AI26" s="8">
        <v>0</v>
      </c>
      <c r="AJ26" s="8">
        <v>2</v>
      </c>
      <c r="AK26" s="8">
        <v>1</v>
      </c>
      <c r="AL26" s="8">
        <v>2</v>
      </c>
      <c r="AM26" s="8">
        <f>SUM(AK26:AL26)</f>
        <v>3</v>
      </c>
      <c r="AN26" s="38"/>
    </row>
    <row r="27" spans="1:40" x14ac:dyDescent="0.25">
      <c r="A27" s="4" t="s">
        <v>33</v>
      </c>
      <c r="B27" s="4"/>
      <c r="C27" s="8">
        <v>33</v>
      </c>
      <c r="D27" s="8">
        <v>32</v>
      </c>
      <c r="E27" s="8">
        <v>28</v>
      </c>
      <c r="F27" s="8">
        <v>37</v>
      </c>
      <c r="G27" s="8">
        <v>46</v>
      </c>
      <c r="H27" s="8">
        <v>26</v>
      </c>
      <c r="I27" s="8">
        <v>28</v>
      </c>
      <c r="J27" s="8">
        <v>27</v>
      </c>
      <c r="K27" s="8">
        <v>14</v>
      </c>
      <c r="L27" s="8">
        <v>17</v>
      </c>
      <c r="M27" s="8">
        <v>13</v>
      </c>
      <c r="N27" s="8">
        <v>13</v>
      </c>
      <c r="O27" s="8">
        <v>9</v>
      </c>
      <c r="P27" s="8">
        <v>9</v>
      </c>
      <c r="Q27" s="8">
        <v>7</v>
      </c>
      <c r="R27" s="8">
        <v>7</v>
      </c>
      <c r="S27" s="8">
        <v>4</v>
      </c>
      <c r="T27" s="8">
        <v>1</v>
      </c>
      <c r="U27" s="8">
        <v>1</v>
      </c>
      <c r="V27" s="8">
        <v>2</v>
      </c>
      <c r="W27" s="8">
        <v>2</v>
      </c>
      <c r="X27" s="8">
        <v>3</v>
      </c>
      <c r="Y27" s="8">
        <v>3</v>
      </c>
      <c r="Z27" s="8">
        <v>3</v>
      </c>
      <c r="AA27" s="8">
        <v>5</v>
      </c>
      <c r="AB27" s="8">
        <v>2</v>
      </c>
      <c r="AC27" s="8">
        <v>1</v>
      </c>
      <c r="AD27" s="8">
        <v>0</v>
      </c>
      <c r="AE27" s="8">
        <v>0</v>
      </c>
      <c r="AF27" s="8">
        <v>0</v>
      </c>
      <c r="AG27" s="8">
        <v>0</v>
      </c>
      <c r="AH27" s="8">
        <v>2</v>
      </c>
      <c r="AI27" s="8">
        <v>2</v>
      </c>
      <c r="AJ27" s="8">
        <v>2</v>
      </c>
      <c r="AK27" s="8">
        <v>3</v>
      </c>
      <c r="AL27" s="8">
        <v>4</v>
      </c>
      <c r="AM27" s="8">
        <f>AL27</f>
        <v>4</v>
      </c>
      <c r="AN27" s="38"/>
    </row>
    <row r="28" spans="1:40" x14ac:dyDescent="0.25">
      <c r="A28" s="41" t="s">
        <v>112</v>
      </c>
      <c r="C28" s="24">
        <v>463</v>
      </c>
      <c r="D28" s="24">
        <v>539</v>
      </c>
      <c r="E28" s="24">
        <v>704</v>
      </c>
      <c r="F28" s="24">
        <v>780</v>
      </c>
      <c r="G28" s="24">
        <v>841</v>
      </c>
      <c r="H28" s="24">
        <v>827</v>
      </c>
      <c r="I28" s="24">
        <v>795</v>
      </c>
      <c r="J28" s="24">
        <v>780</v>
      </c>
      <c r="K28" s="24">
        <v>803</v>
      </c>
      <c r="L28" s="48">
        <v>798.3</v>
      </c>
      <c r="M28" s="48">
        <v>798.2</v>
      </c>
      <c r="N28" s="48">
        <v>799.4</v>
      </c>
      <c r="O28" s="48">
        <v>799</v>
      </c>
      <c r="P28" s="48">
        <v>799</v>
      </c>
      <c r="Q28" s="48">
        <v>800.3</v>
      </c>
      <c r="R28" s="48">
        <v>800.8</v>
      </c>
      <c r="S28" s="48">
        <v>801.8</v>
      </c>
      <c r="T28" s="48">
        <v>801.2</v>
      </c>
      <c r="U28" s="48">
        <v>801.2</v>
      </c>
      <c r="V28" s="48">
        <v>803.6</v>
      </c>
      <c r="W28" s="48">
        <v>805.7</v>
      </c>
      <c r="X28" s="48">
        <v>808</v>
      </c>
      <c r="Y28" s="48">
        <v>806.4</v>
      </c>
      <c r="Z28" s="48">
        <v>806.4</v>
      </c>
      <c r="AA28" s="48">
        <v>806.8</v>
      </c>
      <c r="AB28" s="48">
        <v>808.2</v>
      </c>
      <c r="AC28" s="48">
        <v>804.3</v>
      </c>
      <c r="AD28" s="48">
        <v>803.3</v>
      </c>
      <c r="AE28" s="48">
        <v>803.3</v>
      </c>
      <c r="AF28" s="48">
        <v>804.6</v>
      </c>
      <c r="AG28" s="48">
        <v>811.9</v>
      </c>
      <c r="AH28" s="48">
        <v>808.1</v>
      </c>
      <c r="AI28" s="48">
        <v>808.4</v>
      </c>
      <c r="AJ28" s="48">
        <v>808.4</v>
      </c>
      <c r="AK28" s="24">
        <v>808.2</v>
      </c>
      <c r="AL28" s="24">
        <v>808</v>
      </c>
      <c r="AM28" s="8">
        <f>AL28</f>
        <v>808</v>
      </c>
      <c r="AN28" s="38"/>
    </row>
    <row r="29" spans="1:40" x14ac:dyDescent="0.25">
      <c r="A29" t="s">
        <v>108</v>
      </c>
      <c r="C29">
        <v>310</v>
      </c>
      <c r="D29">
        <v>310</v>
      </c>
      <c r="E29">
        <v>370</v>
      </c>
      <c r="F29">
        <v>320</v>
      </c>
      <c r="G29">
        <v>175</v>
      </c>
      <c r="H29">
        <v>155</v>
      </c>
      <c r="I29">
        <v>140</v>
      </c>
      <c r="J29">
        <v>195</v>
      </c>
      <c r="K29">
        <v>100</v>
      </c>
      <c r="L29" s="35" t="s">
        <v>65</v>
      </c>
      <c r="M29" s="35" t="s">
        <v>65</v>
      </c>
      <c r="N29" s="35" t="s">
        <v>65</v>
      </c>
      <c r="O29" s="35" t="s">
        <v>65</v>
      </c>
      <c r="P29" s="8">
        <v>245</v>
      </c>
      <c r="Q29" s="35" t="s">
        <v>65</v>
      </c>
      <c r="R29" s="35" t="s">
        <v>65</v>
      </c>
      <c r="S29" s="35" t="s">
        <v>65</v>
      </c>
      <c r="T29" s="35" t="s">
        <v>65</v>
      </c>
      <c r="U29" s="2">
        <v>150.6</v>
      </c>
      <c r="V29" s="35" t="s">
        <v>65</v>
      </c>
      <c r="W29" s="35" t="s">
        <v>65</v>
      </c>
      <c r="X29" s="35" t="s">
        <v>65</v>
      </c>
      <c r="Y29" s="35" t="s">
        <v>65</v>
      </c>
      <c r="Z29" s="8">
        <v>121.5</v>
      </c>
      <c r="AA29" s="8">
        <v>31</v>
      </c>
      <c r="AB29" s="8">
        <v>23.6</v>
      </c>
      <c r="AC29" s="8">
        <v>18.100000000000001</v>
      </c>
      <c r="AD29" s="8">
        <v>20.8</v>
      </c>
      <c r="AE29" s="8">
        <v>93.5</v>
      </c>
      <c r="AF29" s="8">
        <v>28.3</v>
      </c>
      <c r="AG29" s="8">
        <v>33.4</v>
      </c>
      <c r="AH29" s="8">
        <v>25.5</v>
      </c>
      <c r="AI29" s="8">
        <v>40.9</v>
      </c>
      <c r="AJ29" s="8">
        <v>128.1</v>
      </c>
      <c r="AK29" s="8">
        <v>23</v>
      </c>
      <c r="AL29" s="8">
        <v>26</v>
      </c>
      <c r="AM29" s="8">
        <f>SUM(AK29:AL29)</f>
        <v>49</v>
      </c>
      <c r="AN29" s="38"/>
    </row>
    <row r="30" spans="1:40" x14ac:dyDescent="0.25">
      <c r="A30" t="s">
        <v>107</v>
      </c>
      <c r="C30" s="8">
        <v>243.5</v>
      </c>
      <c r="D30" s="8">
        <v>233.5</v>
      </c>
      <c r="E30" s="8">
        <v>205.3</v>
      </c>
      <c r="F30" s="8">
        <v>243.6</v>
      </c>
      <c r="G30" s="8">
        <v>113.7</v>
      </c>
      <c r="H30" s="8">
        <v>169</v>
      </c>
      <c r="I30" s="8">
        <v>171.6</v>
      </c>
      <c r="J30" s="8">
        <v>208.8</v>
      </c>
      <c r="K30" s="8">
        <v>77.3</v>
      </c>
      <c r="L30" s="35" t="s">
        <v>65</v>
      </c>
      <c r="M30" s="35" t="s">
        <v>65</v>
      </c>
      <c r="N30" s="35" t="s">
        <v>65</v>
      </c>
      <c r="O30" s="35" t="s">
        <v>65</v>
      </c>
      <c r="P30" s="8">
        <v>246</v>
      </c>
      <c r="Q30" s="35" t="s">
        <v>65</v>
      </c>
      <c r="R30" s="35" t="s">
        <v>65</v>
      </c>
      <c r="S30" s="35" t="s">
        <v>65</v>
      </c>
      <c r="T30" s="35" t="s">
        <v>65</v>
      </c>
      <c r="U30" s="8">
        <v>149</v>
      </c>
      <c r="V30" s="35" t="s">
        <v>65</v>
      </c>
      <c r="W30" s="35" t="s">
        <v>65</v>
      </c>
      <c r="X30" s="35" t="s">
        <v>65</v>
      </c>
      <c r="Y30" s="35" t="s">
        <v>65</v>
      </c>
      <c r="Z30" s="8">
        <v>116.6</v>
      </c>
      <c r="AA30" s="8">
        <v>30.4</v>
      </c>
      <c r="AB30" s="8">
        <v>22.4</v>
      </c>
      <c r="AC30" s="8">
        <v>21.7</v>
      </c>
      <c r="AD30" s="8">
        <v>22.5</v>
      </c>
      <c r="AE30" s="8">
        <v>97</v>
      </c>
      <c r="AF30" s="8">
        <v>28.1</v>
      </c>
      <c r="AG30" s="8">
        <v>26</v>
      </c>
      <c r="AH30" s="8">
        <v>27.2</v>
      </c>
      <c r="AI30" s="8">
        <v>41.6</v>
      </c>
      <c r="AJ30" s="8">
        <v>122.9</v>
      </c>
      <c r="AK30" s="8">
        <v>23.1</v>
      </c>
      <c r="AL30" s="8">
        <v>26</v>
      </c>
      <c r="AM30" s="8">
        <f>SUM(AK30:AL30)</f>
        <v>49.1</v>
      </c>
      <c r="AN30" s="38"/>
    </row>
    <row r="31" spans="1:40" x14ac:dyDescent="0.25">
      <c r="A31" t="s">
        <v>106</v>
      </c>
      <c r="C31" s="3" t="s">
        <v>29</v>
      </c>
      <c r="D31" s="3" t="s">
        <v>29</v>
      </c>
      <c r="E31" s="3" t="s">
        <v>29</v>
      </c>
      <c r="F31" s="3" t="s">
        <v>29</v>
      </c>
      <c r="G31" s="8">
        <v>130</v>
      </c>
      <c r="H31" s="8">
        <v>223</v>
      </c>
      <c r="I31" s="8">
        <v>194.7</v>
      </c>
      <c r="J31" s="8">
        <v>213.7</v>
      </c>
      <c r="K31" s="8">
        <v>275</v>
      </c>
      <c r="L31" s="35" t="s">
        <v>65</v>
      </c>
      <c r="M31" s="35" t="s">
        <v>65</v>
      </c>
      <c r="N31" s="35" t="s">
        <v>65</v>
      </c>
      <c r="O31" s="35" t="s">
        <v>65</v>
      </c>
      <c r="P31" s="8">
        <v>15.6</v>
      </c>
      <c r="Q31" s="35" t="s">
        <v>65</v>
      </c>
      <c r="R31" s="35" t="s">
        <v>65</v>
      </c>
      <c r="S31" s="35" t="s">
        <v>65</v>
      </c>
      <c r="T31" s="35" t="s">
        <v>65</v>
      </c>
      <c r="U31" s="8">
        <v>-23.7</v>
      </c>
      <c r="V31" s="35" t="s">
        <v>65</v>
      </c>
      <c r="W31" s="35" t="s">
        <v>65</v>
      </c>
      <c r="X31" s="35" t="s">
        <v>65</v>
      </c>
      <c r="Y31" s="35" t="s">
        <v>65</v>
      </c>
      <c r="Z31" s="8">
        <v>-27.5</v>
      </c>
      <c r="AA31" s="8">
        <v>-1.5</v>
      </c>
      <c r="AB31" s="8">
        <v>-6.2</v>
      </c>
      <c r="AC31" s="8">
        <v>-3</v>
      </c>
      <c r="AD31" s="8">
        <v>-5</v>
      </c>
      <c r="AE31" s="8">
        <v>-15.7</v>
      </c>
      <c r="AF31" s="8">
        <v>-6.6</v>
      </c>
      <c r="AG31" s="8">
        <v>-9.1999999999999993</v>
      </c>
      <c r="AH31" s="8">
        <v>-12.3</v>
      </c>
      <c r="AI31" s="8">
        <v>-8.3000000000000007</v>
      </c>
      <c r="AJ31" s="8">
        <v>-36.4</v>
      </c>
      <c r="AK31" s="8">
        <v>-2.7</v>
      </c>
      <c r="AL31" s="8">
        <v>-3</v>
      </c>
      <c r="AM31" s="8">
        <f>SUM(AK31:AL31)</f>
        <v>-5.7</v>
      </c>
      <c r="AN31" s="38"/>
    </row>
    <row r="32" spans="1:40" x14ac:dyDescent="0.25">
      <c r="A32" t="s">
        <v>69</v>
      </c>
      <c r="C32" s="8">
        <v>243.5</v>
      </c>
      <c r="D32" s="8">
        <v>233.5</v>
      </c>
      <c r="E32" s="8">
        <v>205.3</v>
      </c>
      <c r="F32" s="8">
        <v>243.6</v>
      </c>
      <c r="G32" s="8">
        <v>243.7</v>
      </c>
      <c r="H32" s="8">
        <v>392</v>
      </c>
      <c r="I32" s="8">
        <v>366.3</v>
      </c>
      <c r="J32" s="8">
        <v>422.5</v>
      </c>
      <c r="K32" s="8">
        <v>352.3</v>
      </c>
      <c r="L32" s="35" t="s">
        <v>65</v>
      </c>
      <c r="M32" s="35" t="s">
        <v>65</v>
      </c>
      <c r="N32" s="35" t="s">
        <v>65</v>
      </c>
      <c r="O32" s="35" t="s">
        <v>65</v>
      </c>
      <c r="P32" s="8">
        <v>262.60000000000002</v>
      </c>
      <c r="Q32" s="35" t="s">
        <v>65</v>
      </c>
      <c r="R32" s="35" t="s">
        <v>65</v>
      </c>
      <c r="S32" s="35" t="s">
        <v>65</v>
      </c>
      <c r="T32" s="35" t="s">
        <v>65</v>
      </c>
      <c r="U32" s="8">
        <v>125.3</v>
      </c>
      <c r="V32" s="35" t="s">
        <v>65</v>
      </c>
      <c r="W32" s="35" t="s">
        <v>65</v>
      </c>
      <c r="X32" s="35" t="s">
        <v>65</v>
      </c>
      <c r="Y32" s="35" t="s">
        <v>65</v>
      </c>
      <c r="Z32" s="8">
        <v>89.1</v>
      </c>
      <c r="AA32" s="8">
        <v>27.9</v>
      </c>
      <c r="AB32" s="8">
        <v>16.2</v>
      </c>
      <c r="AC32" s="8">
        <v>18.7</v>
      </c>
      <c r="AD32" s="8">
        <v>17.5</v>
      </c>
      <c r="AE32" s="8">
        <v>81.3</v>
      </c>
      <c r="AF32" s="8">
        <v>20.5</v>
      </c>
      <c r="AG32" s="8">
        <v>16.8</v>
      </c>
      <c r="AH32" s="8">
        <v>14.9</v>
      </c>
      <c r="AI32" s="8">
        <v>34.299999999999997</v>
      </c>
      <c r="AJ32" s="8">
        <v>86.5</v>
      </c>
      <c r="AK32" s="8">
        <v>20.399999999999999</v>
      </c>
      <c r="AL32" s="8">
        <v>23</v>
      </c>
      <c r="AM32" s="8">
        <f>SUM(AK32:AL32)</f>
        <v>43.4</v>
      </c>
      <c r="AN32" s="38"/>
    </row>
    <row r="33" spans="1:40" x14ac:dyDescent="0.25">
      <c r="A33" t="s">
        <v>50</v>
      </c>
      <c r="C33" s="23">
        <v>7.2000000000000005E-4</v>
      </c>
      <c r="D33" s="23">
        <v>5.6999999999999998E-4</v>
      </c>
      <c r="E33" s="23">
        <v>4.2000000000000002E-4</v>
      </c>
      <c r="F33" s="23">
        <v>4.0000000000000002E-4</v>
      </c>
      <c r="G33" s="23">
        <v>4.0000000000000002E-4</v>
      </c>
      <c r="H33" s="23">
        <v>5.6999999999999998E-4</v>
      </c>
      <c r="I33" s="23">
        <v>5.0000000000000001E-4</v>
      </c>
      <c r="J33" s="23">
        <v>5.2999999999999998E-4</v>
      </c>
      <c r="K33" s="23">
        <v>4.0999999999999999E-4</v>
      </c>
      <c r="L33" s="23">
        <v>3.4000000000000002E-4</v>
      </c>
      <c r="M33" s="23">
        <v>2.9999999999999997E-4</v>
      </c>
      <c r="N33" s="23">
        <v>2.5999999999999998E-4</v>
      </c>
      <c r="O33" s="23">
        <v>2.0000000000000001E-4</v>
      </c>
      <c r="P33" s="23">
        <v>2.7E-4</v>
      </c>
      <c r="Q33" s="23">
        <v>1.7000000000000001E-4</v>
      </c>
      <c r="R33" s="23">
        <v>1.3999999999999999E-4</v>
      </c>
      <c r="S33" s="23">
        <v>6.9999999999999994E-5</v>
      </c>
      <c r="T33" s="23">
        <v>6.0000000000000002E-5</v>
      </c>
      <c r="U33" s="23">
        <v>1.1E-4</v>
      </c>
      <c r="V33" s="23">
        <v>9.0000000000000006E-5</v>
      </c>
      <c r="W33" s="23">
        <v>6.0000000000000002E-5</v>
      </c>
      <c r="X33" s="23">
        <v>6.0000000000000002E-5</v>
      </c>
      <c r="Y33" s="23">
        <v>6.9999999999999994E-5</v>
      </c>
      <c r="Z33" s="23">
        <v>6.9999999999999994E-5</v>
      </c>
      <c r="AA33" s="23">
        <v>9.0000000000000006E-5</v>
      </c>
      <c r="AB33" s="23">
        <v>5.0000000000000002E-5</v>
      </c>
      <c r="AC33" s="23">
        <v>5.0000000000000002E-5</v>
      </c>
      <c r="AD33" s="23">
        <v>5.0000000000000002E-5</v>
      </c>
      <c r="AE33" s="23">
        <v>6.0000000000000002E-5</v>
      </c>
      <c r="AF33" s="23">
        <v>5.0000000000000002E-5</v>
      </c>
      <c r="AG33" s="23">
        <v>4.0000000000000003E-5</v>
      </c>
      <c r="AH33" s="23">
        <v>3.0000000000000001E-5</v>
      </c>
      <c r="AI33" s="23">
        <v>8.0000000000000007E-5</v>
      </c>
      <c r="AJ33" s="23">
        <v>5.0000000000000002E-5</v>
      </c>
      <c r="AK33" s="23">
        <v>4.0000000000000003E-5</v>
      </c>
      <c r="AL33" s="23">
        <v>5.0000000000000002E-5</v>
      </c>
      <c r="AM33" s="23">
        <v>4.0000000000000003E-5</v>
      </c>
      <c r="AN33" s="38"/>
    </row>
    <row r="38" spans="1:40" x14ac:dyDescent="0.25">
      <c r="A38" t="s">
        <v>93</v>
      </c>
    </row>
    <row r="39" spans="1:40" x14ac:dyDescent="0.25">
      <c r="A39" t="s">
        <v>77</v>
      </c>
    </row>
    <row r="40" spans="1:40" x14ac:dyDescent="0.25">
      <c r="A40" t="s">
        <v>78</v>
      </c>
    </row>
    <row r="41" spans="1:40" x14ac:dyDescent="0.25">
      <c r="A41" t="s">
        <v>96</v>
      </c>
    </row>
    <row r="42" spans="1:40" x14ac:dyDescent="0.25">
      <c r="A42" t="s">
        <v>76</v>
      </c>
    </row>
  </sheetData>
  <mergeCells count="1">
    <mergeCell ref="A6:AM6"/>
  </mergeCells>
  <phoneticPr fontId="0" type="noConversion"/>
  <pageMargins left="0" right="0" top="1" bottom="1" header="0.5" footer="0.5"/>
  <pageSetup paperSize="5" scale="87" firstPageNumber="4" orientation="landscape" useFirstPageNumber="1" horizontalDpi="300" r:id="rId1"/>
  <headerFooter alignWithMargins="0"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Earnings</vt:lpstr>
      <vt:lpstr>Business Activity</vt:lpstr>
      <vt:lpstr>Balance Sheet</vt:lpstr>
      <vt:lpstr>Credit Loss</vt:lpstr>
      <vt:lpstr>'Balance Sheet'!Print_Area</vt:lpstr>
      <vt:lpstr>'Credit Loss'!Print_Area</vt:lpstr>
      <vt:lpstr>Earnings!Print_Area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Profile</dc:title>
  <dc:subject>Quarterly Reporting</dc:subject>
  <dc:creator>Mike Krolick</dc:creator>
  <cp:lastModifiedBy>Aniket Gupta</cp:lastModifiedBy>
  <cp:lastPrinted>2003-08-21T14:24:38Z</cp:lastPrinted>
  <dcterms:created xsi:type="dcterms:W3CDTF">1998-02-05T15:09:14Z</dcterms:created>
  <dcterms:modified xsi:type="dcterms:W3CDTF">2024-02-03T22:14:34Z</dcterms:modified>
</cp:coreProperties>
</file>