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F9A16073-019A-459F-9736-52A3E62FBE7D}" xr6:coauthVersionLast="47" xr6:coauthVersionMax="47" xr10:uidLastSave="{00000000-0000-0000-0000-000000000000}"/>
  <bookViews>
    <workbookView xWindow="3348" yWindow="3348" windowWidth="17280" windowHeight="8880"/>
  </bookViews>
  <sheets>
    <sheet name="COVER" sheetId="37" r:id="rId1"/>
    <sheet name="CONTENTS" sheetId="30" r:id="rId2"/>
    <sheet name="STATEWIDE" sheetId="27" r:id="rId3"/>
    <sheet name="ALL" sheetId="1" r:id="rId4"/>
    <sheet name="CNE" sheetId="5" r:id="rId5"/>
    <sheet name="LIFESPAN" sheetId="4" r:id="rId6"/>
    <sheet name="INDIVIDUAL" sheetId="32" r:id="rId7"/>
    <sheet name="BRADLEY" sheetId="8" r:id="rId8"/>
    <sheet name="BUTLER" sheetId="9" r:id="rId9"/>
    <sheet name="KENT" sheetId="10" r:id="rId10"/>
    <sheet name="LANDMARK" sheetId="11" r:id="rId11"/>
    <sheet name="MEMORIAL" sheetId="12" r:id="rId12"/>
    <sheet name="MIRIAM" sheetId="13" r:id="rId13"/>
    <sheet name="NEWPORT" sheetId="14" r:id="rId14"/>
    <sheet name="RIH" sheetId="16" r:id="rId15"/>
    <sheet name="RWMC" sheetId="17" r:id="rId16"/>
    <sheet name="S.COUNTY" sheetId="18" r:id="rId17"/>
    <sheet name="ST.JOE" sheetId="19" r:id="rId18"/>
    <sheet name="WESTERLY" sheetId="20" r:id="rId19"/>
    <sheet name="W&amp;I" sheetId="2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5" i="1"/>
  <c r="D5" i="1"/>
  <c r="E5" i="1"/>
  <c r="F5" i="1"/>
  <c r="C6" i="1"/>
  <c r="D6" i="1"/>
  <c r="E6" i="1"/>
  <c r="F6" i="1"/>
  <c r="C7" i="1"/>
  <c r="D7" i="1"/>
  <c r="E7" i="1"/>
  <c r="F7" i="1"/>
  <c r="D8" i="1"/>
  <c r="E8" i="1"/>
  <c r="F8" i="1"/>
  <c r="C9" i="1"/>
  <c r="D9" i="1"/>
  <c r="E9" i="1"/>
  <c r="F9" i="1"/>
  <c r="C10" i="1"/>
  <c r="D10" i="1"/>
  <c r="E10" i="1"/>
  <c r="F10" i="1"/>
  <c r="D12" i="1"/>
  <c r="E12" i="1"/>
  <c r="F12" i="1"/>
  <c r="C13" i="1"/>
  <c r="D13" i="1"/>
  <c r="E13" i="1"/>
  <c r="F13" i="1"/>
  <c r="C15" i="1"/>
  <c r="D15" i="1"/>
  <c r="E15" i="1"/>
  <c r="F15" i="1"/>
  <c r="C16" i="1"/>
  <c r="D16" i="1"/>
  <c r="E16" i="1"/>
  <c r="F16" i="1"/>
  <c r="C17" i="1"/>
  <c r="D17" i="1"/>
  <c r="E17" i="1"/>
  <c r="F17" i="1"/>
  <c r="C19" i="1"/>
  <c r="D19" i="1"/>
  <c r="E19" i="1"/>
  <c r="F19" i="1"/>
  <c r="D20" i="1"/>
  <c r="D21" i="1"/>
  <c r="E22" i="1"/>
  <c r="D24" i="1"/>
  <c r="F26" i="1"/>
  <c r="C27" i="1"/>
  <c r="E27" i="1"/>
  <c r="F27" i="1"/>
  <c r="C14" i="8"/>
  <c r="C14" i="1" s="1"/>
  <c r="D14" i="8"/>
  <c r="D14" i="4" s="1"/>
  <c r="E14" i="8"/>
  <c r="E14" i="1" s="1"/>
  <c r="F14" i="8"/>
  <c r="F14" i="1" s="1"/>
  <c r="C18" i="8"/>
  <c r="C18" i="1" s="1"/>
  <c r="D18" i="8"/>
  <c r="E18" i="8"/>
  <c r="E18" i="1" s="1"/>
  <c r="F18" i="8"/>
  <c r="F18" i="1" s="1"/>
  <c r="D25" i="8"/>
  <c r="D25" i="1" s="1"/>
  <c r="E25" i="8"/>
  <c r="E25" i="1" s="1"/>
  <c r="C3" i="9"/>
  <c r="C3" i="1" s="1"/>
  <c r="D3" i="9"/>
  <c r="D3" i="1" s="1"/>
  <c r="E3" i="9"/>
  <c r="E3" i="1" s="1"/>
  <c r="F3" i="9"/>
  <c r="F3" i="1" s="1"/>
  <c r="F4" i="9"/>
  <c r="F4" i="1" s="1"/>
  <c r="E11" i="9"/>
  <c r="E11" i="1" s="1"/>
  <c r="C14" i="9"/>
  <c r="D14" i="9"/>
  <c r="D14" i="5" s="1"/>
  <c r="E14" i="9"/>
  <c r="F14" i="9"/>
  <c r="C18" i="9"/>
  <c r="D18" i="9"/>
  <c r="D18" i="5" s="1"/>
  <c r="E18" i="9"/>
  <c r="F18" i="9"/>
  <c r="C20" i="9"/>
  <c r="C20" i="1" s="1"/>
  <c r="F20" i="9"/>
  <c r="F20" i="5" s="1"/>
  <c r="D24" i="9"/>
  <c r="E24" i="9"/>
  <c r="E24" i="1" s="1"/>
  <c r="F24" i="9"/>
  <c r="F24" i="1" s="1"/>
  <c r="C3" i="5"/>
  <c r="D3" i="5"/>
  <c r="E3" i="5"/>
  <c r="F3" i="5"/>
  <c r="F4" i="5"/>
  <c r="C5" i="5"/>
  <c r="D5" i="5"/>
  <c r="E5" i="5"/>
  <c r="F5" i="5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D11" i="5"/>
  <c r="E11" i="5"/>
  <c r="F11" i="5"/>
  <c r="C12" i="5"/>
  <c r="D12" i="5"/>
  <c r="E12" i="5"/>
  <c r="F12" i="5"/>
  <c r="C13" i="5"/>
  <c r="D13" i="5"/>
  <c r="E13" i="5"/>
  <c r="F13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C19" i="5"/>
  <c r="D19" i="5"/>
  <c r="E19" i="5"/>
  <c r="F19" i="5"/>
  <c r="C20" i="5"/>
  <c r="D20" i="5"/>
  <c r="E20" i="5"/>
  <c r="C21" i="5"/>
  <c r="D21" i="5"/>
  <c r="E21" i="5"/>
  <c r="F21" i="5"/>
  <c r="C22" i="5"/>
  <c r="D22" i="5"/>
  <c r="E22" i="5"/>
  <c r="F22" i="5"/>
  <c r="C23" i="5"/>
  <c r="D23" i="5"/>
  <c r="E23" i="5"/>
  <c r="F23" i="5"/>
  <c r="C24" i="5"/>
  <c r="D24" i="5"/>
  <c r="E24" i="5"/>
  <c r="F24" i="5"/>
  <c r="C25" i="5"/>
  <c r="F25" i="5"/>
  <c r="C26" i="5"/>
  <c r="F26" i="5"/>
  <c r="C27" i="5"/>
  <c r="D27" i="5"/>
  <c r="E27" i="5"/>
  <c r="F27" i="5"/>
  <c r="C4" i="10"/>
  <c r="C4" i="5" s="1"/>
  <c r="D4" i="10"/>
  <c r="D4" i="5" s="1"/>
  <c r="E4" i="10"/>
  <c r="E4" i="1" s="1"/>
  <c r="C14" i="10"/>
  <c r="D14" i="10"/>
  <c r="E14" i="10"/>
  <c r="E14" i="5" s="1"/>
  <c r="F14" i="10"/>
  <c r="F14" i="5" s="1"/>
  <c r="C18" i="10"/>
  <c r="D18" i="10"/>
  <c r="D18" i="1" s="1"/>
  <c r="E18" i="10"/>
  <c r="E18" i="5" s="1"/>
  <c r="F18" i="10"/>
  <c r="F18" i="5" s="1"/>
  <c r="C22" i="10"/>
  <c r="C22" i="1" s="1"/>
  <c r="C3" i="11"/>
  <c r="D3" i="11"/>
  <c r="E3" i="11"/>
  <c r="F3" i="11"/>
  <c r="C4" i="11"/>
  <c r="D4" i="11"/>
  <c r="E4" i="11"/>
  <c r="F4" i="11"/>
  <c r="C14" i="11"/>
  <c r="D14" i="11"/>
  <c r="E14" i="11"/>
  <c r="F14" i="11"/>
  <c r="C18" i="11"/>
  <c r="C20" i="11"/>
  <c r="D20" i="11"/>
  <c r="E20" i="11"/>
  <c r="E20" i="1" s="1"/>
  <c r="F20" i="11"/>
  <c r="C21" i="11"/>
  <c r="C21" i="1" s="1"/>
  <c r="E21" i="11"/>
  <c r="E21" i="1" s="1"/>
  <c r="F21" i="11"/>
  <c r="F23" i="11" s="1"/>
  <c r="F23" i="1" s="1"/>
  <c r="C23" i="11"/>
  <c r="C23" i="1" s="1"/>
  <c r="D23" i="11"/>
  <c r="D23" i="1" s="1"/>
  <c r="C24" i="11"/>
  <c r="C24" i="1" s="1"/>
  <c r="D24" i="11"/>
  <c r="E24" i="11"/>
  <c r="F24" i="11"/>
  <c r="C25" i="11"/>
  <c r="C25" i="1" s="1"/>
  <c r="D25" i="11"/>
  <c r="E25" i="11"/>
  <c r="F25" i="11"/>
  <c r="F25" i="1" s="1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C15" i="4"/>
  <c r="D15" i="4"/>
  <c r="E15" i="4"/>
  <c r="F15" i="4"/>
  <c r="C16" i="4"/>
  <c r="D16" i="4"/>
  <c r="E16" i="4"/>
  <c r="F16" i="4"/>
  <c r="C17" i="4"/>
  <c r="D17" i="4"/>
  <c r="E17" i="4"/>
  <c r="F17" i="4"/>
  <c r="C19" i="4"/>
  <c r="D19" i="4"/>
  <c r="E19" i="4"/>
  <c r="F19" i="4"/>
  <c r="C20" i="4"/>
  <c r="D20" i="4"/>
  <c r="E20" i="4"/>
  <c r="F20" i="4"/>
  <c r="C21" i="4"/>
  <c r="D21" i="4"/>
  <c r="E21" i="4"/>
  <c r="F21" i="4"/>
  <c r="C22" i="4"/>
  <c r="D22" i="4"/>
  <c r="E22" i="4"/>
  <c r="C23" i="4"/>
  <c r="D23" i="4"/>
  <c r="E23" i="4"/>
  <c r="F23" i="4"/>
  <c r="C24" i="4"/>
  <c r="D24" i="4"/>
  <c r="E24" i="4"/>
  <c r="F24" i="4"/>
  <c r="F25" i="4"/>
  <c r="C26" i="4"/>
  <c r="D26" i="4"/>
  <c r="E26" i="4"/>
  <c r="F26" i="4"/>
  <c r="C27" i="4"/>
  <c r="D27" i="4"/>
  <c r="E27" i="4"/>
  <c r="F27" i="4"/>
  <c r="D11" i="12"/>
  <c r="D11" i="1" s="1"/>
  <c r="E11" i="12"/>
  <c r="F11" i="12"/>
  <c r="F11" i="1" s="1"/>
  <c r="C14" i="12"/>
  <c r="D14" i="12"/>
  <c r="E14" i="12"/>
  <c r="C18" i="12"/>
  <c r="D18" i="12"/>
  <c r="E18" i="12"/>
  <c r="F18" i="12"/>
  <c r="C22" i="12"/>
  <c r="D22" i="12"/>
  <c r="C8" i="13"/>
  <c r="C8" i="1" s="1"/>
  <c r="C12" i="13"/>
  <c r="C12" i="1" s="1"/>
  <c r="C14" i="13"/>
  <c r="D14" i="13"/>
  <c r="E14" i="13"/>
  <c r="E14" i="4" s="1"/>
  <c r="F14" i="13"/>
  <c r="F14" i="4" s="1"/>
  <c r="C18" i="13"/>
  <c r="D18" i="13"/>
  <c r="D18" i="4" s="1"/>
  <c r="E18" i="13"/>
  <c r="E18" i="4" s="1"/>
  <c r="F18" i="13"/>
  <c r="F18" i="4" s="1"/>
  <c r="C22" i="13"/>
  <c r="C25" i="13"/>
  <c r="C25" i="4" s="1"/>
  <c r="D25" i="13"/>
  <c r="D25" i="4" s="1"/>
  <c r="E25" i="13"/>
  <c r="C8" i="14"/>
  <c r="C12" i="14"/>
  <c r="C14" i="14"/>
  <c r="D14" i="14"/>
  <c r="E14" i="14"/>
  <c r="F14" i="14"/>
  <c r="C18" i="14"/>
  <c r="C18" i="4" s="1"/>
  <c r="D18" i="14"/>
  <c r="E18" i="14"/>
  <c r="F18" i="14"/>
  <c r="F22" i="14"/>
  <c r="F22" i="4" s="1"/>
  <c r="C25" i="14"/>
  <c r="D25" i="14"/>
  <c r="E25" i="14"/>
  <c r="C8" i="16"/>
  <c r="C8" i="4" s="1"/>
  <c r="C12" i="16"/>
  <c r="C14" i="16"/>
  <c r="D14" i="16"/>
  <c r="E14" i="16"/>
  <c r="F14" i="16"/>
  <c r="C18" i="16"/>
  <c r="D18" i="16"/>
  <c r="E18" i="16"/>
  <c r="F18" i="16"/>
  <c r="C22" i="16"/>
  <c r="C25" i="16"/>
  <c r="D25" i="16"/>
  <c r="E25" i="16"/>
  <c r="C3" i="17"/>
  <c r="D3" i="17"/>
  <c r="E3" i="17"/>
  <c r="F3" i="17"/>
  <c r="C14" i="17"/>
  <c r="D14" i="17"/>
  <c r="E14" i="17"/>
  <c r="F14" i="17"/>
  <c r="C22" i="17"/>
  <c r="F22" i="17"/>
  <c r="C3" i="18"/>
  <c r="D3" i="18"/>
  <c r="E3" i="18"/>
  <c r="F3" i="18"/>
  <c r="C14" i="18"/>
  <c r="D14" i="18"/>
  <c r="E14" i="18"/>
  <c r="F14" i="18"/>
  <c r="D26" i="18"/>
  <c r="D26" i="1" s="1"/>
  <c r="D27" i="18"/>
  <c r="D27" i="1" s="1"/>
  <c r="C3" i="19"/>
  <c r="D3" i="19"/>
  <c r="E3" i="19"/>
  <c r="F3" i="19"/>
  <c r="F11" i="19"/>
  <c r="C14" i="19"/>
  <c r="D14" i="19"/>
  <c r="E14" i="19"/>
  <c r="F14" i="19"/>
  <c r="D18" i="19"/>
  <c r="C25" i="19"/>
  <c r="D25" i="19"/>
  <c r="E25" i="19"/>
  <c r="C11" i="21"/>
  <c r="C11" i="1" s="1"/>
  <c r="C14" i="21"/>
  <c r="C14" i="5" s="1"/>
  <c r="D14" i="21"/>
  <c r="E14" i="21"/>
  <c r="C18" i="21"/>
  <c r="D18" i="21"/>
  <c r="E18" i="21"/>
  <c r="F18" i="21"/>
  <c r="C22" i="21"/>
  <c r="D25" i="21"/>
  <c r="D25" i="5" s="1"/>
  <c r="E25" i="21"/>
  <c r="E25" i="5" s="1"/>
  <c r="C26" i="21"/>
  <c r="C26" i="1" s="1"/>
  <c r="D26" i="21"/>
  <c r="D26" i="5" s="1"/>
  <c r="E26" i="21"/>
  <c r="E26" i="1" s="1"/>
  <c r="C14" i="20"/>
  <c r="D14" i="20"/>
  <c r="E14" i="20"/>
  <c r="D22" i="20"/>
  <c r="D22" i="1" s="1"/>
  <c r="E25" i="20"/>
  <c r="D26" i="20"/>
  <c r="D27" i="20"/>
  <c r="D14" i="1" l="1"/>
  <c r="E23" i="11"/>
  <c r="E23" i="1" s="1"/>
  <c r="E26" i="5"/>
  <c r="E4" i="5"/>
  <c r="F22" i="1"/>
  <c r="F20" i="1"/>
  <c r="C4" i="1"/>
  <c r="E25" i="4"/>
  <c r="F21" i="1"/>
  <c r="C11" i="5"/>
</calcChain>
</file>

<file path=xl/sharedStrings.xml><?xml version="1.0" encoding="utf-8"?>
<sst xmlns="http://schemas.openxmlformats.org/spreadsheetml/2006/main" count="500" uniqueCount="94">
  <si>
    <t>Cash &amp; Short-Term Investments</t>
  </si>
  <si>
    <t>Net Patient Receivables</t>
  </si>
  <si>
    <t>Current Assets</t>
  </si>
  <si>
    <t>Net Fixed Assets</t>
  </si>
  <si>
    <t>Accumulated Depreciation</t>
  </si>
  <si>
    <t>Total Assets</t>
  </si>
  <si>
    <t>Current Liabilities</t>
  </si>
  <si>
    <t>Long Term Debt &amp; Capital Leases</t>
  </si>
  <si>
    <t>Net Patient Revenue</t>
  </si>
  <si>
    <t>Other Revenue</t>
  </si>
  <si>
    <t>Total Revenue</t>
  </si>
  <si>
    <t>Interest Expense</t>
  </si>
  <si>
    <t>Depreciation &amp; Amortization</t>
  </si>
  <si>
    <t>Bad Debt</t>
  </si>
  <si>
    <t>Net Operating Income</t>
  </si>
  <si>
    <t>Net Non-Operating Income &amp; Gains</t>
  </si>
  <si>
    <t>Net Income &amp; Gains</t>
  </si>
  <si>
    <t xml:space="preserve">Net Additions to PP&amp;E </t>
  </si>
  <si>
    <t>Net Additions to PP&amp;E</t>
  </si>
  <si>
    <t>Disproportionate Share Payments</t>
  </si>
  <si>
    <t>Hospital License Fees</t>
  </si>
  <si>
    <r>
      <t xml:space="preserve">(Dollars in </t>
    </r>
    <r>
      <rPr>
        <b/>
        <i/>
        <sz val="10"/>
        <rFont val="Arial"/>
        <family val="2"/>
      </rPr>
      <t>Thousands</t>
    </r>
    <r>
      <rPr>
        <i/>
        <sz val="10"/>
        <rFont val="Arial"/>
        <family val="2"/>
      </rPr>
      <t>)</t>
    </r>
  </si>
  <si>
    <r>
      <t xml:space="preserve">(Dollars in </t>
    </r>
    <r>
      <rPr>
        <b/>
        <i/>
        <sz val="10"/>
        <rFont val="Arial"/>
        <family val="2"/>
      </rPr>
      <t>Millions</t>
    </r>
    <r>
      <rPr>
        <i/>
        <sz val="10"/>
        <rFont val="Arial"/>
        <family val="2"/>
      </rPr>
      <t>)</t>
    </r>
  </si>
  <si>
    <r>
      <t>(Dollars in</t>
    </r>
    <r>
      <rPr>
        <b/>
        <i/>
        <sz val="10"/>
        <rFont val="Arial"/>
        <family val="2"/>
      </rPr>
      <t xml:space="preserve"> Millions</t>
    </r>
    <r>
      <rPr>
        <i/>
        <sz val="10"/>
        <rFont val="Arial"/>
        <family val="2"/>
      </rPr>
      <t>)</t>
    </r>
  </si>
  <si>
    <t>Current Portion of Long Term Debt</t>
  </si>
  <si>
    <t>MIRIAM  HOSPITAL</t>
  </si>
  <si>
    <t>NEWPORT  HOSPITAL</t>
  </si>
  <si>
    <t>ROGER  WILLIAMS  HOSPITAL</t>
  </si>
  <si>
    <t>RHODE  ISLAND  HOSPITAL</t>
  </si>
  <si>
    <t xml:space="preserve">BRADLEY  HOSPITAL </t>
  </si>
  <si>
    <t>Salaries &amp; Benefits</t>
  </si>
  <si>
    <t>KENT  HOSPITAL</t>
  </si>
  <si>
    <r>
      <t>LANDMARK  MEDICAL  CENTER</t>
    </r>
    <r>
      <rPr>
        <b/>
        <vertAlign val="superscript"/>
        <sz val="13"/>
        <color indexed="9"/>
        <rFont val="Arial"/>
        <family val="2"/>
      </rPr>
      <t>1</t>
    </r>
  </si>
  <si>
    <t>MEMORIAL  HOSPITAL</t>
  </si>
  <si>
    <t>ST.  JOSEPH  HEALTH  SERVICES</t>
  </si>
  <si>
    <t>WOMEN  &amp;  INFANTS  HOSPITAL</t>
  </si>
  <si>
    <t>WESTERLY  HOSPITAL</t>
  </si>
  <si>
    <r>
      <t>LIFESPAN  RI  HOSPITALS</t>
    </r>
    <r>
      <rPr>
        <b/>
        <vertAlign val="superscript"/>
        <sz val="13"/>
        <color indexed="9"/>
        <rFont val="Arial"/>
        <family val="2"/>
      </rPr>
      <t>1</t>
    </r>
  </si>
  <si>
    <r>
      <t>CARE  NEW  ENGLAND HOSPITALS</t>
    </r>
    <r>
      <rPr>
        <b/>
        <vertAlign val="superscript"/>
        <sz val="13"/>
        <color indexed="9"/>
        <rFont val="Arial"/>
        <family val="2"/>
      </rPr>
      <t>1</t>
    </r>
  </si>
  <si>
    <r>
      <t>ALL  RI  HOSPITALS</t>
    </r>
    <r>
      <rPr>
        <b/>
        <vertAlign val="superscript"/>
        <sz val="13"/>
        <color indexed="9"/>
        <rFont val="Arial"/>
        <family val="2"/>
      </rPr>
      <t>1</t>
    </r>
  </si>
  <si>
    <t>Net Assets</t>
  </si>
  <si>
    <t>SOUTH COUNTY HOSPITAL SYSTEM</t>
  </si>
  <si>
    <t>Statewide Hospital Data</t>
  </si>
  <si>
    <t>Table of Contents</t>
  </si>
  <si>
    <t>I.</t>
  </si>
  <si>
    <t>II.</t>
  </si>
  <si>
    <t>STATEWIDE HOSPITAL DATA………...……………………...…………………………….…………………</t>
  </si>
  <si>
    <t>A.</t>
  </si>
  <si>
    <t>B.</t>
  </si>
  <si>
    <t>C.</t>
  </si>
  <si>
    <t>D.</t>
  </si>
  <si>
    <t>Care New England Hospitals…………………….…………...………………….….……………..</t>
  </si>
  <si>
    <t>E.</t>
  </si>
  <si>
    <t>F.</t>
  </si>
  <si>
    <t>G.</t>
  </si>
  <si>
    <t>INDIVIDUAL HOSPITAL DATA…………………...…………………………….…………………</t>
  </si>
  <si>
    <t>Butler Hospital…………..………………………………...….………………..</t>
  </si>
  <si>
    <t>Landmark Medical Center…………..…………………...…………….………………..</t>
  </si>
  <si>
    <t>Miriam Hospital…………..……………………………………..….………………..</t>
  </si>
  <si>
    <t>Newport Hospital…………..……………………………….…….………………..</t>
  </si>
  <si>
    <t>Rhode Island Hospital…………..………………………...………….………………..</t>
  </si>
  <si>
    <t>J.</t>
  </si>
  <si>
    <t>Roger Williams Hospital…………..……………………….…………….………………..</t>
  </si>
  <si>
    <t>K.</t>
  </si>
  <si>
    <t>L.</t>
  </si>
  <si>
    <t>St. Joseph Health Services…………..…………………..……………….………………..</t>
  </si>
  <si>
    <t>M.</t>
  </si>
  <si>
    <t>Westerly Hospital…………..……………………………….…….………………..</t>
  </si>
  <si>
    <t>N.</t>
  </si>
  <si>
    <t>Women &amp; Infants Hospital…………..………………….……………….………………..</t>
  </si>
  <si>
    <t>Rhode Island Department of Health</t>
  </si>
  <si>
    <t>Individual Hospital Data</t>
  </si>
  <si>
    <t>All RI Hospitals………………………...…………….………………..</t>
  </si>
  <si>
    <t>Lifespan RI Hospitals…………………………………….……….……...…………..</t>
  </si>
  <si>
    <t>Bradley Hospital………………………....……………………….………………..</t>
  </si>
  <si>
    <t>Kent Hospital…………..…………..…………………….………………..</t>
  </si>
  <si>
    <t>Memorial Hospital…………..……………………………...…….………………..</t>
  </si>
  <si>
    <t>South County Hospital System…………..………………………...………….………………..</t>
  </si>
  <si>
    <t>Patricia A. Nolan, MD, MPH</t>
  </si>
  <si>
    <t xml:space="preserve">    Director of Health</t>
  </si>
  <si>
    <t xml:space="preserve">    Governor</t>
  </si>
  <si>
    <t>Total Investments (@ Market)</t>
  </si>
  <si>
    <t>Last Updated:</t>
  </si>
  <si>
    <t>BUTLER  HOSPITAL</t>
  </si>
  <si>
    <t>Total Operating Expenses</t>
  </si>
  <si>
    <t>Source:  Audited Financial Statements</t>
  </si>
  <si>
    <t>TA (6) and NA (10) restated in '99 to reflect the Hospital's interest in the Foundation's net assets</t>
  </si>
  <si>
    <t>all amounts are aggregates (i.e., totals)</t>
  </si>
  <si>
    <r>
      <t>1</t>
    </r>
    <r>
      <rPr>
        <i/>
        <sz val="10"/>
        <rFont val="Arial"/>
        <family val="2"/>
      </rPr>
      <t xml:space="preserve">  Includes all non-governmental hospitals: Bradley, Butler, Kent, Landmark, Memorial, Miriam, Newport, Rehab Hospital, RIH, Roger Williams, South County, St. Joseph, Westerly, and W&amp;I</t>
    </r>
  </si>
  <si>
    <r>
      <t>1</t>
    </r>
    <r>
      <rPr>
        <i/>
        <sz val="10"/>
        <rFont val="Arial"/>
        <family val="2"/>
      </rPr>
      <t xml:space="preserve">  Includes: Butler, Kent, and Women &amp; Infants (Care New England was established in 02/96)</t>
    </r>
  </si>
  <si>
    <t>Bruce Cryan, Office of Performance Measurement, brucec@doh.state.ri.us, (401) 222-5123</t>
  </si>
  <si>
    <r>
      <t>1</t>
    </r>
    <r>
      <rPr>
        <i/>
        <sz val="10"/>
        <rFont val="Arial"/>
        <family val="2"/>
      </rPr>
      <t xml:space="preserve">  Includes Landmark's wholly owned subsidiary, Rehabilitation Hospital of RI</t>
    </r>
  </si>
  <si>
    <r>
      <t>1</t>
    </r>
    <r>
      <rPr>
        <i/>
        <sz val="10"/>
        <rFont val="Arial"/>
        <family val="2"/>
      </rPr>
      <t xml:space="preserve"> Includes: Bradley, Miriam, Newport, and Rhode Island Hospital (Lifespan was established in 07/94)</t>
    </r>
  </si>
  <si>
    <t>Donald L. Carcieri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</si>
</sst>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164" formatCode="0_)"/>
    <numFmt numFmtId="166" formatCode="0.0%"/>
    <numFmt numFmtId="171" formatCode="&quot;$&quot;#,##0.0_);\(&quot;$&quot;#,##0.0\)"/>
    <numFmt numFmtId="185" formatCode="0.0"/>
  </numFmts>
  <fonts count="32" x14ac:knownFonts="1">
    <font>
      <sz val="10"/>
      <name val="Arial"/>
    </font>
    <font>
      <sz val="10"/>
      <name val="Arial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vertAlign val="superscript"/>
      <sz val="9"/>
      <name val="Arial"/>
      <family val="2"/>
    </font>
    <font>
      <b/>
      <sz val="14"/>
      <color indexed="9"/>
      <name val="Arial"/>
      <family val="2"/>
    </font>
    <font>
      <b/>
      <sz val="13"/>
      <color indexed="9"/>
      <name val="Arial"/>
      <family val="2"/>
    </font>
    <font>
      <b/>
      <vertAlign val="superscript"/>
      <sz val="13"/>
      <color indexed="9"/>
      <name val="Arial"/>
      <family val="2"/>
    </font>
    <font>
      <sz val="13"/>
      <color indexed="9"/>
      <name val="Arial"/>
      <family val="2"/>
    </font>
    <font>
      <sz val="13"/>
      <name val="Arial"/>
      <family val="2"/>
    </font>
    <font>
      <b/>
      <i/>
      <sz val="2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b/>
      <i/>
      <sz val="22"/>
      <name val="Arial"/>
      <family val="2"/>
    </font>
    <font>
      <b/>
      <sz val="20"/>
      <name val="Times New Roman"/>
      <family val="1"/>
    </font>
    <font>
      <b/>
      <sz val="14"/>
      <name val="Times New Roman"/>
      <family val="1"/>
    </font>
    <font>
      <b/>
      <i/>
      <sz val="14"/>
      <name val="Times New Roman"/>
      <family val="1"/>
    </font>
    <font>
      <sz val="8"/>
      <name val="Arial"/>
      <family val="2"/>
    </font>
    <font>
      <sz val="15"/>
      <name val="Arial"/>
      <family val="2"/>
    </font>
    <font>
      <b/>
      <i/>
      <sz val="15"/>
      <color indexed="9"/>
      <name val="Arial"/>
      <family val="2"/>
    </font>
    <font>
      <i/>
      <sz val="15"/>
      <color indexed="9"/>
      <name val="Arial"/>
      <family val="2"/>
    </font>
    <font>
      <i/>
      <vertAlign val="superscript"/>
      <sz val="10"/>
      <name val="Arial"/>
      <family val="2"/>
    </font>
    <font>
      <sz val="1"/>
      <name val="Arial"/>
      <family val="2"/>
    </font>
    <font>
      <b/>
      <i/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/>
    <xf numFmtId="0" fontId="5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12" fillId="0" borderId="0" xfId="0" quotePrefix="1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5" fontId="8" fillId="0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5" fontId="0" fillId="0" borderId="0" xfId="0" applyNumberFormat="1" applyAlignment="1" applyProtection="1">
      <alignment vertical="center"/>
    </xf>
    <xf numFmtId="0" fontId="10" fillId="0" borderId="0" xfId="0" applyFont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/>
    <xf numFmtId="0" fontId="19" fillId="0" borderId="0" xfId="0" applyFont="1"/>
    <xf numFmtId="0" fontId="20" fillId="0" borderId="0" xfId="0" applyFont="1"/>
    <xf numFmtId="0" fontId="6" fillId="0" borderId="0" xfId="0" applyFont="1"/>
    <xf numFmtId="0" fontId="21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Alignment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Fill="1" applyBorder="1" applyAlignment="1">
      <alignment horizontal="right" vertical="center"/>
    </xf>
    <xf numFmtId="5" fontId="5" fillId="2" borderId="6" xfId="0" applyNumberFormat="1" applyFont="1" applyFill="1" applyBorder="1" applyAlignment="1" applyProtection="1">
      <alignment vertical="center"/>
    </xf>
    <xf numFmtId="5" fontId="5" fillId="2" borderId="7" xfId="0" applyNumberFormat="1" applyFont="1" applyFill="1" applyBorder="1" applyAlignment="1" applyProtection="1">
      <alignment vertical="center"/>
    </xf>
    <xf numFmtId="5" fontId="5" fillId="2" borderId="8" xfId="0" applyNumberFormat="1" applyFont="1" applyFill="1" applyBorder="1" applyAlignment="1" applyProtection="1">
      <alignment vertical="center"/>
    </xf>
    <xf numFmtId="5" fontId="5" fillId="0" borderId="9" xfId="0" applyNumberFormat="1" applyFont="1" applyFill="1" applyBorder="1" applyAlignment="1" applyProtection="1">
      <alignment vertical="center"/>
    </xf>
    <xf numFmtId="5" fontId="5" fillId="0" borderId="10" xfId="0" applyNumberFormat="1" applyFont="1" applyFill="1" applyBorder="1" applyAlignment="1" applyProtection="1">
      <alignment vertical="center"/>
    </xf>
    <xf numFmtId="5" fontId="5" fillId="0" borderId="11" xfId="0" applyNumberFormat="1" applyFont="1" applyFill="1" applyBorder="1" applyAlignment="1" applyProtection="1">
      <alignment vertical="center"/>
    </xf>
    <xf numFmtId="5" fontId="5" fillId="2" borderId="9" xfId="0" applyNumberFormat="1" applyFont="1" applyFill="1" applyBorder="1" applyAlignment="1" applyProtection="1">
      <alignment vertical="center"/>
    </xf>
    <xf numFmtId="5" fontId="5" fillId="2" borderId="10" xfId="0" applyNumberFormat="1" applyFont="1" applyFill="1" applyBorder="1" applyAlignment="1" applyProtection="1">
      <alignment vertical="center"/>
    </xf>
    <xf numFmtId="5" fontId="5" fillId="2" borderId="11" xfId="0" applyNumberFormat="1" applyFont="1" applyFill="1" applyBorder="1" applyAlignment="1" applyProtection="1">
      <alignment vertical="center"/>
    </xf>
    <xf numFmtId="5" fontId="5" fillId="0" borderId="10" xfId="0" applyNumberFormat="1" applyFont="1" applyFill="1" applyBorder="1" applyAlignment="1">
      <alignment vertical="center"/>
    </xf>
    <xf numFmtId="5" fontId="5" fillId="2" borderId="10" xfId="0" applyNumberFormat="1" applyFont="1" applyFill="1" applyBorder="1" applyAlignment="1">
      <alignment vertical="center"/>
    </xf>
    <xf numFmtId="5" fontId="5" fillId="2" borderId="12" xfId="0" applyNumberFormat="1" applyFont="1" applyFill="1" applyBorder="1" applyAlignment="1" applyProtection="1">
      <alignment vertical="center"/>
    </xf>
    <xf numFmtId="5" fontId="5" fillId="2" borderId="13" xfId="0" applyNumberFormat="1" applyFont="1" applyFill="1" applyBorder="1" applyAlignment="1" applyProtection="1">
      <alignment vertical="center"/>
    </xf>
    <xf numFmtId="5" fontId="5" fillId="2" borderId="14" xfId="0" applyNumberFormat="1" applyFont="1" applyFill="1" applyBorder="1" applyAlignment="1" applyProtection="1">
      <alignment vertical="center"/>
    </xf>
    <xf numFmtId="5" fontId="5" fillId="0" borderId="11" xfId="0" applyNumberFormat="1" applyFont="1" applyFill="1" applyBorder="1" applyAlignment="1">
      <alignment vertical="center"/>
    </xf>
    <xf numFmtId="5" fontId="5" fillId="2" borderId="9" xfId="0" applyNumberFormat="1" applyFont="1" applyFill="1" applyBorder="1" applyAlignment="1">
      <alignment vertical="center"/>
    </xf>
    <xf numFmtId="5" fontId="5" fillId="0" borderId="9" xfId="0" applyNumberFormat="1" applyFont="1" applyFill="1" applyBorder="1" applyAlignment="1">
      <alignment vertical="center"/>
    </xf>
    <xf numFmtId="37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185" fontId="0" fillId="0" borderId="0" xfId="0" applyNumberFormat="1" applyFill="1" applyAlignment="1">
      <alignment vertical="center"/>
    </xf>
    <xf numFmtId="1" fontId="0" fillId="0" borderId="0" xfId="0" applyNumberFormat="1" applyFill="1" applyAlignment="1">
      <alignment vertical="center"/>
    </xf>
    <xf numFmtId="5" fontId="0" fillId="0" borderId="0" xfId="0" applyNumberFormat="1" applyFill="1" applyAlignment="1">
      <alignment vertical="center"/>
    </xf>
    <xf numFmtId="0" fontId="6" fillId="0" borderId="0" xfId="0" applyFont="1" applyAlignment="1">
      <alignment vertical="center"/>
    </xf>
    <xf numFmtId="0" fontId="29" fillId="0" borderId="0" xfId="0" quotePrefix="1" applyFont="1" applyAlignment="1">
      <alignment vertical="center"/>
    </xf>
    <xf numFmtId="0" fontId="11" fillId="0" borderId="0" xfId="0" applyFont="1" applyAlignment="1">
      <alignment vertical="center"/>
    </xf>
    <xf numFmtId="166" fontId="6" fillId="0" borderId="0" xfId="0" applyNumberFormat="1" applyFont="1" applyAlignment="1">
      <alignment vertical="center"/>
    </xf>
    <xf numFmtId="0" fontId="0" fillId="0" borderId="0" xfId="0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2" fontId="0" fillId="0" borderId="0" xfId="0" applyNumberFormat="1" applyFill="1" applyAlignment="1">
      <alignment vertical="center"/>
    </xf>
    <xf numFmtId="166" fontId="0" fillId="0" borderId="0" xfId="1" applyNumberFormat="1" applyFont="1" applyFill="1" applyAlignment="1">
      <alignment vertical="center"/>
    </xf>
    <xf numFmtId="166" fontId="0" fillId="0" borderId="0" xfId="0" applyNumberFormat="1" applyFill="1" applyAlignment="1">
      <alignment vertical="center"/>
    </xf>
    <xf numFmtId="5" fontId="5" fillId="2" borderId="11" xfId="0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quotePrefix="1" applyAlignment="1">
      <alignment horizontal="center" vertical="center"/>
    </xf>
    <xf numFmtId="0" fontId="25" fillId="0" borderId="0" xfId="0" applyFont="1" applyAlignment="1">
      <alignment vertical="center"/>
    </xf>
    <xf numFmtId="171" fontId="5" fillId="0" borderId="9" xfId="0" applyNumberFormat="1" applyFont="1" applyFill="1" applyBorder="1" applyAlignment="1" applyProtection="1">
      <alignment vertical="center"/>
    </xf>
    <xf numFmtId="171" fontId="5" fillId="0" borderId="10" xfId="0" applyNumberFormat="1" applyFont="1" applyFill="1" applyBorder="1" applyAlignment="1" applyProtection="1">
      <alignment vertical="center"/>
    </xf>
    <xf numFmtId="171" fontId="5" fillId="0" borderId="11" xfId="0" applyNumberFormat="1" applyFont="1" applyFill="1" applyBorder="1" applyAlignment="1" applyProtection="1">
      <alignment vertical="center"/>
    </xf>
    <xf numFmtId="0" fontId="6" fillId="0" borderId="0" xfId="0" applyFont="1" applyAlignment="1">
      <alignment horizontal="left" vertical="center"/>
    </xf>
    <xf numFmtId="171" fontId="5" fillId="2" borderId="10" xfId="0" applyNumberFormat="1" applyFont="1" applyFill="1" applyBorder="1" applyAlignment="1" applyProtection="1">
      <alignment vertical="center"/>
    </xf>
    <xf numFmtId="171" fontId="5" fillId="2" borderId="11" xfId="0" applyNumberFormat="1" applyFont="1" applyFill="1" applyBorder="1" applyAlignment="1" applyProtection="1">
      <alignment vertical="center"/>
    </xf>
    <xf numFmtId="171" fontId="5" fillId="2" borderId="13" xfId="0" applyNumberFormat="1" applyFont="1" applyFill="1" applyBorder="1" applyAlignment="1" applyProtection="1">
      <alignment vertical="center"/>
    </xf>
    <xf numFmtId="171" fontId="5" fillId="2" borderId="14" xfId="0" applyNumberFormat="1" applyFont="1" applyFill="1" applyBorder="1" applyAlignment="1" applyProtection="1">
      <alignment vertical="center"/>
    </xf>
    <xf numFmtId="171" fontId="5" fillId="2" borderId="9" xfId="0" applyNumberFormat="1" applyFont="1" applyFill="1" applyBorder="1" applyAlignment="1" applyProtection="1">
      <alignment vertical="center"/>
    </xf>
    <xf numFmtId="0" fontId="29" fillId="0" borderId="0" xfId="0" quotePrefix="1" applyFont="1" applyAlignment="1">
      <alignment horizontal="left" vertical="center"/>
    </xf>
    <xf numFmtId="171" fontId="5" fillId="2" borderId="12" xfId="0" applyNumberFormat="1" applyFont="1" applyFill="1" applyBorder="1" applyAlignment="1" applyProtection="1">
      <alignment vertical="center"/>
    </xf>
    <xf numFmtId="0" fontId="30" fillId="0" borderId="0" xfId="0" applyFont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15" fontId="27" fillId="3" borderId="0" xfId="0" applyNumberFormat="1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31" fillId="3" borderId="2" xfId="0" applyFont="1" applyFill="1" applyBorder="1" applyAlignment="1">
      <alignment horizontal="center" vertical="center" wrapText="1"/>
    </xf>
    <xf numFmtId="0" fontId="31" fillId="3" borderId="3" xfId="0" applyFont="1" applyFill="1" applyBorder="1" applyAlignment="1">
      <alignment horizontal="center" vertical="center" wrapText="1"/>
    </xf>
    <xf numFmtId="0" fontId="31" fillId="3" borderId="15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31" fillId="3" borderId="0" xfId="0" applyFont="1" applyFill="1" applyBorder="1" applyAlignment="1">
      <alignment horizontal="center" vertical="center" wrapText="1"/>
    </xf>
    <xf numFmtId="0" fontId="31" fillId="3" borderId="16" xfId="0" applyFont="1" applyFill="1" applyBorder="1" applyAlignment="1">
      <alignment horizontal="center" vertical="center" wrapText="1"/>
    </xf>
    <xf numFmtId="0" fontId="31" fillId="3" borderId="4" xfId="0" applyFont="1" applyFill="1" applyBorder="1" applyAlignment="1">
      <alignment horizontal="center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31" fillId="3" borderId="17" xfId="0" applyFont="1" applyFill="1" applyBorder="1" applyAlignment="1">
      <alignment horizontal="center" vertical="center" wrapText="1"/>
    </xf>
    <xf numFmtId="0" fontId="0" fillId="3" borderId="0" xfId="0" applyFill="1" applyAlignment="1"/>
    <xf numFmtId="0" fontId="18" fillId="2" borderId="0" xfId="0" applyFont="1" applyFill="1" applyAlignment="1">
      <alignment horizontal="left" vertical="center" indent="4"/>
    </xf>
    <xf numFmtId="164" fontId="4" fillId="0" borderId="8" xfId="0" applyNumberFormat="1" applyFont="1" applyBorder="1" applyAlignment="1" applyProtection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29" fillId="0" borderId="0" xfId="0" quotePrefix="1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164" fontId="4" fillId="0" borderId="7" xfId="0" applyNumberFormat="1" applyFont="1" applyBorder="1" applyAlignment="1" applyProtection="1">
      <alignment horizontal="right" vertical="center"/>
    </xf>
    <xf numFmtId="0" fontId="4" fillId="0" borderId="13" xfId="0" applyFont="1" applyBorder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164" fontId="4" fillId="0" borderId="6" xfId="0" applyNumberFormat="1" applyFont="1" applyBorder="1" applyAlignment="1" applyProtection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14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17" fillId="3" borderId="3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0</xdr:row>
      <xdr:rowOff>0</xdr:rowOff>
    </xdr:from>
    <xdr:to>
      <xdr:col>5</xdr:col>
      <xdr:colOff>30480</xdr:colOff>
      <xdr:row>0</xdr:row>
      <xdr:rowOff>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F098CF7E-CC41-B942-7551-7203C69C9E8F}"/>
            </a:ext>
          </a:extLst>
        </xdr:cNvPr>
        <xdr:cNvSpPr>
          <a:spLocks noChangeShapeType="1"/>
        </xdr:cNvSpPr>
      </xdr:nvSpPr>
      <xdr:spPr bwMode="auto">
        <a:xfrm flipH="1" flipV="1">
          <a:off x="1767840" y="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182880</xdr:colOff>
      <xdr:row>0</xdr:row>
      <xdr:rowOff>0</xdr:rowOff>
    </xdr:from>
    <xdr:to>
      <xdr:col>5</xdr:col>
      <xdr:colOff>182880</xdr:colOff>
      <xdr:row>0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5733C08E-DD60-BF43-739B-539F8A5C2FE2}"/>
            </a:ext>
          </a:extLst>
        </xdr:cNvPr>
        <xdr:cNvSpPr>
          <a:spLocks noChangeShapeType="1"/>
        </xdr:cNvSpPr>
      </xdr:nvSpPr>
      <xdr:spPr bwMode="auto">
        <a:xfrm flipV="1">
          <a:off x="195072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45720</xdr:colOff>
      <xdr:row>0</xdr:row>
      <xdr:rowOff>0</xdr:rowOff>
    </xdr:from>
    <xdr:to>
      <xdr:col>5</xdr:col>
      <xdr:colOff>76200</xdr:colOff>
      <xdr:row>0</xdr:row>
      <xdr:rowOff>0</xdr:rowOff>
    </xdr:to>
    <xdr:sp macro="" textlink="">
      <xdr:nvSpPr>
        <xdr:cNvPr id="1027" name="WordArt 3">
          <a:extLst>
            <a:ext uri="{FF2B5EF4-FFF2-40B4-BE49-F238E27FC236}">
              <a16:creationId xmlns:a16="http://schemas.microsoft.com/office/drawing/2014/main" id="{FE2E4189-7028-906F-20F9-B052594C933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5720" y="0"/>
          <a:ext cx="179832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2400" i="1" kern="10" spc="0">
              <a:ln w="25400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CCFFFF" mc:Ignorable="a14" a14:legacySpreadsheetColorIndex="41"/>
              </a:solidFill>
              <a:effectLst>
                <a:outerShdw dist="35921" dir="2700000" algn="ctr" rotWithShape="0">
                  <a:srgbClr val="990000"/>
                </a:outerShdw>
              </a:effectLst>
              <a:latin typeface="Impact" panose="020B0806030902050204" pitchFamily="34" charset="0"/>
            </a:rPr>
            <a:t>2001</a:t>
          </a:r>
        </a:p>
      </xdr:txBody>
    </xdr:sp>
    <xdr:clientData/>
  </xdr:twoCellAnchor>
  <xdr:twoCellAnchor>
    <xdr:from>
      <xdr:col>0</xdr:col>
      <xdr:colOff>60960</xdr:colOff>
      <xdr:row>0</xdr:row>
      <xdr:rowOff>0</xdr:rowOff>
    </xdr:from>
    <xdr:to>
      <xdr:col>16</xdr:col>
      <xdr:colOff>251460</xdr:colOff>
      <xdr:row>0</xdr:row>
      <xdr:rowOff>0</xdr:rowOff>
    </xdr:to>
    <xdr:sp macro="" textlink="">
      <xdr:nvSpPr>
        <xdr:cNvPr id="1028" name="WordArt 4">
          <a:extLst>
            <a:ext uri="{FF2B5EF4-FFF2-40B4-BE49-F238E27FC236}">
              <a16:creationId xmlns:a16="http://schemas.microsoft.com/office/drawing/2014/main" id="{E642332A-2D91-F690-B64E-AD1B5F74F3A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60960" y="0"/>
          <a:ext cx="581406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25400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CCFFFF" mc:Ignorable="a14" a14:legacySpreadsheetColorIndex="41"/>
              </a:solidFill>
              <a:effectLst>
                <a:outerShdw dist="35921" dir="2700000" algn="ctr" rotWithShape="0">
                  <a:srgbClr val="990000"/>
                </a:outerShdw>
              </a:effectLst>
              <a:latin typeface="Impact" panose="020B0806030902050204" pitchFamily="34" charset="0"/>
            </a:rPr>
            <a:t>Hospital  Financial  Operations  Dataset</a:t>
          </a:r>
        </a:p>
      </xdr:txBody>
    </xdr:sp>
    <xdr:clientData/>
  </xdr:twoCellAnchor>
  <xdr:twoCellAnchor>
    <xdr:from>
      <xdr:col>4</xdr:col>
      <xdr:colOff>160020</xdr:colOff>
      <xdr:row>0</xdr:row>
      <xdr:rowOff>0</xdr:rowOff>
    </xdr:from>
    <xdr:to>
      <xdr:col>7</xdr:col>
      <xdr:colOff>175260</xdr:colOff>
      <xdr:row>0</xdr:row>
      <xdr:rowOff>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A276868E-82DB-41FB-995B-01A1959E9B5E}"/>
            </a:ext>
          </a:extLst>
        </xdr:cNvPr>
        <xdr:cNvSpPr>
          <a:spLocks noChangeArrowheads="1"/>
        </xdr:cNvSpPr>
      </xdr:nvSpPr>
      <xdr:spPr bwMode="auto">
        <a:xfrm>
          <a:off x="1562100" y="0"/>
          <a:ext cx="1082040" cy="0"/>
        </a:xfrm>
        <a:prstGeom prst="rtTriangle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</xdr:colOff>
      <xdr:row>0</xdr:row>
      <xdr:rowOff>0</xdr:rowOff>
    </xdr:from>
    <xdr:to>
      <xdr:col>2</xdr:col>
      <xdr:colOff>175260</xdr:colOff>
      <xdr:row>0</xdr:row>
      <xdr:rowOff>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CCAC04B0-B516-2A1F-2B3B-9BBC22EA1ED1}"/>
            </a:ext>
          </a:extLst>
        </xdr:cNvPr>
        <xdr:cNvSpPr>
          <a:spLocks noChangeShapeType="1"/>
        </xdr:cNvSpPr>
      </xdr:nvSpPr>
      <xdr:spPr bwMode="auto">
        <a:xfrm flipV="1">
          <a:off x="358140" y="0"/>
          <a:ext cx="518160" cy="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</xdr:colOff>
      <xdr:row>0</xdr:row>
      <xdr:rowOff>0</xdr:rowOff>
    </xdr:from>
    <xdr:to>
      <xdr:col>4</xdr:col>
      <xdr:colOff>22860</xdr:colOff>
      <xdr:row>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F94A1406-D181-F2E4-F70B-9A6B7FC4ED04}"/>
            </a:ext>
          </a:extLst>
        </xdr:cNvPr>
        <xdr:cNvSpPr>
          <a:spLocks noChangeShapeType="1"/>
        </xdr:cNvSpPr>
      </xdr:nvSpPr>
      <xdr:spPr bwMode="auto">
        <a:xfrm flipV="1">
          <a:off x="1097280" y="0"/>
          <a:ext cx="327660" cy="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198120</xdr:colOff>
      <xdr:row>0</xdr:row>
      <xdr:rowOff>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890BDC2C-EDCC-0E9B-6B2F-0CEE5C3864E2}"/>
            </a:ext>
          </a:extLst>
        </xdr:cNvPr>
        <xdr:cNvSpPr>
          <a:spLocks noChangeShapeType="1"/>
        </xdr:cNvSpPr>
      </xdr:nvSpPr>
      <xdr:spPr bwMode="auto">
        <a:xfrm>
          <a:off x="3520440" y="0"/>
          <a:ext cx="548640" cy="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342900</xdr:colOff>
      <xdr:row>0</xdr:row>
      <xdr:rowOff>0</xdr:rowOff>
    </xdr:from>
    <xdr:to>
      <xdr:col>12</xdr:col>
      <xdr:colOff>289560</xdr:colOff>
      <xdr:row>0</xdr:row>
      <xdr:rowOff>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873FB618-744C-5073-EFDC-F2D14773A7E1}"/>
            </a:ext>
          </a:extLst>
        </xdr:cNvPr>
        <xdr:cNvSpPr>
          <a:spLocks noChangeShapeType="1"/>
        </xdr:cNvSpPr>
      </xdr:nvSpPr>
      <xdr:spPr bwMode="auto">
        <a:xfrm>
          <a:off x="4213860" y="0"/>
          <a:ext cx="297180" cy="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320040</xdr:colOff>
      <xdr:row>0</xdr:row>
      <xdr:rowOff>0</xdr:rowOff>
    </xdr:from>
    <xdr:to>
      <xdr:col>13</xdr:col>
      <xdr:colOff>342900</xdr:colOff>
      <xdr:row>0</xdr:row>
      <xdr:rowOff>0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58FD7216-DAEA-1F43-1450-417A7D624B1C}"/>
            </a:ext>
          </a:extLst>
        </xdr:cNvPr>
        <xdr:cNvSpPr>
          <a:spLocks noChangeShapeType="1"/>
        </xdr:cNvSpPr>
      </xdr:nvSpPr>
      <xdr:spPr bwMode="auto">
        <a:xfrm flipV="1">
          <a:off x="4541520" y="0"/>
          <a:ext cx="373380" cy="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99060</xdr:colOff>
      <xdr:row>0</xdr:row>
      <xdr:rowOff>0</xdr:rowOff>
    </xdr:from>
    <xdr:to>
      <xdr:col>15</xdr:col>
      <xdr:colOff>342900</xdr:colOff>
      <xdr:row>0</xdr:row>
      <xdr:rowOff>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E4C6671B-AC07-23A0-DF42-D3C54D22806D}"/>
            </a:ext>
          </a:extLst>
        </xdr:cNvPr>
        <xdr:cNvSpPr>
          <a:spLocks noChangeShapeType="1"/>
        </xdr:cNvSpPr>
      </xdr:nvSpPr>
      <xdr:spPr bwMode="auto">
        <a:xfrm flipV="1">
          <a:off x="5021580" y="0"/>
          <a:ext cx="594360" cy="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22860</xdr:colOff>
      <xdr:row>0</xdr:row>
      <xdr:rowOff>0</xdr:rowOff>
    </xdr:from>
    <xdr:to>
      <xdr:col>7</xdr:col>
      <xdr:colOff>7620</xdr:colOff>
      <xdr:row>0</xdr:row>
      <xdr:rowOff>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7B05B80C-51FE-05DA-238E-3D54DA9295AD}"/>
            </a:ext>
          </a:extLst>
        </xdr:cNvPr>
        <xdr:cNvSpPr>
          <a:spLocks noChangeShapeType="1"/>
        </xdr:cNvSpPr>
      </xdr:nvSpPr>
      <xdr:spPr bwMode="auto">
        <a:xfrm>
          <a:off x="1424940" y="0"/>
          <a:ext cx="1051560" cy="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0</xdr:row>
      <xdr:rowOff>0</xdr:rowOff>
    </xdr:from>
    <xdr:to>
      <xdr:col>10</xdr:col>
      <xdr:colOff>7620</xdr:colOff>
      <xdr:row>0</xdr:row>
      <xdr:rowOff>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35BBBEB6-9CC3-18B7-3E78-A62064E8BCEC}"/>
            </a:ext>
          </a:extLst>
        </xdr:cNvPr>
        <xdr:cNvSpPr>
          <a:spLocks noChangeShapeType="1"/>
        </xdr:cNvSpPr>
      </xdr:nvSpPr>
      <xdr:spPr bwMode="auto">
        <a:xfrm flipH="1">
          <a:off x="2461260" y="0"/>
          <a:ext cx="1066800" cy="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19</xdr:row>
      <xdr:rowOff>0</xdr:rowOff>
    </xdr:from>
    <xdr:to>
      <xdr:col>5</xdr:col>
      <xdr:colOff>30480</xdr:colOff>
      <xdr:row>19</xdr:row>
      <xdr:rowOff>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242A8628-AF0C-E3BC-5274-715243D95516}"/>
            </a:ext>
          </a:extLst>
        </xdr:cNvPr>
        <xdr:cNvSpPr>
          <a:spLocks noChangeShapeType="1"/>
        </xdr:cNvSpPr>
      </xdr:nvSpPr>
      <xdr:spPr bwMode="auto">
        <a:xfrm flipH="1" flipV="1">
          <a:off x="1767840" y="300990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182880</xdr:colOff>
      <xdr:row>19</xdr:row>
      <xdr:rowOff>0</xdr:rowOff>
    </xdr:from>
    <xdr:to>
      <xdr:col>5</xdr:col>
      <xdr:colOff>182880</xdr:colOff>
      <xdr:row>19</xdr:row>
      <xdr:rowOff>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C22E4BF0-2F6F-7039-1AAB-355600E23D46}"/>
            </a:ext>
          </a:extLst>
        </xdr:cNvPr>
        <xdr:cNvSpPr>
          <a:spLocks noChangeShapeType="1"/>
        </xdr:cNvSpPr>
      </xdr:nvSpPr>
      <xdr:spPr bwMode="auto">
        <a:xfrm flipV="1">
          <a:off x="1950720" y="3009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45720</xdr:colOff>
      <xdr:row>14</xdr:row>
      <xdr:rowOff>114300</xdr:rowOff>
    </xdr:from>
    <xdr:to>
      <xdr:col>5</xdr:col>
      <xdr:colOff>76200</xdr:colOff>
      <xdr:row>18</xdr:row>
      <xdr:rowOff>68580</xdr:rowOff>
    </xdr:to>
    <xdr:sp macro="" textlink="">
      <xdr:nvSpPr>
        <xdr:cNvPr id="1040" name="WordArt 16">
          <a:extLst>
            <a:ext uri="{FF2B5EF4-FFF2-40B4-BE49-F238E27FC236}">
              <a16:creationId xmlns:a16="http://schemas.microsoft.com/office/drawing/2014/main" id="{136884B3-EF60-0E8E-BB8C-78215A8076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5720" y="2461260"/>
          <a:ext cx="1798320" cy="44958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2400" i="1" kern="10" spc="0">
              <a:ln w="25400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CCFFFF" mc:Ignorable="a14" a14:legacySpreadsheetColorIndex="41"/>
              </a:solidFill>
              <a:effectLst>
                <a:outerShdw dist="107763" dir="18900000" algn="ctr" rotWithShape="0">
                  <a:srgbClr val="990000"/>
                </a:outerShdw>
              </a:effectLst>
              <a:latin typeface="Impact" panose="020B0806030902050204" pitchFamily="34" charset="0"/>
            </a:rPr>
            <a:t>2002</a:t>
          </a:r>
        </a:p>
      </xdr:txBody>
    </xdr:sp>
    <xdr:clientData/>
  </xdr:twoCellAnchor>
  <xdr:twoCellAnchor>
    <xdr:from>
      <xdr:col>0</xdr:col>
      <xdr:colOff>60960</xdr:colOff>
      <xdr:row>19</xdr:row>
      <xdr:rowOff>22860</xdr:rowOff>
    </xdr:from>
    <xdr:to>
      <xdr:col>16</xdr:col>
      <xdr:colOff>251460</xdr:colOff>
      <xdr:row>23</xdr:row>
      <xdr:rowOff>22860</xdr:rowOff>
    </xdr:to>
    <xdr:sp macro="" textlink="">
      <xdr:nvSpPr>
        <xdr:cNvPr id="1041" name="WordArt 17">
          <a:extLst>
            <a:ext uri="{FF2B5EF4-FFF2-40B4-BE49-F238E27FC236}">
              <a16:creationId xmlns:a16="http://schemas.microsoft.com/office/drawing/2014/main" id="{9277C425-7F98-4AB3-762A-5F92FFF82F3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60960" y="3032760"/>
          <a:ext cx="5814060" cy="67056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25400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CCFFFF" mc:Ignorable="a14" a14:legacySpreadsheetColorIndex="41"/>
              </a:solidFill>
              <a:effectLst>
                <a:outerShdw dist="35921" dir="2700000" algn="ctr" rotWithShape="0">
                  <a:srgbClr val="990000"/>
                </a:outerShdw>
              </a:effectLst>
              <a:latin typeface="Impact" panose="020B0806030902050204" pitchFamily="34" charset="0"/>
            </a:rPr>
            <a:t>Hospital  Financial  Dataset</a:t>
          </a:r>
        </a:p>
      </xdr:txBody>
    </xdr:sp>
    <xdr:clientData/>
  </xdr:twoCellAnchor>
  <xdr:twoCellAnchor>
    <xdr:from>
      <xdr:col>4</xdr:col>
      <xdr:colOff>160020</xdr:colOff>
      <xdr:row>45</xdr:row>
      <xdr:rowOff>144780</xdr:rowOff>
    </xdr:from>
    <xdr:to>
      <xdr:col>7</xdr:col>
      <xdr:colOff>175260</xdr:colOff>
      <xdr:row>52</xdr:row>
      <xdr:rowOff>0</xdr:rowOff>
    </xdr:to>
    <xdr:sp macro="" textlink="">
      <xdr:nvSpPr>
        <xdr:cNvPr id="1042" name="AutoShape 18">
          <a:extLst>
            <a:ext uri="{FF2B5EF4-FFF2-40B4-BE49-F238E27FC236}">
              <a16:creationId xmlns:a16="http://schemas.microsoft.com/office/drawing/2014/main" id="{00DF1E9A-79FC-471A-8150-82AF37905CA4}"/>
            </a:ext>
          </a:extLst>
        </xdr:cNvPr>
        <xdr:cNvSpPr>
          <a:spLocks noChangeArrowheads="1"/>
        </xdr:cNvSpPr>
      </xdr:nvSpPr>
      <xdr:spPr bwMode="auto">
        <a:xfrm>
          <a:off x="1562100" y="7566660"/>
          <a:ext cx="1082040" cy="1097280"/>
        </a:xfrm>
        <a:prstGeom prst="rtTriangle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</xdr:spPr>
    </xdr:sp>
    <xdr:clientData/>
  </xdr:twoCellAnchor>
  <xdr:twoCellAnchor>
    <xdr:from>
      <xdr:col>1</xdr:col>
      <xdr:colOff>7620</xdr:colOff>
      <xdr:row>23</xdr:row>
      <xdr:rowOff>22860</xdr:rowOff>
    </xdr:from>
    <xdr:to>
      <xdr:col>2</xdr:col>
      <xdr:colOff>175260</xdr:colOff>
      <xdr:row>39</xdr:row>
      <xdr:rowOff>7620</xdr:rowOff>
    </xdr:to>
    <xdr:sp macro="" textlink="">
      <xdr:nvSpPr>
        <xdr:cNvPr id="1043" name="Line 19">
          <a:extLst>
            <a:ext uri="{FF2B5EF4-FFF2-40B4-BE49-F238E27FC236}">
              <a16:creationId xmlns:a16="http://schemas.microsoft.com/office/drawing/2014/main" id="{E34019AC-32F1-367F-EDBE-993F8E0C4DF3}"/>
            </a:ext>
          </a:extLst>
        </xdr:cNvPr>
        <xdr:cNvSpPr>
          <a:spLocks noChangeShapeType="1"/>
        </xdr:cNvSpPr>
      </xdr:nvSpPr>
      <xdr:spPr bwMode="auto">
        <a:xfrm flipV="1">
          <a:off x="358140" y="3703320"/>
          <a:ext cx="518160" cy="272034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</xdr:colOff>
      <xdr:row>5</xdr:row>
      <xdr:rowOff>0</xdr:rowOff>
    </xdr:from>
    <xdr:to>
      <xdr:col>4</xdr:col>
      <xdr:colOff>22860</xdr:colOff>
      <xdr:row>14</xdr:row>
      <xdr:rowOff>121920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4CDC1B8F-B80B-9484-8D30-81A57DD3EE17}"/>
            </a:ext>
          </a:extLst>
        </xdr:cNvPr>
        <xdr:cNvSpPr>
          <a:spLocks noChangeShapeType="1"/>
        </xdr:cNvSpPr>
      </xdr:nvSpPr>
      <xdr:spPr bwMode="auto">
        <a:xfrm flipV="1">
          <a:off x="1097280" y="838200"/>
          <a:ext cx="327660" cy="163068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1</xdr:row>
      <xdr:rowOff>68580</xdr:rowOff>
    </xdr:from>
    <xdr:to>
      <xdr:col>11</xdr:col>
      <xdr:colOff>198120</xdr:colOff>
      <xdr:row>18</xdr:row>
      <xdr:rowOff>160020</xdr:rowOff>
    </xdr:to>
    <xdr:sp macro="" textlink="">
      <xdr:nvSpPr>
        <xdr:cNvPr id="1045" name="Line 21">
          <a:extLst>
            <a:ext uri="{FF2B5EF4-FFF2-40B4-BE49-F238E27FC236}">
              <a16:creationId xmlns:a16="http://schemas.microsoft.com/office/drawing/2014/main" id="{833AC677-3C4B-F533-0F63-E120AA047E38}"/>
            </a:ext>
          </a:extLst>
        </xdr:cNvPr>
        <xdr:cNvSpPr>
          <a:spLocks noChangeShapeType="1"/>
        </xdr:cNvSpPr>
      </xdr:nvSpPr>
      <xdr:spPr bwMode="auto">
        <a:xfrm>
          <a:off x="3520440" y="236220"/>
          <a:ext cx="548640" cy="276606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342900</xdr:colOff>
      <xdr:row>23</xdr:row>
      <xdr:rowOff>7620</xdr:rowOff>
    </xdr:from>
    <xdr:to>
      <xdr:col>12</xdr:col>
      <xdr:colOff>289560</xdr:colOff>
      <xdr:row>33</xdr:row>
      <xdr:rowOff>144780</xdr:rowOff>
    </xdr:to>
    <xdr:sp macro="" textlink="">
      <xdr:nvSpPr>
        <xdr:cNvPr id="1046" name="Line 22">
          <a:extLst>
            <a:ext uri="{FF2B5EF4-FFF2-40B4-BE49-F238E27FC236}">
              <a16:creationId xmlns:a16="http://schemas.microsoft.com/office/drawing/2014/main" id="{E93E4B7A-9686-3A6C-20DD-8790D147F69F}"/>
            </a:ext>
          </a:extLst>
        </xdr:cNvPr>
        <xdr:cNvSpPr>
          <a:spLocks noChangeShapeType="1"/>
        </xdr:cNvSpPr>
      </xdr:nvSpPr>
      <xdr:spPr bwMode="auto">
        <a:xfrm>
          <a:off x="4213860" y="3688080"/>
          <a:ext cx="297180" cy="185928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320040</xdr:colOff>
      <xdr:row>23</xdr:row>
      <xdr:rowOff>7620</xdr:rowOff>
    </xdr:from>
    <xdr:to>
      <xdr:col>13</xdr:col>
      <xdr:colOff>342900</xdr:colOff>
      <xdr:row>33</xdr:row>
      <xdr:rowOff>144780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92566EBC-DF98-11E4-4480-94309CCA53CB}"/>
            </a:ext>
          </a:extLst>
        </xdr:cNvPr>
        <xdr:cNvSpPr>
          <a:spLocks noChangeShapeType="1"/>
        </xdr:cNvSpPr>
      </xdr:nvSpPr>
      <xdr:spPr bwMode="auto">
        <a:xfrm flipV="1">
          <a:off x="4541520" y="3688080"/>
          <a:ext cx="373380" cy="185928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99060</xdr:colOff>
      <xdr:row>0</xdr:row>
      <xdr:rowOff>45720</xdr:rowOff>
    </xdr:from>
    <xdr:to>
      <xdr:col>15</xdr:col>
      <xdr:colOff>342900</xdr:colOff>
      <xdr:row>19</xdr:row>
      <xdr:rowOff>60960</xdr:rowOff>
    </xdr:to>
    <xdr:sp macro="" textlink="">
      <xdr:nvSpPr>
        <xdr:cNvPr id="1048" name="Line 24">
          <a:extLst>
            <a:ext uri="{FF2B5EF4-FFF2-40B4-BE49-F238E27FC236}">
              <a16:creationId xmlns:a16="http://schemas.microsoft.com/office/drawing/2014/main" id="{66EF1EC5-1824-17D2-F13B-AA4D46F98A1A}"/>
            </a:ext>
          </a:extLst>
        </xdr:cNvPr>
        <xdr:cNvSpPr>
          <a:spLocks noChangeShapeType="1"/>
        </xdr:cNvSpPr>
      </xdr:nvSpPr>
      <xdr:spPr bwMode="auto">
        <a:xfrm flipV="1">
          <a:off x="5021580" y="45720"/>
          <a:ext cx="594360" cy="302514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22860</xdr:colOff>
      <xdr:row>5</xdr:row>
      <xdr:rowOff>7620</xdr:rowOff>
    </xdr:from>
    <xdr:to>
      <xdr:col>7</xdr:col>
      <xdr:colOff>7620</xdr:colOff>
      <xdr:row>15</xdr:row>
      <xdr:rowOff>7620</xdr:rowOff>
    </xdr:to>
    <xdr:sp macro="" textlink="">
      <xdr:nvSpPr>
        <xdr:cNvPr id="1049" name="Line 25">
          <a:extLst>
            <a:ext uri="{FF2B5EF4-FFF2-40B4-BE49-F238E27FC236}">
              <a16:creationId xmlns:a16="http://schemas.microsoft.com/office/drawing/2014/main" id="{FFF1FB13-C26E-D1F1-6C69-030973BD1994}"/>
            </a:ext>
          </a:extLst>
        </xdr:cNvPr>
        <xdr:cNvSpPr>
          <a:spLocks noChangeShapeType="1"/>
        </xdr:cNvSpPr>
      </xdr:nvSpPr>
      <xdr:spPr bwMode="auto">
        <a:xfrm>
          <a:off x="1424940" y="845820"/>
          <a:ext cx="1051560" cy="166878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1</xdr:row>
      <xdr:rowOff>99060</xdr:rowOff>
    </xdr:from>
    <xdr:to>
      <xdr:col>10</xdr:col>
      <xdr:colOff>7620</xdr:colOff>
      <xdr:row>15</xdr:row>
      <xdr:rowOff>22860</xdr:rowOff>
    </xdr:to>
    <xdr:sp macro="" textlink="">
      <xdr:nvSpPr>
        <xdr:cNvPr id="1050" name="Line 26">
          <a:extLst>
            <a:ext uri="{FF2B5EF4-FFF2-40B4-BE49-F238E27FC236}">
              <a16:creationId xmlns:a16="http://schemas.microsoft.com/office/drawing/2014/main" id="{2132EFF7-CA6B-FB5C-8F25-3A210071273C}"/>
            </a:ext>
          </a:extLst>
        </xdr:cNvPr>
        <xdr:cNvSpPr>
          <a:spLocks noChangeShapeType="1"/>
        </xdr:cNvSpPr>
      </xdr:nvSpPr>
      <xdr:spPr bwMode="auto">
        <a:xfrm flipH="1">
          <a:off x="2461260" y="266700"/>
          <a:ext cx="1066800" cy="226314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52"/>
  <sheetViews>
    <sheetView tabSelected="1" topLeftCell="A28" workbookViewId="0">
      <selection activeCell="P50" sqref="P50"/>
    </sheetView>
  </sheetViews>
  <sheetFormatPr defaultRowHeight="13.2" x14ac:dyDescent="0.25"/>
  <cols>
    <col min="1" max="4" width="5.109375" customWidth="1"/>
    <col min="5" max="5" width="5.33203125" customWidth="1"/>
    <col min="6" max="18" width="5.109375" customWidth="1"/>
    <col min="19" max="21" width="8.33203125" customWidth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ht="12.75" customHeight="1" x14ac:dyDescent="0.25"/>
    <row r="16" s="4" customFormat="1" x14ac:dyDescent="0.25"/>
    <row r="18" spans="4:11" hidden="1" x14ac:dyDescent="0.25"/>
    <row r="19" spans="4:11" x14ac:dyDescent="0.25">
      <c r="D19" s="1"/>
      <c r="E19" s="1"/>
      <c r="F19" s="1"/>
      <c r="G19" s="1"/>
      <c r="H19" s="1"/>
    </row>
    <row r="20" spans="4:11" x14ac:dyDescent="0.25">
      <c r="D20" s="1"/>
      <c r="E20" s="1"/>
      <c r="F20" s="1"/>
      <c r="G20" s="1"/>
      <c r="H20" s="1"/>
      <c r="I20" s="1"/>
    </row>
    <row r="23" spans="4:11" ht="13.5" customHeight="1" x14ac:dyDescent="0.25"/>
    <row r="30" spans="4:11" ht="16.5" customHeight="1" x14ac:dyDescent="0.25">
      <c r="E30" s="79" t="s">
        <v>82</v>
      </c>
      <c r="F30" s="80"/>
      <c r="G30" s="80"/>
      <c r="H30" s="80"/>
      <c r="I30" s="81">
        <v>37847</v>
      </c>
      <c r="J30" s="81"/>
      <c r="K30" s="82"/>
    </row>
    <row r="31" spans="4:11" ht="13.8" thickBot="1" x14ac:dyDescent="0.3">
      <c r="E31" s="80"/>
      <c r="F31" s="80"/>
      <c r="G31" s="80"/>
      <c r="H31" s="80"/>
      <c r="I31" s="83"/>
      <c r="J31" s="83"/>
      <c r="K31" s="83"/>
    </row>
    <row r="32" spans="4:11" x14ac:dyDescent="0.25">
      <c r="F32" s="84" t="s">
        <v>90</v>
      </c>
      <c r="G32" s="85"/>
      <c r="H32" s="85"/>
      <c r="I32" s="85"/>
      <c r="J32" s="86"/>
    </row>
    <row r="33" spans="6:18" x14ac:dyDescent="0.25">
      <c r="F33" s="87"/>
      <c r="G33" s="88"/>
      <c r="H33" s="88"/>
      <c r="I33" s="88"/>
      <c r="J33" s="89"/>
    </row>
    <row r="34" spans="6:18" x14ac:dyDescent="0.25">
      <c r="F34" s="87"/>
      <c r="G34" s="88"/>
      <c r="H34" s="88"/>
      <c r="I34" s="88"/>
      <c r="J34" s="89"/>
    </row>
    <row r="35" spans="6:18" ht="13.8" thickBot="1" x14ac:dyDescent="0.3">
      <c r="F35" s="90"/>
      <c r="G35" s="91"/>
      <c r="H35" s="91"/>
      <c r="I35" s="91"/>
      <c r="J35" s="92"/>
    </row>
    <row r="46" spans="6:18" ht="18" customHeight="1" x14ac:dyDescent="0.25">
      <c r="G46" s="27" t="s">
        <v>70</v>
      </c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8" spans="6:18" ht="15" customHeight="1" x14ac:dyDescent="0.25">
      <c r="H48" s="28" t="s">
        <v>78</v>
      </c>
    </row>
    <row r="49" spans="8:9" ht="15" customHeight="1" x14ac:dyDescent="0.25">
      <c r="H49" s="29" t="s">
        <v>79</v>
      </c>
    </row>
    <row r="50" spans="8:9" ht="6.75" customHeight="1" x14ac:dyDescent="0.25"/>
    <row r="51" spans="8:9" ht="15" customHeight="1" x14ac:dyDescent="0.25">
      <c r="I51" s="28" t="s">
        <v>93</v>
      </c>
    </row>
    <row r="52" spans="8:9" ht="15" customHeight="1" x14ac:dyDescent="0.25">
      <c r="I52" s="29" t="s">
        <v>80</v>
      </c>
    </row>
  </sheetData>
  <mergeCells count="3">
    <mergeCell ref="E30:H31"/>
    <mergeCell ref="I30:K31"/>
    <mergeCell ref="F32:J35"/>
  </mergeCells>
  <phoneticPr fontId="0" type="noConversion"/>
  <pageMargins left="0.75" right="0.75" top="1.5" bottom="0.5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F19" sqref="F19"/>
    </sheetView>
  </sheetViews>
  <sheetFormatPr defaultColWidth="9.109375" defaultRowHeight="13.2" x14ac:dyDescent="0.25"/>
  <cols>
    <col min="1" max="1" width="3.33203125" style="3" customWidth="1"/>
    <col min="2" max="2" width="38" style="3" customWidth="1"/>
    <col min="3" max="6" width="10.6640625" style="3" customWidth="1"/>
    <col min="7" max="8" width="9.33203125" style="3" customWidth="1"/>
    <col min="9" max="16384" width="9.109375" style="3"/>
  </cols>
  <sheetData>
    <row r="1" spans="1:11" ht="30.75" customHeight="1" x14ac:dyDescent="0.25">
      <c r="A1" s="103" t="s">
        <v>31</v>
      </c>
      <c r="B1" s="114"/>
      <c r="C1" s="105">
        <v>1999</v>
      </c>
      <c r="D1" s="99">
        <v>2000</v>
      </c>
      <c r="E1" s="99">
        <v>2001</v>
      </c>
      <c r="F1" s="95">
        <v>2002</v>
      </c>
    </row>
    <row r="2" spans="1:11" ht="13.5" customHeight="1" thickBot="1" x14ac:dyDescent="0.3">
      <c r="A2" s="101" t="s">
        <v>21</v>
      </c>
      <c r="B2" s="102"/>
      <c r="C2" s="106"/>
      <c r="D2" s="100"/>
      <c r="E2" s="100"/>
      <c r="F2" s="96"/>
    </row>
    <row r="3" spans="1:11" ht="23.25" customHeight="1" x14ac:dyDescent="0.25">
      <c r="A3" s="13">
        <v>1</v>
      </c>
      <c r="B3" s="14" t="s">
        <v>0</v>
      </c>
      <c r="C3" s="31">
        <v>9196</v>
      </c>
      <c r="D3" s="32">
        <v>16507</v>
      </c>
      <c r="E3" s="32">
        <v>17110</v>
      </c>
      <c r="F3" s="33">
        <v>11181</v>
      </c>
    </row>
    <row r="4" spans="1:11" s="49" customFormat="1" ht="23.25" customHeight="1" x14ac:dyDescent="0.25">
      <c r="A4" s="6">
        <v>2</v>
      </c>
      <c r="B4" s="5" t="s">
        <v>1</v>
      </c>
      <c r="C4" s="34">
        <f>29780-8336</f>
        <v>21444</v>
      </c>
      <c r="D4" s="35">
        <f>31891-8948</f>
        <v>22943</v>
      </c>
      <c r="E4" s="35">
        <f>36916-9465</f>
        <v>27451</v>
      </c>
      <c r="F4" s="36">
        <v>36572</v>
      </c>
      <c r="K4" s="57"/>
    </row>
    <row r="5" spans="1:11" s="49" customFormat="1" ht="23.25" customHeight="1" x14ac:dyDescent="0.25">
      <c r="A5" s="15">
        <v>3</v>
      </c>
      <c r="B5" s="16" t="s">
        <v>2</v>
      </c>
      <c r="C5" s="37">
        <v>34776</v>
      </c>
      <c r="D5" s="38">
        <v>43704</v>
      </c>
      <c r="E5" s="38">
        <v>48379</v>
      </c>
      <c r="F5" s="39">
        <v>44426</v>
      </c>
      <c r="I5" s="58"/>
    </row>
    <row r="6" spans="1:11" s="49" customFormat="1" ht="23.25" customHeight="1" x14ac:dyDescent="0.25">
      <c r="A6" s="6">
        <v>4</v>
      </c>
      <c r="B6" s="5" t="s">
        <v>3</v>
      </c>
      <c r="C6" s="34">
        <v>37132</v>
      </c>
      <c r="D6" s="35">
        <v>38283</v>
      </c>
      <c r="E6" s="35">
        <v>38977</v>
      </c>
      <c r="F6" s="36">
        <v>47245</v>
      </c>
      <c r="G6" s="59"/>
      <c r="I6" s="58"/>
    </row>
    <row r="7" spans="1:11" s="49" customFormat="1" ht="23.25" customHeight="1" x14ac:dyDescent="0.25">
      <c r="A7" s="15">
        <v>5</v>
      </c>
      <c r="B7" s="16" t="s">
        <v>4</v>
      </c>
      <c r="C7" s="37">
        <v>54980</v>
      </c>
      <c r="D7" s="38">
        <v>60342</v>
      </c>
      <c r="E7" s="38">
        <v>65873</v>
      </c>
      <c r="F7" s="39">
        <v>71723</v>
      </c>
      <c r="I7" s="58"/>
    </row>
    <row r="8" spans="1:11" s="49" customFormat="1" ht="23.25" customHeight="1" x14ac:dyDescent="0.25">
      <c r="A8" s="6">
        <v>6</v>
      </c>
      <c r="B8" s="5" t="s">
        <v>5</v>
      </c>
      <c r="C8" s="34">
        <v>120863</v>
      </c>
      <c r="D8" s="35">
        <v>138908</v>
      </c>
      <c r="E8" s="35">
        <v>136466</v>
      </c>
      <c r="F8" s="36">
        <v>149401</v>
      </c>
      <c r="G8" s="60"/>
      <c r="I8" s="58"/>
    </row>
    <row r="9" spans="1:11" s="49" customFormat="1" ht="23.25" customHeight="1" x14ac:dyDescent="0.25">
      <c r="A9" s="15">
        <v>7</v>
      </c>
      <c r="B9" s="16" t="s">
        <v>24</v>
      </c>
      <c r="C9" s="37">
        <v>1146</v>
      </c>
      <c r="D9" s="38">
        <v>1610</v>
      </c>
      <c r="E9" s="38">
        <v>1704</v>
      </c>
      <c r="F9" s="39">
        <v>2363</v>
      </c>
      <c r="I9" s="58"/>
    </row>
    <row r="10" spans="1:11" s="49" customFormat="1" ht="23.25" customHeight="1" x14ac:dyDescent="0.25">
      <c r="A10" s="6">
        <v>8</v>
      </c>
      <c r="B10" s="5" t="s">
        <v>6</v>
      </c>
      <c r="C10" s="34">
        <v>30178</v>
      </c>
      <c r="D10" s="35">
        <v>37336</v>
      </c>
      <c r="E10" s="35">
        <v>37331</v>
      </c>
      <c r="F10" s="36">
        <v>33602</v>
      </c>
      <c r="I10" s="58"/>
    </row>
    <row r="11" spans="1:11" s="49" customFormat="1" ht="23.25" customHeight="1" x14ac:dyDescent="0.25">
      <c r="A11" s="15">
        <v>9</v>
      </c>
      <c r="B11" s="16" t="s">
        <v>7</v>
      </c>
      <c r="C11" s="37">
        <v>13044</v>
      </c>
      <c r="D11" s="38">
        <v>14658</v>
      </c>
      <c r="E11" s="38">
        <v>12954</v>
      </c>
      <c r="F11" s="39">
        <v>12454</v>
      </c>
      <c r="G11" s="61"/>
      <c r="I11" s="58"/>
    </row>
    <row r="12" spans="1:11" s="49" customFormat="1" ht="23.25" customHeight="1" x14ac:dyDescent="0.25">
      <c r="A12" s="6">
        <v>10</v>
      </c>
      <c r="B12" s="5" t="s">
        <v>40</v>
      </c>
      <c r="C12" s="34">
        <v>61708</v>
      </c>
      <c r="D12" s="35">
        <v>71142</v>
      </c>
      <c r="E12" s="35">
        <v>70085</v>
      </c>
      <c r="F12" s="36">
        <v>70515</v>
      </c>
      <c r="I12" s="58"/>
    </row>
    <row r="13" spans="1:11" s="49" customFormat="1" ht="23.25" customHeight="1" x14ac:dyDescent="0.25">
      <c r="A13" s="15">
        <v>11</v>
      </c>
      <c r="B13" s="16" t="s">
        <v>8</v>
      </c>
      <c r="C13" s="37">
        <v>132824</v>
      </c>
      <c r="D13" s="38">
        <v>144957</v>
      </c>
      <c r="E13" s="38">
        <v>161466</v>
      </c>
      <c r="F13" s="39">
        <v>175298</v>
      </c>
      <c r="I13" s="58"/>
    </row>
    <row r="14" spans="1:11" s="49" customFormat="1" ht="23.25" customHeight="1" x14ac:dyDescent="0.25">
      <c r="A14" s="6">
        <v>12</v>
      </c>
      <c r="B14" s="5" t="s">
        <v>9</v>
      </c>
      <c r="C14" s="34">
        <f>C15-C13</f>
        <v>3472</v>
      </c>
      <c r="D14" s="35">
        <f>D15-D13</f>
        <v>4057</v>
      </c>
      <c r="E14" s="35">
        <f>E15-E13</f>
        <v>3133</v>
      </c>
      <c r="F14" s="36">
        <f>F15-F13</f>
        <v>2922</v>
      </c>
    </row>
    <row r="15" spans="1:11" s="49" customFormat="1" ht="23.25" customHeight="1" x14ac:dyDescent="0.25">
      <c r="A15" s="15">
        <v>13</v>
      </c>
      <c r="B15" s="16" t="s">
        <v>10</v>
      </c>
      <c r="C15" s="37">
        <v>136296</v>
      </c>
      <c r="D15" s="38">
        <v>149014</v>
      </c>
      <c r="E15" s="38">
        <v>164599</v>
      </c>
      <c r="F15" s="39">
        <v>178220</v>
      </c>
    </row>
    <row r="16" spans="1:11" s="49" customFormat="1" ht="23.25" customHeight="1" x14ac:dyDescent="0.25">
      <c r="A16" s="6">
        <v>14</v>
      </c>
      <c r="B16" s="5" t="s">
        <v>11</v>
      </c>
      <c r="C16" s="34">
        <v>789</v>
      </c>
      <c r="D16" s="35">
        <v>886</v>
      </c>
      <c r="E16" s="35">
        <v>961</v>
      </c>
      <c r="F16" s="36">
        <v>983</v>
      </c>
    </row>
    <row r="17" spans="1:14" s="49" customFormat="1" ht="23.25" customHeight="1" x14ac:dyDescent="0.25">
      <c r="A17" s="15">
        <v>15</v>
      </c>
      <c r="B17" s="16" t="s">
        <v>12</v>
      </c>
      <c r="C17" s="37">
        <v>4745</v>
      </c>
      <c r="D17" s="38">
        <v>5472</v>
      </c>
      <c r="E17" s="38">
        <v>5521</v>
      </c>
      <c r="F17" s="39">
        <v>5883</v>
      </c>
    </row>
    <row r="18" spans="1:14" s="49" customFormat="1" ht="23.25" customHeight="1" x14ac:dyDescent="0.25">
      <c r="A18" s="6">
        <v>16</v>
      </c>
      <c r="B18" s="5" t="s">
        <v>30</v>
      </c>
      <c r="C18" s="47">
        <f>68436+12853</f>
        <v>81289</v>
      </c>
      <c r="D18" s="35">
        <f>70983.1+13699.6</f>
        <v>84682.700000000012</v>
      </c>
      <c r="E18" s="35">
        <f>77259.3+16802.1</f>
        <v>94061.4</v>
      </c>
      <c r="F18" s="36">
        <f>86011.6+18949.3</f>
        <v>104960.90000000001</v>
      </c>
      <c r="M18" s="9"/>
      <c r="N18" s="9"/>
    </row>
    <row r="19" spans="1:14" s="49" customFormat="1" ht="23.25" customHeight="1" x14ac:dyDescent="0.25">
      <c r="A19" s="15">
        <v>17</v>
      </c>
      <c r="B19" s="16" t="s">
        <v>13</v>
      </c>
      <c r="C19" s="37">
        <v>6417</v>
      </c>
      <c r="D19" s="38">
        <v>6740</v>
      </c>
      <c r="E19" s="38">
        <v>6014</v>
      </c>
      <c r="F19" s="39">
        <v>5850</v>
      </c>
    </row>
    <row r="20" spans="1:14" s="49" customFormat="1" ht="23.25" customHeight="1" x14ac:dyDescent="0.25">
      <c r="A20" s="6">
        <v>18</v>
      </c>
      <c r="B20" s="5" t="s">
        <v>84</v>
      </c>
      <c r="C20" s="34">
        <v>138212</v>
      </c>
      <c r="D20" s="35">
        <v>147020</v>
      </c>
      <c r="E20" s="35">
        <v>160531</v>
      </c>
      <c r="F20" s="36">
        <v>176119</v>
      </c>
    </row>
    <row r="21" spans="1:14" s="49" customFormat="1" ht="23.25" customHeight="1" x14ac:dyDescent="0.25">
      <c r="A21" s="15">
        <v>19</v>
      </c>
      <c r="B21" s="16" t="s">
        <v>14</v>
      </c>
      <c r="C21" s="37">
        <v>-1916</v>
      </c>
      <c r="D21" s="38">
        <v>1994</v>
      </c>
      <c r="E21" s="38">
        <v>4068</v>
      </c>
      <c r="F21" s="39">
        <v>2101</v>
      </c>
    </row>
    <row r="22" spans="1:14" s="49" customFormat="1" ht="23.25" customHeight="1" x14ac:dyDescent="0.25">
      <c r="A22" s="6">
        <v>20</v>
      </c>
      <c r="B22" s="5" t="s">
        <v>15</v>
      </c>
      <c r="C22" s="34">
        <f>C23-C21</f>
        <v>926</v>
      </c>
      <c r="D22" s="35">
        <v>2749</v>
      </c>
      <c r="E22" s="35">
        <v>612</v>
      </c>
      <c r="F22" s="36">
        <v>-612</v>
      </c>
    </row>
    <row r="23" spans="1:14" s="49" customFormat="1" ht="23.25" customHeight="1" x14ac:dyDescent="0.25">
      <c r="A23" s="15">
        <v>21</v>
      </c>
      <c r="B23" s="16" t="s">
        <v>16</v>
      </c>
      <c r="C23" s="37">
        <v>-990</v>
      </c>
      <c r="D23" s="38">
        <v>4742</v>
      </c>
      <c r="E23" s="38">
        <v>4680</v>
      </c>
      <c r="F23" s="39">
        <v>1489</v>
      </c>
    </row>
    <row r="24" spans="1:14" s="49" customFormat="1" ht="23.25" customHeight="1" x14ac:dyDescent="0.25">
      <c r="A24" s="6">
        <v>22</v>
      </c>
      <c r="B24" s="5" t="s">
        <v>17</v>
      </c>
      <c r="C24" s="35">
        <v>7029</v>
      </c>
      <c r="D24" s="35">
        <v>6594</v>
      </c>
      <c r="E24" s="35">
        <v>6185</v>
      </c>
      <c r="F24" s="36">
        <v>14110</v>
      </c>
    </row>
    <row r="25" spans="1:14" s="49" customFormat="1" ht="23.25" customHeight="1" x14ac:dyDescent="0.25">
      <c r="A25" s="15">
        <v>23</v>
      </c>
      <c r="B25" s="16" t="s">
        <v>81</v>
      </c>
      <c r="C25" s="46">
        <v>49329</v>
      </c>
      <c r="D25" s="38">
        <v>57462</v>
      </c>
      <c r="E25" s="38">
        <v>49674</v>
      </c>
      <c r="F25" s="39">
        <v>56593</v>
      </c>
    </row>
    <row r="26" spans="1:14" s="49" customFormat="1" ht="23.25" customHeight="1" x14ac:dyDescent="0.25">
      <c r="A26" s="6">
        <v>24</v>
      </c>
      <c r="B26" s="5" t="s">
        <v>19</v>
      </c>
      <c r="C26" s="34">
        <v>4280</v>
      </c>
      <c r="D26" s="35">
        <v>5896</v>
      </c>
      <c r="E26" s="35">
        <v>7268</v>
      </c>
      <c r="F26" s="36">
        <v>7648</v>
      </c>
    </row>
    <row r="27" spans="1:14" s="49" customFormat="1" ht="23.25" customHeight="1" thickBot="1" x14ac:dyDescent="0.3">
      <c r="A27" s="17">
        <v>25</v>
      </c>
      <c r="B27" s="18" t="s">
        <v>20</v>
      </c>
      <c r="C27" s="42">
        <v>3479</v>
      </c>
      <c r="D27" s="43">
        <v>4609</v>
      </c>
      <c r="E27" s="43">
        <v>5056</v>
      </c>
      <c r="F27" s="44">
        <v>5372</v>
      </c>
    </row>
    <row r="29" spans="1:14" x14ac:dyDescent="0.25">
      <c r="A29" s="53" t="s">
        <v>85</v>
      </c>
    </row>
  </sheetData>
  <mergeCells count="6">
    <mergeCell ref="F1:F2"/>
    <mergeCell ref="E1:E2"/>
    <mergeCell ref="A2:B2"/>
    <mergeCell ref="A1:B1"/>
    <mergeCell ref="D1:D2"/>
    <mergeCell ref="C1:C2"/>
  </mergeCells>
  <phoneticPr fontId="0" type="noConversion"/>
  <printOptions horizontalCentered="1"/>
  <pageMargins left="0.75" right="1" top="1.25" bottom="0.75" header="0" footer="0"/>
  <pageSetup orientation="portrait" r:id="rId1"/>
  <headerFooter alignWithMargins="0">
    <oddHeader>&amp;L&amp;"Arial,Bold Italic"&amp;14 8&amp;R&amp;"Arial,Italic"Hospital Financial Dataset (2002)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19" sqref="F19"/>
    </sheetView>
  </sheetViews>
  <sheetFormatPr defaultColWidth="9.109375" defaultRowHeight="13.2" x14ac:dyDescent="0.25"/>
  <cols>
    <col min="1" max="1" width="3.33203125" style="3" customWidth="1"/>
    <col min="2" max="2" width="38" style="3" customWidth="1"/>
    <col min="3" max="6" width="10.6640625" style="3" customWidth="1"/>
    <col min="7" max="16384" width="9.109375" style="3"/>
  </cols>
  <sheetData>
    <row r="1" spans="1:8" ht="30.75" customHeight="1" x14ac:dyDescent="0.25">
      <c r="A1" s="107" t="s">
        <v>32</v>
      </c>
      <c r="B1" s="113"/>
      <c r="C1" s="105">
        <v>1999</v>
      </c>
      <c r="D1" s="99">
        <v>2000</v>
      </c>
      <c r="E1" s="99">
        <v>2001</v>
      </c>
      <c r="F1" s="95">
        <v>2002</v>
      </c>
    </row>
    <row r="2" spans="1:8" ht="13.5" customHeight="1" thickBot="1" x14ac:dyDescent="0.3">
      <c r="A2" s="101" t="s">
        <v>21</v>
      </c>
      <c r="B2" s="102"/>
      <c r="C2" s="106"/>
      <c r="D2" s="100"/>
      <c r="E2" s="100"/>
      <c r="F2" s="96"/>
    </row>
    <row r="3" spans="1:8" ht="23.25" customHeight="1" x14ac:dyDescent="0.25">
      <c r="A3" s="13">
        <v>1</v>
      </c>
      <c r="B3" s="14" t="s">
        <v>0</v>
      </c>
      <c r="C3" s="32">
        <f>1795.5+8332.6</f>
        <v>10128.1</v>
      </c>
      <c r="D3" s="32">
        <f>3345+12796</f>
        <v>16141</v>
      </c>
      <c r="E3" s="32">
        <f>4968.2+8510</f>
        <v>13478.2</v>
      </c>
      <c r="F3" s="33">
        <f>2983.3+7059</f>
        <v>10042.299999999999</v>
      </c>
      <c r="G3" s="48"/>
    </row>
    <row r="4" spans="1:8" s="49" customFormat="1" ht="23.25" customHeight="1" x14ac:dyDescent="0.25">
      <c r="A4" s="6">
        <v>2</v>
      </c>
      <c r="B4" s="5" t="s">
        <v>1</v>
      </c>
      <c r="C4" s="35">
        <f>16128.8-3653.5</f>
        <v>12475.3</v>
      </c>
      <c r="D4" s="35">
        <f>17627-8280</f>
        <v>9347</v>
      </c>
      <c r="E4" s="35">
        <f>13136.6-6556.4</f>
        <v>6580.2000000000007</v>
      </c>
      <c r="F4" s="36">
        <f>11679.7-5335.4</f>
        <v>6344.3000000000011</v>
      </c>
    </row>
    <row r="5" spans="1:8" s="49" customFormat="1" ht="23.25" customHeight="1" x14ac:dyDescent="0.25">
      <c r="A5" s="15">
        <v>3</v>
      </c>
      <c r="B5" s="16" t="s">
        <v>2</v>
      </c>
      <c r="C5" s="38">
        <v>29770</v>
      </c>
      <c r="D5" s="38">
        <v>31957</v>
      </c>
      <c r="E5" s="38">
        <v>24196</v>
      </c>
      <c r="F5" s="39">
        <v>21100</v>
      </c>
      <c r="G5" s="50"/>
    </row>
    <row r="6" spans="1:8" s="49" customFormat="1" ht="23.25" customHeight="1" x14ac:dyDescent="0.25">
      <c r="A6" s="6">
        <v>4</v>
      </c>
      <c r="B6" s="5" t="s">
        <v>3</v>
      </c>
      <c r="C6" s="35">
        <v>24688</v>
      </c>
      <c r="D6" s="35">
        <v>22301</v>
      </c>
      <c r="E6" s="35">
        <v>22009</v>
      </c>
      <c r="F6" s="36">
        <v>20216</v>
      </c>
    </row>
    <row r="7" spans="1:8" s="49" customFormat="1" ht="23.25" customHeight="1" x14ac:dyDescent="0.25">
      <c r="A7" s="15">
        <v>5</v>
      </c>
      <c r="B7" s="16" t="s">
        <v>4</v>
      </c>
      <c r="C7" s="38">
        <v>36748</v>
      </c>
      <c r="D7" s="38">
        <v>37375</v>
      </c>
      <c r="E7" s="38">
        <v>40795</v>
      </c>
      <c r="F7" s="39">
        <v>44170</v>
      </c>
      <c r="G7" s="51"/>
    </row>
    <row r="8" spans="1:8" s="49" customFormat="1" ht="23.25" customHeight="1" x14ac:dyDescent="0.25">
      <c r="A8" s="6">
        <v>6</v>
      </c>
      <c r="B8" s="5" t="s">
        <v>5</v>
      </c>
      <c r="C8" s="35">
        <v>71355</v>
      </c>
      <c r="D8" s="35">
        <v>60009</v>
      </c>
      <c r="E8" s="35">
        <v>51252</v>
      </c>
      <c r="F8" s="36">
        <v>46810</v>
      </c>
    </row>
    <row r="9" spans="1:8" s="49" customFormat="1" ht="23.25" customHeight="1" x14ac:dyDescent="0.25">
      <c r="A9" s="15">
        <v>7</v>
      </c>
      <c r="B9" s="16" t="s">
        <v>24</v>
      </c>
      <c r="C9" s="38">
        <v>986</v>
      </c>
      <c r="D9" s="38">
        <v>2029</v>
      </c>
      <c r="E9" s="38">
        <v>1598</v>
      </c>
      <c r="F9" s="39">
        <v>1597</v>
      </c>
    </row>
    <row r="10" spans="1:8" s="49" customFormat="1" ht="23.25" customHeight="1" x14ac:dyDescent="0.25">
      <c r="A10" s="6">
        <v>8</v>
      </c>
      <c r="B10" s="5" t="s">
        <v>6</v>
      </c>
      <c r="C10" s="35">
        <v>16831</v>
      </c>
      <c r="D10" s="35">
        <v>23491</v>
      </c>
      <c r="E10" s="35">
        <v>22595</v>
      </c>
      <c r="F10" s="36">
        <v>21523</v>
      </c>
    </row>
    <row r="11" spans="1:8" s="49" customFormat="1" ht="23.25" customHeight="1" x14ac:dyDescent="0.25">
      <c r="A11" s="15">
        <v>9</v>
      </c>
      <c r="B11" s="16" t="s">
        <v>7</v>
      </c>
      <c r="C11" s="38">
        <v>20472</v>
      </c>
      <c r="D11" s="38">
        <v>20059</v>
      </c>
      <c r="E11" s="38">
        <v>19329</v>
      </c>
      <c r="F11" s="39">
        <v>17896</v>
      </c>
    </row>
    <row r="12" spans="1:8" s="49" customFormat="1" ht="23.25" customHeight="1" x14ac:dyDescent="0.25">
      <c r="A12" s="6">
        <v>10</v>
      </c>
      <c r="B12" s="5" t="s">
        <v>40</v>
      </c>
      <c r="C12" s="35">
        <v>28512</v>
      </c>
      <c r="D12" s="35">
        <v>13281</v>
      </c>
      <c r="E12" s="35">
        <v>5912</v>
      </c>
      <c r="F12" s="36">
        <v>1678</v>
      </c>
    </row>
    <row r="13" spans="1:8" s="49" customFormat="1" ht="23.25" customHeight="1" x14ac:dyDescent="0.25">
      <c r="A13" s="15">
        <v>11</v>
      </c>
      <c r="B13" s="16" t="s">
        <v>8</v>
      </c>
      <c r="C13" s="38">
        <v>67819</v>
      </c>
      <c r="D13" s="38">
        <v>81715</v>
      </c>
      <c r="E13" s="38">
        <v>85696.3</v>
      </c>
      <c r="F13" s="39">
        <v>90201</v>
      </c>
    </row>
    <row r="14" spans="1:8" s="49" customFormat="1" ht="23.25" customHeight="1" x14ac:dyDescent="0.25">
      <c r="A14" s="6">
        <v>12</v>
      </c>
      <c r="B14" s="5" t="s">
        <v>9</v>
      </c>
      <c r="C14" s="35">
        <f>C15-C13</f>
        <v>7688</v>
      </c>
      <c r="D14" s="35">
        <f>D15-D13</f>
        <v>2656</v>
      </c>
      <c r="E14" s="35">
        <f>E15-E13</f>
        <v>1180.5999999999913</v>
      </c>
      <c r="F14" s="36">
        <f>F15-F13</f>
        <v>1581.8999999999942</v>
      </c>
      <c r="H14" s="52"/>
    </row>
    <row r="15" spans="1:8" s="49" customFormat="1" ht="23.25" customHeight="1" x14ac:dyDescent="0.25">
      <c r="A15" s="15">
        <v>13</v>
      </c>
      <c r="B15" s="16" t="s">
        <v>10</v>
      </c>
      <c r="C15" s="38">
        <v>75507</v>
      </c>
      <c r="D15" s="38">
        <v>84371</v>
      </c>
      <c r="E15" s="38">
        <v>86876.9</v>
      </c>
      <c r="F15" s="39">
        <v>91782.9</v>
      </c>
    </row>
    <row r="16" spans="1:8" s="49" customFormat="1" ht="23.25" customHeight="1" x14ac:dyDescent="0.25">
      <c r="A16" s="6">
        <v>14</v>
      </c>
      <c r="B16" s="5" t="s">
        <v>11</v>
      </c>
      <c r="C16" s="35">
        <v>1177</v>
      </c>
      <c r="D16" s="35">
        <v>1277</v>
      </c>
      <c r="E16" s="35">
        <v>1338</v>
      </c>
      <c r="F16" s="36">
        <v>1194</v>
      </c>
    </row>
    <row r="17" spans="1:6" s="49" customFormat="1" ht="23.25" customHeight="1" x14ac:dyDescent="0.25">
      <c r="A17" s="15">
        <v>15</v>
      </c>
      <c r="B17" s="16" t="s">
        <v>12</v>
      </c>
      <c r="C17" s="38">
        <v>2962</v>
      </c>
      <c r="D17" s="38">
        <v>3837</v>
      </c>
      <c r="E17" s="38">
        <v>3476</v>
      </c>
      <c r="F17" s="39">
        <v>3559</v>
      </c>
    </row>
    <row r="18" spans="1:6" s="49" customFormat="1" ht="23.25" customHeight="1" x14ac:dyDescent="0.25">
      <c r="A18" s="6">
        <v>16</v>
      </c>
      <c r="B18" s="5" t="s">
        <v>30</v>
      </c>
      <c r="C18" s="40">
        <f>42264</f>
        <v>42264</v>
      </c>
      <c r="D18" s="35">
        <v>49935</v>
      </c>
      <c r="E18" s="35">
        <v>49978</v>
      </c>
      <c r="F18" s="36">
        <v>51567</v>
      </c>
    </row>
    <row r="19" spans="1:6" s="49" customFormat="1" ht="23.25" customHeight="1" x14ac:dyDescent="0.25">
      <c r="A19" s="15">
        <v>17</v>
      </c>
      <c r="B19" s="16" t="s">
        <v>13</v>
      </c>
      <c r="C19" s="38">
        <v>4034</v>
      </c>
      <c r="D19" s="38">
        <v>7303</v>
      </c>
      <c r="E19" s="38">
        <v>2955</v>
      </c>
      <c r="F19" s="39">
        <v>3793</v>
      </c>
    </row>
    <row r="20" spans="1:6" s="49" customFormat="1" ht="23.25" customHeight="1" x14ac:dyDescent="0.25">
      <c r="A20" s="6">
        <v>18</v>
      </c>
      <c r="B20" s="5" t="s">
        <v>84</v>
      </c>
      <c r="C20" s="35">
        <f>79228.5-11.1-286.4</f>
        <v>78931</v>
      </c>
      <c r="D20" s="35">
        <f>95116.2+1968.1-113.4-232.7</f>
        <v>96738.200000000012</v>
      </c>
      <c r="E20" s="35">
        <f>91204-8</f>
        <v>91196</v>
      </c>
      <c r="F20" s="36">
        <f>93475.1+23.9</f>
        <v>93499</v>
      </c>
    </row>
    <row r="21" spans="1:6" s="49" customFormat="1" ht="23.25" customHeight="1" x14ac:dyDescent="0.25">
      <c r="A21" s="15">
        <v>19</v>
      </c>
      <c r="B21" s="16" t="s">
        <v>14</v>
      </c>
      <c r="C21" s="38">
        <f>C15-C20</f>
        <v>-3424</v>
      </c>
      <c r="D21" s="38">
        <v>-12367.7</v>
      </c>
      <c r="E21" s="38">
        <f>E15-E20</f>
        <v>-4319.1000000000058</v>
      </c>
      <c r="F21" s="39">
        <f>F15-F20</f>
        <v>-1716.1000000000058</v>
      </c>
    </row>
    <row r="22" spans="1:6" s="49" customFormat="1" ht="23.25" customHeight="1" x14ac:dyDescent="0.25">
      <c r="A22" s="6">
        <v>20</v>
      </c>
      <c r="B22" s="5" t="s">
        <v>15</v>
      </c>
      <c r="C22" s="35">
        <v>1728</v>
      </c>
      <c r="D22" s="35">
        <v>23.3</v>
      </c>
      <c r="E22" s="35">
        <v>-836.6</v>
      </c>
      <c r="F22" s="36">
        <v>197.7</v>
      </c>
    </row>
    <row r="23" spans="1:6" s="49" customFormat="1" ht="23.25" customHeight="1" x14ac:dyDescent="0.25">
      <c r="A23" s="15">
        <v>21</v>
      </c>
      <c r="B23" s="16" t="s">
        <v>16</v>
      </c>
      <c r="C23" s="38">
        <f>C21+C22</f>
        <v>-1696</v>
      </c>
      <c r="D23" s="38">
        <f>D21+D22</f>
        <v>-12344.400000000001</v>
      </c>
      <c r="E23" s="38">
        <f>E21+E22</f>
        <v>-5155.7000000000062</v>
      </c>
      <c r="F23" s="39">
        <f>F21+F22</f>
        <v>-1518.4000000000058</v>
      </c>
    </row>
    <row r="24" spans="1:6" s="49" customFormat="1" ht="23.25" customHeight="1" x14ac:dyDescent="0.25">
      <c r="A24" s="6">
        <v>22</v>
      </c>
      <c r="B24" s="5" t="s">
        <v>17</v>
      </c>
      <c r="C24" s="35">
        <f>7482-2</f>
        <v>7480</v>
      </c>
      <c r="D24" s="35">
        <f>2387-40</f>
        <v>2347</v>
      </c>
      <c r="E24" s="35">
        <f>3204.6-61.4</f>
        <v>3143.2</v>
      </c>
      <c r="F24" s="36">
        <f>1822.8-77.8</f>
        <v>1745</v>
      </c>
    </row>
    <row r="25" spans="1:6" s="49" customFormat="1" ht="23.25" customHeight="1" x14ac:dyDescent="0.25">
      <c r="A25" s="15">
        <v>23</v>
      </c>
      <c r="B25" s="16" t="s">
        <v>81</v>
      </c>
      <c r="C25" s="41">
        <f>8332.6+8181.9+3804.9+251.4+220.2</f>
        <v>20791.000000000004</v>
      </c>
      <c r="D25" s="41">
        <f>12796.4+3486.5+261.8+252.6</f>
        <v>16797.3</v>
      </c>
      <c r="E25" s="41">
        <f>8510+2745.8+270.9+278.5</f>
        <v>11805.199999999999</v>
      </c>
      <c r="F25" s="62">
        <f>7059+3602.9+150+307.8</f>
        <v>11119.699999999999</v>
      </c>
    </row>
    <row r="26" spans="1:6" s="49" customFormat="1" ht="23.25" customHeight="1" x14ac:dyDescent="0.25">
      <c r="A26" s="6">
        <v>24</v>
      </c>
      <c r="B26" s="5" t="s">
        <v>19</v>
      </c>
      <c r="C26" s="35">
        <v>2713</v>
      </c>
      <c r="D26" s="35">
        <v>4330</v>
      </c>
      <c r="E26" s="35">
        <v>3640</v>
      </c>
      <c r="F26" s="36">
        <v>3830</v>
      </c>
    </row>
    <row r="27" spans="1:6" s="49" customFormat="1" ht="23.25" customHeight="1" thickBot="1" x14ac:dyDescent="0.3">
      <c r="A27" s="17">
        <v>25</v>
      </c>
      <c r="B27" s="18" t="s">
        <v>20</v>
      </c>
      <c r="C27" s="43">
        <v>2087</v>
      </c>
      <c r="D27" s="43">
        <v>2622</v>
      </c>
      <c r="E27" s="43">
        <v>2536</v>
      </c>
      <c r="F27" s="44">
        <v>2690</v>
      </c>
    </row>
    <row r="28" spans="1:6" ht="12.75" customHeight="1" x14ac:dyDescent="0.25">
      <c r="C28" s="64"/>
      <c r="D28" s="64"/>
      <c r="E28" s="64"/>
      <c r="F28" s="64"/>
    </row>
    <row r="29" spans="1:6" s="55" customFormat="1" ht="12.75" customHeight="1" x14ac:dyDescent="0.25">
      <c r="A29" s="54" t="s">
        <v>91</v>
      </c>
      <c r="C29" s="56"/>
      <c r="D29" s="56"/>
      <c r="E29" s="56"/>
      <c r="F29" s="56"/>
    </row>
  </sheetData>
  <mergeCells count="6">
    <mergeCell ref="F1:F2"/>
    <mergeCell ref="E1:E2"/>
    <mergeCell ref="A2:B2"/>
    <mergeCell ref="A1:B1"/>
    <mergeCell ref="D1:D2"/>
    <mergeCell ref="C1:C2"/>
  </mergeCells>
  <phoneticPr fontId="0" type="noConversion"/>
  <printOptions horizontalCentered="1"/>
  <pageMargins left="1" right="0.75" top="1.25" bottom="0.75" header="0" footer="0"/>
  <pageSetup orientation="portrait" r:id="rId1"/>
  <headerFooter alignWithMargins="0">
    <oddHeader>&amp;L&amp;"Arial,Italic"Hospital Financial Dataset (2002)&amp;C&amp;"Arial,Italic"&amp;11 &amp;R&amp;"Arial,Bold Italic"&amp;14 9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I10" sqref="I10"/>
    </sheetView>
  </sheetViews>
  <sheetFormatPr defaultColWidth="9.109375" defaultRowHeight="13.2" x14ac:dyDescent="0.25"/>
  <cols>
    <col min="1" max="1" width="3.33203125" style="3" customWidth="1"/>
    <col min="2" max="2" width="38" style="3" customWidth="1"/>
    <col min="3" max="6" width="10.6640625" style="3" customWidth="1"/>
    <col min="7" max="16384" width="9.109375" style="3"/>
  </cols>
  <sheetData>
    <row r="1" spans="1:6" ht="30.75" customHeight="1" x14ac:dyDescent="0.25">
      <c r="A1" s="107" t="s">
        <v>33</v>
      </c>
      <c r="B1" s="108"/>
      <c r="C1" s="105">
        <v>1999</v>
      </c>
      <c r="D1" s="99">
        <v>2000</v>
      </c>
      <c r="E1" s="99">
        <v>2001</v>
      </c>
      <c r="F1" s="95">
        <v>2002</v>
      </c>
    </row>
    <row r="2" spans="1:6" ht="13.5" customHeight="1" thickBot="1" x14ac:dyDescent="0.3">
      <c r="A2" s="101" t="s">
        <v>21</v>
      </c>
      <c r="B2" s="102"/>
      <c r="C2" s="106"/>
      <c r="D2" s="100"/>
      <c r="E2" s="100"/>
      <c r="F2" s="96"/>
    </row>
    <row r="3" spans="1:6" ht="23.25" customHeight="1" x14ac:dyDescent="0.25">
      <c r="A3" s="13">
        <v>1</v>
      </c>
      <c r="B3" s="16" t="s">
        <v>0</v>
      </c>
      <c r="C3" s="31">
        <v>162</v>
      </c>
      <c r="D3" s="31">
        <v>248</v>
      </c>
      <c r="E3" s="32">
        <v>200</v>
      </c>
      <c r="F3" s="33">
        <v>359</v>
      </c>
    </row>
    <row r="4" spans="1:6" s="49" customFormat="1" ht="23.25" customHeight="1" x14ac:dyDescent="0.25">
      <c r="A4" s="6">
        <v>2</v>
      </c>
      <c r="B4" s="5" t="s">
        <v>1</v>
      </c>
      <c r="C4" s="34">
        <v>26245</v>
      </c>
      <c r="D4" s="34">
        <v>32749</v>
      </c>
      <c r="E4" s="35">
        <v>34121</v>
      </c>
      <c r="F4" s="36">
        <v>35358</v>
      </c>
    </row>
    <row r="5" spans="1:6" s="49" customFormat="1" ht="23.25" customHeight="1" x14ac:dyDescent="0.25">
      <c r="A5" s="15">
        <v>3</v>
      </c>
      <c r="B5" s="16" t="s">
        <v>2</v>
      </c>
      <c r="C5" s="37">
        <v>30252</v>
      </c>
      <c r="D5" s="37">
        <v>37242</v>
      </c>
      <c r="E5" s="38">
        <v>38062</v>
      </c>
      <c r="F5" s="39">
        <v>40196</v>
      </c>
    </row>
    <row r="6" spans="1:6" s="49" customFormat="1" ht="23.25" customHeight="1" x14ac:dyDescent="0.25">
      <c r="A6" s="6">
        <v>4</v>
      </c>
      <c r="B6" s="5" t="s">
        <v>3</v>
      </c>
      <c r="C6" s="34">
        <v>30557</v>
      </c>
      <c r="D6" s="34">
        <v>29170</v>
      </c>
      <c r="E6" s="35">
        <v>34037</v>
      </c>
      <c r="F6" s="36">
        <v>34515</v>
      </c>
    </row>
    <row r="7" spans="1:6" s="49" customFormat="1" ht="23.25" customHeight="1" x14ac:dyDescent="0.25">
      <c r="A7" s="15">
        <v>5</v>
      </c>
      <c r="B7" s="16" t="s">
        <v>4</v>
      </c>
      <c r="C7" s="37">
        <v>44444</v>
      </c>
      <c r="D7" s="38">
        <v>48482</v>
      </c>
      <c r="E7" s="38">
        <v>52562</v>
      </c>
      <c r="F7" s="39">
        <v>55302</v>
      </c>
    </row>
    <row r="8" spans="1:6" s="49" customFormat="1" ht="23.25" customHeight="1" x14ac:dyDescent="0.25">
      <c r="A8" s="6">
        <v>6</v>
      </c>
      <c r="B8" s="5" t="s">
        <v>5</v>
      </c>
      <c r="C8" s="34">
        <v>110471</v>
      </c>
      <c r="D8" s="34">
        <v>123287</v>
      </c>
      <c r="E8" s="35">
        <v>117499</v>
      </c>
      <c r="F8" s="36">
        <v>113841</v>
      </c>
    </row>
    <row r="9" spans="1:6" s="49" customFormat="1" ht="23.25" customHeight="1" x14ac:dyDescent="0.25">
      <c r="A9" s="15">
        <v>7</v>
      </c>
      <c r="B9" s="16" t="s">
        <v>24</v>
      </c>
      <c r="C9" s="37">
        <v>757</v>
      </c>
      <c r="D9" s="37">
        <v>892</v>
      </c>
      <c r="E9" s="38">
        <v>903</v>
      </c>
      <c r="F9" s="39">
        <v>913</v>
      </c>
    </row>
    <row r="10" spans="1:6" s="49" customFormat="1" ht="23.25" customHeight="1" x14ac:dyDescent="0.25">
      <c r="A10" s="6">
        <v>8</v>
      </c>
      <c r="B10" s="5" t="s">
        <v>6</v>
      </c>
      <c r="C10" s="34">
        <v>21116</v>
      </c>
      <c r="D10" s="34">
        <v>27236</v>
      </c>
      <c r="E10" s="35">
        <v>29791</v>
      </c>
      <c r="F10" s="36">
        <v>30160</v>
      </c>
    </row>
    <row r="11" spans="1:6" s="49" customFormat="1" ht="23.25" customHeight="1" x14ac:dyDescent="0.25">
      <c r="A11" s="15">
        <v>9</v>
      </c>
      <c r="B11" s="16" t="s">
        <v>7</v>
      </c>
      <c r="C11" s="37">
        <v>8462</v>
      </c>
      <c r="D11" s="37">
        <f>7758+741</f>
        <v>8499</v>
      </c>
      <c r="E11" s="38">
        <f>7054+543</f>
        <v>7597</v>
      </c>
      <c r="F11" s="39">
        <f>6349+335</f>
        <v>6684</v>
      </c>
    </row>
    <row r="12" spans="1:6" s="49" customFormat="1" ht="23.25" customHeight="1" x14ac:dyDescent="0.25">
      <c r="A12" s="6">
        <v>10</v>
      </c>
      <c r="B12" s="5" t="s">
        <v>40</v>
      </c>
      <c r="C12" s="34">
        <v>78238</v>
      </c>
      <c r="D12" s="35">
        <v>84598</v>
      </c>
      <c r="E12" s="35">
        <v>77519</v>
      </c>
      <c r="F12" s="36">
        <v>74473</v>
      </c>
    </row>
    <row r="13" spans="1:6" s="49" customFormat="1" ht="23.25" customHeight="1" x14ac:dyDescent="0.25">
      <c r="A13" s="15">
        <v>11</v>
      </c>
      <c r="B13" s="16" t="s">
        <v>8</v>
      </c>
      <c r="C13" s="37">
        <v>106806</v>
      </c>
      <c r="D13" s="37">
        <v>112904</v>
      </c>
      <c r="E13" s="38">
        <v>119229</v>
      </c>
      <c r="F13" s="39">
        <v>129066</v>
      </c>
    </row>
    <row r="14" spans="1:6" s="49" customFormat="1" ht="23.25" customHeight="1" x14ac:dyDescent="0.25">
      <c r="A14" s="6">
        <v>12</v>
      </c>
      <c r="B14" s="5" t="s">
        <v>9</v>
      </c>
      <c r="C14" s="35">
        <f>C15-C13</f>
        <v>9547</v>
      </c>
      <c r="D14" s="35">
        <f>D15-D13</f>
        <v>10112</v>
      </c>
      <c r="E14" s="35">
        <f>E15-E13</f>
        <v>9592</v>
      </c>
      <c r="F14" s="36">
        <v>8513</v>
      </c>
    </row>
    <row r="15" spans="1:6" s="49" customFormat="1" ht="23.25" customHeight="1" x14ac:dyDescent="0.25">
      <c r="A15" s="15">
        <v>13</v>
      </c>
      <c r="B15" s="16" t="s">
        <v>10</v>
      </c>
      <c r="C15" s="37">
        <v>116353</v>
      </c>
      <c r="D15" s="37">
        <v>123016</v>
      </c>
      <c r="E15" s="38">
        <v>128821</v>
      </c>
      <c r="F15" s="39">
        <v>137579</v>
      </c>
    </row>
    <row r="16" spans="1:6" s="49" customFormat="1" ht="23.25" customHeight="1" x14ac:dyDescent="0.25">
      <c r="A16" s="6">
        <v>14</v>
      </c>
      <c r="B16" s="5" t="s">
        <v>11</v>
      </c>
      <c r="C16" s="34">
        <v>1097</v>
      </c>
      <c r="D16" s="35">
        <v>1401</v>
      </c>
      <c r="E16" s="35">
        <v>1336</v>
      </c>
      <c r="F16" s="36">
        <v>955</v>
      </c>
    </row>
    <row r="17" spans="1:14" s="49" customFormat="1" ht="23.25" customHeight="1" x14ac:dyDescent="0.25">
      <c r="A17" s="15">
        <v>15</v>
      </c>
      <c r="B17" s="16" t="s">
        <v>12</v>
      </c>
      <c r="C17" s="38">
        <v>3712</v>
      </c>
      <c r="D17" s="38">
        <v>4068</v>
      </c>
      <c r="E17" s="38">
        <v>4104</v>
      </c>
      <c r="F17" s="39">
        <v>4049</v>
      </c>
    </row>
    <row r="18" spans="1:14" s="49" customFormat="1" ht="23.25" customHeight="1" x14ac:dyDescent="0.25">
      <c r="A18" s="6">
        <v>16</v>
      </c>
      <c r="B18" s="5" t="s">
        <v>30</v>
      </c>
      <c r="C18" s="40">
        <f>62445.1+13558</f>
        <v>76003.100000000006</v>
      </c>
      <c r="D18" s="35">
        <f>64338.4+14353.1</f>
        <v>78691.5</v>
      </c>
      <c r="E18" s="35">
        <f>66848.2+15318.1</f>
        <v>82166.3</v>
      </c>
      <c r="F18" s="36">
        <f>71132.6+17212.7</f>
        <v>88345.3</v>
      </c>
      <c r="I18" s="9"/>
      <c r="J18" s="9"/>
      <c r="K18" s="9"/>
      <c r="L18" s="9"/>
      <c r="M18" s="9"/>
      <c r="N18" s="9"/>
    </row>
    <row r="19" spans="1:14" s="49" customFormat="1" ht="23.25" customHeight="1" x14ac:dyDescent="0.25">
      <c r="A19" s="15">
        <v>17</v>
      </c>
      <c r="B19" s="16" t="s">
        <v>13</v>
      </c>
      <c r="C19" s="38">
        <v>4684</v>
      </c>
      <c r="D19" s="38">
        <v>5220</v>
      </c>
      <c r="E19" s="38">
        <v>5213</v>
      </c>
      <c r="F19" s="39">
        <v>4771</v>
      </c>
    </row>
    <row r="20" spans="1:14" s="49" customFormat="1" ht="23.25" customHeight="1" x14ac:dyDescent="0.25">
      <c r="A20" s="6">
        <v>18</v>
      </c>
      <c r="B20" s="5" t="s">
        <v>84</v>
      </c>
      <c r="C20" s="34">
        <v>117324</v>
      </c>
      <c r="D20" s="35">
        <v>122933</v>
      </c>
      <c r="E20" s="35">
        <v>130082</v>
      </c>
      <c r="F20" s="36">
        <v>138593</v>
      </c>
    </row>
    <row r="21" spans="1:14" s="49" customFormat="1" ht="23.25" customHeight="1" x14ac:dyDescent="0.25">
      <c r="A21" s="15">
        <v>19</v>
      </c>
      <c r="B21" s="16" t="s">
        <v>14</v>
      </c>
      <c r="C21" s="37">
        <v>-970</v>
      </c>
      <c r="D21" s="37">
        <v>84</v>
      </c>
      <c r="E21" s="38">
        <v>-1261</v>
      </c>
      <c r="F21" s="39">
        <v>-1014</v>
      </c>
    </row>
    <row r="22" spans="1:14" s="49" customFormat="1" ht="23.25" customHeight="1" x14ac:dyDescent="0.25">
      <c r="A22" s="6">
        <v>20</v>
      </c>
      <c r="B22" s="5" t="s">
        <v>15</v>
      </c>
      <c r="C22" s="35">
        <f>C23-C21</f>
        <v>2962</v>
      </c>
      <c r="D22" s="35">
        <f>D23-D21</f>
        <v>5851</v>
      </c>
      <c r="E22" s="35">
        <v>1441</v>
      </c>
      <c r="F22" s="36">
        <v>1622</v>
      </c>
    </row>
    <row r="23" spans="1:14" s="49" customFormat="1" ht="23.25" customHeight="1" x14ac:dyDescent="0.25">
      <c r="A23" s="15">
        <v>21</v>
      </c>
      <c r="B23" s="16" t="s">
        <v>16</v>
      </c>
      <c r="C23" s="37">
        <v>1992</v>
      </c>
      <c r="D23" s="37">
        <v>5935</v>
      </c>
      <c r="E23" s="38">
        <v>181</v>
      </c>
      <c r="F23" s="39">
        <v>608</v>
      </c>
    </row>
    <row r="24" spans="1:14" s="49" customFormat="1" ht="23.25" customHeight="1" x14ac:dyDescent="0.25">
      <c r="A24" s="6">
        <v>22</v>
      </c>
      <c r="B24" s="5" t="s">
        <v>17</v>
      </c>
      <c r="C24" s="35">
        <v>4236</v>
      </c>
      <c r="D24" s="35">
        <v>2682</v>
      </c>
      <c r="E24" s="35">
        <v>8974</v>
      </c>
      <c r="F24" s="36">
        <v>4413</v>
      </c>
    </row>
    <row r="25" spans="1:14" s="49" customFormat="1" ht="23.25" customHeight="1" x14ac:dyDescent="0.25">
      <c r="A25" s="15">
        <v>23</v>
      </c>
      <c r="B25" s="16" t="s">
        <v>81</v>
      </c>
      <c r="C25" s="46">
        <v>50714</v>
      </c>
      <c r="D25" s="37">
        <v>57134</v>
      </c>
      <c r="E25" s="38">
        <v>45662</v>
      </c>
      <c r="F25" s="39">
        <v>41019</v>
      </c>
    </row>
    <row r="26" spans="1:14" s="49" customFormat="1" ht="23.25" customHeight="1" x14ac:dyDescent="0.25">
      <c r="A26" s="6">
        <v>24</v>
      </c>
      <c r="B26" s="5" t="s">
        <v>19</v>
      </c>
      <c r="C26" s="35">
        <v>3358</v>
      </c>
      <c r="D26" s="35">
        <v>5359</v>
      </c>
      <c r="E26" s="35">
        <v>5482</v>
      </c>
      <c r="F26" s="36">
        <v>5578</v>
      </c>
    </row>
    <row r="27" spans="1:14" s="49" customFormat="1" ht="23.25" customHeight="1" thickBot="1" x14ac:dyDescent="0.3">
      <c r="A27" s="17">
        <v>25</v>
      </c>
      <c r="B27" s="18" t="s">
        <v>20</v>
      </c>
      <c r="C27" s="42">
        <v>2583</v>
      </c>
      <c r="D27" s="42">
        <v>2583</v>
      </c>
      <c r="E27" s="43">
        <v>4085</v>
      </c>
      <c r="F27" s="44">
        <v>4340</v>
      </c>
    </row>
    <row r="29" spans="1:14" x14ac:dyDescent="0.25">
      <c r="A29" s="53" t="s">
        <v>85</v>
      </c>
    </row>
  </sheetData>
  <mergeCells count="6">
    <mergeCell ref="F1:F2"/>
    <mergeCell ref="E1:E2"/>
    <mergeCell ref="A1:B1"/>
    <mergeCell ref="A2:B2"/>
    <mergeCell ref="D1:D2"/>
    <mergeCell ref="C1:C2"/>
  </mergeCells>
  <phoneticPr fontId="0" type="noConversion"/>
  <printOptions horizontalCentered="1"/>
  <pageMargins left="0.75" right="1" top="1.25" bottom="0.75" header="0" footer="0"/>
  <pageSetup orientation="portrait" r:id="rId1"/>
  <headerFooter alignWithMargins="0">
    <oddHeader>&amp;L&amp;"Arial,Bold Italic"&amp;14 10&amp;R&amp;"Arial,Italic"Hospital Financial Dataset (2002)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19" sqref="F19"/>
    </sheetView>
  </sheetViews>
  <sheetFormatPr defaultColWidth="9.109375" defaultRowHeight="13.2" x14ac:dyDescent="0.25"/>
  <cols>
    <col min="1" max="1" width="3.33203125" style="3" customWidth="1"/>
    <col min="2" max="2" width="38" style="3" customWidth="1"/>
    <col min="3" max="6" width="10.6640625" style="3" customWidth="1"/>
    <col min="7" max="16384" width="9.109375" style="3"/>
  </cols>
  <sheetData>
    <row r="1" spans="1:6" ht="30.75" customHeight="1" x14ac:dyDescent="0.25">
      <c r="A1" s="107" t="s">
        <v>25</v>
      </c>
      <c r="B1" s="115"/>
      <c r="C1" s="105">
        <v>1999</v>
      </c>
      <c r="D1" s="99">
        <v>2000</v>
      </c>
      <c r="E1" s="99">
        <v>2001</v>
      </c>
      <c r="F1" s="95">
        <v>2002</v>
      </c>
    </row>
    <row r="2" spans="1:6" ht="13.5" customHeight="1" thickBot="1" x14ac:dyDescent="0.3">
      <c r="A2" s="101" t="s">
        <v>21</v>
      </c>
      <c r="B2" s="102"/>
      <c r="C2" s="106"/>
      <c r="D2" s="100"/>
      <c r="E2" s="100"/>
      <c r="F2" s="96"/>
    </row>
    <row r="3" spans="1:6" ht="23.25" customHeight="1" x14ac:dyDescent="0.25">
      <c r="A3" s="13">
        <v>1</v>
      </c>
      <c r="B3" s="14" t="s">
        <v>0</v>
      </c>
      <c r="C3" s="32">
        <v>10070</v>
      </c>
      <c r="D3" s="32">
        <v>21055</v>
      </c>
      <c r="E3" s="32">
        <v>24400</v>
      </c>
      <c r="F3" s="33">
        <v>54115</v>
      </c>
    </row>
    <row r="4" spans="1:6" s="49" customFormat="1" ht="23.25" customHeight="1" x14ac:dyDescent="0.25">
      <c r="A4" s="6">
        <v>2</v>
      </c>
      <c r="B4" s="5" t="s">
        <v>1</v>
      </c>
      <c r="C4" s="35">
        <v>31465</v>
      </c>
      <c r="D4" s="35">
        <v>29023</v>
      </c>
      <c r="E4" s="35">
        <v>23296</v>
      </c>
      <c r="F4" s="36">
        <v>24413</v>
      </c>
    </row>
    <row r="5" spans="1:6" s="49" customFormat="1" ht="23.25" customHeight="1" x14ac:dyDescent="0.25">
      <c r="A5" s="15">
        <v>3</v>
      </c>
      <c r="B5" s="16" t="s">
        <v>2</v>
      </c>
      <c r="C5" s="38">
        <v>53661</v>
      </c>
      <c r="D5" s="38">
        <v>56491</v>
      </c>
      <c r="E5" s="38">
        <v>52369</v>
      </c>
      <c r="F5" s="39">
        <v>28352</v>
      </c>
    </row>
    <row r="6" spans="1:6" s="49" customFormat="1" ht="23.25" customHeight="1" x14ac:dyDescent="0.25">
      <c r="A6" s="6">
        <v>4</v>
      </c>
      <c r="B6" s="5" t="s">
        <v>3</v>
      </c>
      <c r="C6" s="35">
        <v>50633</v>
      </c>
      <c r="D6" s="34">
        <v>49467</v>
      </c>
      <c r="E6" s="35">
        <v>50114</v>
      </c>
      <c r="F6" s="36">
        <v>61809</v>
      </c>
    </row>
    <row r="7" spans="1:6" s="49" customFormat="1" ht="23.25" customHeight="1" x14ac:dyDescent="0.25">
      <c r="A7" s="15">
        <v>5</v>
      </c>
      <c r="B7" s="16" t="s">
        <v>4</v>
      </c>
      <c r="C7" s="38">
        <v>63557</v>
      </c>
      <c r="D7" s="37">
        <v>68601</v>
      </c>
      <c r="E7" s="38">
        <v>74479</v>
      </c>
      <c r="F7" s="39">
        <v>80675</v>
      </c>
    </row>
    <row r="8" spans="1:6" s="49" customFormat="1" ht="23.25" customHeight="1" x14ac:dyDescent="0.25">
      <c r="A8" s="6">
        <v>6</v>
      </c>
      <c r="B8" s="5" t="s">
        <v>5</v>
      </c>
      <c r="C8" s="35">
        <f>123191+33204</f>
        <v>156395</v>
      </c>
      <c r="D8" s="34">
        <v>170046</v>
      </c>
      <c r="E8" s="35">
        <v>170320</v>
      </c>
      <c r="F8" s="36">
        <v>208219</v>
      </c>
    </row>
    <row r="9" spans="1:6" s="49" customFormat="1" ht="23.25" customHeight="1" x14ac:dyDescent="0.25">
      <c r="A9" s="15">
        <v>7</v>
      </c>
      <c r="B9" s="16" t="s">
        <v>24</v>
      </c>
      <c r="C9" s="38">
        <v>656</v>
      </c>
      <c r="D9" s="37">
        <v>683</v>
      </c>
      <c r="E9" s="38">
        <v>714</v>
      </c>
      <c r="F9" s="39">
        <v>1014</v>
      </c>
    </row>
    <row r="10" spans="1:6" s="49" customFormat="1" ht="23.25" customHeight="1" x14ac:dyDescent="0.25">
      <c r="A10" s="6">
        <v>8</v>
      </c>
      <c r="B10" s="5" t="s">
        <v>6</v>
      </c>
      <c r="C10" s="35">
        <v>18130</v>
      </c>
      <c r="D10" s="34">
        <v>21028</v>
      </c>
      <c r="E10" s="35">
        <v>25953</v>
      </c>
      <c r="F10" s="36">
        <v>29352</v>
      </c>
    </row>
    <row r="11" spans="1:6" s="49" customFormat="1" ht="23.25" customHeight="1" x14ac:dyDescent="0.25">
      <c r="A11" s="15">
        <v>9</v>
      </c>
      <c r="B11" s="16" t="s">
        <v>7</v>
      </c>
      <c r="C11" s="38">
        <v>36896</v>
      </c>
      <c r="D11" s="37">
        <v>36212</v>
      </c>
      <c r="E11" s="38">
        <v>35498</v>
      </c>
      <c r="F11" s="39">
        <v>53620</v>
      </c>
    </row>
    <row r="12" spans="1:6" s="49" customFormat="1" ht="23.25" customHeight="1" x14ac:dyDescent="0.25">
      <c r="A12" s="6">
        <v>10</v>
      </c>
      <c r="B12" s="5" t="s">
        <v>40</v>
      </c>
      <c r="C12" s="35">
        <f>55971+33204</f>
        <v>89175</v>
      </c>
      <c r="D12" s="34">
        <v>100790</v>
      </c>
      <c r="E12" s="35">
        <v>96002</v>
      </c>
      <c r="F12" s="36">
        <v>111203</v>
      </c>
    </row>
    <row r="13" spans="1:6" s="49" customFormat="1" ht="23.25" customHeight="1" x14ac:dyDescent="0.25">
      <c r="A13" s="15">
        <v>11</v>
      </c>
      <c r="B13" s="16" t="s">
        <v>8</v>
      </c>
      <c r="C13" s="38">
        <v>132663</v>
      </c>
      <c r="D13" s="38">
        <v>147537</v>
      </c>
      <c r="E13" s="38">
        <v>173501</v>
      </c>
      <c r="F13" s="39">
        <v>193909</v>
      </c>
    </row>
    <row r="14" spans="1:6" s="49" customFormat="1" ht="23.25" customHeight="1" x14ac:dyDescent="0.25">
      <c r="A14" s="6">
        <v>12</v>
      </c>
      <c r="B14" s="5" t="s">
        <v>9</v>
      </c>
      <c r="C14" s="35">
        <f>C15-C13</f>
        <v>25894</v>
      </c>
      <c r="D14" s="35">
        <f>D15-D13</f>
        <v>19817</v>
      </c>
      <c r="E14" s="35">
        <f>E15-E13</f>
        <v>26546</v>
      </c>
      <c r="F14" s="36">
        <f>F15-F13</f>
        <v>31219</v>
      </c>
    </row>
    <row r="15" spans="1:6" s="49" customFormat="1" ht="23.25" customHeight="1" x14ac:dyDescent="0.25">
      <c r="A15" s="15">
        <v>13</v>
      </c>
      <c r="B15" s="16" t="s">
        <v>10</v>
      </c>
      <c r="C15" s="38">
        <v>158557</v>
      </c>
      <c r="D15" s="38">
        <v>167354</v>
      </c>
      <c r="E15" s="38">
        <v>200047</v>
      </c>
      <c r="F15" s="39">
        <v>225128</v>
      </c>
    </row>
    <row r="16" spans="1:6" s="49" customFormat="1" ht="23.25" customHeight="1" x14ac:dyDescent="0.25">
      <c r="A16" s="6">
        <v>14</v>
      </c>
      <c r="B16" s="5" t="s">
        <v>11</v>
      </c>
      <c r="C16" s="35">
        <v>2132</v>
      </c>
      <c r="D16" s="35">
        <v>2141</v>
      </c>
      <c r="E16" s="35">
        <v>2044</v>
      </c>
      <c r="F16" s="36">
        <v>2392</v>
      </c>
    </row>
    <row r="17" spans="1:6" s="49" customFormat="1" ht="23.25" customHeight="1" x14ac:dyDescent="0.25">
      <c r="A17" s="15">
        <v>15</v>
      </c>
      <c r="B17" s="16" t="s">
        <v>12</v>
      </c>
      <c r="C17" s="38">
        <v>7394</v>
      </c>
      <c r="D17" s="38">
        <v>7807</v>
      </c>
      <c r="E17" s="38">
        <v>7975</v>
      </c>
      <c r="F17" s="39">
        <v>8728</v>
      </c>
    </row>
    <row r="18" spans="1:6" s="49" customFormat="1" ht="23.25" customHeight="1" x14ac:dyDescent="0.25">
      <c r="A18" s="6">
        <v>16</v>
      </c>
      <c r="B18" s="5" t="s">
        <v>30</v>
      </c>
      <c r="C18" s="40">
        <f>60820+12073</f>
        <v>72893</v>
      </c>
      <c r="D18" s="35">
        <f>61873+13119</f>
        <v>74992</v>
      </c>
      <c r="E18" s="35">
        <f>69649+14360</f>
        <v>84009</v>
      </c>
      <c r="F18" s="36">
        <f>82076+18225</f>
        <v>100301</v>
      </c>
    </row>
    <row r="19" spans="1:6" s="49" customFormat="1" ht="23.25" customHeight="1" x14ac:dyDescent="0.25">
      <c r="A19" s="15">
        <v>17</v>
      </c>
      <c r="B19" s="16" t="s">
        <v>13</v>
      </c>
      <c r="C19" s="38">
        <v>8344</v>
      </c>
      <c r="D19" s="38">
        <v>7789</v>
      </c>
      <c r="E19" s="38">
        <v>9484</v>
      </c>
      <c r="F19" s="39">
        <v>9099</v>
      </c>
    </row>
    <row r="20" spans="1:6" s="49" customFormat="1" ht="23.25" customHeight="1" x14ac:dyDescent="0.25">
      <c r="A20" s="6">
        <v>18</v>
      </c>
      <c r="B20" s="5" t="s">
        <v>84</v>
      </c>
      <c r="C20" s="35">
        <v>156582</v>
      </c>
      <c r="D20" s="35">
        <v>159995</v>
      </c>
      <c r="E20" s="35">
        <v>188024</v>
      </c>
      <c r="F20" s="36">
        <v>213992</v>
      </c>
    </row>
    <row r="21" spans="1:6" s="49" customFormat="1" ht="23.25" customHeight="1" x14ac:dyDescent="0.25">
      <c r="A21" s="15">
        <v>19</v>
      </c>
      <c r="B21" s="16" t="s">
        <v>14</v>
      </c>
      <c r="C21" s="38">
        <v>1975</v>
      </c>
      <c r="D21" s="38">
        <v>7359</v>
      </c>
      <c r="E21" s="38">
        <v>12023</v>
      </c>
      <c r="F21" s="39">
        <v>11136</v>
      </c>
    </row>
    <row r="22" spans="1:6" s="49" customFormat="1" ht="23.25" customHeight="1" x14ac:dyDescent="0.25">
      <c r="A22" s="6">
        <v>20</v>
      </c>
      <c r="B22" s="5" t="s">
        <v>15</v>
      </c>
      <c r="C22" s="35">
        <f>C23-C21</f>
        <v>621</v>
      </c>
      <c r="D22" s="35">
        <v>362</v>
      </c>
      <c r="E22" s="35">
        <v>0</v>
      </c>
      <c r="F22" s="36">
        <v>0</v>
      </c>
    </row>
    <row r="23" spans="1:6" s="49" customFormat="1" ht="23.25" customHeight="1" x14ac:dyDescent="0.25">
      <c r="A23" s="15">
        <v>21</v>
      </c>
      <c r="B23" s="16" t="s">
        <v>16</v>
      </c>
      <c r="C23" s="38">
        <v>2596</v>
      </c>
      <c r="D23" s="38">
        <v>7721</v>
      </c>
      <c r="E23" s="38">
        <v>12023</v>
      </c>
      <c r="F23" s="39">
        <v>11136</v>
      </c>
    </row>
    <row r="24" spans="1:6" s="49" customFormat="1" ht="23.25" customHeight="1" x14ac:dyDescent="0.25">
      <c r="A24" s="6">
        <v>22</v>
      </c>
      <c r="B24" s="5" t="s">
        <v>17</v>
      </c>
      <c r="C24" s="35">
        <v>7166</v>
      </c>
      <c r="D24" s="35">
        <v>4544</v>
      </c>
      <c r="E24" s="35">
        <v>6525</v>
      </c>
      <c r="F24" s="36">
        <v>17892</v>
      </c>
    </row>
    <row r="25" spans="1:6" s="49" customFormat="1" ht="23.25" customHeight="1" x14ac:dyDescent="0.25">
      <c r="A25" s="15">
        <v>23</v>
      </c>
      <c r="B25" s="16" t="s">
        <v>81</v>
      </c>
      <c r="C25" s="41">
        <f>13633+32860</f>
        <v>46493</v>
      </c>
      <c r="D25" s="41">
        <f>34566+15475</f>
        <v>50041</v>
      </c>
      <c r="E25" s="38">
        <f>31627+18746</f>
        <v>50373</v>
      </c>
      <c r="F25" s="39">
        <v>51908</v>
      </c>
    </row>
    <row r="26" spans="1:6" s="49" customFormat="1" ht="23.25" customHeight="1" x14ac:dyDescent="0.25">
      <c r="A26" s="6">
        <v>24</v>
      </c>
      <c r="B26" s="5" t="s">
        <v>19</v>
      </c>
      <c r="C26" s="35">
        <v>2756</v>
      </c>
      <c r="D26" s="35">
        <v>4024</v>
      </c>
      <c r="E26" s="35">
        <v>7148</v>
      </c>
      <c r="F26" s="36">
        <v>7521</v>
      </c>
    </row>
    <row r="27" spans="1:6" s="49" customFormat="1" ht="23.25" customHeight="1" thickBot="1" x14ac:dyDescent="0.3">
      <c r="A27" s="17">
        <v>25</v>
      </c>
      <c r="B27" s="18" t="s">
        <v>20</v>
      </c>
      <c r="C27" s="43">
        <v>3612</v>
      </c>
      <c r="D27" s="43">
        <v>4786</v>
      </c>
      <c r="E27" s="43">
        <v>4973</v>
      </c>
      <c r="F27" s="44">
        <v>5283</v>
      </c>
    </row>
    <row r="28" spans="1:6" ht="12.75" customHeight="1" x14ac:dyDescent="0.25"/>
    <row r="29" spans="1:6" x14ac:dyDescent="0.25">
      <c r="A29" s="53" t="s">
        <v>86</v>
      </c>
    </row>
    <row r="30" spans="1:6" x14ac:dyDescent="0.25">
      <c r="A30" s="53" t="s">
        <v>85</v>
      </c>
    </row>
  </sheetData>
  <mergeCells count="6">
    <mergeCell ref="F1:F2"/>
    <mergeCell ref="A1:B1"/>
    <mergeCell ref="A2:B2"/>
    <mergeCell ref="E1:E2"/>
    <mergeCell ref="D1:D2"/>
    <mergeCell ref="C1:C2"/>
  </mergeCells>
  <phoneticPr fontId="0" type="noConversion"/>
  <printOptions horizontalCentered="1"/>
  <pageMargins left="1" right="0.75" top="1.25" bottom="0.75" header="0" footer="0"/>
  <pageSetup orientation="portrait" r:id="rId1"/>
  <headerFooter alignWithMargins="0">
    <oddHeader>&amp;L&amp;"Arial,Italic"Hospital Financial Dataset (2002)&amp;R&amp;"Arial,Bold Italic"&amp;14 11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19" sqref="F19"/>
    </sheetView>
  </sheetViews>
  <sheetFormatPr defaultColWidth="9.109375" defaultRowHeight="13.2" x14ac:dyDescent="0.25"/>
  <cols>
    <col min="1" max="1" width="3.33203125" style="3" customWidth="1"/>
    <col min="2" max="2" width="38" style="3" customWidth="1"/>
    <col min="3" max="6" width="10.6640625" style="3" customWidth="1"/>
    <col min="7" max="16384" width="9.109375" style="3"/>
  </cols>
  <sheetData>
    <row r="1" spans="1:6" ht="30.75" customHeight="1" x14ac:dyDescent="0.25">
      <c r="A1" s="107" t="s">
        <v>26</v>
      </c>
      <c r="B1" s="108"/>
      <c r="C1" s="105">
        <v>1999</v>
      </c>
      <c r="D1" s="99">
        <v>2000</v>
      </c>
      <c r="E1" s="99">
        <v>2001</v>
      </c>
      <c r="F1" s="95">
        <v>2002</v>
      </c>
    </row>
    <row r="2" spans="1:6" ht="13.5" customHeight="1" thickBot="1" x14ac:dyDescent="0.3">
      <c r="A2" s="101" t="s">
        <v>21</v>
      </c>
      <c r="B2" s="102"/>
      <c r="C2" s="106"/>
      <c r="D2" s="100"/>
      <c r="E2" s="100"/>
      <c r="F2" s="96"/>
    </row>
    <row r="3" spans="1:6" ht="23.25" customHeight="1" x14ac:dyDescent="0.25">
      <c r="A3" s="13">
        <v>1</v>
      </c>
      <c r="B3" s="14" t="s">
        <v>0</v>
      </c>
      <c r="C3" s="31">
        <v>718</v>
      </c>
      <c r="D3" s="32">
        <v>1982</v>
      </c>
      <c r="E3" s="32">
        <v>3757</v>
      </c>
      <c r="F3" s="33">
        <v>1679</v>
      </c>
    </row>
    <row r="4" spans="1:6" s="49" customFormat="1" ht="23.25" customHeight="1" x14ac:dyDescent="0.25">
      <c r="A4" s="6">
        <v>2</v>
      </c>
      <c r="B4" s="5" t="s">
        <v>1</v>
      </c>
      <c r="C4" s="34">
        <v>12261</v>
      </c>
      <c r="D4" s="35">
        <v>10709</v>
      </c>
      <c r="E4" s="35">
        <v>8748</v>
      </c>
      <c r="F4" s="36">
        <v>9504</v>
      </c>
    </row>
    <row r="5" spans="1:6" s="49" customFormat="1" ht="23.25" customHeight="1" x14ac:dyDescent="0.25">
      <c r="A5" s="15">
        <v>3</v>
      </c>
      <c r="B5" s="16" t="s">
        <v>2</v>
      </c>
      <c r="C5" s="37">
        <v>14611</v>
      </c>
      <c r="D5" s="38">
        <v>14450</v>
      </c>
      <c r="E5" s="38">
        <v>13860</v>
      </c>
      <c r="F5" s="39">
        <v>14228</v>
      </c>
    </row>
    <row r="6" spans="1:6" s="49" customFormat="1" ht="23.25" customHeight="1" x14ac:dyDescent="0.25">
      <c r="A6" s="6">
        <v>4</v>
      </c>
      <c r="B6" s="5" t="s">
        <v>3</v>
      </c>
      <c r="C6" s="34">
        <v>43315</v>
      </c>
      <c r="D6" s="35">
        <v>63693</v>
      </c>
      <c r="E6" s="35">
        <v>69367</v>
      </c>
      <c r="F6" s="36">
        <v>73195</v>
      </c>
    </row>
    <row r="7" spans="1:6" s="49" customFormat="1" ht="23.25" customHeight="1" x14ac:dyDescent="0.25">
      <c r="A7" s="15">
        <v>5</v>
      </c>
      <c r="B7" s="16" t="s">
        <v>4</v>
      </c>
      <c r="C7" s="37">
        <v>33250</v>
      </c>
      <c r="D7" s="38">
        <v>35868</v>
      </c>
      <c r="E7" s="38">
        <v>39736</v>
      </c>
      <c r="F7" s="39">
        <v>44270</v>
      </c>
    </row>
    <row r="8" spans="1:6" s="49" customFormat="1" ht="23.25" customHeight="1" x14ac:dyDescent="0.25">
      <c r="A8" s="6">
        <v>6</v>
      </c>
      <c r="B8" s="5" t="s">
        <v>5</v>
      </c>
      <c r="C8" s="34">
        <f>135261+84335</f>
        <v>219596</v>
      </c>
      <c r="D8" s="35">
        <v>231396</v>
      </c>
      <c r="E8" s="35">
        <v>223808</v>
      </c>
      <c r="F8" s="36">
        <v>223878</v>
      </c>
    </row>
    <row r="9" spans="1:6" s="49" customFormat="1" ht="23.25" customHeight="1" x14ac:dyDescent="0.25">
      <c r="A9" s="15">
        <v>7</v>
      </c>
      <c r="B9" s="16" t="s">
        <v>24</v>
      </c>
      <c r="C9" s="38">
        <v>552</v>
      </c>
      <c r="D9" s="38">
        <v>495</v>
      </c>
      <c r="E9" s="38">
        <v>515</v>
      </c>
      <c r="F9" s="39">
        <v>535</v>
      </c>
    </row>
    <row r="10" spans="1:6" s="49" customFormat="1" ht="23.25" customHeight="1" x14ac:dyDescent="0.25">
      <c r="A10" s="6">
        <v>8</v>
      </c>
      <c r="B10" s="5" t="s">
        <v>6</v>
      </c>
      <c r="C10" s="35">
        <v>8152</v>
      </c>
      <c r="D10" s="35">
        <v>8250</v>
      </c>
      <c r="E10" s="35">
        <v>8353</v>
      </c>
      <c r="F10" s="36">
        <v>10019</v>
      </c>
    </row>
    <row r="11" spans="1:6" s="49" customFormat="1" ht="23.25" customHeight="1" x14ac:dyDescent="0.25">
      <c r="A11" s="15">
        <v>9</v>
      </c>
      <c r="B11" s="16" t="s">
        <v>7</v>
      </c>
      <c r="C11" s="38">
        <v>30037</v>
      </c>
      <c r="D11" s="38">
        <v>29030</v>
      </c>
      <c r="E11" s="38">
        <v>28515</v>
      </c>
      <c r="F11" s="39">
        <v>27980</v>
      </c>
    </row>
    <row r="12" spans="1:6" s="49" customFormat="1" ht="23.25" customHeight="1" x14ac:dyDescent="0.25">
      <c r="A12" s="6">
        <v>10</v>
      </c>
      <c r="B12" s="5" t="s">
        <v>40</v>
      </c>
      <c r="C12" s="35">
        <f>91579+84335</f>
        <v>175914</v>
      </c>
      <c r="D12" s="35">
        <v>187574</v>
      </c>
      <c r="E12" s="35">
        <v>181319</v>
      </c>
      <c r="F12" s="36">
        <v>180400</v>
      </c>
    </row>
    <row r="13" spans="1:6" s="49" customFormat="1" ht="23.25" customHeight="1" x14ac:dyDescent="0.25">
      <c r="A13" s="15">
        <v>11</v>
      </c>
      <c r="B13" s="16" t="s">
        <v>8</v>
      </c>
      <c r="C13" s="38">
        <v>56116</v>
      </c>
      <c r="D13" s="38">
        <v>63527</v>
      </c>
      <c r="E13" s="38">
        <v>71007</v>
      </c>
      <c r="F13" s="39">
        <v>75913</v>
      </c>
    </row>
    <row r="14" spans="1:6" s="49" customFormat="1" ht="23.25" customHeight="1" x14ac:dyDescent="0.25">
      <c r="A14" s="6">
        <v>12</v>
      </c>
      <c r="B14" s="5" t="s">
        <v>9</v>
      </c>
      <c r="C14" s="35">
        <f>C15-C13</f>
        <v>2522</v>
      </c>
      <c r="D14" s="35">
        <f>D15-D13</f>
        <v>2538</v>
      </c>
      <c r="E14" s="35">
        <f>E15-E13</f>
        <v>2443</v>
      </c>
      <c r="F14" s="36">
        <f>F15-F13</f>
        <v>5718</v>
      </c>
    </row>
    <row r="15" spans="1:6" s="49" customFormat="1" ht="23.25" customHeight="1" x14ac:dyDescent="0.25">
      <c r="A15" s="15">
        <v>13</v>
      </c>
      <c r="B15" s="16" t="s">
        <v>10</v>
      </c>
      <c r="C15" s="38">
        <v>58638</v>
      </c>
      <c r="D15" s="38">
        <v>66065</v>
      </c>
      <c r="E15" s="38">
        <v>73450</v>
      </c>
      <c r="F15" s="39">
        <v>81631</v>
      </c>
    </row>
    <row r="16" spans="1:6" s="49" customFormat="1" ht="23.25" customHeight="1" x14ac:dyDescent="0.25">
      <c r="A16" s="6">
        <v>14</v>
      </c>
      <c r="B16" s="5" t="s">
        <v>11</v>
      </c>
      <c r="C16" s="35">
        <v>70</v>
      </c>
      <c r="D16" s="35">
        <v>44</v>
      </c>
      <c r="E16" s="35">
        <v>1385</v>
      </c>
      <c r="F16" s="36">
        <v>1472</v>
      </c>
    </row>
    <row r="17" spans="1:6" s="49" customFormat="1" ht="23.25" customHeight="1" x14ac:dyDescent="0.25">
      <c r="A17" s="15">
        <v>15</v>
      </c>
      <c r="B17" s="16" t="s">
        <v>12</v>
      </c>
      <c r="C17" s="38">
        <v>3813</v>
      </c>
      <c r="D17" s="38">
        <v>4351</v>
      </c>
      <c r="E17" s="38">
        <v>5262</v>
      </c>
      <c r="F17" s="39">
        <v>5983</v>
      </c>
    </row>
    <row r="18" spans="1:6" s="49" customFormat="1" ht="23.25" customHeight="1" x14ac:dyDescent="0.25">
      <c r="A18" s="6">
        <v>16</v>
      </c>
      <c r="B18" s="5" t="s">
        <v>30</v>
      </c>
      <c r="C18" s="40">
        <f>25711+3244</f>
        <v>28955</v>
      </c>
      <c r="D18" s="35">
        <f>26065.7+3167.4</f>
        <v>29233.100000000002</v>
      </c>
      <c r="E18" s="35">
        <f>28902.5+3731.6</f>
        <v>32634.1</v>
      </c>
      <c r="F18" s="36">
        <f>31185.4+4958.8</f>
        <v>36144.200000000004</v>
      </c>
    </row>
    <row r="19" spans="1:6" s="49" customFormat="1" ht="23.25" customHeight="1" x14ac:dyDescent="0.25">
      <c r="A19" s="15">
        <v>17</v>
      </c>
      <c r="B19" s="16" t="s">
        <v>13</v>
      </c>
      <c r="C19" s="38">
        <v>5008</v>
      </c>
      <c r="D19" s="38">
        <v>4815</v>
      </c>
      <c r="E19" s="38">
        <v>5333</v>
      </c>
      <c r="F19" s="39">
        <v>5069</v>
      </c>
    </row>
    <row r="20" spans="1:6" s="49" customFormat="1" ht="23.25" customHeight="1" x14ac:dyDescent="0.25">
      <c r="A20" s="6">
        <v>18</v>
      </c>
      <c r="B20" s="5" t="s">
        <v>84</v>
      </c>
      <c r="C20" s="35">
        <v>63072</v>
      </c>
      <c r="D20" s="35">
        <v>65709</v>
      </c>
      <c r="E20" s="35">
        <v>74529</v>
      </c>
      <c r="F20" s="36">
        <v>82660</v>
      </c>
    </row>
    <row r="21" spans="1:6" s="49" customFormat="1" ht="23.25" customHeight="1" x14ac:dyDescent="0.25">
      <c r="A21" s="15">
        <v>19</v>
      </c>
      <c r="B21" s="16" t="s">
        <v>14</v>
      </c>
      <c r="C21" s="38">
        <v>-4434</v>
      </c>
      <c r="D21" s="38">
        <v>356</v>
      </c>
      <c r="E21" s="38">
        <v>-1079</v>
      </c>
      <c r="F21" s="39">
        <v>-1030</v>
      </c>
    </row>
    <row r="22" spans="1:6" s="49" customFormat="1" ht="23.25" customHeight="1" x14ac:dyDescent="0.25">
      <c r="A22" s="6">
        <v>20</v>
      </c>
      <c r="B22" s="5" t="s">
        <v>15</v>
      </c>
      <c r="C22" s="35">
        <v>3250</v>
      </c>
      <c r="D22" s="35">
        <v>3966</v>
      </c>
      <c r="E22" s="35">
        <v>446</v>
      </c>
      <c r="F22" s="36">
        <f>F23-F21</f>
        <v>114</v>
      </c>
    </row>
    <row r="23" spans="1:6" s="49" customFormat="1" ht="23.25" customHeight="1" x14ac:dyDescent="0.25">
      <c r="A23" s="15">
        <v>21</v>
      </c>
      <c r="B23" s="16" t="s">
        <v>16</v>
      </c>
      <c r="C23" s="38">
        <v>-1184</v>
      </c>
      <c r="D23" s="38">
        <v>4323</v>
      </c>
      <c r="E23" s="38">
        <v>-633</v>
      </c>
      <c r="F23" s="39">
        <v>-916</v>
      </c>
    </row>
    <row r="24" spans="1:6" s="49" customFormat="1" ht="23.25" customHeight="1" x14ac:dyDescent="0.25">
      <c r="A24" s="6">
        <v>22</v>
      </c>
      <c r="B24" s="5" t="s">
        <v>17</v>
      </c>
      <c r="C24" s="35">
        <v>13770</v>
      </c>
      <c r="D24" s="35">
        <v>24729</v>
      </c>
      <c r="E24" s="35">
        <v>10932</v>
      </c>
      <c r="F24" s="36">
        <v>9810</v>
      </c>
    </row>
    <row r="25" spans="1:6" s="49" customFormat="1" ht="23.25" customHeight="1" x14ac:dyDescent="0.25">
      <c r="A25" s="15">
        <v>23</v>
      </c>
      <c r="B25" s="16" t="s">
        <v>81</v>
      </c>
      <c r="C25" s="41">
        <f>76610+77107</f>
        <v>153717</v>
      </c>
      <c r="D25" s="38">
        <f>58608+85041</f>
        <v>143649</v>
      </c>
      <c r="E25" s="38">
        <f>51832+80176</f>
        <v>132008</v>
      </c>
      <c r="F25" s="39">
        <v>128365</v>
      </c>
    </row>
    <row r="26" spans="1:6" s="49" customFormat="1" ht="23.25" customHeight="1" x14ac:dyDescent="0.25">
      <c r="A26" s="6">
        <v>24</v>
      </c>
      <c r="B26" s="5" t="s">
        <v>19</v>
      </c>
      <c r="C26" s="34">
        <v>1665</v>
      </c>
      <c r="D26" s="35">
        <v>2658</v>
      </c>
      <c r="E26" s="35">
        <v>2939</v>
      </c>
      <c r="F26" s="36">
        <v>3092</v>
      </c>
    </row>
    <row r="27" spans="1:6" s="49" customFormat="1" ht="23.25" customHeight="1" thickBot="1" x14ac:dyDescent="0.3">
      <c r="A27" s="17">
        <v>25</v>
      </c>
      <c r="B27" s="18" t="s">
        <v>20</v>
      </c>
      <c r="C27" s="42">
        <v>1281</v>
      </c>
      <c r="D27" s="43">
        <v>1697</v>
      </c>
      <c r="E27" s="43">
        <v>2044</v>
      </c>
      <c r="F27" s="44">
        <v>2172</v>
      </c>
    </row>
    <row r="29" spans="1:6" x14ac:dyDescent="0.25">
      <c r="A29" s="53" t="s">
        <v>86</v>
      </c>
    </row>
    <row r="30" spans="1:6" x14ac:dyDescent="0.25">
      <c r="A30" s="53" t="s">
        <v>85</v>
      </c>
    </row>
  </sheetData>
  <mergeCells count="6">
    <mergeCell ref="F1:F2"/>
    <mergeCell ref="A1:B1"/>
    <mergeCell ref="A2:B2"/>
    <mergeCell ref="E1:E2"/>
    <mergeCell ref="D1:D2"/>
    <mergeCell ref="C1:C2"/>
  </mergeCells>
  <phoneticPr fontId="0" type="noConversion"/>
  <printOptions horizontalCentered="1"/>
  <pageMargins left="0.75" right="1" top="1.25" bottom="0.75" header="0" footer="0"/>
  <pageSetup orientation="portrait" r:id="rId1"/>
  <headerFooter alignWithMargins="0">
    <oddHeader>&amp;L&amp;"Arial,Bold Italic"&amp;14 12&amp;R&amp;"Arial,Italic"Hospital Financial Dataset (2002)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9" sqref="F19"/>
    </sheetView>
  </sheetViews>
  <sheetFormatPr defaultColWidth="9.109375" defaultRowHeight="13.2" x14ac:dyDescent="0.25"/>
  <cols>
    <col min="1" max="1" width="3.33203125" style="3" customWidth="1"/>
    <col min="2" max="2" width="38.109375" style="3" customWidth="1"/>
    <col min="3" max="6" width="10.6640625" style="3" customWidth="1"/>
    <col min="7" max="7" width="5" style="3" customWidth="1"/>
    <col min="8" max="8" width="11.88671875" style="3" customWidth="1"/>
    <col min="9" max="16384" width="9.109375" style="3"/>
  </cols>
  <sheetData>
    <row r="1" spans="1:11" ht="30.75" customHeight="1" x14ac:dyDescent="0.25">
      <c r="A1" s="107" t="s">
        <v>28</v>
      </c>
      <c r="B1" s="113"/>
      <c r="C1" s="105">
        <v>1999</v>
      </c>
      <c r="D1" s="99">
        <v>2000</v>
      </c>
      <c r="E1" s="99">
        <v>2001</v>
      </c>
      <c r="F1" s="95">
        <v>2002</v>
      </c>
    </row>
    <row r="2" spans="1:11" ht="13.5" customHeight="1" thickBot="1" x14ac:dyDescent="0.3">
      <c r="A2" s="101" t="s">
        <v>21</v>
      </c>
      <c r="B2" s="102"/>
      <c r="C2" s="106"/>
      <c r="D2" s="100"/>
      <c r="E2" s="100"/>
      <c r="F2" s="96"/>
    </row>
    <row r="3" spans="1:11" ht="23.25" customHeight="1" x14ac:dyDescent="0.25">
      <c r="A3" s="13">
        <v>1</v>
      </c>
      <c r="B3" s="14" t="s">
        <v>0</v>
      </c>
      <c r="C3" s="32">
        <v>9492</v>
      </c>
      <c r="D3" s="32">
        <v>20864</v>
      </c>
      <c r="E3" s="32">
        <v>9761</v>
      </c>
      <c r="F3" s="33">
        <v>31328</v>
      </c>
    </row>
    <row r="4" spans="1:11" s="49" customFormat="1" ht="23.25" customHeight="1" x14ac:dyDescent="0.25">
      <c r="A4" s="6">
        <v>2</v>
      </c>
      <c r="B4" s="5" t="s">
        <v>1</v>
      </c>
      <c r="C4" s="35">
        <v>97372</v>
      </c>
      <c r="D4" s="35">
        <v>85393</v>
      </c>
      <c r="E4" s="35">
        <v>80881</v>
      </c>
      <c r="F4" s="36">
        <v>83156</v>
      </c>
      <c r="I4" s="57"/>
      <c r="J4" s="57"/>
      <c r="K4" s="57"/>
    </row>
    <row r="5" spans="1:11" s="49" customFormat="1" ht="23.25" customHeight="1" x14ac:dyDescent="0.25">
      <c r="A5" s="15">
        <v>3</v>
      </c>
      <c r="B5" s="16" t="s">
        <v>2</v>
      </c>
      <c r="C5" s="38">
        <v>118832</v>
      </c>
      <c r="D5" s="37">
        <v>121396</v>
      </c>
      <c r="E5" s="38">
        <v>113213</v>
      </c>
      <c r="F5" s="39">
        <v>139124</v>
      </c>
      <c r="G5" s="58"/>
    </row>
    <row r="6" spans="1:11" s="49" customFormat="1" ht="23.25" customHeight="1" x14ac:dyDescent="0.25">
      <c r="A6" s="6">
        <v>4</v>
      </c>
      <c r="B6" s="5" t="s">
        <v>3</v>
      </c>
      <c r="C6" s="35">
        <v>216855</v>
      </c>
      <c r="D6" s="34">
        <v>214954</v>
      </c>
      <c r="E6" s="35">
        <v>247794</v>
      </c>
      <c r="F6" s="36">
        <v>277226</v>
      </c>
      <c r="G6" s="58"/>
    </row>
    <row r="7" spans="1:11" s="49" customFormat="1" ht="23.25" customHeight="1" x14ac:dyDescent="0.25">
      <c r="A7" s="15">
        <v>5</v>
      </c>
      <c r="B7" s="16" t="s">
        <v>4</v>
      </c>
      <c r="C7" s="38">
        <v>222737</v>
      </c>
      <c r="D7" s="37">
        <v>247181</v>
      </c>
      <c r="E7" s="38">
        <v>268693</v>
      </c>
      <c r="F7" s="39">
        <v>291740</v>
      </c>
      <c r="G7" s="58"/>
    </row>
    <row r="8" spans="1:11" s="49" customFormat="1" ht="23.25" customHeight="1" x14ac:dyDescent="0.25">
      <c r="A8" s="6">
        <v>6</v>
      </c>
      <c r="B8" s="5" t="s">
        <v>5</v>
      </c>
      <c r="C8" s="35">
        <f>767054+30214</f>
        <v>797268</v>
      </c>
      <c r="D8" s="34">
        <v>807778</v>
      </c>
      <c r="E8" s="35">
        <v>686257</v>
      </c>
      <c r="F8" s="36">
        <v>787060</v>
      </c>
      <c r="G8" s="58"/>
    </row>
    <row r="9" spans="1:11" s="49" customFormat="1" ht="23.25" customHeight="1" x14ac:dyDescent="0.25">
      <c r="A9" s="15">
        <v>7</v>
      </c>
      <c r="B9" s="16" t="s">
        <v>24</v>
      </c>
      <c r="C9" s="38">
        <v>6094</v>
      </c>
      <c r="D9" s="37">
        <v>3222</v>
      </c>
      <c r="E9" s="38">
        <v>3366</v>
      </c>
      <c r="F9" s="39">
        <v>4331</v>
      </c>
      <c r="G9" s="58"/>
    </row>
    <row r="10" spans="1:11" s="49" customFormat="1" ht="23.25" customHeight="1" x14ac:dyDescent="0.25">
      <c r="A10" s="6">
        <v>8</v>
      </c>
      <c r="B10" s="5" t="s">
        <v>6</v>
      </c>
      <c r="C10" s="35">
        <v>75370</v>
      </c>
      <c r="D10" s="34">
        <v>77442</v>
      </c>
      <c r="E10" s="35">
        <v>69390</v>
      </c>
      <c r="F10" s="36">
        <v>74036</v>
      </c>
      <c r="G10" s="58"/>
    </row>
    <row r="11" spans="1:11" s="49" customFormat="1" ht="23.25" customHeight="1" x14ac:dyDescent="0.25">
      <c r="A11" s="15">
        <v>9</v>
      </c>
      <c r="B11" s="16" t="s">
        <v>7</v>
      </c>
      <c r="C11" s="38">
        <v>173939</v>
      </c>
      <c r="D11" s="37">
        <v>170718</v>
      </c>
      <c r="E11" s="38">
        <v>167352</v>
      </c>
      <c r="F11" s="39">
        <v>220429</v>
      </c>
      <c r="G11" s="58"/>
    </row>
    <row r="12" spans="1:11" s="49" customFormat="1" ht="23.25" customHeight="1" x14ac:dyDescent="0.25">
      <c r="A12" s="6">
        <v>10</v>
      </c>
      <c r="B12" s="5" t="s">
        <v>40</v>
      </c>
      <c r="C12" s="35">
        <f>432724+30214</f>
        <v>462938</v>
      </c>
      <c r="D12" s="34">
        <v>487762</v>
      </c>
      <c r="E12" s="35">
        <v>397568</v>
      </c>
      <c r="F12" s="36">
        <v>409322</v>
      </c>
      <c r="G12" s="58"/>
    </row>
    <row r="13" spans="1:11" s="49" customFormat="1" ht="23.25" customHeight="1" x14ac:dyDescent="0.25">
      <c r="A13" s="15">
        <v>11</v>
      </c>
      <c r="B13" s="16" t="s">
        <v>8</v>
      </c>
      <c r="C13" s="38">
        <v>384153</v>
      </c>
      <c r="D13" s="37">
        <v>405888</v>
      </c>
      <c r="E13" s="38">
        <v>445853</v>
      </c>
      <c r="F13" s="39">
        <v>525669</v>
      </c>
      <c r="G13" s="58"/>
    </row>
    <row r="14" spans="1:11" s="49" customFormat="1" ht="23.25" customHeight="1" x14ac:dyDescent="0.25">
      <c r="A14" s="6">
        <v>12</v>
      </c>
      <c r="B14" s="5" t="s">
        <v>9</v>
      </c>
      <c r="C14" s="35">
        <f>C15-C13</f>
        <v>54222</v>
      </c>
      <c r="D14" s="35">
        <f>D15-D13</f>
        <v>57340</v>
      </c>
      <c r="E14" s="35">
        <f>E15-E13</f>
        <v>67022</v>
      </c>
      <c r="F14" s="36">
        <f>F15-F13</f>
        <v>76491</v>
      </c>
    </row>
    <row r="15" spans="1:11" s="49" customFormat="1" ht="23.25" customHeight="1" x14ac:dyDescent="0.25">
      <c r="A15" s="15">
        <v>13</v>
      </c>
      <c r="B15" s="16" t="s">
        <v>10</v>
      </c>
      <c r="C15" s="38">
        <v>438375</v>
      </c>
      <c r="D15" s="38">
        <v>463228</v>
      </c>
      <c r="E15" s="38">
        <v>512875</v>
      </c>
      <c r="F15" s="39">
        <v>602160</v>
      </c>
    </row>
    <row r="16" spans="1:11" s="49" customFormat="1" ht="23.25" customHeight="1" x14ac:dyDescent="0.25">
      <c r="A16" s="6">
        <v>14</v>
      </c>
      <c r="B16" s="5" t="s">
        <v>11</v>
      </c>
      <c r="C16" s="35">
        <v>11787</v>
      </c>
      <c r="D16" s="35">
        <v>10520</v>
      </c>
      <c r="E16" s="35">
        <v>9514</v>
      </c>
      <c r="F16" s="36">
        <v>9324</v>
      </c>
    </row>
    <row r="17" spans="1:6" s="49" customFormat="1" ht="23.25" customHeight="1" x14ac:dyDescent="0.25">
      <c r="A17" s="15">
        <v>15</v>
      </c>
      <c r="B17" s="16" t="s">
        <v>12</v>
      </c>
      <c r="C17" s="38">
        <v>29194</v>
      </c>
      <c r="D17" s="38">
        <v>32500</v>
      </c>
      <c r="E17" s="38">
        <v>28982</v>
      </c>
      <c r="F17" s="39">
        <v>33611</v>
      </c>
    </row>
    <row r="18" spans="1:6" s="49" customFormat="1" ht="23.25" customHeight="1" x14ac:dyDescent="0.25">
      <c r="A18" s="6">
        <v>16</v>
      </c>
      <c r="B18" s="5" t="s">
        <v>30</v>
      </c>
      <c r="C18" s="40">
        <f>189697+39358</f>
        <v>229055</v>
      </c>
      <c r="D18" s="35">
        <f>193225+43465</f>
        <v>236690</v>
      </c>
      <c r="E18" s="35">
        <f>207851+46959</f>
        <v>254810</v>
      </c>
      <c r="F18" s="36">
        <f>232712+52484</f>
        <v>285196</v>
      </c>
    </row>
    <row r="19" spans="1:6" s="49" customFormat="1" ht="23.25" customHeight="1" x14ac:dyDescent="0.25">
      <c r="A19" s="15">
        <v>17</v>
      </c>
      <c r="B19" s="16" t="s">
        <v>13</v>
      </c>
      <c r="C19" s="38">
        <v>34777</v>
      </c>
      <c r="D19" s="38">
        <v>30456</v>
      </c>
      <c r="E19" s="38">
        <v>39384</v>
      </c>
      <c r="F19" s="39">
        <v>42991</v>
      </c>
    </row>
    <row r="20" spans="1:6" s="49" customFormat="1" ht="23.25" customHeight="1" x14ac:dyDescent="0.25">
      <c r="A20" s="6">
        <v>18</v>
      </c>
      <c r="B20" s="5" t="s">
        <v>84</v>
      </c>
      <c r="C20" s="35">
        <v>471065</v>
      </c>
      <c r="D20" s="35">
        <v>487767</v>
      </c>
      <c r="E20" s="35">
        <v>541180</v>
      </c>
      <c r="F20" s="36">
        <v>607020</v>
      </c>
    </row>
    <row r="21" spans="1:6" s="49" customFormat="1" ht="23.25" customHeight="1" x14ac:dyDescent="0.25">
      <c r="A21" s="15">
        <v>19</v>
      </c>
      <c r="B21" s="16" t="s">
        <v>14</v>
      </c>
      <c r="C21" s="38">
        <v>-32690</v>
      </c>
      <c r="D21" s="38">
        <v>-24539</v>
      </c>
      <c r="E21" s="38">
        <v>-28305</v>
      </c>
      <c r="F21" s="39">
        <v>-4860</v>
      </c>
    </row>
    <row r="22" spans="1:6" s="49" customFormat="1" ht="23.25" customHeight="1" x14ac:dyDescent="0.25">
      <c r="A22" s="6">
        <v>20</v>
      </c>
      <c r="B22" s="5" t="s">
        <v>15</v>
      </c>
      <c r="C22" s="35">
        <f>C23-C21</f>
        <v>10409</v>
      </c>
      <c r="D22" s="35">
        <v>29175</v>
      </c>
      <c r="E22" s="35">
        <v>3319</v>
      </c>
      <c r="F22" s="36">
        <v>-8074</v>
      </c>
    </row>
    <row r="23" spans="1:6" s="49" customFormat="1" ht="23.25" customHeight="1" x14ac:dyDescent="0.25">
      <c r="A23" s="15">
        <v>21</v>
      </c>
      <c r="B23" s="16" t="s">
        <v>16</v>
      </c>
      <c r="C23" s="38">
        <v>-22281</v>
      </c>
      <c r="D23" s="38">
        <v>4636</v>
      </c>
      <c r="E23" s="38">
        <v>-24986</v>
      </c>
      <c r="F23" s="39">
        <v>-12934</v>
      </c>
    </row>
    <row r="24" spans="1:6" s="49" customFormat="1" ht="23.25" customHeight="1" x14ac:dyDescent="0.25">
      <c r="A24" s="6">
        <v>22</v>
      </c>
      <c r="B24" s="5" t="s">
        <v>17</v>
      </c>
      <c r="C24" s="35">
        <v>17524</v>
      </c>
      <c r="D24" s="35">
        <v>23255</v>
      </c>
      <c r="E24" s="35">
        <v>54478</v>
      </c>
      <c r="F24" s="36">
        <v>52494</v>
      </c>
    </row>
    <row r="25" spans="1:6" s="49" customFormat="1" ht="23.25" customHeight="1" x14ac:dyDescent="0.25">
      <c r="A25" s="15">
        <v>23</v>
      </c>
      <c r="B25" s="16" t="s">
        <v>81</v>
      </c>
      <c r="C25" s="41">
        <f>355520+29266</f>
        <v>384786</v>
      </c>
      <c r="D25" s="41">
        <f>348902+32485</f>
        <v>381387</v>
      </c>
      <c r="E25" s="38">
        <f>285028+31184</f>
        <v>316212</v>
      </c>
      <c r="F25" s="39">
        <v>356453</v>
      </c>
    </row>
    <row r="26" spans="1:6" s="49" customFormat="1" ht="23.25" customHeight="1" x14ac:dyDescent="0.25">
      <c r="A26" s="6">
        <v>24</v>
      </c>
      <c r="B26" s="5" t="s">
        <v>19</v>
      </c>
      <c r="C26" s="35">
        <v>14354</v>
      </c>
      <c r="D26" s="35">
        <v>22911</v>
      </c>
      <c r="E26" s="35">
        <v>20089</v>
      </c>
      <c r="F26" s="36">
        <v>21138</v>
      </c>
    </row>
    <row r="27" spans="1:6" s="49" customFormat="1" ht="23.25" customHeight="1" thickBot="1" x14ac:dyDescent="0.3">
      <c r="A27" s="17">
        <v>25</v>
      </c>
      <c r="B27" s="18" t="s">
        <v>20</v>
      </c>
      <c r="C27" s="43">
        <v>11041</v>
      </c>
      <c r="D27" s="43">
        <v>14630</v>
      </c>
      <c r="E27" s="43">
        <v>13975</v>
      </c>
      <c r="F27" s="44">
        <v>14826</v>
      </c>
    </row>
    <row r="28" spans="1:6" ht="12.75" customHeight="1" x14ac:dyDescent="0.25"/>
    <row r="29" spans="1:6" x14ac:dyDescent="0.25">
      <c r="A29" s="53" t="s">
        <v>86</v>
      </c>
    </row>
    <row r="30" spans="1:6" x14ac:dyDescent="0.25">
      <c r="A30" s="53" t="s">
        <v>85</v>
      </c>
    </row>
  </sheetData>
  <mergeCells count="6">
    <mergeCell ref="F1:F2"/>
    <mergeCell ref="A1:B1"/>
    <mergeCell ref="A2:B2"/>
    <mergeCell ref="E1:E2"/>
    <mergeCell ref="D1:D2"/>
    <mergeCell ref="C1:C2"/>
  </mergeCells>
  <phoneticPr fontId="0" type="noConversion"/>
  <printOptions horizontalCentered="1"/>
  <pageMargins left="0.75" right="1" top="1.25" bottom="0.75" header="0" footer="0"/>
  <pageSetup orientation="portrait" r:id="rId1"/>
  <headerFooter alignWithMargins="0">
    <oddHeader>&amp;L&amp;"Arial,Italic"Hospital Financial Dataset (2002)&amp;R&amp;"Arial,Bold Italic"&amp;14 13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19" sqref="F19"/>
    </sheetView>
  </sheetViews>
  <sheetFormatPr defaultColWidth="9.109375" defaultRowHeight="13.2" x14ac:dyDescent="0.25"/>
  <cols>
    <col min="1" max="1" width="3.33203125" style="3" customWidth="1"/>
    <col min="2" max="2" width="38" style="3" customWidth="1"/>
    <col min="3" max="6" width="10.6640625" style="3" customWidth="1"/>
    <col min="7" max="16384" width="9.109375" style="3"/>
  </cols>
  <sheetData>
    <row r="1" spans="1:6" ht="30.75" customHeight="1" x14ac:dyDescent="0.25">
      <c r="A1" s="107" t="s">
        <v>27</v>
      </c>
      <c r="B1" s="113"/>
      <c r="C1" s="105">
        <v>1999</v>
      </c>
      <c r="D1" s="99">
        <v>2000</v>
      </c>
      <c r="E1" s="99">
        <v>2001</v>
      </c>
      <c r="F1" s="95">
        <v>2002</v>
      </c>
    </row>
    <row r="2" spans="1:6" ht="13.5" customHeight="1" thickBot="1" x14ac:dyDescent="0.3">
      <c r="A2" s="101" t="s">
        <v>21</v>
      </c>
      <c r="B2" s="102"/>
      <c r="C2" s="106"/>
      <c r="D2" s="100"/>
      <c r="E2" s="100"/>
      <c r="F2" s="96"/>
    </row>
    <row r="3" spans="1:6" ht="23.25" customHeight="1" x14ac:dyDescent="0.25">
      <c r="A3" s="13">
        <v>1</v>
      </c>
      <c r="B3" s="14" t="s">
        <v>0</v>
      </c>
      <c r="C3" s="31">
        <f>6568+5147</f>
        <v>11715</v>
      </c>
      <c r="D3" s="32">
        <f>1865+4963</f>
        <v>6828</v>
      </c>
      <c r="E3" s="32">
        <f>557+1270</f>
        <v>1827</v>
      </c>
      <c r="F3" s="33">
        <f>309+1188</f>
        <v>1497</v>
      </c>
    </row>
    <row r="4" spans="1:6" s="49" customFormat="1" ht="23.25" customHeight="1" x14ac:dyDescent="0.25">
      <c r="A4" s="6">
        <v>2</v>
      </c>
      <c r="B4" s="5" t="s">
        <v>1</v>
      </c>
      <c r="C4" s="34">
        <v>19343</v>
      </c>
      <c r="D4" s="35">
        <v>20366</v>
      </c>
      <c r="E4" s="35">
        <v>19765</v>
      </c>
      <c r="F4" s="36">
        <v>13455</v>
      </c>
    </row>
    <row r="5" spans="1:6" s="49" customFormat="1" ht="23.25" customHeight="1" x14ac:dyDescent="0.25">
      <c r="A5" s="15">
        <v>3</v>
      </c>
      <c r="B5" s="16" t="s">
        <v>2</v>
      </c>
      <c r="C5" s="37">
        <v>38606</v>
      </c>
      <c r="D5" s="38">
        <v>33344</v>
      </c>
      <c r="E5" s="38">
        <v>28179</v>
      </c>
      <c r="F5" s="39">
        <v>20552</v>
      </c>
    </row>
    <row r="6" spans="1:6" s="49" customFormat="1" ht="23.25" customHeight="1" x14ac:dyDescent="0.25">
      <c r="A6" s="6">
        <v>4</v>
      </c>
      <c r="B6" s="5" t="s">
        <v>3</v>
      </c>
      <c r="C6" s="34">
        <v>32310</v>
      </c>
      <c r="D6" s="35">
        <v>34417</v>
      </c>
      <c r="E6" s="35">
        <v>36414</v>
      </c>
      <c r="F6" s="36">
        <v>35735</v>
      </c>
    </row>
    <row r="7" spans="1:6" s="49" customFormat="1" ht="23.25" customHeight="1" x14ac:dyDescent="0.25">
      <c r="A7" s="15">
        <v>5</v>
      </c>
      <c r="B7" s="16" t="s">
        <v>4</v>
      </c>
      <c r="C7" s="37">
        <v>45656</v>
      </c>
      <c r="D7" s="38">
        <v>47830</v>
      </c>
      <c r="E7" s="38">
        <v>51281</v>
      </c>
      <c r="F7" s="39">
        <v>55584</v>
      </c>
    </row>
    <row r="8" spans="1:6" s="49" customFormat="1" ht="23.25" customHeight="1" x14ac:dyDescent="0.25">
      <c r="A8" s="6">
        <v>6</v>
      </c>
      <c r="B8" s="5" t="s">
        <v>5</v>
      </c>
      <c r="C8" s="34">
        <v>98373</v>
      </c>
      <c r="D8" s="35">
        <v>98194</v>
      </c>
      <c r="E8" s="35">
        <v>89897</v>
      </c>
      <c r="F8" s="36">
        <v>77865</v>
      </c>
    </row>
    <row r="9" spans="1:6" s="49" customFormat="1" ht="23.25" customHeight="1" x14ac:dyDescent="0.25">
      <c r="A9" s="15">
        <v>7</v>
      </c>
      <c r="B9" s="16" t="s">
        <v>24</v>
      </c>
      <c r="C9" s="37">
        <v>1077</v>
      </c>
      <c r="D9" s="38">
        <v>1134</v>
      </c>
      <c r="E9" s="38">
        <v>1530</v>
      </c>
      <c r="F9" s="39">
        <v>1798</v>
      </c>
    </row>
    <row r="10" spans="1:6" s="49" customFormat="1" ht="23.25" customHeight="1" x14ac:dyDescent="0.25">
      <c r="A10" s="6">
        <v>8</v>
      </c>
      <c r="B10" s="5" t="s">
        <v>6</v>
      </c>
      <c r="C10" s="34">
        <v>17448</v>
      </c>
      <c r="D10" s="35">
        <v>17601</v>
      </c>
      <c r="E10" s="35">
        <v>17967</v>
      </c>
      <c r="F10" s="36">
        <v>19787</v>
      </c>
    </row>
    <row r="11" spans="1:6" s="49" customFormat="1" ht="23.25" customHeight="1" x14ac:dyDescent="0.25">
      <c r="A11" s="15">
        <v>9</v>
      </c>
      <c r="B11" s="16" t="s">
        <v>7</v>
      </c>
      <c r="C11" s="37">
        <v>21440</v>
      </c>
      <c r="D11" s="38">
        <v>20336</v>
      </c>
      <c r="E11" s="38">
        <v>21350</v>
      </c>
      <c r="F11" s="39">
        <v>22647</v>
      </c>
    </row>
    <row r="12" spans="1:6" s="49" customFormat="1" ht="23.25" customHeight="1" x14ac:dyDescent="0.25">
      <c r="A12" s="6">
        <v>10</v>
      </c>
      <c r="B12" s="5" t="s">
        <v>40</v>
      </c>
      <c r="C12" s="34">
        <v>58485</v>
      </c>
      <c r="D12" s="35">
        <v>59156</v>
      </c>
      <c r="E12" s="35">
        <v>48971</v>
      </c>
      <c r="F12" s="36">
        <v>33564</v>
      </c>
    </row>
    <row r="13" spans="1:6" s="49" customFormat="1" ht="23.25" customHeight="1" x14ac:dyDescent="0.25">
      <c r="A13" s="15">
        <v>11</v>
      </c>
      <c r="B13" s="16" t="s">
        <v>8</v>
      </c>
      <c r="C13" s="37">
        <v>90116</v>
      </c>
      <c r="D13" s="38">
        <v>101281</v>
      </c>
      <c r="E13" s="38">
        <v>102281</v>
      </c>
      <c r="F13" s="39">
        <v>102123</v>
      </c>
    </row>
    <row r="14" spans="1:6" s="49" customFormat="1" ht="23.25" customHeight="1" x14ac:dyDescent="0.25">
      <c r="A14" s="6">
        <v>12</v>
      </c>
      <c r="B14" s="5" t="s">
        <v>9</v>
      </c>
      <c r="C14" s="34">
        <f>C15-C13</f>
        <v>5421</v>
      </c>
      <c r="D14" s="35">
        <f>D15-D13</f>
        <v>6364</v>
      </c>
      <c r="E14" s="35">
        <f>E15-E13</f>
        <v>8871</v>
      </c>
      <c r="F14" s="36">
        <f>F15-F13</f>
        <v>10201</v>
      </c>
    </row>
    <row r="15" spans="1:6" s="49" customFormat="1" ht="23.25" customHeight="1" x14ac:dyDescent="0.25">
      <c r="A15" s="15">
        <v>13</v>
      </c>
      <c r="B15" s="16" t="s">
        <v>10</v>
      </c>
      <c r="C15" s="37">
        <v>95537</v>
      </c>
      <c r="D15" s="38">
        <v>107645</v>
      </c>
      <c r="E15" s="38">
        <v>111152</v>
      </c>
      <c r="F15" s="39">
        <v>112324</v>
      </c>
    </row>
    <row r="16" spans="1:6" s="49" customFormat="1" ht="23.25" customHeight="1" x14ac:dyDescent="0.25">
      <c r="A16" s="6">
        <v>14</v>
      </c>
      <c r="B16" s="5" t="s">
        <v>11</v>
      </c>
      <c r="C16" s="34">
        <v>1107</v>
      </c>
      <c r="D16" s="35">
        <v>1458</v>
      </c>
      <c r="E16" s="35">
        <v>1624</v>
      </c>
      <c r="F16" s="36">
        <v>1521</v>
      </c>
    </row>
    <row r="17" spans="1:6" s="49" customFormat="1" ht="23.25" customHeight="1" x14ac:dyDescent="0.25">
      <c r="A17" s="15">
        <v>15</v>
      </c>
      <c r="B17" s="16" t="s">
        <v>12</v>
      </c>
      <c r="C17" s="37">
        <v>3551</v>
      </c>
      <c r="D17" s="38">
        <v>3882</v>
      </c>
      <c r="E17" s="38">
        <v>4012</v>
      </c>
      <c r="F17" s="39">
        <v>4321</v>
      </c>
    </row>
    <row r="18" spans="1:6" s="49" customFormat="1" ht="23.25" customHeight="1" x14ac:dyDescent="0.25">
      <c r="A18" s="6">
        <v>16</v>
      </c>
      <c r="B18" s="5" t="s">
        <v>30</v>
      </c>
      <c r="C18" s="47">
        <v>49583</v>
      </c>
      <c r="D18" s="35">
        <v>54637</v>
      </c>
      <c r="E18" s="35">
        <v>58048</v>
      </c>
      <c r="F18" s="36">
        <v>60558</v>
      </c>
    </row>
    <row r="19" spans="1:6" s="49" customFormat="1" ht="23.25" customHeight="1" x14ac:dyDescent="0.25">
      <c r="A19" s="15">
        <v>17</v>
      </c>
      <c r="B19" s="16" t="s">
        <v>13</v>
      </c>
      <c r="C19" s="37">
        <v>3999</v>
      </c>
      <c r="D19" s="38">
        <v>5056</v>
      </c>
      <c r="E19" s="38">
        <v>5162</v>
      </c>
      <c r="F19" s="39">
        <v>10567</v>
      </c>
    </row>
    <row r="20" spans="1:6" s="49" customFormat="1" ht="23.25" customHeight="1" x14ac:dyDescent="0.25">
      <c r="A20" s="6">
        <v>18</v>
      </c>
      <c r="B20" s="5" t="s">
        <v>84</v>
      </c>
      <c r="C20" s="34">
        <v>96288</v>
      </c>
      <c r="D20" s="35">
        <v>107551</v>
      </c>
      <c r="E20" s="35">
        <v>114141</v>
      </c>
      <c r="F20" s="36">
        <v>122888</v>
      </c>
    </row>
    <row r="21" spans="1:6" s="49" customFormat="1" ht="23.25" customHeight="1" x14ac:dyDescent="0.25">
      <c r="A21" s="15">
        <v>19</v>
      </c>
      <c r="B21" s="16" t="s">
        <v>14</v>
      </c>
      <c r="C21" s="37">
        <v>-751</v>
      </c>
      <c r="D21" s="38">
        <v>93</v>
      </c>
      <c r="E21" s="38">
        <v>-2989</v>
      </c>
      <c r="F21" s="39">
        <v>-10564</v>
      </c>
    </row>
    <row r="22" spans="1:6" s="49" customFormat="1" ht="23.25" customHeight="1" x14ac:dyDescent="0.25">
      <c r="A22" s="6">
        <v>20</v>
      </c>
      <c r="B22" s="5" t="s">
        <v>15</v>
      </c>
      <c r="C22" s="34">
        <f>C23-C21</f>
        <v>896</v>
      </c>
      <c r="D22" s="35">
        <v>601</v>
      </c>
      <c r="E22" s="35">
        <v>815</v>
      </c>
      <c r="F22" s="36">
        <f>F23-F21</f>
        <v>-3972</v>
      </c>
    </row>
    <row r="23" spans="1:6" s="49" customFormat="1" ht="23.25" customHeight="1" x14ac:dyDescent="0.25">
      <c r="A23" s="15">
        <v>21</v>
      </c>
      <c r="B23" s="16" t="s">
        <v>16</v>
      </c>
      <c r="C23" s="37">
        <v>145</v>
      </c>
      <c r="D23" s="38">
        <v>694</v>
      </c>
      <c r="E23" s="38">
        <v>-2175</v>
      </c>
      <c r="F23" s="39">
        <v>-14536</v>
      </c>
    </row>
    <row r="24" spans="1:6" s="49" customFormat="1" ht="23.25" customHeight="1" x14ac:dyDescent="0.25">
      <c r="A24" s="6">
        <v>22</v>
      </c>
      <c r="B24" s="5" t="s">
        <v>17</v>
      </c>
      <c r="C24" s="35">
        <v>5784</v>
      </c>
      <c r="D24" s="35">
        <v>5980</v>
      </c>
      <c r="E24" s="35">
        <v>5616</v>
      </c>
      <c r="F24" s="36">
        <v>3642</v>
      </c>
    </row>
    <row r="25" spans="1:6" s="49" customFormat="1" ht="23.25" customHeight="1" x14ac:dyDescent="0.25">
      <c r="A25" s="15">
        <v>23</v>
      </c>
      <c r="B25" s="16" t="s">
        <v>81</v>
      </c>
      <c r="C25" s="46">
        <v>26515</v>
      </c>
      <c r="D25" s="38">
        <v>33202</v>
      </c>
      <c r="E25" s="38">
        <v>24733</v>
      </c>
      <c r="F25" s="39">
        <v>21192</v>
      </c>
    </row>
    <row r="26" spans="1:6" s="49" customFormat="1" ht="23.25" customHeight="1" x14ac:dyDescent="0.25">
      <c r="A26" s="6">
        <v>24</v>
      </c>
      <c r="B26" s="5" t="s">
        <v>19</v>
      </c>
      <c r="C26" s="34">
        <v>3400</v>
      </c>
      <c r="D26" s="35">
        <v>5000</v>
      </c>
      <c r="E26" s="35">
        <v>4900</v>
      </c>
      <c r="F26" s="36">
        <v>5210</v>
      </c>
    </row>
    <row r="27" spans="1:6" s="49" customFormat="1" ht="23.25" customHeight="1" thickBot="1" x14ac:dyDescent="0.3">
      <c r="A27" s="17">
        <v>25</v>
      </c>
      <c r="B27" s="18" t="s">
        <v>20</v>
      </c>
      <c r="C27" s="42">
        <v>2617</v>
      </c>
      <c r="D27" s="43">
        <v>3468</v>
      </c>
      <c r="E27" s="43">
        <v>3445</v>
      </c>
      <c r="F27" s="44">
        <v>3660</v>
      </c>
    </row>
    <row r="29" spans="1:6" x14ac:dyDescent="0.25">
      <c r="A29" s="53" t="s">
        <v>85</v>
      </c>
    </row>
  </sheetData>
  <mergeCells count="6">
    <mergeCell ref="F1:F2"/>
    <mergeCell ref="A1:B1"/>
    <mergeCell ref="A2:B2"/>
    <mergeCell ref="E1:E2"/>
    <mergeCell ref="D1:D2"/>
    <mergeCell ref="C1:C2"/>
  </mergeCells>
  <phoneticPr fontId="0" type="noConversion"/>
  <printOptions horizontalCentered="1"/>
  <pageMargins left="1" right="0.75" top="1.25" bottom="0.75" header="0" footer="0"/>
  <pageSetup orientation="portrait" r:id="rId1"/>
  <headerFooter alignWithMargins="0">
    <oddHeader>&amp;L&amp;"Arial,Bold Italic"&amp;14 14&amp;R&amp;"Arial,Italic"Hospital Financial Dataset (2002)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19" sqref="F19"/>
    </sheetView>
  </sheetViews>
  <sheetFormatPr defaultColWidth="9.109375" defaultRowHeight="13.2" x14ac:dyDescent="0.25"/>
  <cols>
    <col min="1" max="1" width="3.33203125" style="3" customWidth="1"/>
    <col min="2" max="2" width="38.33203125" style="3" customWidth="1"/>
    <col min="3" max="6" width="10.6640625" style="3" customWidth="1"/>
    <col min="7" max="16384" width="9.109375" style="3"/>
  </cols>
  <sheetData>
    <row r="1" spans="1:6" ht="36" customHeight="1" x14ac:dyDescent="0.25">
      <c r="A1" s="103" t="s">
        <v>41</v>
      </c>
      <c r="B1" s="104"/>
      <c r="C1" s="105">
        <v>1999</v>
      </c>
      <c r="D1" s="99">
        <v>2000</v>
      </c>
      <c r="E1" s="99">
        <v>2001</v>
      </c>
      <c r="F1" s="95">
        <v>2002</v>
      </c>
    </row>
    <row r="2" spans="1:6" ht="13.5" customHeight="1" thickBot="1" x14ac:dyDescent="0.3">
      <c r="A2" s="101" t="s">
        <v>21</v>
      </c>
      <c r="B2" s="102"/>
      <c r="C2" s="106"/>
      <c r="D2" s="100"/>
      <c r="E2" s="100"/>
      <c r="F2" s="96"/>
    </row>
    <row r="3" spans="1:6" ht="23.25" customHeight="1" x14ac:dyDescent="0.25">
      <c r="A3" s="13">
        <v>1</v>
      </c>
      <c r="B3" s="14" t="s">
        <v>0</v>
      </c>
      <c r="C3" s="31">
        <f>2773+7594</f>
        <v>10367</v>
      </c>
      <c r="D3" s="32">
        <f>2395+7841</f>
        <v>10236</v>
      </c>
      <c r="E3" s="32">
        <f>450+5255</f>
        <v>5705</v>
      </c>
      <c r="F3" s="33">
        <f>731+5486</f>
        <v>6217</v>
      </c>
    </row>
    <row r="4" spans="1:6" s="49" customFormat="1" ht="23.25" customHeight="1" x14ac:dyDescent="0.25">
      <c r="A4" s="6">
        <v>2</v>
      </c>
      <c r="B4" s="5" t="s">
        <v>1</v>
      </c>
      <c r="C4" s="34">
        <v>12481</v>
      </c>
      <c r="D4" s="35">
        <v>11778</v>
      </c>
      <c r="E4" s="35">
        <v>11698</v>
      </c>
      <c r="F4" s="36">
        <v>13448</v>
      </c>
    </row>
    <row r="5" spans="1:6" s="49" customFormat="1" ht="23.25" customHeight="1" x14ac:dyDescent="0.25">
      <c r="A5" s="15">
        <v>3</v>
      </c>
      <c r="B5" s="16" t="s">
        <v>2</v>
      </c>
      <c r="C5" s="37">
        <v>25182</v>
      </c>
      <c r="D5" s="38">
        <v>24115</v>
      </c>
      <c r="E5" s="38">
        <v>24893</v>
      </c>
      <c r="F5" s="39">
        <v>22116</v>
      </c>
    </row>
    <row r="6" spans="1:6" s="49" customFormat="1" ht="23.25" customHeight="1" x14ac:dyDescent="0.25">
      <c r="A6" s="6">
        <v>4</v>
      </c>
      <c r="B6" s="5" t="s">
        <v>3</v>
      </c>
      <c r="C6" s="34">
        <v>24726</v>
      </c>
      <c r="D6" s="35">
        <v>26177</v>
      </c>
      <c r="E6" s="35">
        <v>26607</v>
      </c>
      <c r="F6" s="36">
        <v>38825</v>
      </c>
    </row>
    <row r="7" spans="1:6" s="49" customFormat="1" ht="23.25" customHeight="1" x14ac:dyDescent="0.25">
      <c r="A7" s="15">
        <v>5</v>
      </c>
      <c r="B7" s="16" t="s">
        <v>4</v>
      </c>
      <c r="C7" s="37">
        <v>29044</v>
      </c>
      <c r="D7" s="38">
        <v>31383</v>
      </c>
      <c r="E7" s="38">
        <v>34974</v>
      </c>
      <c r="F7" s="39">
        <v>37825</v>
      </c>
    </row>
    <row r="8" spans="1:6" s="49" customFormat="1" ht="23.25" customHeight="1" x14ac:dyDescent="0.25">
      <c r="A8" s="6">
        <v>6</v>
      </c>
      <c r="B8" s="5" t="s">
        <v>5</v>
      </c>
      <c r="C8" s="34">
        <v>59357</v>
      </c>
      <c r="D8" s="35">
        <v>59713</v>
      </c>
      <c r="E8" s="35">
        <v>55563</v>
      </c>
      <c r="F8" s="36">
        <v>63415</v>
      </c>
    </row>
    <row r="9" spans="1:6" s="49" customFormat="1" ht="23.25" customHeight="1" x14ac:dyDescent="0.25">
      <c r="A9" s="15">
        <v>7</v>
      </c>
      <c r="B9" s="16" t="s">
        <v>24</v>
      </c>
      <c r="C9" s="37">
        <v>534</v>
      </c>
      <c r="D9" s="38">
        <v>1065</v>
      </c>
      <c r="E9" s="38">
        <v>6365</v>
      </c>
      <c r="F9" s="39">
        <v>819</v>
      </c>
    </row>
    <row r="10" spans="1:6" s="49" customFormat="1" ht="23.25" customHeight="1" x14ac:dyDescent="0.25">
      <c r="A10" s="6">
        <v>8</v>
      </c>
      <c r="B10" s="5" t="s">
        <v>6</v>
      </c>
      <c r="C10" s="34">
        <v>8863</v>
      </c>
      <c r="D10" s="35">
        <v>10498</v>
      </c>
      <c r="E10" s="35">
        <v>13178</v>
      </c>
      <c r="F10" s="36">
        <v>8537</v>
      </c>
    </row>
    <row r="11" spans="1:6" s="49" customFormat="1" ht="23.25" customHeight="1" x14ac:dyDescent="0.25">
      <c r="A11" s="15">
        <v>9</v>
      </c>
      <c r="B11" s="16" t="s">
        <v>7</v>
      </c>
      <c r="C11" s="37">
        <v>19862</v>
      </c>
      <c r="D11" s="38">
        <v>19356</v>
      </c>
      <c r="E11" s="38">
        <v>13806</v>
      </c>
      <c r="F11" s="39">
        <v>15754</v>
      </c>
    </row>
    <row r="12" spans="1:6" s="49" customFormat="1" ht="23.25" customHeight="1" x14ac:dyDescent="0.25">
      <c r="A12" s="6">
        <v>10</v>
      </c>
      <c r="B12" s="5" t="s">
        <v>40</v>
      </c>
      <c r="C12" s="34">
        <v>27428</v>
      </c>
      <c r="D12" s="35">
        <v>26671</v>
      </c>
      <c r="E12" s="35">
        <v>26392</v>
      </c>
      <c r="F12" s="36">
        <v>22781</v>
      </c>
    </row>
    <row r="13" spans="1:6" s="49" customFormat="1" ht="23.25" customHeight="1" x14ac:dyDescent="0.25">
      <c r="A13" s="15">
        <v>11</v>
      </c>
      <c r="B13" s="16" t="s">
        <v>8</v>
      </c>
      <c r="C13" s="37">
        <v>56429</v>
      </c>
      <c r="D13" s="38">
        <v>56171</v>
      </c>
      <c r="E13" s="38">
        <v>61705</v>
      </c>
      <c r="F13" s="39">
        <v>66010</v>
      </c>
    </row>
    <row r="14" spans="1:6" s="49" customFormat="1" ht="23.25" customHeight="1" x14ac:dyDescent="0.25">
      <c r="A14" s="6">
        <v>12</v>
      </c>
      <c r="B14" s="5" t="s">
        <v>9</v>
      </c>
      <c r="C14" s="34">
        <f>C15-C13</f>
        <v>5938</v>
      </c>
      <c r="D14" s="35">
        <f>D15-D13</f>
        <v>5411</v>
      </c>
      <c r="E14" s="35">
        <f>E15-E13</f>
        <v>5360</v>
      </c>
      <c r="F14" s="36">
        <f>F15-F13</f>
        <v>6087</v>
      </c>
    </row>
    <row r="15" spans="1:6" s="49" customFormat="1" ht="23.25" customHeight="1" x14ac:dyDescent="0.25">
      <c r="A15" s="15">
        <v>13</v>
      </c>
      <c r="B15" s="16" t="s">
        <v>10</v>
      </c>
      <c r="C15" s="37">
        <v>62367</v>
      </c>
      <c r="D15" s="38">
        <v>61582</v>
      </c>
      <c r="E15" s="38">
        <v>67065</v>
      </c>
      <c r="F15" s="39">
        <v>72097</v>
      </c>
    </row>
    <row r="16" spans="1:6" s="49" customFormat="1" ht="23.25" customHeight="1" x14ac:dyDescent="0.25">
      <c r="A16" s="6">
        <v>14</v>
      </c>
      <c r="B16" s="5" t="s">
        <v>11</v>
      </c>
      <c r="C16" s="34">
        <v>1457</v>
      </c>
      <c r="D16" s="35">
        <v>1427</v>
      </c>
      <c r="E16" s="35">
        <v>1341</v>
      </c>
      <c r="F16" s="36">
        <v>1141</v>
      </c>
    </row>
    <row r="17" spans="1:6" s="49" customFormat="1" ht="23.25" customHeight="1" x14ac:dyDescent="0.25">
      <c r="A17" s="15">
        <v>15</v>
      </c>
      <c r="B17" s="16" t="s">
        <v>12</v>
      </c>
      <c r="C17" s="37">
        <v>2719</v>
      </c>
      <c r="D17" s="38">
        <v>2855</v>
      </c>
      <c r="E17" s="38">
        <v>3514</v>
      </c>
      <c r="F17" s="39">
        <v>3454</v>
      </c>
    </row>
    <row r="18" spans="1:6" s="49" customFormat="1" ht="23.25" customHeight="1" x14ac:dyDescent="0.25">
      <c r="A18" s="6">
        <v>16</v>
      </c>
      <c r="B18" s="5" t="s">
        <v>30</v>
      </c>
      <c r="C18" s="47">
        <v>29660</v>
      </c>
      <c r="D18" s="35">
        <v>30273</v>
      </c>
      <c r="E18" s="35">
        <v>31085</v>
      </c>
      <c r="F18" s="36">
        <v>32925</v>
      </c>
    </row>
    <row r="19" spans="1:6" s="49" customFormat="1" ht="23.25" customHeight="1" x14ac:dyDescent="0.25">
      <c r="A19" s="15">
        <v>17</v>
      </c>
      <c r="B19" s="16" t="s">
        <v>13</v>
      </c>
      <c r="C19" s="37">
        <v>1569</v>
      </c>
      <c r="D19" s="38">
        <v>1673</v>
      </c>
      <c r="E19" s="38">
        <v>2315</v>
      </c>
      <c r="F19" s="39">
        <v>2952</v>
      </c>
    </row>
    <row r="20" spans="1:6" s="49" customFormat="1" ht="23.25" customHeight="1" x14ac:dyDescent="0.25">
      <c r="A20" s="6">
        <v>18</v>
      </c>
      <c r="B20" s="5" t="s">
        <v>84</v>
      </c>
      <c r="C20" s="34">
        <v>62778</v>
      </c>
      <c r="D20" s="35">
        <v>65056</v>
      </c>
      <c r="E20" s="35">
        <v>68983</v>
      </c>
      <c r="F20" s="36">
        <v>73465</v>
      </c>
    </row>
    <row r="21" spans="1:6" s="49" customFormat="1" ht="23.25" customHeight="1" x14ac:dyDescent="0.25">
      <c r="A21" s="15">
        <v>19</v>
      </c>
      <c r="B21" s="16" t="s">
        <v>14</v>
      </c>
      <c r="C21" s="37">
        <v>-411</v>
      </c>
      <c r="D21" s="38">
        <v>-3474</v>
      </c>
      <c r="E21" s="38">
        <v>-1917</v>
      </c>
      <c r="F21" s="39">
        <v>-1368</v>
      </c>
    </row>
    <row r="22" spans="1:6" s="49" customFormat="1" ht="23.25" customHeight="1" x14ac:dyDescent="0.25">
      <c r="A22" s="6">
        <v>20</v>
      </c>
      <c r="B22" s="5" t="s">
        <v>15</v>
      </c>
      <c r="C22" s="34">
        <v>0</v>
      </c>
      <c r="D22" s="35">
        <v>0</v>
      </c>
      <c r="E22" s="35">
        <v>0</v>
      </c>
      <c r="F22" s="36">
        <v>-419</v>
      </c>
    </row>
    <row r="23" spans="1:6" s="49" customFormat="1" ht="23.25" customHeight="1" x14ac:dyDescent="0.25">
      <c r="A23" s="15">
        <v>21</v>
      </c>
      <c r="B23" s="16" t="s">
        <v>16</v>
      </c>
      <c r="C23" s="37">
        <v>-411</v>
      </c>
      <c r="D23" s="38">
        <v>-3474</v>
      </c>
      <c r="E23" s="38">
        <v>-1917</v>
      </c>
      <c r="F23" s="39">
        <v>-1787</v>
      </c>
    </row>
    <row r="24" spans="1:6" s="49" customFormat="1" ht="23.25" customHeight="1" x14ac:dyDescent="0.25">
      <c r="A24" s="6">
        <v>22</v>
      </c>
      <c r="B24" s="5" t="s">
        <v>17</v>
      </c>
      <c r="C24" s="35">
        <v>5426</v>
      </c>
      <c r="D24" s="35">
        <v>4307</v>
      </c>
      <c r="E24" s="35">
        <v>2966</v>
      </c>
      <c r="F24" s="36">
        <v>10890</v>
      </c>
    </row>
    <row r="25" spans="1:6" s="49" customFormat="1" ht="23.25" customHeight="1" x14ac:dyDescent="0.25">
      <c r="A25" s="15">
        <v>23</v>
      </c>
      <c r="B25" s="16" t="s">
        <v>81</v>
      </c>
      <c r="C25" s="41">
        <v>24213</v>
      </c>
      <c r="D25" s="37">
        <v>28701</v>
      </c>
      <c r="E25" s="38">
        <v>25482</v>
      </c>
      <c r="F25" s="39">
        <v>23833</v>
      </c>
    </row>
    <row r="26" spans="1:6" s="49" customFormat="1" ht="23.25" customHeight="1" x14ac:dyDescent="0.25">
      <c r="A26" s="6">
        <v>24</v>
      </c>
      <c r="B26" s="5" t="s">
        <v>19</v>
      </c>
      <c r="C26" s="34">
        <v>1201</v>
      </c>
      <c r="D26" s="35">
        <f>1202+437</f>
        <v>1639</v>
      </c>
      <c r="E26" s="35">
        <v>2163</v>
      </c>
      <c r="F26" s="36">
        <v>2285</v>
      </c>
    </row>
    <row r="27" spans="1:6" s="49" customFormat="1" ht="23.25" customHeight="1" thickBot="1" x14ac:dyDescent="0.3">
      <c r="A27" s="17">
        <v>25</v>
      </c>
      <c r="B27" s="18" t="s">
        <v>20</v>
      </c>
      <c r="C27" s="42">
        <v>1084</v>
      </c>
      <c r="D27" s="43">
        <f>1084+352</f>
        <v>1436</v>
      </c>
      <c r="E27" s="43">
        <v>1969</v>
      </c>
      <c r="F27" s="44">
        <v>2092</v>
      </c>
    </row>
    <row r="29" spans="1:6" x14ac:dyDescent="0.25">
      <c r="A29" s="53" t="s">
        <v>85</v>
      </c>
    </row>
    <row r="30" spans="1:6" x14ac:dyDescent="0.25">
      <c r="A30" s="65"/>
      <c r="B30" s="2"/>
    </row>
  </sheetData>
  <mergeCells count="6">
    <mergeCell ref="F1:F2"/>
    <mergeCell ref="E1:E2"/>
    <mergeCell ref="A1:B1"/>
    <mergeCell ref="A2:B2"/>
    <mergeCell ref="D1:D2"/>
    <mergeCell ref="C1:C2"/>
  </mergeCells>
  <phoneticPr fontId="0" type="noConversion"/>
  <printOptions horizontalCentered="1"/>
  <pageMargins left="0.75" right="1" top="1.25" bottom="0.75" header="0" footer="0"/>
  <pageSetup orientation="portrait" r:id="rId1"/>
  <headerFooter alignWithMargins="0">
    <oddHeader>&amp;L&amp;"Arial,Italic"Hospital Financial Dataset (2002)&amp;R&amp;"Arial,Bold Italic"&amp;14 15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workbookViewId="0">
      <selection activeCell="F19" sqref="F19"/>
    </sheetView>
  </sheetViews>
  <sheetFormatPr defaultColWidth="9.109375" defaultRowHeight="13.2" x14ac:dyDescent="0.25"/>
  <cols>
    <col min="1" max="1" width="3.33203125" style="3" customWidth="1"/>
    <col min="2" max="2" width="38" style="3" customWidth="1"/>
    <col min="3" max="6" width="10.6640625" style="3" customWidth="1"/>
    <col min="7" max="16384" width="9.109375" style="3"/>
  </cols>
  <sheetData>
    <row r="1" spans="1:6" ht="30.75" customHeight="1" x14ac:dyDescent="0.25">
      <c r="A1" s="107" t="s">
        <v>34</v>
      </c>
      <c r="B1" s="108"/>
      <c r="C1" s="105">
        <v>1999</v>
      </c>
      <c r="D1" s="99">
        <v>2000</v>
      </c>
      <c r="E1" s="99">
        <v>2001</v>
      </c>
      <c r="F1" s="95">
        <v>2002</v>
      </c>
    </row>
    <row r="2" spans="1:6" ht="13.5" customHeight="1" thickBot="1" x14ac:dyDescent="0.3">
      <c r="A2" s="101" t="s">
        <v>21</v>
      </c>
      <c r="B2" s="102"/>
      <c r="C2" s="106"/>
      <c r="D2" s="100"/>
      <c r="E2" s="100"/>
      <c r="F2" s="96"/>
    </row>
    <row r="3" spans="1:6" ht="23.25" customHeight="1" x14ac:dyDescent="0.25">
      <c r="A3" s="13">
        <v>1</v>
      </c>
      <c r="B3" s="16" t="s">
        <v>0</v>
      </c>
      <c r="C3" s="37">
        <f>6063+5428</f>
        <v>11491</v>
      </c>
      <c r="D3" s="38">
        <f>6726+4637</f>
        <v>11363</v>
      </c>
      <c r="E3" s="38">
        <f>6396+3623</f>
        <v>10019</v>
      </c>
      <c r="F3" s="39">
        <f>11135+2634</f>
        <v>13769</v>
      </c>
    </row>
    <row r="4" spans="1:6" s="49" customFormat="1" ht="23.25" customHeight="1" x14ac:dyDescent="0.25">
      <c r="A4" s="6">
        <v>2</v>
      </c>
      <c r="B4" s="5" t="s">
        <v>1</v>
      </c>
      <c r="C4" s="34">
        <v>23620</v>
      </c>
      <c r="D4" s="35">
        <v>23574</v>
      </c>
      <c r="E4" s="35">
        <v>20337</v>
      </c>
      <c r="F4" s="36">
        <v>20119</v>
      </c>
    </row>
    <row r="5" spans="1:6" s="49" customFormat="1" ht="23.25" customHeight="1" x14ac:dyDescent="0.25">
      <c r="A5" s="15">
        <v>3</v>
      </c>
      <c r="B5" s="16" t="s">
        <v>2</v>
      </c>
      <c r="C5" s="37">
        <v>39424</v>
      </c>
      <c r="D5" s="38">
        <v>40650</v>
      </c>
      <c r="E5" s="38">
        <v>35211</v>
      </c>
      <c r="F5" s="39">
        <v>38110</v>
      </c>
    </row>
    <row r="6" spans="1:6" s="49" customFormat="1" ht="23.25" customHeight="1" x14ac:dyDescent="0.25">
      <c r="A6" s="6">
        <v>4</v>
      </c>
      <c r="B6" s="5" t="s">
        <v>3</v>
      </c>
      <c r="C6" s="34">
        <v>25941</v>
      </c>
      <c r="D6" s="35">
        <v>28444</v>
      </c>
      <c r="E6" s="35">
        <v>31494</v>
      </c>
      <c r="F6" s="36">
        <v>35681</v>
      </c>
    </row>
    <row r="7" spans="1:6" s="49" customFormat="1" ht="23.25" customHeight="1" x14ac:dyDescent="0.25">
      <c r="A7" s="15">
        <v>5</v>
      </c>
      <c r="B7" s="16" t="s">
        <v>4</v>
      </c>
      <c r="C7" s="37">
        <v>47109</v>
      </c>
      <c r="D7" s="38">
        <v>49542</v>
      </c>
      <c r="E7" s="38">
        <v>52284</v>
      </c>
      <c r="F7" s="39">
        <v>55057</v>
      </c>
    </row>
    <row r="8" spans="1:6" s="49" customFormat="1" ht="23.25" customHeight="1" x14ac:dyDescent="0.25">
      <c r="A8" s="6">
        <v>6</v>
      </c>
      <c r="B8" s="5" t="s">
        <v>5</v>
      </c>
      <c r="C8" s="34">
        <v>85194</v>
      </c>
      <c r="D8" s="35">
        <v>85558</v>
      </c>
      <c r="E8" s="35">
        <v>81002</v>
      </c>
      <c r="F8" s="36">
        <v>88029</v>
      </c>
    </row>
    <row r="9" spans="1:6" s="49" customFormat="1" ht="23.25" customHeight="1" x14ac:dyDescent="0.25">
      <c r="A9" s="15">
        <v>7</v>
      </c>
      <c r="B9" s="16" t="s">
        <v>24</v>
      </c>
      <c r="C9" s="37">
        <v>140</v>
      </c>
      <c r="D9" s="38">
        <v>335</v>
      </c>
      <c r="E9" s="38">
        <v>350</v>
      </c>
      <c r="F9" s="39">
        <v>365</v>
      </c>
    </row>
    <row r="10" spans="1:6" s="49" customFormat="1" ht="23.25" customHeight="1" x14ac:dyDescent="0.25">
      <c r="A10" s="6">
        <v>8</v>
      </c>
      <c r="B10" s="5" t="s">
        <v>6</v>
      </c>
      <c r="C10" s="34">
        <v>19961</v>
      </c>
      <c r="D10" s="35">
        <v>18525</v>
      </c>
      <c r="E10" s="35">
        <v>16100</v>
      </c>
      <c r="F10" s="36">
        <v>20394</v>
      </c>
    </row>
    <row r="11" spans="1:6" s="49" customFormat="1" ht="23.25" customHeight="1" x14ac:dyDescent="0.25">
      <c r="A11" s="15">
        <v>9</v>
      </c>
      <c r="B11" s="16" t="s">
        <v>7</v>
      </c>
      <c r="C11" s="37">
        <v>22112</v>
      </c>
      <c r="D11" s="38">
        <v>21789</v>
      </c>
      <c r="E11" s="38">
        <v>21452</v>
      </c>
      <c r="F11" s="39">
        <f>1589+21281</f>
        <v>22870</v>
      </c>
    </row>
    <row r="12" spans="1:6" s="49" customFormat="1" ht="23.25" customHeight="1" x14ac:dyDescent="0.25">
      <c r="A12" s="6">
        <v>10</v>
      </c>
      <c r="B12" s="5" t="s">
        <v>40</v>
      </c>
      <c r="C12" s="34">
        <v>37098</v>
      </c>
      <c r="D12" s="35">
        <v>41126</v>
      </c>
      <c r="E12" s="35">
        <v>40824</v>
      </c>
      <c r="F12" s="36">
        <v>41273</v>
      </c>
    </row>
    <row r="13" spans="1:6" s="49" customFormat="1" ht="23.25" customHeight="1" x14ac:dyDescent="0.25">
      <c r="A13" s="15">
        <v>11</v>
      </c>
      <c r="B13" s="16" t="s">
        <v>8</v>
      </c>
      <c r="C13" s="37">
        <v>109885</v>
      </c>
      <c r="D13" s="38">
        <v>114147</v>
      </c>
      <c r="E13" s="38">
        <v>120408</v>
      </c>
      <c r="F13" s="39">
        <v>128480</v>
      </c>
    </row>
    <row r="14" spans="1:6" s="49" customFormat="1" ht="23.25" customHeight="1" x14ac:dyDescent="0.25">
      <c r="A14" s="6">
        <v>12</v>
      </c>
      <c r="B14" s="5" t="s">
        <v>9</v>
      </c>
      <c r="C14" s="34">
        <f>C15-C13</f>
        <v>6867</v>
      </c>
      <c r="D14" s="35">
        <f>D15-D13</f>
        <v>6474</v>
      </c>
      <c r="E14" s="35">
        <f>E15-E13</f>
        <v>6382</v>
      </c>
      <c r="F14" s="36">
        <f>F15-F13</f>
        <v>7018</v>
      </c>
    </row>
    <row r="15" spans="1:6" s="49" customFormat="1" ht="23.25" customHeight="1" x14ac:dyDescent="0.25">
      <c r="A15" s="15">
        <v>13</v>
      </c>
      <c r="B15" s="16" t="s">
        <v>10</v>
      </c>
      <c r="C15" s="37">
        <v>116752</v>
      </c>
      <c r="D15" s="38">
        <v>120621</v>
      </c>
      <c r="E15" s="38">
        <v>126790</v>
      </c>
      <c r="F15" s="39">
        <v>135498</v>
      </c>
    </row>
    <row r="16" spans="1:6" s="49" customFormat="1" ht="23.25" customHeight="1" x14ac:dyDescent="0.25">
      <c r="A16" s="6">
        <v>14</v>
      </c>
      <c r="B16" s="5" t="s">
        <v>11</v>
      </c>
      <c r="C16" s="34">
        <v>903</v>
      </c>
      <c r="D16" s="35">
        <v>681</v>
      </c>
      <c r="E16" s="35">
        <v>860</v>
      </c>
      <c r="F16" s="36">
        <v>1123</v>
      </c>
    </row>
    <row r="17" spans="1:6" s="49" customFormat="1" ht="23.25" customHeight="1" x14ac:dyDescent="0.25">
      <c r="A17" s="15">
        <v>15</v>
      </c>
      <c r="B17" s="16" t="s">
        <v>12</v>
      </c>
      <c r="C17" s="37">
        <v>3223</v>
      </c>
      <c r="D17" s="38">
        <v>3304</v>
      </c>
      <c r="E17" s="38">
        <v>3295</v>
      </c>
      <c r="F17" s="39">
        <v>3416</v>
      </c>
    </row>
    <row r="18" spans="1:6" s="49" customFormat="1" ht="23.25" customHeight="1" x14ac:dyDescent="0.25">
      <c r="A18" s="6">
        <v>16</v>
      </c>
      <c r="B18" s="5" t="s">
        <v>30</v>
      </c>
      <c r="C18" s="47">
        <v>72739</v>
      </c>
      <c r="D18" s="35">
        <f>60572+13427</f>
        <v>73999</v>
      </c>
      <c r="E18" s="35">
        <v>74901</v>
      </c>
      <c r="F18" s="36">
        <v>78947</v>
      </c>
    </row>
    <row r="19" spans="1:6" s="49" customFormat="1" ht="23.25" customHeight="1" x14ac:dyDescent="0.25">
      <c r="A19" s="15">
        <v>17</v>
      </c>
      <c r="B19" s="16" t="s">
        <v>13</v>
      </c>
      <c r="C19" s="37">
        <v>4507</v>
      </c>
      <c r="D19" s="38">
        <v>5235</v>
      </c>
      <c r="E19" s="38">
        <v>5184</v>
      </c>
      <c r="F19" s="39">
        <v>7052</v>
      </c>
    </row>
    <row r="20" spans="1:6" s="49" customFormat="1" ht="23.25" customHeight="1" x14ac:dyDescent="0.25">
      <c r="A20" s="6">
        <v>18</v>
      </c>
      <c r="B20" s="5" t="s">
        <v>84</v>
      </c>
      <c r="C20" s="34">
        <v>116323</v>
      </c>
      <c r="D20" s="35">
        <v>119671</v>
      </c>
      <c r="E20" s="35">
        <v>126675</v>
      </c>
      <c r="F20" s="36">
        <v>135069</v>
      </c>
    </row>
    <row r="21" spans="1:6" s="49" customFormat="1" ht="23.25" customHeight="1" x14ac:dyDescent="0.25">
      <c r="A21" s="15">
        <v>19</v>
      </c>
      <c r="B21" s="16" t="s">
        <v>14</v>
      </c>
      <c r="C21" s="37">
        <v>430</v>
      </c>
      <c r="D21" s="38">
        <v>949</v>
      </c>
      <c r="E21" s="38">
        <v>115</v>
      </c>
      <c r="F21" s="39">
        <v>429</v>
      </c>
    </row>
    <row r="22" spans="1:6" s="49" customFormat="1" ht="23.25" customHeight="1" x14ac:dyDescent="0.25">
      <c r="A22" s="6">
        <v>20</v>
      </c>
      <c r="B22" s="5" t="s">
        <v>15</v>
      </c>
      <c r="C22" s="34">
        <v>-2460</v>
      </c>
      <c r="D22" s="35">
        <v>0</v>
      </c>
      <c r="E22" s="35">
        <v>0</v>
      </c>
      <c r="F22" s="36">
        <v>0</v>
      </c>
    </row>
    <row r="23" spans="1:6" s="49" customFormat="1" ht="23.25" customHeight="1" x14ac:dyDescent="0.25">
      <c r="A23" s="15">
        <v>21</v>
      </c>
      <c r="B23" s="16" t="s">
        <v>16</v>
      </c>
      <c r="C23" s="37">
        <v>-2031</v>
      </c>
      <c r="D23" s="38">
        <v>949</v>
      </c>
      <c r="E23" s="38">
        <v>115</v>
      </c>
      <c r="F23" s="39">
        <v>429</v>
      </c>
    </row>
    <row r="24" spans="1:6" s="49" customFormat="1" ht="23.25" customHeight="1" x14ac:dyDescent="0.25">
      <c r="A24" s="6">
        <v>22</v>
      </c>
      <c r="B24" s="5" t="s">
        <v>17</v>
      </c>
      <c r="C24" s="35">
        <v>5674</v>
      </c>
      <c r="D24" s="35">
        <v>5826</v>
      </c>
      <c r="E24" s="35">
        <v>6471</v>
      </c>
      <c r="F24" s="36">
        <v>7588</v>
      </c>
    </row>
    <row r="25" spans="1:6" s="49" customFormat="1" ht="23.25" customHeight="1" x14ac:dyDescent="0.25">
      <c r="A25" s="15">
        <v>23</v>
      </c>
      <c r="B25" s="16" t="s">
        <v>81</v>
      </c>
      <c r="C25" s="46">
        <f>5428+18405+127</f>
        <v>23960</v>
      </c>
      <c r="D25" s="38">
        <f>4638+14500+122</f>
        <v>19260</v>
      </c>
      <c r="E25" s="38">
        <f>3624+11412+443</f>
        <v>15479</v>
      </c>
      <c r="F25" s="39">
        <v>13095</v>
      </c>
    </row>
    <row r="26" spans="1:6" s="49" customFormat="1" ht="23.25" customHeight="1" x14ac:dyDescent="0.25">
      <c r="A26" s="6">
        <v>24</v>
      </c>
      <c r="B26" s="5" t="s">
        <v>19</v>
      </c>
      <c r="C26" s="34">
        <v>3421</v>
      </c>
      <c r="D26" s="35">
        <v>4808</v>
      </c>
      <c r="E26" s="35">
        <v>5446</v>
      </c>
      <c r="F26" s="36">
        <v>5754</v>
      </c>
    </row>
    <row r="27" spans="1:6" s="49" customFormat="1" ht="23.25" customHeight="1" thickBot="1" x14ac:dyDescent="0.3">
      <c r="A27" s="17">
        <v>25</v>
      </c>
      <c r="B27" s="18" t="s">
        <v>20</v>
      </c>
      <c r="C27" s="42">
        <v>3157</v>
      </c>
      <c r="D27" s="43">
        <v>4183</v>
      </c>
      <c r="E27" s="43">
        <v>4215</v>
      </c>
      <c r="F27" s="44">
        <v>4479</v>
      </c>
    </row>
    <row r="28" spans="1:6" ht="12.75" customHeight="1" x14ac:dyDescent="0.25">
      <c r="C28" s="10"/>
      <c r="D28" s="10"/>
      <c r="E28" s="10"/>
      <c r="F28" s="10"/>
    </row>
    <row r="29" spans="1:6" ht="12.75" customHeight="1" x14ac:dyDescent="0.25">
      <c r="A29" s="53" t="s">
        <v>85</v>
      </c>
    </row>
    <row r="30" spans="1:6" ht="13.8" x14ac:dyDescent="0.25">
      <c r="C30" s="10"/>
      <c r="D30" s="10"/>
      <c r="E30" s="10"/>
      <c r="F30" s="10"/>
    </row>
    <row r="31" spans="1:6" ht="13.8" x14ac:dyDescent="0.25">
      <c r="C31" s="10"/>
      <c r="D31" s="10"/>
      <c r="E31" s="10"/>
      <c r="F31" s="10"/>
    </row>
    <row r="32" spans="1:6" ht="13.8" x14ac:dyDescent="0.25">
      <c r="C32" s="10"/>
      <c r="D32" s="10"/>
      <c r="E32" s="10"/>
      <c r="F32" s="10"/>
    </row>
    <row r="33" spans="3:6" ht="13.8" x14ac:dyDescent="0.25">
      <c r="C33" s="10"/>
      <c r="D33" s="10"/>
      <c r="E33" s="10"/>
      <c r="F33" s="10"/>
    </row>
    <row r="34" spans="3:6" ht="13.8" x14ac:dyDescent="0.25">
      <c r="C34" s="10"/>
      <c r="D34" s="10"/>
      <c r="E34" s="10"/>
      <c r="F34" s="10"/>
    </row>
    <row r="35" spans="3:6" ht="13.8" x14ac:dyDescent="0.25">
      <c r="C35" s="10"/>
      <c r="D35" s="10"/>
      <c r="E35" s="10"/>
      <c r="F35" s="10"/>
    </row>
    <row r="36" spans="3:6" ht="13.8" x14ac:dyDescent="0.25">
      <c r="C36" s="10"/>
      <c r="D36" s="10"/>
      <c r="E36" s="10"/>
      <c r="F36" s="10"/>
    </row>
    <row r="37" spans="3:6" ht="13.8" x14ac:dyDescent="0.25">
      <c r="C37" s="10"/>
      <c r="D37" s="10"/>
      <c r="E37" s="10"/>
      <c r="F37" s="10"/>
    </row>
    <row r="38" spans="3:6" ht="13.8" x14ac:dyDescent="0.25">
      <c r="C38" s="10"/>
      <c r="D38" s="10"/>
      <c r="E38" s="10"/>
      <c r="F38" s="10"/>
    </row>
    <row r="39" spans="3:6" ht="13.8" x14ac:dyDescent="0.25">
      <c r="C39" s="10"/>
      <c r="D39" s="10"/>
      <c r="E39" s="10"/>
      <c r="F39" s="10"/>
    </row>
    <row r="40" spans="3:6" ht="13.8" x14ac:dyDescent="0.25">
      <c r="C40" s="10"/>
      <c r="D40" s="10"/>
      <c r="E40" s="10"/>
      <c r="F40" s="10"/>
    </row>
    <row r="41" spans="3:6" ht="13.8" x14ac:dyDescent="0.25">
      <c r="C41" s="10"/>
      <c r="D41" s="10"/>
      <c r="E41" s="10"/>
      <c r="F41" s="10"/>
    </row>
    <row r="42" spans="3:6" ht="13.8" x14ac:dyDescent="0.25">
      <c r="C42" s="10"/>
      <c r="D42" s="10"/>
      <c r="E42" s="10"/>
      <c r="F42" s="10"/>
    </row>
    <row r="43" spans="3:6" ht="13.8" x14ac:dyDescent="0.25">
      <c r="C43" s="10"/>
      <c r="D43" s="10"/>
      <c r="E43" s="10"/>
      <c r="F43" s="10"/>
    </row>
    <row r="44" spans="3:6" ht="13.8" x14ac:dyDescent="0.25">
      <c r="C44" s="10"/>
      <c r="D44" s="10"/>
      <c r="E44" s="10"/>
      <c r="F44" s="10"/>
    </row>
    <row r="45" spans="3:6" ht="13.8" x14ac:dyDescent="0.25">
      <c r="C45" s="10"/>
      <c r="D45" s="10"/>
      <c r="E45" s="10"/>
      <c r="F45" s="10"/>
    </row>
    <row r="46" spans="3:6" ht="13.8" x14ac:dyDescent="0.25">
      <c r="C46" s="10"/>
      <c r="D46" s="10"/>
      <c r="E46" s="10"/>
      <c r="F46" s="10"/>
    </row>
    <row r="47" spans="3:6" ht="13.8" x14ac:dyDescent="0.25">
      <c r="C47" s="10"/>
      <c r="D47" s="10"/>
      <c r="E47" s="10"/>
      <c r="F47" s="10"/>
    </row>
    <row r="48" spans="3:6" ht="13.8" x14ac:dyDescent="0.25">
      <c r="C48" s="10"/>
      <c r="D48" s="10"/>
      <c r="E48" s="10"/>
      <c r="F48" s="10"/>
    </row>
    <row r="49" spans="3:6" ht="13.8" x14ac:dyDescent="0.25">
      <c r="C49" s="10"/>
      <c r="D49" s="10"/>
      <c r="E49" s="10"/>
      <c r="F49" s="10"/>
    </row>
    <row r="50" spans="3:6" ht="13.8" x14ac:dyDescent="0.25">
      <c r="C50" s="10"/>
      <c r="D50" s="10"/>
      <c r="E50" s="10"/>
      <c r="F50" s="10"/>
    </row>
    <row r="51" spans="3:6" ht="13.8" x14ac:dyDescent="0.25">
      <c r="C51" s="10"/>
      <c r="D51" s="10"/>
      <c r="E51" s="10"/>
      <c r="F51" s="10"/>
    </row>
    <row r="52" spans="3:6" ht="13.8" x14ac:dyDescent="0.25">
      <c r="C52" s="10"/>
      <c r="D52" s="10"/>
      <c r="E52" s="10"/>
      <c r="F52" s="10"/>
    </row>
    <row r="53" spans="3:6" ht="13.8" x14ac:dyDescent="0.25">
      <c r="C53" s="10"/>
      <c r="D53" s="10"/>
      <c r="E53" s="10"/>
      <c r="F53" s="10"/>
    </row>
    <row r="54" spans="3:6" ht="13.8" x14ac:dyDescent="0.25">
      <c r="C54" s="10"/>
      <c r="D54" s="10"/>
      <c r="E54" s="10"/>
      <c r="F54" s="10"/>
    </row>
    <row r="55" spans="3:6" ht="13.8" x14ac:dyDescent="0.25">
      <c r="C55" s="10"/>
      <c r="D55" s="10"/>
      <c r="E55" s="10"/>
      <c r="F55" s="10"/>
    </row>
    <row r="56" spans="3:6" ht="13.8" x14ac:dyDescent="0.25">
      <c r="C56" s="10"/>
      <c r="D56" s="10"/>
      <c r="E56" s="10"/>
      <c r="F56" s="10"/>
    </row>
    <row r="57" spans="3:6" ht="13.8" x14ac:dyDescent="0.25">
      <c r="C57" s="10"/>
      <c r="D57" s="10"/>
      <c r="E57" s="10"/>
      <c r="F57" s="10"/>
    </row>
    <row r="58" spans="3:6" ht="13.8" x14ac:dyDescent="0.25">
      <c r="C58" s="10"/>
      <c r="D58" s="10"/>
      <c r="E58" s="10"/>
      <c r="F58" s="10"/>
    </row>
    <row r="59" spans="3:6" ht="13.8" x14ac:dyDescent="0.25">
      <c r="C59" s="10"/>
      <c r="D59" s="10"/>
      <c r="E59" s="10"/>
      <c r="F59" s="10"/>
    </row>
    <row r="60" spans="3:6" ht="13.8" x14ac:dyDescent="0.25">
      <c r="C60" s="10"/>
      <c r="D60" s="10"/>
      <c r="E60" s="10"/>
      <c r="F60" s="10"/>
    </row>
    <row r="61" spans="3:6" ht="13.8" x14ac:dyDescent="0.25">
      <c r="C61" s="10"/>
      <c r="D61" s="10"/>
      <c r="E61" s="10"/>
      <c r="F61" s="10"/>
    </row>
    <row r="62" spans="3:6" ht="13.8" x14ac:dyDescent="0.25">
      <c r="C62" s="10"/>
      <c r="D62" s="10"/>
      <c r="E62" s="10"/>
      <c r="F62" s="10"/>
    </row>
    <row r="63" spans="3:6" ht="13.8" x14ac:dyDescent="0.25">
      <c r="C63" s="10"/>
      <c r="D63" s="10"/>
      <c r="E63" s="10"/>
      <c r="F63" s="10"/>
    </row>
    <row r="64" spans="3:6" ht="13.8" x14ac:dyDescent="0.25">
      <c r="C64" s="10"/>
      <c r="D64" s="10"/>
      <c r="E64" s="10"/>
      <c r="F64" s="10"/>
    </row>
    <row r="65" spans="3:6" ht="13.8" x14ac:dyDescent="0.25">
      <c r="C65" s="10"/>
      <c r="D65" s="10"/>
      <c r="E65" s="10"/>
      <c r="F65" s="10"/>
    </row>
    <row r="66" spans="3:6" ht="13.8" x14ac:dyDescent="0.25">
      <c r="C66" s="10"/>
      <c r="D66" s="10"/>
      <c r="E66" s="10"/>
      <c r="F66" s="10"/>
    </row>
    <row r="67" spans="3:6" ht="13.8" x14ac:dyDescent="0.25">
      <c r="C67" s="10"/>
      <c r="D67" s="10"/>
      <c r="E67" s="10"/>
      <c r="F67" s="10"/>
    </row>
    <row r="68" spans="3:6" ht="13.8" x14ac:dyDescent="0.25">
      <c r="C68" s="10"/>
      <c r="D68" s="10"/>
      <c r="E68" s="10"/>
      <c r="F68" s="10"/>
    </row>
    <row r="69" spans="3:6" ht="13.8" x14ac:dyDescent="0.25">
      <c r="C69" s="10"/>
      <c r="D69" s="10"/>
      <c r="E69" s="10"/>
      <c r="F69" s="10"/>
    </row>
    <row r="70" spans="3:6" ht="13.8" x14ac:dyDescent="0.25">
      <c r="C70" s="10"/>
      <c r="D70" s="10"/>
      <c r="E70" s="10"/>
      <c r="F70" s="10"/>
    </row>
    <row r="71" spans="3:6" ht="13.8" x14ac:dyDescent="0.25">
      <c r="C71" s="10"/>
      <c r="D71" s="10"/>
      <c r="E71" s="10"/>
      <c r="F71" s="10"/>
    </row>
    <row r="72" spans="3:6" ht="13.8" x14ac:dyDescent="0.25">
      <c r="C72" s="10"/>
      <c r="D72" s="10"/>
      <c r="E72" s="10"/>
      <c r="F72" s="10"/>
    </row>
    <row r="73" spans="3:6" ht="13.8" x14ac:dyDescent="0.25">
      <c r="C73" s="10"/>
      <c r="D73" s="10"/>
      <c r="E73" s="10"/>
      <c r="F73" s="10"/>
    </row>
    <row r="74" spans="3:6" ht="13.8" x14ac:dyDescent="0.25">
      <c r="C74" s="10"/>
      <c r="D74" s="10"/>
      <c r="E74" s="10"/>
      <c r="F74" s="10"/>
    </row>
    <row r="75" spans="3:6" ht="13.8" x14ac:dyDescent="0.25">
      <c r="C75" s="10"/>
      <c r="D75" s="10"/>
      <c r="E75" s="10"/>
      <c r="F75" s="10"/>
    </row>
    <row r="76" spans="3:6" ht="13.8" x14ac:dyDescent="0.25">
      <c r="C76" s="10"/>
      <c r="D76" s="10"/>
      <c r="E76" s="10"/>
      <c r="F76" s="10"/>
    </row>
    <row r="77" spans="3:6" ht="13.8" x14ac:dyDescent="0.25">
      <c r="C77" s="10"/>
      <c r="D77" s="10"/>
      <c r="E77" s="10"/>
      <c r="F77" s="10"/>
    </row>
    <row r="78" spans="3:6" ht="13.8" x14ac:dyDescent="0.25">
      <c r="C78" s="10"/>
      <c r="D78" s="10"/>
      <c r="E78" s="10"/>
      <c r="F78" s="10"/>
    </row>
    <row r="79" spans="3:6" ht="13.8" x14ac:dyDescent="0.25">
      <c r="C79" s="10"/>
      <c r="D79" s="10"/>
      <c r="E79" s="10"/>
      <c r="F79" s="10"/>
    </row>
    <row r="80" spans="3:6" ht="13.8" x14ac:dyDescent="0.25">
      <c r="C80" s="10"/>
      <c r="D80" s="10"/>
      <c r="E80" s="10"/>
      <c r="F80" s="10"/>
    </row>
    <row r="81" spans="3:6" ht="13.8" x14ac:dyDescent="0.25">
      <c r="C81" s="10"/>
      <c r="D81" s="10"/>
      <c r="E81" s="10"/>
      <c r="F81" s="10"/>
    </row>
    <row r="82" spans="3:6" ht="13.8" x14ac:dyDescent="0.25">
      <c r="C82" s="10"/>
      <c r="D82" s="10"/>
      <c r="E82" s="10"/>
      <c r="F82" s="10"/>
    </row>
    <row r="83" spans="3:6" ht="13.8" x14ac:dyDescent="0.25">
      <c r="C83" s="10"/>
      <c r="D83" s="10"/>
      <c r="E83" s="10"/>
      <c r="F83" s="10"/>
    </row>
    <row r="84" spans="3:6" ht="13.8" x14ac:dyDescent="0.25">
      <c r="C84" s="10"/>
      <c r="D84" s="10"/>
      <c r="E84" s="10"/>
      <c r="F84" s="10"/>
    </row>
    <row r="85" spans="3:6" ht="13.8" x14ac:dyDescent="0.25">
      <c r="C85" s="10"/>
      <c r="D85" s="10"/>
      <c r="E85" s="10"/>
      <c r="F85" s="10"/>
    </row>
    <row r="86" spans="3:6" ht="13.8" x14ac:dyDescent="0.25">
      <c r="C86" s="10"/>
      <c r="D86" s="10"/>
      <c r="E86" s="10"/>
      <c r="F86" s="10"/>
    </row>
    <row r="87" spans="3:6" ht="13.8" x14ac:dyDescent="0.25">
      <c r="C87" s="10"/>
      <c r="D87" s="10"/>
      <c r="E87" s="10"/>
      <c r="F87" s="10"/>
    </row>
    <row r="88" spans="3:6" ht="13.8" x14ac:dyDescent="0.25">
      <c r="C88" s="10"/>
      <c r="D88" s="10"/>
      <c r="E88" s="10"/>
      <c r="F88" s="10"/>
    </row>
    <row r="89" spans="3:6" ht="13.8" x14ac:dyDescent="0.25">
      <c r="C89" s="10"/>
      <c r="D89" s="10"/>
      <c r="E89" s="10"/>
      <c r="F89" s="10"/>
    </row>
    <row r="90" spans="3:6" ht="13.8" x14ac:dyDescent="0.25">
      <c r="C90" s="10"/>
      <c r="D90" s="10"/>
      <c r="E90" s="10"/>
      <c r="F90" s="10"/>
    </row>
    <row r="91" spans="3:6" ht="13.8" x14ac:dyDescent="0.25">
      <c r="C91" s="10"/>
      <c r="D91" s="10"/>
      <c r="E91" s="10"/>
      <c r="F91" s="10"/>
    </row>
    <row r="92" spans="3:6" ht="13.8" x14ac:dyDescent="0.25">
      <c r="C92" s="10"/>
      <c r="D92" s="10"/>
      <c r="E92" s="10"/>
      <c r="F92" s="10"/>
    </row>
    <row r="93" spans="3:6" ht="13.8" x14ac:dyDescent="0.25">
      <c r="C93" s="10"/>
      <c r="D93" s="10"/>
      <c r="E93" s="10"/>
      <c r="F93" s="10"/>
    </row>
    <row r="94" spans="3:6" ht="13.8" x14ac:dyDescent="0.25">
      <c r="C94" s="10"/>
      <c r="D94" s="10"/>
      <c r="E94" s="10"/>
      <c r="F94" s="10"/>
    </row>
    <row r="95" spans="3:6" ht="13.8" x14ac:dyDescent="0.25">
      <c r="C95" s="10"/>
      <c r="D95" s="10"/>
      <c r="E95" s="10"/>
      <c r="F95" s="10"/>
    </row>
    <row r="96" spans="3:6" ht="13.8" x14ac:dyDescent="0.25">
      <c r="C96" s="10"/>
      <c r="D96" s="10"/>
      <c r="E96" s="10"/>
      <c r="F96" s="10"/>
    </row>
    <row r="97" spans="3:6" ht="13.8" x14ac:dyDescent="0.25">
      <c r="C97" s="10"/>
      <c r="D97" s="10"/>
      <c r="E97" s="10"/>
      <c r="F97" s="10"/>
    </row>
    <row r="98" spans="3:6" ht="13.8" x14ac:dyDescent="0.25">
      <c r="C98" s="10"/>
      <c r="D98" s="10"/>
      <c r="E98" s="10"/>
      <c r="F98" s="10"/>
    </row>
    <row r="99" spans="3:6" ht="13.8" x14ac:dyDescent="0.25">
      <c r="C99" s="10"/>
      <c r="D99" s="10"/>
      <c r="E99" s="10"/>
      <c r="F99" s="10"/>
    </row>
    <row r="100" spans="3:6" ht="13.8" x14ac:dyDescent="0.25">
      <c r="C100" s="10"/>
      <c r="D100" s="10"/>
      <c r="E100" s="10"/>
      <c r="F100" s="10"/>
    </row>
    <row r="101" spans="3:6" ht="13.8" x14ac:dyDescent="0.25">
      <c r="C101" s="10"/>
      <c r="D101" s="10"/>
      <c r="E101" s="10"/>
      <c r="F101" s="10"/>
    </row>
    <row r="102" spans="3:6" ht="13.8" x14ac:dyDescent="0.25">
      <c r="C102" s="10"/>
      <c r="D102" s="10"/>
      <c r="E102" s="10"/>
      <c r="F102" s="10"/>
    </row>
    <row r="103" spans="3:6" ht="13.8" x14ac:dyDescent="0.25">
      <c r="C103" s="10"/>
      <c r="D103" s="10"/>
      <c r="E103" s="10"/>
      <c r="F103" s="10"/>
    </row>
    <row r="104" spans="3:6" ht="13.8" x14ac:dyDescent="0.25">
      <c r="C104" s="10"/>
      <c r="D104" s="10"/>
      <c r="E104" s="10"/>
      <c r="F104" s="10"/>
    </row>
    <row r="105" spans="3:6" ht="13.8" x14ac:dyDescent="0.25">
      <c r="C105" s="10"/>
      <c r="D105" s="10"/>
      <c r="E105" s="10"/>
      <c r="F105" s="10"/>
    </row>
    <row r="106" spans="3:6" ht="13.8" x14ac:dyDescent="0.25">
      <c r="C106" s="10"/>
      <c r="D106" s="10"/>
      <c r="E106" s="10"/>
      <c r="F106" s="10"/>
    </row>
    <row r="107" spans="3:6" ht="13.8" x14ac:dyDescent="0.25">
      <c r="C107" s="10"/>
      <c r="D107" s="10"/>
      <c r="E107" s="10"/>
      <c r="F107" s="10"/>
    </row>
    <row r="108" spans="3:6" ht="13.8" x14ac:dyDescent="0.25">
      <c r="C108" s="10"/>
      <c r="D108" s="10"/>
      <c r="E108" s="10"/>
      <c r="F108" s="10"/>
    </row>
    <row r="109" spans="3:6" ht="13.8" x14ac:dyDescent="0.25">
      <c r="C109" s="10"/>
      <c r="D109" s="10"/>
      <c r="E109" s="10"/>
      <c r="F109" s="10"/>
    </row>
    <row r="110" spans="3:6" ht="13.8" x14ac:dyDescent="0.25">
      <c r="C110" s="10"/>
      <c r="D110" s="10"/>
      <c r="E110" s="10"/>
      <c r="F110" s="10"/>
    </row>
    <row r="111" spans="3:6" ht="13.8" x14ac:dyDescent="0.25">
      <c r="C111" s="10"/>
      <c r="D111" s="10"/>
      <c r="E111" s="10"/>
      <c r="F111" s="10"/>
    </row>
    <row r="112" spans="3:6" ht="13.8" x14ac:dyDescent="0.25">
      <c r="C112" s="10"/>
      <c r="D112" s="10"/>
      <c r="E112" s="10"/>
      <c r="F112" s="10"/>
    </row>
    <row r="113" spans="3:6" ht="13.8" x14ac:dyDescent="0.25">
      <c r="C113" s="10"/>
      <c r="D113" s="10"/>
      <c r="E113" s="10"/>
      <c r="F113" s="10"/>
    </row>
    <row r="114" spans="3:6" ht="13.8" x14ac:dyDescent="0.25">
      <c r="C114" s="10"/>
      <c r="D114" s="10"/>
      <c r="E114" s="10"/>
      <c r="F114" s="10"/>
    </row>
    <row r="115" spans="3:6" ht="13.8" x14ac:dyDescent="0.25">
      <c r="C115" s="10"/>
      <c r="D115" s="10"/>
      <c r="E115" s="10"/>
      <c r="F115" s="10"/>
    </row>
    <row r="116" spans="3:6" ht="13.8" x14ac:dyDescent="0.25">
      <c r="C116" s="10"/>
      <c r="D116" s="10"/>
      <c r="E116" s="10"/>
      <c r="F116" s="10"/>
    </row>
    <row r="117" spans="3:6" ht="13.8" x14ac:dyDescent="0.25">
      <c r="C117" s="10"/>
      <c r="D117" s="10"/>
      <c r="E117" s="10"/>
      <c r="F117" s="10"/>
    </row>
    <row r="118" spans="3:6" ht="13.8" x14ac:dyDescent="0.25">
      <c r="C118" s="10"/>
      <c r="D118" s="10"/>
      <c r="E118" s="10"/>
      <c r="F118" s="10"/>
    </row>
    <row r="119" spans="3:6" ht="13.8" x14ac:dyDescent="0.25">
      <c r="C119" s="10"/>
      <c r="D119" s="10"/>
      <c r="E119" s="10"/>
      <c r="F119" s="10"/>
    </row>
    <row r="120" spans="3:6" ht="13.8" x14ac:dyDescent="0.25">
      <c r="C120" s="10"/>
      <c r="D120" s="10"/>
      <c r="E120" s="10"/>
      <c r="F120" s="10"/>
    </row>
    <row r="121" spans="3:6" ht="13.8" x14ac:dyDescent="0.25">
      <c r="C121" s="10"/>
      <c r="D121" s="10"/>
      <c r="E121" s="10"/>
      <c r="F121" s="10"/>
    </row>
    <row r="122" spans="3:6" ht="13.8" x14ac:dyDescent="0.25">
      <c r="C122" s="10"/>
      <c r="D122" s="10"/>
      <c r="E122" s="10"/>
      <c r="F122" s="10"/>
    </row>
    <row r="123" spans="3:6" ht="13.8" x14ac:dyDescent="0.25">
      <c r="C123" s="10"/>
      <c r="D123" s="10"/>
      <c r="E123" s="10"/>
      <c r="F123" s="10"/>
    </row>
    <row r="124" spans="3:6" ht="13.8" x14ac:dyDescent="0.25">
      <c r="C124" s="10"/>
      <c r="D124" s="10"/>
      <c r="E124" s="10"/>
      <c r="F124" s="10"/>
    </row>
    <row r="125" spans="3:6" ht="13.8" x14ac:dyDescent="0.25">
      <c r="C125" s="10"/>
      <c r="D125" s="10"/>
      <c r="E125" s="10"/>
      <c r="F125" s="10"/>
    </row>
    <row r="126" spans="3:6" ht="13.8" x14ac:dyDescent="0.25">
      <c r="C126" s="10"/>
      <c r="D126" s="10"/>
      <c r="E126" s="10"/>
      <c r="F126" s="10"/>
    </row>
    <row r="127" spans="3:6" ht="13.8" x14ac:dyDescent="0.25">
      <c r="C127" s="10"/>
      <c r="D127" s="10"/>
      <c r="E127" s="10"/>
      <c r="F127" s="10"/>
    </row>
    <row r="128" spans="3:6" ht="13.8" x14ac:dyDescent="0.25">
      <c r="C128" s="10"/>
      <c r="D128" s="10"/>
      <c r="E128" s="10"/>
      <c r="F128" s="10"/>
    </row>
    <row r="129" spans="3:6" ht="13.8" x14ac:dyDescent="0.25">
      <c r="C129" s="10"/>
      <c r="D129" s="10"/>
      <c r="E129" s="10"/>
      <c r="F129" s="10"/>
    </row>
    <row r="130" spans="3:6" ht="13.8" x14ac:dyDescent="0.25">
      <c r="C130" s="10"/>
      <c r="D130" s="10"/>
      <c r="E130" s="10"/>
      <c r="F130" s="10"/>
    </row>
    <row r="131" spans="3:6" ht="13.8" x14ac:dyDescent="0.25">
      <c r="C131" s="10"/>
      <c r="D131" s="10"/>
      <c r="E131" s="10"/>
      <c r="F131" s="10"/>
    </row>
    <row r="132" spans="3:6" ht="13.8" x14ac:dyDescent="0.25">
      <c r="C132" s="10"/>
      <c r="D132" s="10"/>
      <c r="E132" s="10"/>
      <c r="F132" s="10"/>
    </row>
    <row r="133" spans="3:6" ht="13.8" x14ac:dyDescent="0.25">
      <c r="C133" s="10"/>
      <c r="D133" s="10"/>
      <c r="E133" s="10"/>
      <c r="F133" s="10"/>
    </row>
    <row r="134" spans="3:6" ht="13.8" x14ac:dyDescent="0.25">
      <c r="C134" s="10"/>
      <c r="D134" s="10"/>
      <c r="E134" s="10"/>
      <c r="F134" s="10"/>
    </row>
    <row r="135" spans="3:6" ht="13.8" x14ac:dyDescent="0.25">
      <c r="C135" s="10"/>
      <c r="D135" s="10"/>
      <c r="E135" s="10"/>
      <c r="F135" s="10"/>
    </row>
    <row r="136" spans="3:6" ht="13.8" x14ac:dyDescent="0.25">
      <c r="C136" s="10"/>
      <c r="D136" s="10"/>
      <c r="E136" s="10"/>
      <c r="F136" s="10"/>
    </row>
    <row r="137" spans="3:6" ht="13.8" x14ac:dyDescent="0.25">
      <c r="C137" s="10"/>
      <c r="D137" s="10"/>
      <c r="E137" s="10"/>
      <c r="F137" s="10"/>
    </row>
    <row r="138" spans="3:6" ht="13.8" x14ac:dyDescent="0.25">
      <c r="C138" s="10"/>
      <c r="D138" s="10"/>
      <c r="E138" s="10"/>
      <c r="F138" s="10"/>
    </row>
    <row r="139" spans="3:6" ht="13.8" x14ac:dyDescent="0.25">
      <c r="C139" s="10"/>
      <c r="D139" s="10"/>
      <c r="E139" s="10"/>
      <c r="F139" s="10"/>
    </row>
    <row r="140" spans="3:6" ht="13.8" x14ac:dyDescent="0.25">
      <c r="C140" s="10"/>
      <c r="D140" s="10"/>
      <c r="E140" s="10"/>
      <c r="F140" s="10"/>
    </row>
    <row r="141" spans="3:6" ht="13.8" x14ac:dyDescent="0.25">
      <c r="C141" s="10"/>
      <c r="D141" s="10"/>
      <c r="E141" s="10"/>
      <c r="F141" s="10"/>
    </row>
    <row r="142" spans="3:6" ht="13.8" x14ac:dyDescent="0.25">
      <c r="C142" s="10"/>
      <c r="D142" s="10"/>
      <c r="E142" s="10"/>
      <c r="F142" s="10"/>
    </row>
    <row r="143" spans="3:6" ht="13.8" x14ac:dyDescent="0.25">
      <c r="C143" s="10"/>
      <c r="D143" s="10"/>
      <c r="E143" s="10"/>
      <c r="F143" s="10"/>
    </row>
    <row r="144" spans="3:6" ht="13.8" x14ac:dyDescent="0.25">
      <c r="C144" s="10"/>
      <c r="D144" s="10"/>
      <c r="E144" s="10"/>
      <c r="F144" s="10"/>
    </row>
    <row r="145" spans="3:6" ht="13.8" x14ac:dyDescent="0.25">
      <c r="C145" s="10"/>
      <c r="D145" s="10"/>
      <c r="E145" s="10"/>
      <c r="F145" s="10"/>
    </row>
    <row r="146" spans="3:6" ht="13.8" x14ac:dyDescent="0.25">
      <c r="C146" s="10"/>
      <c r="D146" s="10"/>
      <c r="E146" s="10"/>
      <c r="F146" s="10"/>
    </row>
    <row r="147" spans="3:6" ht="13.8" x14ac:dyDescent="0.25">
      <c r="C147" s="10"/>
      <c r="D147" s="10"/>
      <c r="E147" s="10"/>
      <c r="F147" s="10"/>
    </row>
    <row r="148" spans="3:6" ht="13.8" x14ac:dyDescent="0.25">
      <c r="C148" s="10"/>
      <c r="D148" s="10"/>
      <c r="E148" s="10"/>
      <c r="F148" s="10"/>
    </row>
    <row r="149" spans="3:6" ht="13.8" x14ac:dyDescent="0.25">
      <c r="C149" s="10"/>
      <c r="D149" s="10"/>
      <c r="E149" s="10"/>
      <c r="F149" s="10"/>
    </row>
    <row r="150" spans="3:6" ht="13.8" x14ac:dyDescent="0.25">
      <c r="C150" s="10"/>
      <c r="D150" s="10"/>
      <c r="E150" s="10"/>
      <c r="F150" s="10"/>
    </row>
    <row r="151" spans="3:6" ht="13.8" x14ac:dyDescent="0.25">
      <c r="C151" s="10"/>
      <c r="D151" s="10"/>
      <c r="E151" s="10"/>
      <c r="F151" s="10"/>
    </row>
    <row r="152" spans="3:6" ht="13.8" x14ac:dyDescent="0.25">
      <c r="C152" s="10"/>
      <c r="D152" s="10"/>
      <c r="E152" s="10"/>
      <c r="F152" s="10"/>
    </row>
    <row r="153" spans="3:6" ht="13.8" x14ac:dyDescent="0.25">
      <c r="C153" s="10"/>
      <c r="D153" s="10"/>
      <c r="E153" s="10"/>
      <c r="F153" s="10"/>
    </row>
    <row r="154" spans="3:6" ht="13.8" x14ac:dyDescent="0.25">
      <c r="C154" s="10"/>
      <c r="D154" s="10"/>
      <c r="E154" s="10"/>
      <c r="F154" s="10"/>
    </row>
    <row r="155" spans="3:6" ht="13.8" x14ac:dyDescent="0.25">
      <c r="C155" s="10"/>
      <c r="D155" s="10"/>
      <c r="E155" s="10"/>
      <c r="F155" s="10"/>
    </row>
    <row r="156" spans="3:6" ht="13.8" x14ac:dyDescent="0.25">
      <c r="C156" s="10"/>
      <c r="D156" s="10"/>
      <c r="E156" s="10"/>
      <c r="F156" s="10"/>
    </row>
    <row r="157" spans="3:6" ht="13.8" x14ac:dyDescent="0.25">
      <c r="C157" s="10"/>
      <c r="D157" s="10"/>
      <c r="E157" s="10"/>
      <c r="F157" s="10"/>
    </row>
    <row r="158" spans="3:6" ht="13.8" x14ac:dyDescent="0.25">
      <c r="C158" s="10"/>
      <c r="D158" s="10"/>
      <c r="E158" s="10"/>
      <c r="F158" s="10"/>
    </row>
    <row r="159" spans="3:6" ht="13.8" x14ac:dyDescent="0.25">
      <c r="C159" s="10"/>
      <c r="D159" s="10"/>
      <c r="E159" s="10"/>
      <c r="F159" s="10"/>
    </row>
    <row r="160" spans="3:6" ht="13.8" x14ac:dyDescent="0.25">
      <c r="C160" s="10"/>
      <c r="D160" s="10"/>
      <c r="E160" s="10"/>
      <c r="F160" s="10"/>
    </row>
    <row r="161" spans="3:6" ht="13.8" x14ac:dyDescent="0.25">
      <c r="C161" s="10"/>
      <c r="D161" s="10"/>
      <c r="E161" s="10"/>
      <c r="F161" s="10"/>
    </row>
    <row r="162" spans="3:6" ht="13.8" x14ac:dyDescent="0.25">
      <c r="C162" s="10"/>
      <c r="D162" s="10"/>
      <c r="E162" s="10"/>
      <c r="F162" s="10"/>
    </row>
    <row r="163" spans="3:6" ht="13.8" x14ac:dyDescent="0.25">
      <c r="C163" s="10"/>
      <c r="D163" s="10"/>
      <c r="E163" s="10"/>
      <c r="F163" s="10"/>
    </row>
    <row r="164" spans="3:6" ht="13.8" x14ac:dyDescent="0.25">
      <c r="C164" s="10"/>
      <c r="D164" s="10"/>
      <c r="E164" s="10"/>
      <c r="F164" s="10"/>
    </row>
    <row r="165" spans="3:6" ht="13.8" x14ac:dyDescent="0.25">
      <c r="C165" s="10"/>
      <c r="D165" s="10"/>
      <c r="E165" s="10"/>
      <c r="F165" s="10"/>
    </row>
    <row r="166" spans="3:6" ht="13.8" x14ac:dyDescent="0.25">
      <c r="C166" s="10"/>
      <c r="D166" s="10"/>
      <c r="E166" s="10"/>
      <c r="F166" s="10"/>
    </row>
    <row r="167" spans="3:6" ht="13.8" x14ac:dyDescent="0.25">
      <c r="C167" s="10"/>
      <c r="D167" s="10"/>
      <c r="E167" s="10"/>
      <c r="F167" s="10"/>
    </row>
    <row r="168" spans="3:6" ht="13.8" x14ac:dyDescent="0.25">
      <c r="C168" s="10"/>
      <c r="D168" s="10"/>
      <c r="E168" s="10"/>
      <c r="F168" s="10"/>
    </row>
    <row r="169" spans="3:6" ht="13.8" x14ac:dyDescent="0.25">
      <c r="C169" s="10"/>
      <c r="D169" s="10"/>
      <c r="E169" s="10"/>
      <c r="F169" s="10"/>
    </row>
    <row r="170" spans="3:6" ht="13.8" x14ac:dyDescent="0.25">
      <c r="C170" s="10"/>
      <c r="D170" s="10"/>
      <c r="E170" s="10"/>
      <c r="F170" s="10"/>
    </row>
    <row r="171" spans="3:6" ht="13.8" x14ac:dyDescent="0.25">
      <c r="C171" s="10"/>
      <c r="D171" s="10"/>
      <c r="E171" s="10"/>
      <c r="F171" s="10"/>
    </row>
    <row r="172" spans="3:6" ht="13.8" x14ac:dyDescent="0.25">
      <c r="C172" s="10"/>
      <c r="D172" s="10"/>
      <c r="E172" s="10"/>
      <c r="F172" s="10"/>
    </row>
    <row r="173" spans="3:6" ht="13.8" x14ac:dyDescent="0.25">
      <c r="C173" s="10"/>
      <c r="D173" s="10"/>
      <c r="E173" s="10"/>
      <c r="F173" s="10"/>
    </row>
    <row r="174" spans="3:6" ht="13.8" x14ac:dyDescent="0.25">
      <c r="C174" s="10"/>
      <c r="D174" s="10"/>
      <c r="E174" s="10"/>
      <c r="F174" s="10"/>
    </row>
    <row r="175" spans="3:6" ht="13.8" x14ac:dyDescent="0.25">
      <c r="C175" s="10"/>
      <c r="D175" s="10"/>
      <c r="E175" s="10"/>
      <c r="F175" s="10"/>
    </row>
    <row r="176" spans="3:6" ht="13.8" x14ac:dyDescent="0.25">
      <c r="C176" s="10"/>
      <c r="D176" s="10"/>
      <c r="E176" s="10"/>
      <c r="F176" s="10"/>
    </row>
    <row r="177" spans="3:6" ht="13.8" x14ac:dyDescent="0.25">
      <c r="C177" s="10"/>
      <c r="D177" s="10"/>
      <c r="E177" s="10"/>
      <c r="F177" s="10"/>
    </row>
    <row r="178" spans="3:6" ht="13.8" x14ac:dyDescent="0.25">
      <c r="C178" s="10"/>
      <c r="D178" s="10"/>
      <c r="E178" s="10"/>
      <c r="F178" s="10"/>
    </row>
    <row r="179" spans="3:6" ht="13.8" x14ac:dyDescent="0.25">
      <c r="C179" s="10"/>
      <c r="D179" s="10"/>
      <c r="E179" s="10"/>
      <c r="F179" s="10"/>
    </row>
    <row r="180" spans="3:6" ht="13.8" x14ac:dyDescent="0.25">
      <c r="C180" s="10"/>
      <c r="D180" s="10"/>
      <c r="E180" s="10"/>
      <c r="F180" s="10"/>
    </row>
    <row r="181" spans="3:6" ht="13.8" x14ac:dyDescent="0.25">
      <c r="C181" s="10"/>
      <c r="D181" s="10"/>
      <c r="E181" s="10"/>
      <c r="F181" s="10"/>
    </row>
    <row r="182" spans="3:6" ht="13.8" x14ac:dyDescent="0.25">
      <c r="C182" s="10"/>
      <c r="D182" s="10"/>
      <c r="E182" s="10"/>
      <c r="F182" s="10"/>
    </row>
    <row r="183" spans="3:6" ht="13.8" x14ac:dyDescent="0.25">
      <c r="C183" s="10"/>
      <c r="D183" s="10"/>
      <c r="E183" s="10"/>
      <c r="F183" s="10"/>
    </row>
    <row r="184" spans="3:6" ht="13.8" x14ac:dyDescent="0.25">
      <c r="C184" s="10"/>
      <c r="D184" s="10"/>
      <c r="E184" s="10"/>
      <c r="F184" s="10"/>
    </row>
    <row r="185" spans="3:6" ht="13.8" x14ac:dyDescent="0.25">
      <c r="C185" s="10"/>
      <c r="D185" s="10"/>
      <c r="E185" s="10"/>
      <c r="F185" s="10"/>
    </row>
    <row r="186" spans="3:6" ht="13.8" x14ac:dyDescent="0.25">
      <c r="C186" s="10"/>
      <c r="D186" s="10"/>
      <c r="E186" s="10"/>
      <c r="F186" s="10"/>
    </row>
    <row r="187" spans="3:6" ht="13.8" x14ac:dyDescent="0.25">
      <c r="C187" s="10"/>
      <c r="D187" s="10"/>
      <c r="E187" s="10"/>
      <c r="F187" s="10"/>
    </row>
    <row r="188" spans="3:6" ht="13.8" x14ac:dyDescent="0.25">
      <c r="C188" s="10"/>
      <c r="D188" s="10"/>
      <c r="E188" s="10"/>
      <c r="F188" s="10"/>
    </row>
    <row r="189" spans="3:6" ht="13.8" x14ac:dyDescent="0.25">
      <c r="C189" s="10"/>
      <c r="D189" s="10"/>
      <c r="E189" s="10"/>
      <c r="F189" s="10"/>
    </row>
    <row r="190" spans="3:6" ht="13.8" x14ac:dyDescent="0.25">
      <c r="C190" s="10"/>
      <c r="D190" s="10"/>
      <c r="E190" s="10"/>
      <c r="F190" s="10"/>
    </row>
    <row r="191" spans="3:6" ht="13.8" x14ac:dyDescent="0.25">
      <c r="C191" s="10"/>
      <c r="D191" s="10"/>
      <c r="E191" s="10"/>
      <c r="F191" s="10"/>
    </row>
    <row r="192" spans="3:6" ht="13.8" x14ac:dyDescent="0.25">
      <c r="C192" s="10"/>
      <c r="D192" s="10"/>
      <c r="E192" s="10"/>
      <c r="F192" s="10"/>
    </row>
    <row r="193" spans="3:6" ht="13.8" x14ac:dyDescent="0.25">
      <c r="C193" s="10"/>
      <c r="D193" s="10"/>
      <c r="E193" s="10"/>
      <c r="F193" s="10"/>
    </row>
    <row r="194" spans="3:6" ht="13.8" x14ac:dyDescent="0.25">
      <c r="C194" s="10"/>
      <c r="D194" s="10"/>
      <c r="E194" s="10"/>
      <c r="F194" s="10"/>
    </row>
    <row r="195" spans="3:6" ht="13.8" x14ac:dyDescent="0.25">
      <c r="C195" s="10"/>
      <c r="D195" s="10"/>
      <c r="E195" s="10"/>
      <c r="F195" s="10"/>
    </row>
    <row r="196" spans="3:6" ht="13.8" x14ac:dyDescent="0.25">
      <c r="C196" s="10"/>
      <c r="D196" s="10"/>
      <c r="E196" s="10"/>
      <c r="F196" s="10"/>
    </row>
    <row r="197" spans="3:6" ht="13.8" x14ac:dyDescent="0.25">
      <c r="C197" s="10"/>
      <c r="D197" s="10"/>
      <c r="E197" s="10"/>
      <c r="F197" s="10"/>
    </row>
    <row r="198" spans="3:6" ht="13.8" x14ac:dyDescent="0.25">
      <c r="C198" s="10"/>
      <c r="D198" s="10"/>
      <c r="E198" s="10"/>
      <c r="F198" s="10"/>
    </row>
  </sheetData>
  <mergeCells count="6">
    <mergeCell ref="F1:F2"/>
    <mergeCell ref="E1:E2"/>
    <mergeCell ref="A2:B2"/>
    <mergeCell ref="A1:B1"/>
    <mergeCell ref="D1:D2"/>
    <mergeCell ref="C1:C2"/>
  </mergeCells>
  <phoneticPr fontId="0" type="noConversion"/>
  <printOptions horizontalCentered="1"/>
  <pageMargins left="1" right="0.75" top="1.25" bottom="0.75" header="0" footer="0"/>
  <pageSetup orientation="portrait" r:id="rId1"/>
  <headerFooter alignWithMargins="0">
    <oddHeader>&amp;L&amp;"Arial,Bold Italic"&amp;14 16&amp;C&amp;"Arial,Italic"&amp;11 &amp;R&amp;"Arial,Italic"Hospital Financial Dataset (2002)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G18" sqref="G18"/>
    </sheetView>
  </sheetViews>
  <sheetFormatPr defaultColWidth="9.109375" defaultRowHeight="13.2" x14ac:dyDescent="0.25"/>
  <cols>
    <col min="1" max="1" width="3.33203125" style="3" customWidth="1"/>
    <col min="2" max="2" width="38" style="3" customWidth="1"/>
    <col min="3" max="6" width="10.6640625" style="3" customWidth="1"/>
    <col min="7" max="16384" width="9.109375" style="3"/>
  </cols>
  <sheetData>
    <row r="1" spans="1:6" ht="30.75" customHeight="1" x14ac:dyDescent="0.25">
      <c r="A1" s="107" t="s">
        <v>36</v>
      </c>
      <c r="B1" s="108"/>
      <c r="C1" s="105">
        <v>1999</v>
      </c>
      <c r="D1" s="99">
        <v>2000</v>
      </c>
      <c r="E1" s="99">
        <v>2001</v>
      </c>
      <c r="F1" s="95">
        <v>2002</v>
      </c>
    </row>
    <row r="2" spans="1:6" ht="13.5" customHeight="1" thickBot="1" x14ac:dyDescent="0.3">
      <c r="A2" s="101" t="s">
        <v>21</v>
      </c>
      <c r="B2" s="102"/>
      <c r="C2" s="106"/>
      <c r="D2" s="100"/>
      <c r="E2" s="100"/>
      <c r="F2" s="96"/>
    </row>
    <row r="3" spans="1:6" ht="23.25" customHeight="1" x14ac:dyDescent="0.25">
      <c r="A3" s="13">
        <v>1</v>
      </c>
      <c r="B3" s="14" t="s">
        <v>0</v>
      </c>
      <c r="C3" s="31">
        <v>3039</v>
      </c>
      <c r="D3" s="32">
        <v>2577</v>
      </c>
      <c r="E3" s="32">
        <v>2642</v>
      </c>
      <c r="F3" s="33">
        <v>1938</v>
      </c>
    </row>
    <row r="4" spans="1:6" s="49" customFormat="1" ht="23.25" customHeight="1" x14ac:dyDescent="0.25">
      <c r="A4" s="6">
        <v>2</v>
      </c>
      <c r="B4" s="5" t="s">
        <v>1</v>
      </c>
      <c r="C4" s="34">
        <v>6357</v>
      </c>
      <c r="D4" s="35">
        <v>7068</v>
      </c>
      <c r="E4" s="35">
        <v>7348</v>
      </c>
      <c r="F4" s="36">
        <v>6819</v>
      </c>
    </row>
    <row r="5" spans="1:6" s="49" customFormat="1" ht="23.25" customHeight="1" x14ac:dyDescent="0.25">
      <c r="A5" s="15">
        <v>3</v>
      </c>
      <c r="B5" s="16" t="s">
        <v>2</v>
      </c>
      <c r="C5" s="37">
        <v>11507</v>
      </c>
      <c r="D5" s="38">
        <v>10955</v>
      </c>
      <c r="E5" s="38">
        <v>10868</v>
      </c>
      <c r="F5" s="39">
        <v>10546</v>
      </c>
    </row>
    <row r="6" spans="1:6" s="49" customFormat="1" ht="23.25" customHeight="1" x14ac:dyDescent="0.25">
      <c r="A6" s="6">
        <v>4</v>
      </c>
      <c r="B6" s="5" t="s">
        <v>3</v>
      </c>
      <c r="C6" s="34">
        <v>32044</v>
      </c>
      <c r="D6" s="35">
        <v>33811</v>
      </c>
      <c r="E6" s="35">
        <v>36116</v>
      </c>
      <c r="F6" s="36">
        <v>42367</v>
      </c>
    </row>
    <row r="7" spans="1:6" s="49" customFormat="1" ht="23.25" customHeight="1" x14ac:dyDescent="0.25">
      <c r="A7" s="15">
        <v>5</v>
      </c>
      <c r="B7" s="16" t="s">
        <v>4</v>
      </c>
      <c r="C7" s="37">
        <v>29950</v>
      </c>
      <c r="D7" s="38">
        <v>33724</v>
      </c>
      <c r="E7" s="38">
        <v>37523</v>
      </c>
      <c r="F7" s="39">
        <v>41400</v>
      </c>
    </row>
    <row r="8" spans="1:6" s="49" customFormat="1" ht="23.25" customHeight="1" x14ac:dyDescent="0.25">
      <c r="A8" s="6">
        <v>6</v>
      </c>
      <c r="B8" s="5" t="s">
        <v>5</v>
      </c>
      <c r="C8" s="34">
        <v>84887</v>
      </c>
      <c r="D8" s="35">
        <v>88165</v>
      </c>
      <c r="E8" s="35">
        <v>86556</v>
      </c>
      <c r="F8" s="36">
        <v>88126</v>
      </c>
    </row>
    <row r="9" spans="1:6" s="49" customFormat="1" ht="23.25" customHeight="1" x14ac:dyDescent="0.25">
      <c r="A9" s="15">
        <v>7</v>
      </c>
      <c r="B9" s="16" t="s">
        <v>24</v>
      </c>
      <c r="C9" s="37">
        <v>923</v>
      </c>
      <c r="D9" s="38">
        <v>894</v>
      </c>
      <c r="E9" s="38">
        <v>1774</v>
      </c>
      <c r="F9" s="39">
        <v>530</v>
      </c>
    </row>
    <row r="10" spans="1:6" s="49" customFormat="1" ht="23.25" customHeight="1" x14ac:dyDescent="0.25">
      <c r="A10" s="6">
        <v>8</v>
      </c>
      <c r="B10" s="5" t="s">
        <v>6</v>
      </c>
      <c r="C10" s="34">
        <v>8839</v>
      </c>
      <c r="D10" s="35">
        <v>8526</v>
      </c>
      <c r="E10" s="35">
        <v>9403</v>
      </c>
      <c r="F10" s="36">
        <v>9023</v>
      </c>
    </row>
    <row r="11" spans="1:6" s="49" customFormat="1" ht="23.25" customHeight="1" x14ac:dyDescent="0.25">
      <c r="A11" s="15">
        <v>9</v>
      </c>
      <c r="B11" s="16" t="s">
        <v>7</v>
      </c>
      <c r="C11" s="37">
        <v>16113</v>
      </c>
      <c r="D11" s="38">
        <v>15222</v>
      </c>
      <c r="E11" s="38">
        <v>13496</v>
      </c>
      <c r="F11" s="39">
        <v>19209</v>
      </c>
    </row>
    <row r="12" spans="1:6" s="49" customFormat="1" ht="23.25" customHeight="1" x14ac:dyDescent="0.25">
      <c r="A12" s="6">
        <v>10</v>
      </c>
      <c r="B12" s="5" t="s">
        <v>40</v>
      </c>
      <c r="C12" s="34">
        <v>59934</v>
      </c>
      <c r="D12" s="35">
        <v>64417</v>
      </c>
      <c r="E12" s="35">
        <v>59826</v>
      </c>
      <c r="F12" s="36">
        <v>52563</v>
      </c>
    </row>
    <row r="13" spans="1:6" s="49" customFormat="1" ht="23.25" customHeight="1" x14ac:dyDescent="0.25">
      <c r="A13" s="15">
        <v>11</v>
      </c>
      <c r="B13" s="16" t="s">
        <v>8</v>
      </c>
      <c r="C13" s="37">
        <v>47904</v>
      </c>
      <c r="D13" s="38">
        <v>50325</v>
      </c>
      <c r="E13" s="38">
        <v>56076</v>
      </c>
      <c r="F13" s="39">
        <v>57577</v>
      </c>
    </row>
    <row r="14" spans="1:6" s="49" customFormat="1" ht="23.25" customHeight="1" x14ac:dyDescent="0.25">
      <c r="A14" s="6">
        <v>12</v>
      </c>
      <c r="B14" s="5" t="s">
        <v>9</v>
      </c>
      <c r="C14" s="34">
        <f>C15-C13</f>
        <v>873</v>
      </c>
      <c r="D14" s="35">
        <f>D15-D13</f>
        <v>927</v>
      </c>
      <c r="E14" s="35">
        <f>E15-E13</f>
        <v>1058</v>
      </c>
      <c r="F14" s="36">
        <v>2245</v>
      </c>
    </row>
    <row r="15" spans="1:6" s="49" customFormat="1" ht="23.25" customHeight="1" x14ac:dyDescent="0.25">
      <c r="A15" s="15">
        <v>13</v>
      </c>
      <c r="B15" s="16" t="s">
        <v>10</v>
      </c>
      <c r="C15" s="37">
        <v>48777</v>
      </c>
      <c r="D15" s="38">
        <v>51252</v>
      </c>
      <c r="E15" s="38">
        <v>57134</v>
      </c>
      <c r="F15" s="39">
        <v>59822</v>
      </c>
    </row>
    <row r="16" spans="1:6" s="49" customFormat="1" ht="23.25" customHeight="1" x14ac:dyDescent="0.25">
      <c r="A16" s="6">
        <v>14</v>
      </c>
      <c r="B16" s="5" t="s">
        <v>11</v>
      </c>
      <c r="C16" s="34">
        <v>1094</v>
      </c>
      <c r="D16" s="35">
        <v>1046</v>
      </c>
      <c r="E16" s="35">
        <v>1000</v>
      </c>
      <c r="F16" s="36">
        <v>989</v>
      </c>
    </row>
    <row r="17" spans="1:6" s="49" customFormat="1" ht="23.25" customHeight="1" x14ac:dyDescent="0.25">
      <c r="A17" s="15">
        <v>15</v>
      </c>
      <c r="B17" s="16" t="s">
        <v>12</v>
      </c>
      <c r="C17" s="37">
        <v>3710</v>
      </c>
      <c r="D17" s="38">
        <v>3774</v>
      </c>
      <c r="E17" s="38">
        <v>3849</v>
      </c>
      <c r="F17" s="39">
        <v>3879</v>
      </c>
    </row>
    <row r="18" spans="1:6" s="49" customFormat="1" ht="23.25" customHeight="1" x14ac:dyDescent="0.25">
      <c r="A18" s="6">
        <v>16</v>
      </c>
      <c r="B18" s="5" t="s">
        <v>30</v>
      </c>
      <c r="C18" s="47">
        <v>21810</v>
      </c>
      <c r="D18" s="35">
        <v>22389</v>
      </c>
      <c r="E18" s="35">
        <v>25930</v>
      </c>
      <c r="F18" s="36">
        <v>27714</v>
      </c>
    </row>
    <row r="19" spans="1:6" s="49" customFormat="1" ht="23.25" customHeight="1" x14ac:dyDescent="0.25">
      <c r="A19" s="15">
        <v>17</v>
      </c>
      <c r="B19" s="16" t="s">
        <v>13</v>
      </c>
      <c r="C19" s="37">
        <v>1776</v>
      </c>
      <c r="D19" s="38">
        <v>2191</v>
      </c>
      <c r="E19" s="38">
        <v>1795</v>
      </c>
      <c r="F19" s="39">
        <v>1229</v>
      </c>
    </row>
    <row r="20" spans="1:6" s="49" customFormat="1" ht="23.25" customHeight="1" x14ac:dyDescent="0.25">
      <c r="A20" s="6">
        <v>18</v>
      </c>
      <c r="B20" s="5" t="s">
        <v>84</v>
      </c>
      <c r="C20" s="34">
        <v>49453</v>
      </c>
      <c r="D20" s="35">
        <v>51742</v>
      </c>
      <c r="E20" s="35">
        <v>58065</v>
      </c>
      <c r="F20" s="36">
        <v>61716</v>
      </c>
    </row>
    <row r="21" spans="1:6" s="49" customFormat="1" ht="23.25" customHeight="1" x14ac:dyDescent="0.25">
      <c r="A21" s="15">
        <v>19</v>
      </c>
      <c r="B21" s="16" t="s">
        <v>14</v>
      </c>
      <c r="C21" s="37">
        <v>-675</v>
      </c>
      <c r="D21" s="38">
        <v>-490</v>
      </c>
      <c r="E21" s="38">
        <v>-932</v>
      </c>
      <c r="F21" s="39">
        <v>-1894</v>
      </c>
    </row>
    <row r="22" spans="1:6" s="49" customFormat="1" ht="23.25" customHeight="1" x14ac:dyDescent="0.25">
      <c r="A22" s="6">
        <v>20</v>
      </c>
      <c r="B22" s="5" t="s">
        <v>15</v>
      </c>
      <c r="C22" s="34">
        <v>2546</v>
      </c>
      <c r="D22" s="35">
        <f>D23-D21</f>
        <v>2274</v>
      </c>
      <c r="E22" s="35">
        <v>1566</v>
      </c>
      <c r="F22" s="36">
        <v>-127</v>
      </c>
    </row>
    <row r="23" spans="1:6" s="49" customFormat="1" ht="23.25" customHeight="1" x14ac:dyDescent="0.25">
      <c r="A23" s="15">
        <v>21</v>
      </c>
      <c r="B23" s="16" t="s">
        <v>16</v>
      </c>
      <c r="C23" s="37">
        <v>1871</v>
      </c>
      <c r="D23" s="38">
        <v>1784</v>
      </c>
      <c r="E23" s="38">
        <v>634</v>
      </c>
      <c r="F23" s="39">
        <v>-2021</v>
      </c>
    </row>
    <row r="24" spans="1:6" s="49" customFormat="1" ht="23.25" customHeight="1" x14ac:dyDescent="0.25">
      <c r="A24" s="6">
        <v>22</v>
      </c>
      <c r="B24" s="5" t="s">
        <v>17</v>
      </c>
      <c r="C24" s="35">
        <v>3215</v>
      </c>
      <c r="D24" s="35">
        <v>5519</v>
      </c>
      <c r="E24" s="35">
        <v>4179</v>
      </c>
      <c r="F24" s="36">
        <v>8631</v>
      </c>
    </row>
    <row r="25" spans="1:6" s="49" customFormat="1" ht="23.25" customHeight="1" x14ac:dyDescent="0.25">
      <c r="A25" s="15">
        <v>23</v>
      </c>
      <c r="B25" s="16" t="s">
        <v>81</v>
      </c>
      <c r="C25" s="46">
        <v>40554</v>
      </c>
      <c r="D25" s="38">
        <v>41059</v>
      </c>
      <c r="E25" s="38">
        <f>38590-2989</f>
        <v>35601</v>
      </c>
      <c r="F25" s="39">
        <v>31497</v>
      </c>
    </row>
    <row r="26" spans="1:6" s="49" customFormat="1" ht="23.25" customHeight="1" x14ac:dyDescent="0.25">
      <c r="A26" s="6">
        <v>24</v>
      </c>
      <c r="B26" s="5" t="s">
        <v>19</v>
      </c>
      <c r="C26" s="34">
        <v>1632</v>
      </c>
      <c r="D26" s="35">
        <f>1632+984</f>
        <v>2616</v>
      </c>
      <c r="E26" s="35">
        <v>1849</v>
      </c>
      <c r="F26" s="36">
        <v>1953</v>
      </c>
    </row>
    <row r="27" spans="1:6" s="49" customFormat="1" ht="23.25" customHeight="1" thickBot="1" x14ac:dyDescent="0.3">
      <c r="A27" s="17">
        <v>25</v>
      </c>
      <c r="B27" s="18" t="s">
        <v>20</v>
      </c>
      <c r="C27" s="42">
        <v>1261</v>
      </c>
      <c r="D27" s="43">
        <f>1261+409</f>
        <v>1670</v>
      </c>
      <c r="E27" s="43">
        <v>1845</v>
      </c>
      <c r="F27" s="44">
        <v>1960</v>
      </c>
    </row>
    <row r="29" spans="1:6" ht="12.75" customHeight="1" x14ac:dyDescent="0.25">
      <c r="A29" s="53" t="s">
        <v>85</v>
      </c>
    </row>
  </sheetData>
  <mergeCells count="6">
    <mergeCell ref="F1:F2"/>
    <mergeCell ref="A1:B1"/>
    <mergeCell ref="A2:B2"/>
    <mergeCell ref="E1:E2"/>
    <mergeCell ref="D1:D2"/>
    <mergeCell ref="C1:C2"/>
  </mergeCells>
  <phoneticPr fontId="0" type="noConversion"/>
  <printOptions horizontalCentered="1"/>
  <pageMargins left="0.75" right="1" top="1.25" bottom="0.75" header="0" footer="0"/>
  <pageSetup orientation="portrait" r:id="rId1"/>
  <headerFooter alignWithMargins="0">
    <oddHeader>&amp;L&amp;"Arial,Italic"Hospital Financial Dataset (2002)&amp;R&amp;"Arial,Bold Italic"&amp;14 17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G16" sqref="G16"/>
    </sheetView>
  </sheetViews>
  <sheetFormatPr defaultRowHeight="13.2" x14ac:dyDescent="0.25"/>
  <cols>
    <col min="1" max="2" width="4.109375" customWidth="1"/>
    <col min="3" max="3" width="75.6640625" customWidth="1"/>
    <col min="4" max="5" width="4.5546875" customWidth="1"/>
    <col min="6" max="6" width="3.6640625" customWidth="1"/>
  </cols>
  <sheetData>
    <row r="1" spans="1:9" ht="39" customHeight="1" x14ac:dyDescent="0.45">
      <c r="C1" s="24" t="s">
        <v>43</v>
      </c>
      <c r="D1" s="24"/>
      <c r="E1" s="24"/>
      <c r="F1" s="24"/>
      <c r="G1" s="24"/>
      <c r="H1" s="24"/>
      <c r="I1" s="24"/>
    </row>
    <row r="2" spans="1:9" ht="7.5" customHeight="1" x14ac:dyDescent="0.25">
      <c r="A2" s="20"/>
      <c r="B2" s="20"/>
      <c r="C2" s="20"/>
      <c r="D2" s="20"/>
      <c r="E2" s="20"/>
      <c r="F2" s="25"/>
    </row>
    <row r="3" spans="1:9" ht="62.25" customHeight="1" x14ac:dyDescent="0.25"/>
    <row r="4" spans="1:9" ht="18" x14ac:dyDescent="0.35">
      <c r="A4" s="21" t="s">
        <v>44</v>
      </c>
      <c r="B4" s="21" t="s">
        <v>46</v>
      </c>
      <c r="C4" s="21"/>
      <c r="D4" s="21"/>
      <c r="E4" s="22">
        <v>1</v>
      </c>
    </row>
    <row r="5" spans="1:9" ht="4.5" customHeight="1" x14ac:dyDescent="0.25"/>
    <row r="6" spans="1:9" ht="18" x14ac:dyDescent="0.35">
      <c r="A6" s="21"/>
      <c r="B6" s="21" t="s">
        <v>47</v>
      </c>
      <c r="C6" s="21" t="s">
        <v>72</v>
      </c>
      <c r="D6" s="22">
        <v>2</v>
      </c>
      <c r="E6" s="22"/>
    </row>
    <row r="7" spans="1:9" ht="18" x14ac:dyDescent="0.35">
      <c r="B7" s="21" t="s">
        <v>48</v>
      </c>
      <c r="C7" s="21" t="s">
        <v>51</v>
      </c>
      <c r="D7" s="22">
        <v>3</v>
      </c>
      <c r="E7" s="23"/>
    </row>
    <row r="8" spans="1:9" ht="18" x14ac:dyDescent="0.35">
      <c r="B8" s="21" t="s">
        <v>49</v>
      </c>
      <c r="C8" s="21" t="s">
        <v>73</v>
      </c>
      <c r="D8" s="22">
        <v>4</v>
      </c>
      <c r="E8" s="23"/>
    </row>
    <row r="9" spans="1:9" ht="15" customHeight="1" x14ac:dyDescent="0.25"/>
    <row r="10" spans="1:9" ht="18" x14ac:dyDescent="0.35">
      <c r="A10" s="21" t="s">
        <v>45</v>
      </c>
      <c r="B10" s="21" t="s">
        <v>55</v>
      </c>
      <c r="C10" s="21"/>
      <c r="D10" s="21"/>
      <c r="E10" s="22">
        <v>5</v>
      </c>
    </row>
    <row r="11" spans="1:9" ht="4.5" customHeight="1" x14ac:dyDescent="0.35">
      <c r="B11" s="21"/>
      <c r="C11" s="21"/>
      <c r="D11" s="22"/>
    </row>
    <row r="12" spans="1:9" ht="18" x14ac:dyDescent="0.35">
      <c r="B12" s="21" t="s">
        <v>47</v>
      </c>
      <c r="C12" s="21" t="s">
        <v>74</v>
      </c>
      <c r="D12" s="22">
        <v>6</v>
      </c>
    </row>
    <row r="13" spans="1:9" ht="18" x14ac:dyDescent="0.35">
      <c r="B13" s="21" t="s">
        <v>48</v>
      </c>
      <c r="C13" s="21" t="s">
        <v>56</v>
      </c>
      <c r="D13" s="22">
        <v>7</v>
      </c>
    </row>
    <row r="14" spans="1:9" ht="18" x14ac:dyDescent="0.35">
      <c r="B14" s="21" t="s">
        <v>49</v>
      </c>
      <c r="C14" s="21" t="s">
        <v>75</v>
      </c>
      <c r="D14" s="22">
        <v>8</v>
      </c>
    </row>
    <row r="15" spans="1:9" ht="18" x14ac:dyDescent="0.35">
      <c r="B15" s="21" t="s">
        <v>50</v>
      </c>
      <c r="C15" s="21" t="s">
        <v>57</v>
      </c>
      <c r="D15" s="22">
        <v>9</v>
      </c>
    </row>
    <row r="16" spans="1:9" ht="18" x14ac:dyDescent="0.35">
      <c r="B16" s="21" t="s">
        <v>52</v>
      </c>
      <c r="C16" s="21" t="s">
        <v>76</v>
      </c>
      <c r="D16" s="22">
        <v>10</v>
      </c>
    </row>
    <row r="17" spans="2:4" ht="18" x14ac:dyDescent="0.35">
      <c r="B17" s="21" t="s">
        <v>53</v>
      </c>
      <c r="C17" s="21" t="s">
        <v>58</v>
      </c>
      <c r="D17" s="22">
        <v>11</v>
      </c>
    </row>
    <row r="18" spans="2:4" ht="18" x14ac:dyDescent="0.35">
      <c r="B18" s="21" t="s">
        <v>54</v>
      </c>
      <c r="C18" s="21" t="s">
        <v>59</v>
      </c>
      <c r="D18" s="22">
        <v>12</v>
      </c>
    </row>
    <row r="19" spans="2:4" ht="18" x14ac:dyDescent="0.35">
      <c r="B19" s="21" t="s">
        <v>44</v>
      </c>
      <c r="C19" s="21" t="s">
        <v>60</v>
      </c>
      <c r="D19" s="22">
        <v>13</v>
      </c>
    </row>
    <row r="20" spans="2:4" ht="18" x14ac:dyDescent="0.35">
      <c r="B20" s="21" t="s">
        <v>61</v>
      </c>
      <c r="C20" s="21" t="s">
        <v>62</v>
      </c>
      <c r="D20" s="22">
        <v>14</v>
      </c>
    </row>
    <row r="21" spans="2:4" ht="18" x14ac:dyDescent="0.35">
      <c r="B21" s="21" t="s">
        <v>63</v>
      </c>
      <c r="C21" s="21" t="s">
        <v>77</v>
      </c>
      <c r="D21" s="22">
        <v>15</v>
      </c>
    </row>
    <row r="22" spans="2:4" ht="18" x14ac:dyDescent="0.35">
      <c r="B22" s="21" t="s">
        <v>64</v>
      </c>
      <c r="C22" s="21" t="s">
        <v>65</v>
      </c>
      <c r="D22" s="22">
        <v>16</v>
      </c>
    </row>
    <row r="23" spans="2:4" ht="18" x14ac:dyDescent="0.35">
      <c r="B23" s="21" t="s">
        <v>66</v>
      </c>
      <c r="C23" s="21" t="s">
        <v>67</v>
      </c>
      <c r="D23" s="22">
        <v>17</v>
      </c>
    </row>
    <row r="24" spans="2:4" ht="18" x14ac:dyDescent="0.35">
      <c r="B24" s="21" t="s">
        <v>68</v>
      </c>
      <c r="C24" s="21" t="s">
        <v>69</v>
      </c>
      <c r="D24" s="22">
        <v>18</v>
      </c>
    </row>
    <row r="25" spans="2:4" ht="10.5" customHeight="1" x14ac:dyDescent="0.25"/>
  </sheetData>
  <phoneticPr fontId="0" type="noConversion"/>
  <printOptions horizontalCentered="1" verticalCentered="1"/>
  <pageMargins left="0.75" right="0.5" top="0.25" bottom="0.25" header="0" footer="0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G14" sqref="G14"/>
    </sheetView>
  </sheetViews>
  <sheetFormatPr defaultColWidth="9.109375" defaultRowHeight="13.2" x14ac:dyDescent="0.25"/>
  <cols>
    <col min="1" max="1" width="3.33203125" style="3" customWidth="1"/>
    <col min="2" max="2" width="38" style="3" customWidth="1"/>
    <col min="3" max="6" width="10.6640625" style="3" customWidth="1"/>
    <col min="7" max="16384" width="9.109375" style="3"/>
  </cols>
  <sheetData>
    <row r="1" spans="1:6" ht="30.75" customHeight="1" x14ac:dyDescent="0.25">
      <c r="A1" s="107" t="s">
        <v>35</v>
      </c>
      <c r="B1" s="113"/>
      <c r="C1" s="105">
        <v>1999</v>
      </c>
      <c r="D1" s="99">
        <v>2000</v>
      </c>
      <c r="E1" s="99">
        <v>2001</v>
      </c>
      <c r="F1" s="95">
        <v>2002</v>
      </c>
    </row>
    <row r="2" spans="1:6" ht="13.5" customHeight="1" thickBot="1" x14ac:dyDescent="0.3">
      <c r="A2" s="101" t="s">
        <v>21</v>
      </c>
      <c r="B2" s="102"/>
      <c r="C2" s="106"/>
      <c r="D2" s="100"/>
      <c r="E2" s="100"/>
      <c r="F2" s="96"/>
    </row>
    <row r="3" spans="1:6" ht="23.25" customHeight="1" x14ac:dyDescent="0.25">
      <c r="A3" s="13">
        <v>1</v>
      </c>
      <c r="B3" s="14" t="s">
        <v>0</v>
      </c>
      <c r="C3" s="31">
        <v>6717</v>
      </c>
      <c r="D3" s="32">
        <v>16527</v>
      </c>
      <c r="E3" s="32">
        <v>15546</v>
      </c>
      <c r="F3" s="33">
        <v>25230</v>
      </c>
    </row>
    <row r="4" spans="1:6" s="49" customFormat="1" ht="23.25" customHeight="1" x14ac:dyDescent="0.25">
      <c r="A4" s="6">
        <v>2</v>
      </c>
      <c r="B4" s="5" t="s">
        <v>1</v>
      </c>
      <c r="C4" s="34">
        <v>27219</v>
      </c>
      <c r="D4" s="35">
        <v>28506</v>
      </c>
      <c r="E4" s="35">
        <v>30289</v>
      </c>
      <c r="F4" s="36">
        <v>25475</v>
      </c>
    </row>
    <row r="5" spans="1:6" s="49" customFormat="1" ht="23.25" customHeight="1" x14ac:dyDescent="0.25">
      <c r="A5" s="15">
        <v>3</v>
      </c>
      <c r="B5" s="16" t="s">
        <v>2</v>
      </c>
      <c r="C5" s="37">
        <v>41055</v>
      </c>
      <c r="D5" s="38">
        <v>53259</v>
      </c>
      <c r="E5" s="38">
        <v>54128</v>
      </c>
      <c r="F5" s="39">
        <v>57559</v>
      </c>
    </row>
    <row r="6" spans="1:6" s="49" customFormat="1" ht="23.25" customHeight="1" x14ac:dyDescent="0.25">
      <c r="A6" s="6">
        <v>4</v>
      </c>
      <c r="B6" s="5" t="s">
        <v>3</v>
      </c>
      <c r="C6" s="34">
        <v>42990</v>
      </c>
      <c r="D6" s="35">
        <v>41735</v>
      </c>
      <c r="E6" s="35">
        <v>45164</v>
      </c>
      <c r="F6" s="36">
        <v>51978</v>
      </c>
    </row>
    <row r="7" spans="1:6" s="49" customFormat="1" ht="23.25" customHeight="1" x14ac:dyDescent="0.25">
      <c r="A7" s="15">
        <v>5</v>
      </c>
      <c r="B7" s="16" t="s">
        <v>4</v>
      </c>
      <c r="C7" s="37">
        <v>62223</v>
      </c>
      <c r="D7" s="38">
        <v>68994</v>
      </c>
      <c r="E7" s="38">
        <v>75895</v>
      </c>
      <c r="F7" s="39">
        <v>82987</v>
      </c>
    </row>
    <row r="8" spans="1:6" s="49" customFormat="1" ht="23.25" customHeight="1" x14ac:dyDescent="0.25">
      <c r="A8" s="6">
        <v>6</v>
      </c>
      <c r="B8" s="5" t="s">
        <v>5</v>
      </c>
      <c r="C8" s="34">
        <v>144192</v>
      </c>
      <c r="D8" s="35">
        <v>156647</v>
      </c>
      <c r="E8" s="35">
        <v>156155</v>
      </c>
      <c r="F8" s="36">
        <v>178064</v>
      </c>
    </row>
    <row r="9" spans="1:6" s="49" customFormat="1" ht="23.25" customHeight="1" x14ac:dyDescent="0.25">
      <c r="A9" s="15">
        <v>7</v>
      </c>
      <c r="B9" s="16" t="s">
        <v>24</v>
      </c>
      <c r="C9" s="37">
        <v>3690</v>
      </c>
      <c r="D9" s="38">
        <v>4130</v>
      </c>
      <c r="E9" s="38">
        <v>4390</v>
      </c>
      <c r="F9" s="39">
        <v>1364</v>
      </c>
    </row>
    <row r="10" spans="1:6" s="49" customFormat="1" ht="23.25" customHeight="1" x14ac:dyDescent="0.25">
      <c r="A10" s="6">
        <v>8</v>
      </c>
      <c r="B10" s="5" t="s">
        <v>6</v>
      </c>
      <c r="C10" s="34">
        <v>34808</v>
      </c>
      <c r="D10" s="35">
        <v>41430</v>
      </c>
      <c r="E10" s="35">
        <v>45030</v>
      </c>
      <c r="F10" s="36">
        <v>41653</v>
      </c>
    </row>
    <row r="11" spans="1:6" s="49" customFormat="1" ht="23.25" customHeight="1" x14ac:dyDescent="0.25">
      <c r="A11" s="15">
        <v>9</v>
      </c>
      <c r="B11" s="16" t="s">
        <v>7</v>
      </c>
      <c r="C11" s="37">
        <f>13060+74</f>
        <v>13134</v>
      </c>
      <c r="D11" s="38">
        <v>8930</v>
      </c>
      <c r="E11" s="38">
        <v>4540</v>
      </c>
      <c r="F11" s="39">
        <v>11500</v>
      </c>
    </row>
    <row r="12" spans="1:6" s="49" customFormat="1" ht="23.25" customHeight="1" x14ac:dyDescent="0.25">
      <c r="A12" s="6">
        <v>10</v>
      </c>
      <c r="B12" s="5" t="s">
        <v>40</v>
      </c>
      <c r="C12" s="34">
        <v>58188</v>
      </c>
      <c r="D12" s="35">
        <v>66874</v>
      </c>
      <c r="E12" s="35">
        <v>67726</v>
      </c>
      <c r="F12" s="36">
        <v>68659</v>
      </c>
    </row>
    <row r="13" spans="1:6" s="49" customFormat="1" ht="23.25" customHeight="1" x14ac:dyDescent="0.25">
      <c r="A13" s="15">
        <v>11</v>
      </c>
      <c r="B13" s="16" t="s">
        <v>8</v>
      </c>
      <c r="C13" s="37">
        <v>136698</v>
      </c>
      <c r="D13" s="38">
        <v>152454</v>
      </c>
      <c r="E13" s="38">
        <v>166375</v>
      </c>
      <c r="F13" s="39">
        <v>187652</v>
      </c>
    </row>
    <row r="14" spans="1:6" s="49" customFormat="1" ht="23.25" customHeight="1" x14ac:dyDescent="0.25">
      <c r="A14" s="6">
        <v>12</v>
      </c>
      <c r="B14" s="5" t="s">
        <v>9</v>
      </c>
      <c r="C14" s="34">
        <f>C15-C13</f>
        <v>15477</v>
      </c>
      <c r="D14" s="35">
        <f>D15-D13</f>
        <v>14809</v>
      </c>
      <c r="E14" s="35">
        <f>E15-E13</f>
        <v>16065</v>
      </c>
      <c r="F14" s="36">
        <v>15398</v>
      </c>
    </row>
    <row r="15" spans="1:6" s="49" customFormat="1" ht="23.25" customHeight="1" x14ac:dyDescent="0.25">
      <c r="A15" s="15">
        <v>13</v>
      </c>
      <c r="B15" s="16" t="s">
        <v>10</v>
      </c>
      <c r="C15" s="37">
        <v>152175</v>
      </c>
      <c r="D15" s="38">
        <v>167263</v>
      </c>
      <c r="E15" s="38">
        <v>182440</v>
      </c>
      <c r="F15" s="39">
        <v>203050</v>
      </c>
    </row>
    <row r="16" spans="1:6" s="49" customFormat="1" ht="23.25" customHeight="1" x14ac:dyDescent="0.25">
      <c r="A16" s="6">
        <v>14</v>
      </c>
      <c r="B16" s="5" t="s">
        <v>11</v>
      </c>
      <c r="C16" s="34">
        <v>1301</v>
      </c>
      <c r="D16" s="35">
        <v>1178</v>
      </c>
      <c r="E16" s="35">
        <v>1036</v>
      </c>
      <c r="F16" s="36">
        <v>805</v>
      </c>
    </row>
    <row r="17" spans="1:6" s="49" customFormat="1" ht="23.25" customHeight="1" x14ac:dyDescent="0.25">
      <c r="A17" s="15">
        <v>15</v>
      </c>
      <c r="B17" s="16" t="s">
        <v>12</v>
      </c>
      <c r="C17" s="37">
        <v>6615</v>
      </c>
      <c r="D17" s="38">
        <v>6959</v>
      </c>
      <c r="E17" s="38">
        <v>7090</v>
      </c>
      <c r="F17" s="39">
        <v>7266</v>
      </c>
    </row>
    <row r="18" spans="1:6" s="49" customFormat="1" ht="23.25" customHeight="1" x14ac:dyDescent="0.25">
      <c r="A18" s="6">
        <v>16</v>
      </c>
      <c r="B18" s="5" t="s">
        <v>30</v>
      </c>
      <c r="C18" s="40">
        <f>87809.7+18363.9</f>
        <v>106173.6</v>
      </c>
      <c r="D18" s="35">
        <f>91240.8+18821.2</f>
        <v>110062</v>
      </c>
      <c r="E18" s="35">
        <f>98711.6+22014.3</f>
        <v>120725.90000000001</v>
      </c>
      <c r="F18" s="36">
        <f>106891.5+26099.5</f>
        <v>132991</v>
      </c>
    </row>
    <row r="19" spans="1:6" s="49" customFormat="1" ht="23.25" customHeight="1" x14ac:dyDescent="0.25">
      <c r="A19" s="15">
        <v>17</v>
      </c>
      <c r="B19" s="16" t="s">
        <v>13</v>
      </c>
      <c r="C19" s="37">
        <v>3970</v>
      </c>
      <c r="D19" s="38">
        <v>2723</v>
      </c>
      <c r="E19" s="38">
        <v>3003</v>
      </c>
      <c r="F19" s="39">
        <v>2262</v>
      </c>
    </row>
    <row r="20" spans="1:6" s="49" customFormat="1" ht="23.25" customHeight="1" x14ac:dyDescent="0.25">
      <c r="A20" s="6">
        <v>18</v>
      </c>
      <c r="B20" s="5" t="s">
        <v>84</v>
      </c>
      <c r="C20" s="34">
        <v>159445</v>
      </c>
      <c r="D20" s="35">
        <v>163445</v>
      </c>
      <c r="E20" s="35">
        <v>179425</v>
      </c>
      <c r="F20" s="36">
        <v>199265</v>
      </c>
    </row>
    <row r="21" spans="1:6" s="49" customFormat="1" ht="23.25" customHeight="1" x14ac:dyDescent="0.25">
      <c r="A21" s="15">
        <v>19</v>
      </c>
      <c r="B21" s="16" t="s">
        <v>14</v>
      </c>
      <c r="C21" s="37">
        <v>-7270</v>
      </c>
      <c r="D21" s="38">
        <v>3818</v>
      </c>
      <c r="E21" s="38">
        <v>3015</v>
      </c>
      <c r="F21" s="39">
        <v>3785</v>
      </c>
    </row>
    <row r="22" spans="1:6" s="49" customFormat="1" ht="23.25" customHeight="1" x14ac:dyDescent="0.25">
      <c r="A22" s="6">
        <v>20</v>
      </c>
      <c r="B22" s="5" t="s">
        <v>15</v>
      </c>
      <c r="C22" s="34">
        <f>C23-C21</f>
        <v>1683</v>
      </c>
      <c r="D22" s="35">
        <v>862</v>
      </c>
      <c r="E22" s="35">
        <v>185</v>
      </c>
      <c r="F22" s="36">
        <v>-21</v>
      </c>
    </row>
    <row r="23" spans="1:6" s="49" customFormat="1" ht="23.25" customHeight="1" x14ac:dyDescent="0.25">
      <c r="A23" s="15">
        <v>21</v>
      </c>
      <c r="B23" s="16" t="s">
        <v>16</v>
      </c>
      <c r="C23" s="37">
        <v>-5587</v>
      </c>
      <c r="D23" s="38">
        <v>4680</v>
      </c>
      <c r="E23" s="38">
        <v>3199</v>
      </c>
      <c r="F23" s="39">
        <v>3764</v>
      </c>
    </row>
    <row r="24" spans="1:6" s="49" customFormat="1" ht="23.25" customHeight="1" x14ac:dyDescent="0.25">
      <c r="A24" s="6">
        <v>22</v>
      </c>
      <c r="B24" s="5" t="s">
        <v>17</v>
      </c>
      <c r="C24" s="34">
        <v>4477</v>
      </c>
      <c r="D24" s="35">
        <v>5516</v>
      </c>
      <c r="E24" s="35">
        <v>10330</v>
      </c>
      <c r="F24" s="36">
        <v>13907</v>
      </c>
    </row>
    <row r="25" spans="1:6" s="49" customFormat="1" ht="23.25" customHeight="1" x14ac:dyDescent="0.25">
      <c r="A25" s="15">
        <v>23</v>
      </c>
      <c r="B25" s="16" t="s">
        <v>81</v>
      </c>
      <c r="C25" s="46">
        <v>59536</v>
      </c>
      <c r="D25" s="38">
        <f>54153+4989</f>
        <v>59142</v>
      </c>
      <c r="E25" s="38">
        <f>50504+4235</f>
        <v>54739</v>
      </c>
      <c r="F25" s="39">
        <v>69104</v>
      </c>
    </row>
    <row r="26" spans="1:6" s="49" customFormat="1" ht="23.25" customHeight="1" x14ac:dyDescent="0.25">
      <c r="A26" s="6">
        <v>24</v>
      </c>
      <c r="B26" s="5" t="s">
        <v>19</v>
      </c>
      <c r="C26" s="34">
        <f>5771+602</f>
        <v>6373</v>
      </c>
      <c r="D26" s="35">
        <f>8127+538</f>
        <v>8665</v>
      </c>
      <c r="E26" s="35">
        <f>9783+661</f>
        <v>10444</v>
      </c>
      <c r="F26" s="36">
        <v>10299</v>
      </c>
    </row>
    <row r="27" spans="1:6" s="49" customFormat="1" ht="23.25" customHeight="1" thickBot="1" x14ac:dyDescent="0.3">
      <c r="A27" s="17">
        <v>25</v>
      </c>
      <c r="B27" s="18" t="s">
        <v>20</v>
      </c>
      <c r="C27" s="42">
        <v>2953</v>
      </c>
      <c r="D27" s="43">
        <v>3913</v>
      </c>
      <c r="E27" s="43">
        <v>5309</v>
      </c>
      <c r="F27" s="44">
        <v>5641</v>
      </c>
    </row>
    <row r="28" spans="1:6" ht="12.75" customHeight="1" x14ac:dyDescent="0.25">
      <c r="A28" s="63"/>
      <c r="B28" s="10"/>
      <c r="C28" s="11"/>
      <c r="D28" s="11"/>
      <c r="E28" s="11"/>
    </row>
    <row r="29" spans="1:6" ht="12.75" customHeight="1" x14ac:dyDescent="0.25">
      <c r="A29" s="53" t="s">
        <v>85</v>
      </c>
    </row>
  </sheetData>
  <mergeCells count="6">
    <mergeCell ref="F1:F2"/>
    <mergeCell ref="A1:B1"/>
    <mergeCell ref="A2:B2"/>
    <mergeCell ref="E1:E2"/>
    <mergeCell ref="D1:D2"/>
    <mergeCell ref="C1:C2"/>
  </mergeCells>
  <phoneticPr fontId="0" type="noConversion"/>
  <printOptions horizontalCentered="1"/>
  <pageMargins left="0.75" right="0.75" top="1.25" bottom="0.75" header="0" footer="0"/>
  <pageSetup orientation="portrait" r:id="rId1"/>
  <headerFooter alignWithMargins="0">
    <oddHeader>&amp;L&amp;"Arial,Bold Italic"&amp;14 18&amp;C&amp;"Arial,Italic"&amp;11 &amp;R&amp;"Arial,Italic"Hospital Financial Dataset (2002)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A7" workbookViewId="0">
      <selection activeCell="F26" sqref="F26"/>
    </sheetView>
  </sheetViews>
  <sheetFormatPr defaultRowHeight="13.2" x14ac:dyDescent="0.25"/>
  <cols>
    <col min="1" max="1" width="7.44140625" customWidth="1"/>
    <col min="9" max="9" width="14" customWidth="1"/>
    <col min="10" max="10" width="8" customWidth="1"/>
  </cols>
  <sheetData>
    <row r="1" spans="1:10" ht="8.2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</row>
    <row r="2" spans="1:10" ht="65.25" customHeight="1" x14ac:dyDescent="0.25">
      <c r="A2" s="94" t="s">
        <v>42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7.5" customHeight="1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</row>
  </sheetData>
  <mergeCells count="3">
    <mergeCell ref="A1:J1"/>
    <mergeCell ref="A2:J2"/>
    <mergeCell ref="A3:J3"/>
  </mergeCells>
  <phoneticPr fontId="0" type="noConversion"/>
  <printOptions horizontalCentered="1" verticalCentered="1"/>
  <pageMargins left="0.75" right="0.5" top="0.25" bottom="0.75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6" workbookViewId="0">
      <selection activeCell="D34" sqref="D34:D35"/>
    </sheetView>
  </sheetViews>
  <sheetFormatPr defaultColWidth="12.109375" defaultRowHeight="13.8" x14ac:dyDescent="0.25"/>
  <cols>
    <col min="1" max="1" width="3.33203125" style="63" customWidth="1"/>
    <col min="2" max="2" width="38" style="10" customWidth="1"/>
    <col min="3" max="6" width="10.6640625" style="3" customWidth="1"/>
    <col min="7" max="8" width="9.88671875" style="3" customWidth="1"/>
    <col min="9" max="9" width="3" style="3" customWidth="1"/>
    <col min="10" max="11" width="9.88671875" style="3" customWidth="1"/>
    <col min="12" max="12" width="1.88671875" style="3" customWidth="1"/>
    <col min="13" max="13" width="12.109375" style="3"/>
    <col min="14" max="14" width="11" style="3" customWidth="1"/>
    <col min="15" max="16" width="12.109375" style="3"/>
    <col min="17" max="17" width="24.6640625" style="3" customWidth="1"/>
    <col min="18" max="19" width="12.109375" style="3"/>
    <col min="20" max="20" width="1.88671875" style="3" customWidth="1"/>
    <col min="21" max="22" width="12.109375" style="3"/>
    <col min="23" max="24" width="5.33203125" style="3" customWidth="1"/>
    <col min="25" max="25" width="24.6640625" style="3" customWidth="1"/>
    <col min="26" max="27" width="12.109375" style="3"/>
    <col min="28" max="28" width="1.88671875" style="3" customWidth="1"/>
    <col min="29" max="30" width="12.109375" style="3"/>
    <col min="31" max="32" width="5.33203125" style="3" customWidth="1"/>
    <col min="33" max="33" width="30.44140625" style="3" customWidth="1"/>
    <col min="34" max="35" width="9.88671875" style="3" customWidth="1"/>
    <col min="36" max="36" width="1.88671875" style="3" customWidth="1"/>
    <col min="37" max="38" width="9.88671875" style="3" customWidth="1"/>
    <col min="39" max="39" width="1.88671875" style="3" customWidth="1"/>
    <col min="40" max="40" width="9.88671875" style="3" customWidth="1"/>
    <col min="41" max="41" width="1.88671875" style="3" customWidth="1"/>
    <col min="42" max="42" width="9.88671875" style="3" customWidth="1"/>
    <col min="43" max="43" width="1.88671875" style="3" customWidth="1"/>
    <col min="44" max="44" width="7.5546875" style="3" customWidth="1"/>
    <col min="45" max="45" width="5.33203125" style="3" customWidth="1"/>
    <col min="46" max="49" width="12.109375" style="3"/>
    <col min="50" max="50" width="13.33203125" style="3" customWidth="1"/>
    <col min="51" max="51" width="11" style="3" customWidth="1"/>
    <col min="52" max="53" width="5.33203125" style="3" customWidth="1"/>
    <col min="54" max="54" width="12.109375" style="3"/>
    <col min="55" max="55" width="14.44140625" style="3" customWidth="1"/>
    <col min="56" max="56" width="7.5546875" style="3" customWidth="1"/>
    <col min="57" max="62" width="11" style="3" customWidth="1"/>
    <col min="63" max="64" width="6.44140625" style="3" customWidth="1"/>
    <col min="65" max="65" width="14.44140625" style="3" customWidth="1"/>
    <col min="66" max="66" width="11" style="3" customWidth="1"/>
    <col min="67" max="67" width="1.88671875" style="3" customWidth="1"/>
    <col min="68" max="73" width="11" style="3" customWidth="1"/>
    <col min="74" max="74" width="1.88671875" style="3" customWidth="1"/>
    <col min="75" max="75" width="11" style="3" customWidth="1"/>
    <col min="76" max="16384" width="12.109375" style="3"/>
  </cols>
  <sheetData>
    <row r="1" spans="1:6" ht="30.75" customHeight="1" x14ac:dyDescent="0.25">
      <c r="A1" s="103" t="s">
        <v>39</v>
      </c>
      <c r="B1" s="104"/>
      <c r="C1" s="99">
        <v>1999</v>
      </c>
      <c r="D1" s="99">
        <v>2000</v>
      </c>
      <c r="E1" s="99">
        <v>2001</v>
      </c>
      <c r="F1" s="95">
        <v>2002</v>
      </c>
    </row>
    <row r="2" spans="1:6" ht="13.5" customHeight="1" thickBot="1" x14ac:dyDescent="0.3">
      <c r="A2" s="101" t="s">
        <v>22</v>
      </c>
      <c r="B2" s="102"/>
      <c r="C2" s="100"/>
      <c r="D2" s="100"/>
      <c r="E2" s="100"/>
      <c r="F2" s="96"/>
    </row>
    <row r="3" spans="1:6" s="49" customFormat="1" ht="23.25" customHeight="1" x14ac:dyDescent="0.25">
      <c r="A3" s="15">
        <v>1</v>
      </c>
      <c r="B3" s="16" t="s">
        <v>0</v>
      </c>
      <c r="C3" s="71">
        <f>(BRADLEY!C3+BUTLER!C3+KENT!C3+LANDMARK!C3+MEMORIAL!C3+MIRIAM!C3+NEWPORT!C3+RIH!C3+RWMC!C3+S.COUNTY!C3+ST.JOE!C3+WESTERLY!C3+'W&amp;I'!C3)/$F$29</f>
        <v>85.762100000000004</v>
      </c>
      <c r="D3" s="71">
        <f>(BRADLEY!D3+BUTLER!D3+KENT!D3+LANDMARK!D3+MEMORIAL!D3+MIRIAM!D3+NEWPORT!D3+RIH!D3+RWMC!D3+S.COUNTY!D3+ST.JOE!D3+WESTERLY!D3+'W&amp;I'!D3)/$F$29</f>
        <v>129.50800000000001</v>
      </c>
      <c r="E3" s="71">
        <f>(BRADLEY!E3+BUTLER!E3+KENT!E3+LANDMARK!E3+MEMORIAL!E3+MIRIAM!E3+NEWPORT!E3+RIH!E3+RWMC!E3+S.COUNTY!E3+ST.JOE!E3+WESTERLY!E3+'W&amp;I'!E3)/$F$29</f>
        <v>111.11319999999999</v>
      </c>
      <c r="F3" s="72">
        <f>(BRADLEY!F3+BUTLER!F3+KENT!F3+LANDMARK!F3+MEMORIAL!F3+MIRIAM!F3+NEWPORT!F3+RIH!F3+RWMC!F3+S.COUNTY!F3+ST.JOE!F3+WESTERLY!F3+'W&amp;I'!F3)/$F$29</f>
        <v>168.62129999999999</v>
      </c>
    </row>
    <row r="4" spans="1:6" s="49" customFormat="1" ht="23.25" customHeight="1" x14ac:dyDescent="0.25">
      <c r="A4" s="6">
        <v>2</v>
      </c>
      <c r="B4" s="5" t="s">
        <v>1</v>
      </c>
      <c r="C4" s="68">
        <f>(BRADLEY!C4+BUTLER!C4+KENT!C4+LANDMARK!C4+MEMORIAL!C4+MIRIAM!C4+NEWPORT!C4+RIH!C4+RWMC!C4+S.COUNTY!C4+ST.JOE!C4+WESTERLY!C4+'W&amp;I'!C4)/$F$29</f>
        <v>306.8263</v>
      </c>
      <c r="D4" s="68">
        <f>(BRADLEY!D4+BUTLER!D4+KENT!D4+LANDMARK!D4+MEMORIAL!D4+MIRIAM!D4+NEWPORT!D4+RIH!D4+RWMC!D4+S.COUNTY!D4+ST.JOE!D4+WESTERLY!D4+'W&amp;I'!D4)/$F$29</f>
        <v>293.77699999999999</v>
      </c>
      <c r="E4" s="68">
        <f>(BRADLEY!E4+BUTLER!E4+KENT!E4+LANDMARK!E4+MEMORIAL!E4+MIRIAM!E4+NEWPORT!E4+RIH!E4+RWMC!E4+S.COUNTY!E4+ST.JOE!E4+WESTERLY!E4+'W&amp;I'!E4)/$F$29</f>
        <v>284.55619999999999</v>
      </c>
      <c r="F4" s="69">
        <f>(BRADLEY!F4+BUTLER!F4+KENT!F4+LANDMARK!F4+MEMORIAL!F4+MIRIAM!F4+NEWPORT!F4+RIH!F4+RWMC!F4+S.COUNTY!F4+ST.JOE!F4+WESTERLY!F4+'W&amp;I'!F4)/$F$29</f>
        <v>287.90629999999999</v>
      </c>
    </row>
    <row r="5" spans="1:6" s="49" customFormat="1" ht="23.25" customHeight="1" x14ac:dyDescent="0.25">
      <c r="A5" s="15">
        <v>3</v>
      </c>
      <c r="B5" s="16" t="s">
        <v>2</v>
      </c>
      <c r="C5" s="71">
        <f>(BRADLEY!C5+BUTLER!C5+KENT!C5+LANDMARK!C5+MEMORIAL!C5+MIRIAM!C5+NEWPORT!C5+RIH!C5+RWMC!C5+S.COUNTY!C5+ST.JOE!C5+WESTERLY!C5+'W&amp;I'!C5)/$F$29</f>
        <v>461.38499999999999</v>
      </c>
      <c r="D5" s="71">
        <f>(BRADLEY!D5+BUTLER!D5+KENT!D5+LANDMARK!D5+MEMORIAL!D5+MIRIAM!D5+NEWPORT!D5+RIH!D5+RWMC!D5+S.COUNTY!D5+ST.JOE!D5+WESTERLY!D5+'W&amp;I'!D5)/$F$29</f>
        <v>489.45</v>
      </c>
      <c r="E5" s="71">
        <f>(BRADLEY!E5+BUTLER!E5+KENT!E5+LANDMARK!E5+MEMORIAL!E5+MIRIAM!E5+NEWPORT!E5+RIH!E5+RWMC!E5+S.COUNTY!E5+ST.JOE!E5+WESTERLY!E5+'W&amp;I'!E5)/$F$29</f>
        <v>469.209</v>
      </c>
      <c r="F5" s="72">
        <f>(BRADLEY!F5+BUTLER!F5+KENT!F5+LANDMARK!F5+MEMORIAL!F5+MIRIAM!F5+NEWPORT!F5+RIH!F5+RWMC!F5+S.COUNTY!F5+ST.JOE!F5+WESTERLY!F5+'W&amp;I'!F5)/$F$29</f>
        <v>466.20699999999999</v>
      </c>
    </row>
    <row r="6" spans="1:6" s="49" customFormat="1" ht="23.25" customHeight="1" x14ac:dyDescent="0.25">
      <c r="A6" s="6">
        <v>4</v>
      </c>
      <c r="B6" s="5" t="s">
        <v>3</v>
      </c>
      <c r="C6" s="68">
        <f>(BRADLEY!C6+BUTLER!C6+KENT!C6+LANDMARK!C6+MEMORIAL!C6+MIRIAM!C6+NEWPORT!C6+RIH!C6+RWMC!C6+S.COUNTY!C6+ST.JOE!C6+WESTERLY!C6+'W&amp;I'!C6)/$F$29</f>
        <v>577.59199999999998</v>
      </c>
      <c r="D6" s="68">
        <f>(BRADLEY!D6+BUTLER!D6+KENT!D6+LANDMARK!D6+MEMORIAL!D6+MIRIAM!D6+NEWPORT!D6+RIH!D6+RWMC!D6+S.COUNTY!D6+ST.JOE!D6+WESTERLY!D6+'W&amp;I'!D6)/$F$29</f>
        <v>598.05799999999999</v>
      </c>
      <c r="E6" s="68">
        <f>(BRADLEY!E6+BUTLER!E6+KENT!E6+LANDMARK!E6+MEMORIAL!E6+MIRIAM!E6+NEWPORT!E6+RIH!E6+RWMC!E6+S.COUNTY!E6+ST.JOE!E6+WESTERLY!E6+'W&amp;I'!E6)/$F$29</f>
        <v>654.76800000000003</v>
      </c>
      <c r="F6" s="69">
        <f>(BRADLEY!F6+BUTLER!F6+KENT!F6+LANDMARK!F6+MEMORIAL!F6+MIRIAM!F6+NEWPORT!F6+RIH!F6+RWMC!F6+S.COUNTY!F6+ST.JOE!F6+WESTERLY!F6+'W&amp;I'!F6)/$F$29</f>
        <v>738.83399999999995</v>
      </c>
    </row>
    <row r="7" spans="1:6" s="49" customFormat="1" ht="23.25" customHeight="1" x14ac:dyDescent="0.25">
      <c r="A7" s="15">
        <v>5</v>
      </c>
      <c r="B7" s="16" t="s">
        <v>4</v>
      </c>
      <c r="C7" s="71">
        <f>(BRADLEY!C7+BUTLER!C7+KENT!C7+LANDMARK!C7+MEMORIAL!C7+MIRIAM!C7+NEWPORT!C7+RIH!C7+RWMC!C7+S.COUNTY!C7+ST.JOE!C7+WESTERLY!C7+'W&amp;I'!C7)/$F$29</f>
        <v>695.10900000000004</v>
      </c>
      <c r="D7" s="71">
        <f>(BRADLEY!D7+BUTLER!D7+KENT!D7+LANDMARK!D7+MEMORIAL!D7+MIRIAM!D7+NEWPORT!D7+RIH!D7+RWMC!D7+S.COUNTY!D7+ST.JOE!D7+WESTERLY!D7+'W&amp;I'!D7)/$F$29</f>
        <v>756.50599999999997</v>
      </c>
      <c r="E7" s="71">
        <f>(BRADLEY!E7+BUTLER!E7+KENT!E7+LANDMARK!E7+MEMORIAL!E7+MIRIAM!E7+NEWPORT!E7+RIH!E7+RWMC!E7+S.COUNTY!E7+ST.JOE!E7+WESTERLY!E7+'W&amp;I'!E7)/$F$29</f>
        <v>823.17100000000005</v>
      </c>
      <c r="F7" s="72">
        <f>(BRADLEY!F7+BUTLER!F7+KENT!F7+LANDMARK!F7+MEMORIAL!F7+MIRIAM!F7+NEWPORT!F7+RIH!F7+RWMC!F7+S.COUNTY!F7+ST.JOE!F7+WESTERLY!F7+'W&amp;I'!F7)/$F$29</f>
        <v>891.86699999999996</v>
      </c>
    </row>
    <row r="8" spans="1:6" s="49" customFormat="1" ht="23.25" customHeight="1" x14ac:dyDescent="0.25">
      <c r="A8" s="6">
        <v>6</v>
      </c>
      <c r="B8" s="5" t="s">
        <v>5</v>
      </c>
      <c r="C8" s="68">
        <f>(BRADLEY!C8+BUTLER!C8+KENT!C8+LANDMARK!C8+MEMORIAL!C8+MIRIAM!C8+NEWPORT!C8+RIH!C8+RWMC!C8+S.COUNTY!C8+ST.JOE!C8+WESTERLY!C8+'W&amp;I'!C8)/$F$29</f>
        <v>2053.0889999999999</v>
      </c>
      <c r="D8" s="68">
        <f>(BRADLEY!D8+BUTLER!D8+KENT!D8+LANDMARK!D8+MEMORIAL!D8+MIRIAM!D8+NEWPORT!D8+RIH!D8+RWMC!D8+S.COUNTY!D8+ST.JOE!D8+WESTERLY!D8+'W&amp;I'!D8)/$F$29</f>
        <v>2126.6170000000002</v>
      </c>
      <c r="E8" s="68">
        <f>(BRADLEY!E8+BUTLER!E8+KENT!E8+LANDMARK!E8+MEMORIAL!E8+MIRIAM!E8+NEWPORT!E8+RIH!E8+RWMC!E8+S.COUNTY!E8+ST.JOE!E8+WESTERLY!E8+'W&amp;I'!E8)/$F$29</f>
        <v>1958.2149999999999</v>
      </c>
      <c r="F8" s="69">
        <f>(BRADLEY!F8+BUTLER!F8+KENT!F8+LANDMARK!F8+MEMORIAL!F8+MIRIAM!F8+NEWPORT!F8+RIH!F8+RWMC!F8+S.COUNTY!F8+ST.JOE!F8+WESTERLY!F8+'W&amp;I'!F8)/$F$29</f>
        <v>2134.8809999999999</v>
      </c>
    </row>
    <row r="9" spans="1:6" s="49" customFormat="1" ht="23.25" customHeight="1" x14ac:dyDescent="0.25">
      <c r="A9" s="15">
        <v>7</v>
      </c>
      <c r="B9" s="16" t="s">
        <v>24</v>
      </c>
      <c r="C9" s="71">
        <f>(BRADLEY!C9+BUTLER!C9+KENT!C9+LANDMARK!C9+MEMORIAL!C9+MIRIAM!C9+NEWPORT!C9+RIH!C9+RWMC!C9+S.COUNTY!C9+ST.JOE!C9+WESTERLY!C9+'W&amp;I'!C9)/$F$29</f>
        <v>16.914999999999999</v>
      </c>
      <c r="D9" s="71">
        <f>(BRADLEY!D9+BUTLER!D9+KENT!D9+LANDMARK!D9+MEMORIAL!D9+MIRIAM!D9+NEWPORT!D9+RIH!D9+RWMC!D9+S.COUNTY!D9+ST.JOE!D9+WESTERLY!D9+'W&amp;I'!D9)/$F$29</f>
        <v>16.864000000000001</v>
      </c>
      <c r="E9" s="71">
        <f>(BRADLEY!E9+BUTLER!E9+KENT!E9+LANDMARK!E9+MEMORIAL!E9+MIRIAM!E9+NEWPORT!E9+RIH!E9+RWMC!E9+S.COUNTY!E9+ST.JOE!E9+WESTERLY!E9+'W&amp;I'!E9)/$F$29</f>
        <v>23.599</v>
      </c>
      <c r="F9" s="72">
        <f>(BRADLEY!F9+BUTLER!F9+KENT!F9+LANDMARK!F9+MEMORIAL!F9+MIRIAM!F9+NEWPORT!F9+RIH!F9+RWMC!F9+S.COUNTY!F9+ST.JOE!F9+WESTERLY!F9+'W&amp;I'!F9)/$F$29</f>
        <v>16.164999999999999</v>
      </c>
    </row>
    <row r="10" spans="1:6" s="49" customFormat="1" ht="23.25" customHeight="1" x14ac:dyDescent="0.25">
      <c r="A10" s="6">
        <v>8</v>
      </c>
      <c r="B10" s="5" t="s">
        <v>6</v>
      </c>
      <c r="C10" s="68">
        <f>(BRADLEY!C10+BUTLER!C10+KENT!C10+LANDMARK!C10+MEMORIAL!C10+MIRIAM!C10+NEWPORT!C10+RIH!C10+RWMC!C10+S.COUNTY!C10+ST.JOE!C10+WESTERLY!C10+'W&amp;I'!C10)/$F$29</f>
        <v>272.48200000000003</v>
      </c>
      <c r="D10" s="68">
        <f>(BRADLEY!D10+BUTLER!D10+KENT!D10+LANDMARK!D10+MEMORIAL!D10+MIRIAM!D10+NEWPORT!D10+RIH!D10+RWMC!D10+S.COUNTY!D10+ST.JOE!D10+WESTERLY!D10+'W&amp;I'!D10)/$F$29</f>
        <v>308.91199999999998</v>
      </c>
      <c r="E10" s="68">
        <f>(BRADLEY!E10+BUTLER!E10+KENT!E10+LANDMARK!E10+MEMORIAL!E10+MIRIAM!E10+NEWPORT!E10+RIH!E10+RWMC!E10+S.COUNTY!E10+ST.JOE!E10+WESTERLY!E10+'W&amp;I'!E10)/$F$29</f>
        <v>315.84199999999998</v>
      </c>
      <c r="F10" s="69">
        <f>(BRADLEY!F10+BUTLER!F10+KENT!F10+LANDMARK!F10+MEMORIAL!F10+MIRIAM!F10+NEWPORT!F10+RIH!F10+RWMC!F10+S.COUNTY!F10+ST.JOE!F10+WESTERLY!F10+'W&amp;I'!F10)/$F$29</f>
        <v>323.60399999999998</v>
      </c>
    </row>
    <row r="11" spans="1:6" s="49" customFormat="1" ht="23.25" customHeight="1" x14ac:dyDescent="0.25">
      <c r="A11" s="15">
        <v>9</v>
      </c>
      <c r="B11" s="16" t="s">
        <v>7</v>
      </c>
      <c r="C11" s="71">
        <f>(BRADLEY!C11+BUTLER!C11+KENT!C11+LANDMARK!C11+MEMORIAL!C11+MIRIAM!C11+NEWPORT!C11+RIH!C11+RWMC!C11+S.COUNTY!C11+ST.JOE!C11+WESTERLY!C11+'W&amp;I'!C11)/$F$29</f>
        <v>379.05099999999999</v>
      </c>
      <c r="D11" s="71">
        <f>(BRADLEY!D11+BUTLER!D11+KENT!D11+LANDMARK!D11+MEMORIAL!D11+MIRIAM!D11+NEWPORT!D11+RIH!D11+RWMC!D11+S.COUNTY!D11+ST.JOE!D11+WESTERLY!D11+'W&amp;I'!D11)/$F$29</f>
        <v>367.97399999999999</v>
      </c>
      <c r="E11" s="71">
        <f>(BRADLEY!E11+BUTLER!E11+KENT!E11+LANDMARK!E11+MEMORIAL!E11+MIRIAM!E11+NEWPORT!E11+RIH!E11+RWMC!E11+S.COUNTY!E11+ST.JOE!E11+WESTERLY!E11+'W&amp;I'!E11)/$F$29</f>
        <v>349.89400000000001</v>
      </c>
      <c r="F11" s="72">
        <f>(BRADLEY!F11+BUTLER!F11+KENT!F11+LANDMARK!F11+MEMORIAL!F11+MIRIAM!F11+NEWPORT!F11+RIH!F11+RWMC!F11+S.COUNTY!F11+ST.JOE!F11+WESTERLY!F11+'W&amp;I'!F11)/$F$29</f>
        <v>439.81099999999998</v>
      </c>
    </row>
    <row r="12" spans="1:6" s="49" customFormat="1" ht="23.25" customHeight="1" x14ac:dyDescent="0.25">
      <c r="A12" s="6">
        <v>10</v>
      </c>
      <c r="B12" s="5" t="s">
        <v>40</v>
      </c>
      <c r="C12" s="68">
        <f>(BRADLEY!C12+BUTLER!C12+KENT!C12+LANDMARK!C12+MEMORIAL!C12+MIRIAM!C12+NEWPORT!C12+RIH!C12+RWMC!C12+S.COUNTY!C12+ST.JOE!C12+WESTERLY!C12+'W&amp;I'!C12)/$F$29</f>
        <v>1212.0340000000001</v>
      </c>
      <c r="D12" s="68">
        <f>(BRADLEY!D12+BUTLER!D12+KENT!D12+LANDMARK!D12+MEMORIAL!D12+MIRIAM!D12+NEWPORT!D12+RIH!D12+RWMC!D12+S.COUNTY!D12+ST.JOE!D12+WESTERLY!D12+'W&amp;I'!D12)/$F$29</f>
        <v>1279.4459999999999</v>
      </c>
      <c r="E12" s="68">
        <f>(BRADLEY!E12+BUTLER!E12+KENT!E12+LANDMARK!E12+MEMORIAL!E12+MIRIAM!E12+NEWPORT!E12+RIH!E12+RWMC!E12+S.COUNTY!E12+ST.JOE!E12+WESTERLY!E12+'W&amp;I'!E12)/$F$29</f>
        <v>1139.4749999999999</v>
      </c>
      <c r="F12" s="69">
        <f>(BRADLEY!F12+BUTLER!F12+KENT!F12+LANDMARK!F12+MEMORIAL!F12+MIRIAM!F12+NEWPORT!F12+RIH!F12+RWMC!F12+S.COUNTY!F12+ST.JOE!F12+WESTERLY!F12+'W&amp;I'!F12)/$F$29</f>
        <v>1132.134</v>
      </c>
    </row>
    <row r="13" spans="1:6" s="49" customFormat="1" ht="23.25" customHeight="1" x14ac:dyDescent="0.25">
      <c r="A13" s="15">
        <v>11</v>
      </c>
      <c r="B13" s="16" t="s">
        <v>8</v>
      </c>
      <c r="C13" s="71">
        <f>(BRADLEY!C13+BUTLER!C13+KENT!C13+LANDMARK!C13+MEMORIAL!C13+MIRIAM!C13+NEWPORT!C13+RIH!C13+RWMC!C13+S.COUNTY!C13+ST.JOE!C13+WESTERLY!C13+'W&amp;I'!C13)/$F$29</f>
        <v>1377.85</v>
      </c>
      <c r="D13" s="71">
        <f>(BRADLEY!D13+BUTLER!D13+KENT!D13+LANDMARK!D13+MEMORIAL!D13+MIRIAM!D13+NEWPORT!D13+RIH!D13+RWMC!D13+S.COUNTY!D13+ST.JOE!D13+WESTERLY!D13+'W&amp;I'!D13)/$F$29</f>
        <v>1488.922</v>
      </c>
      <c r="E13" s="71">
        <f>(BRADLEY!E13+BUTLER!E13+KENT!E13+LANDMARK!E13+MEMORIAL!E13+MIRIAM!E13+NEWPORT!E13+RIH!E13+RWMC!E13+S.COUNTY!E13+ST.JOE!E13+WESTERLY!E13+'W&amp;I'!E13)/$F$29</f>
        <v>1623.3083000000001</v>
      </c>
      <c r="F13" s="72">
        <f>(BRADLEY!F13+BUTLER!F13+KENT!F13+LANDMARK!F13+MEMORIAL!F13+MIRIAM!F13+NEWPORT!F13+RIH!F13+RWMC!F13+S.COUNTY!F13+ST.JOE!F13+WESTERLY!F13+'W&amp;I'!F13)/$F$29</f>
        <v>1797.2439999999999</v>
      </c>
    </row>
    <row r="14" spans="1:6" s="49" customFormat="1" ht="23.25" customHeight="1" x14ac:dyDescent="0.25">
      <c r="A14" s="6">
        <v>12</v>
      </c>
      <c r="B14" s="5" t="s">
        <v>9</v>
      </c>
      <c r="C14" s="68">
        <f>(BRADLEY!C14+BUTLER!C14+KENT!C14+LANDMARK!C14+MEMORIAL!C14+MIRIAM!C14+NEWPORT!C14+RIH!C14+RWMC!C14+S.COUNTY!C14+ST.JOE!C14+WESTERLY!C14+'W&amp;I'!C14)/$F$29</f>
        <v>154.51499999999999</v>
      </c>
      <c r="D14" s="68">
        <f>(BRADLEY!D14+BUTLER!D14+KENT!D14+LANDMARK!D14+MEMORIAL!D14+MIRIAM!D14+NEWPORT!D14+RIH!D14+RWMC!D14+S.COUNTY!D14+ST.JOE!D14+WESTERLY!D14+'W&amp;I'!D14)/$F$29</f>
        <v>147.697</v>
      </c>
      <c r="E14" s="68">
        <f>(BRADLEY!E14+BUTLER!E14+KENT!E14+LANDMARK!E14+MEMORIAL!E14+MIRIAM!E14+NEWPORT!E14+RIH!E14+RWMC!E14+S.COUNTY!E14+ST.JOE!E14+WESTERLY!E14+'W&amp;I'!E14)/$F$29</f>
        <v>166.88159999999996</v>
      </c>
      <c r="F14" s="69">
        <f>(BRADLEY!F14+BUTLER!F14+KENT!F14+LANDMARK!F14+MEMORIAL!F14+MIRIAM!F14+NEWPORT!F14+RIH!F14+RWMC!F14+S.COUNTY!F14+ST.JOE!F14+WESTERLY!F14+'W&amp;I'!F14)/$F$29</f>
        <v>186.7079</v>
      </c>
    </row>
    <row r="15" spans="1:6" s="49" customFormat="1" ht="23.25" customHeight="1" x14ac:dyDescent="0.25">
      <c r="A15" s="15">
        <v>13</v>
      </c>
      <c r="B15" s="16" t="s">
        <v>10</v>
      </c>
      <c r="C15" s="71">
        <f>(BRADLEY!C15+BUTLER!C15+KENT!C15+LANDMARK!C15+MEMORIAL!C15+MIRIAM!C15+NEWPORT!C15+RIH!C15+RWMC!C15+S.COUNTY!C15+ST.JOE!C15+WESTERLY!C15+'W&amp;I'!C15)/$F$29</f>
        <v>1532.365</v>
      </c>
      <c r="D15" s="71">
        <f>(BRADLEY!D15+BUTLER!D15+KENT!D15+LANDMARK!D15+MEMORIAL!D15+MIRIAM!D15+NEWPORT!D15+RIH!D15+RWMC!D15+S.COUNTY!D15+ST.JOE!D15+WESTERLY!D15+'W&amp;I'!D15)/$F$29</f>
        <v>1636.6189999999999</v>
      </c>
      <c r="E15" s="71">
        <f>(BRADLEY!E15+BUTLER!E15+KENT!E15+LANDMARK!E15+MEMORIAL!E15+MIRIAM!E15+NEWPORT!E15+RIH!E15+RWMC!E15+S.COUNTY!E15+ST.JOE!E15+WESTERLY!E15+'W&amp;I'!E15)/$F$29</f>
        <v>1790.1898999999999</v>
      </c>
      <c r="F15" s="72">
        <f>(BRADLEY!F15+BUTLER!F15+KENT!F15+LANDMARK!F15+MEMORIAL!F15+MIRIAM!F15+NEWPORT!F15+RIH!F15+RWMC!F15+S.COUNTY!F15+ST.JOE!F15+WESTERLY!F15+'W&amp;I'!F15)/$F$29</f>
        <v>1983.9518999999998</v>
      </c>
    </row>
    <row r="16" spans="1:6" s="49" customFormat="1" ht="23.25" customHeight="1" x14ac:dyDescent="0.25">
      <c r="A16" s="6">
        <v>14</v>
      </c>
      <c r="B16" s="5" t="s">
        <v>11</v>
      </c>
      <c r="C16" s="68">
        <f>(BRADLEY!C16+BUTLER!C16+KENT!C16+LANDMARK!C16+MEMORIAL!C16+MIRIAM!C16+NEWPORT!C16+RIH!C16+RWMC!C16+S.COUNTY!C16+ST.JOE!C16+WESTERLY!C16+'W&amp;I'!C16)/$F$29</f>
        <v>23.113</v>
      </c>
      <c r="D16" s="68">
        <f>(BRADLEY!D16+BUTLER!D16+KENT!D16+LANDMARK!D16+MEMORIAL!D16+MIRIAM!D16+NEWPORT!D16+RIH!D16+RWMC!D16+S.COUNTY!D16+ST.JOE!D16+WESTERLY!D16+'W&amp;I'!D16)/$F$29</f>
        <v>22.256</v>
      </c>
      <c r="E16" s="68">
        <f>(BRADLEY!E16+BUTLER!E16+KENT!E16+LANDMARK!E16+MEMORIAL!E16+MIRIAM!E16+NEWPORT!E16+RIH!E16+RWMC!E16+S.COUNTY!E16+ST.JOE!E16+WESTERLY!E16+'W&amp;I'!E16)/$F$29</f>
        <v>22.6</v>
      </c>
      <c r="F16" s="69">
        <f>(BRADLEY!F16+BUTLER!F16+KENT!F16+LANDMARK!F16+MEMORIAL!F16+MIRIAM!F16+NEWPORT!F16+RIH!F16+RWMC!F16+S.COUNTY!F16+ST.JOE!F16+WESTERLY!F16+'W&amp;I'!F16)/$F$29</f>
        <v>22.228000000000002</v>
      </c>
    </row>
    <row r="17" spans="1:6" s="49" customFormat="1" ht="23.25" customHeight="1" x14ac:dyDescent="0.25">
      <c r="A17" s="15">
        <v>15</v>
      </c>
      <c r="B17" s="16" t="s">
        <v>12</v>
      </c>
      <c r="C17" s="71">
        <f>(BRADLEY!C17+BUTLER!C17+KENT!C17+LANDMARK!C17+MEMORIAL!C17+MIRIAM!C17+NEWPORT!C17+RIH!C17+RWMC!C17+S.COUNTY!C17+ST.JOE!C17+WESTERLY!C17+'W&amp;I'!C17)/$F$29</f>
        <v>74.052000000000007</v>
      </c>
      <c r="D17" s="71">
        <f>(BRADLEY!D17+BUTLER!D17+KENT!D17+LANDMARK!D17+MEMORIAL!D17+MIRIAM!D17+NEWPORT!D17+RIH!D17+RWMC!D17+S.COUNTY!D17+ST.JOE!D17+WESTERLY!D17+'W&amp;I'!D17)/$F$29</f>
        <v>81.195999999999998</v>
      </c>
      <c r="E17" s="71">
        <f>(BRADLEY!E17+BUTLER!E17+KENT!E17+LANDMARK!E17+MEMORIAL!E17+MIRIAM!E17+NEWPORT!E17+RIH!E17+RWMC!E17+S.COUNTY!E17+ST.JOE!E17+WESTERLY!E17+'W&amp;I'!E17)/$F$29</f>
        <v>79.481999999999999</v>
      </c>
      <c r="F17" s="72">
        <f>(BRADLEY!F17+BUTLER!F17+KENT!F17+LANDMARK!F17+MEMORIAL!F17+MIRIAM!F17+NEWPORT!F17+RIH!F17+RWMC!F17+S.COUNTY!F17+ST.JOE!F17+WESTERLY!F17+'W&amp;I'!F17)/$F$29</f>
        <v>86.617999999999995</v>
      </c>
    </row>
    <row r="18" spans="1:6" s="49" customFormat="1" ht="23.25" customHeight="1" x14ac:dyDescent="0.25">
      <c r="A18" s="6">
        <v>16</v>
      </c>
      <c r="B18" s="5" t="s">
        <v>30</v>
      </c>
      <c r="C18" s="68">
        <f>(BRADLEY!C18+BUTLER!C18+KENT!C18+LANDMARK!C18+MEMORIAL!C18+MIRIAM!C18+NEWPORT!C18+RIH!C18+RWMC!C18+S.COUNTY!C18+ST.JOE!C18+WESTERLY!C18+'W&amp;I'!C18)/$F$29</f>
        <v>863.94569999999999</v>
      </c>
      <c r="D18" s="68">
        <f>(BRADLEY!D18+BUTLER!D18+KENT!D18+LANDMARK!D18+MEMORIAL!D18+MIRIAM!D18+NEWPORT!D18+RIH!D18+RWMC!D18+S.COUNTY!D18+ST.JOE!D18+WESTERLY!D18+'W&amp;I'!D18)/$F$29</f>
        <v>901.86130000000003</v>
      </c>
      <c r="E18" s="68">
        <f>(BRADLEY!E18+BUTLER!E18+KENT!E18+LANDMARK!E18+MEMORIAL!E18+MIRIAM!E18+NEWPORT!E18+RIH!E18+RWMC!E18+S.COUNTY!E18+ST.JOE!E18+WESTERLY!E18+'W&amp;I'!E18)/$F$29</f>
        <v>965.9147999999999</v>
      </c>
      <c r="F18" s="69">
        <f>(BRADLEY!F18+BUTLER!F18+KENT!F18+LANDMARK!F18+MEMORIAL!F18+MIRIAM!F18+NEWPORT!F18+RIH!F18+RWMC!F18+S.COUNTY!F18+ST.JOE!F18+WESTERLY!F18+'W&amp;I'!F18)/$F$29</f>
        <v>1061.0645</v>
      </c>
    </row>
    <row r="19" spans="1:6" s="49" customFormat="1" ht="23.25" customHeight="1" x14ac:dyDescent="0.25">
      <c r="A19" s="15">
        <v>17</v>
      </c>
      <c r="B19" s="16" t="s">
        <v>13</v>
      </c>
      <c r="C19" s="71">
        <f>(BRADLEY!C19+BUTLER!C19+KENT!C19+LANDMARK!C19+MEMORIAL!C19+MIRIAM!C19+NEWPORT!C19+RIH!C19+RWMC!C19+S.COUNTY!C19+ST.JOE!C19+WESTERLY!C19+'W&amp;I'!C19)/$F$29</f>
        <v>82.611000000000004</v>
      </c>
      <c r="D19" s="71">
        <f>(BRADLEY!D19+BUTLER!D19+KENT!D19+LANDMARK!D19+MEMORIAL!D19+MIRIAM!D19+NEWPORT!D19+RIH!D19+RWMC!D19+S.COUNTY!D19+ST.JOE!D19+WESTERLY!D19+'W&amp;I'!D19)/$F$29</f>
        <v>82.685000000000002</v>
      </c>
      <c r="E19" s="71">
        <f>(BRADLEY!E19+BUTLER!E19+KENT!E19+LANDMARK!E19+MEMORIAL!E19+MIRIAM!E19+NEWPORT!E19+RIH!E19+RWMC!E19+S.COUNTY!E19+ST.JOE!E19+WESTERLY!E19+'W&amp;I'!E19)/$F$29</f>
        <v>88.718000000000004</v>
      </c>
      <c r="F19" s="72">
        <f>(BRADLEY!F19+BUTLER!F19+KENT!F19+LANDMARK!F19+MEMORIAL!F19+MIRIAM!F19+NEWPORT!F19+RIH!F19+RWMC!F19+S.COUNTY!F19+ST.JOE!F19+WESTERLY!F19+'W&amp;I'!F19)/$F$29</f>
        <v>97.102000000000004</v>
      </c>
    </row>
    <row r="20" spans="1:6" s="49" customFormat="1" ht="23.25" customHeight="1" x14ac:dyDescent="0.25">
      <c r="A20" s="6">
        <v>18</v>
      </c>
      <c r="B20" s="5" t="s">
        <v>84</v>
      </c>
      <c r="C20" s="68">
        <f>(BRADLEY!C20+BUTLER!C20+KENT!C20+LANDMARK!C20+MEMORIAL!C20+MIRIAM!C20+NEWPORT!C20+RIH!C20+RWMC!C20+S.COUNTY!C20+ST.JOE!C20+WESTERLY!C20+'W&amp;I'!C20)/$F$29</f>
        <v>1586.271</v>
      </c>
      <c r="D20" s="68">
        <f>(BRADLEY!D20+BUTLER!D20+KENT!D20+LANDMARK!D20+MEMORIAL!D20+MIRIAM!D20+NEWPORT!D20+RIH!D20+RWMC!D20+S.COUNTY!D20+ST.JOE!D20+WESTERLY!D20+'W&amp;I'!D20)/$F$29</f>
        <v>1666.3701999999998</v>
      </c>
      <c r="E20" s="68">
        <f>(BRADLEY!E20+BUTLER!E20+KENT!E20+LANDMARK!E20+MEMORIAL!E20+MIRIAM!E20+NEWPORT!E20+RIH!E20+RWMC!E20+S.COUNTY!E20+ST.JOE!E20+WESTERLY!E20+'W&amp;I'!E20)/$F$29</f>
        <v>1811.6949999999999</v>
      </c>
      <c r="F20" s="69">
        <f>(BRADLEY!F20+BUTLER!F20+KENT!F20+LANDMARK!F20+MEMORIAL!F20+MIRIAM!F20+NEWPORT!F20+RIH!F20+RWMC!F20+S.COUNTY!F20+ST.JOE!F20+WESTERLY!F20+'W&amp;I'!F20)/$F$29</f>
        <v>1987.616</v>
      </c>
    </row>
    <row r="21" spans="1:6" s="49" customFormat="1" ht="23.25" customHeight="1" x14ac:dyDescent="0.25">
      <c r="A21" s="15">
        <v>19</v>
      </c>
      <c r="B21" s="16" t="s">
        <v>14</v>
      </c>
      <c r="C21" s="71">
        <f>(BRADLEY!C21+BUTLER!C21+KENT!C21+LANDMARK!C21+MEMORIAL!C21+MIRIAM!C21+NEWPORT!C21+RIH!C21+RWMC!C21+S.COUNTY!C21+ST.JOE!C21+WESTERLY!C21+'W&amp;I'!C21)/$F$29</f>
        <v>-53.902999999999999</v>
      </c>
      <c r="D21" s="71">
        <f>(BRADLEY!D21+BUTLER!D21+KENT!D21+LANDMARK!D21+MEMORIAL!D21+MIRIAM!D21+NEWPORT!D21+RIH!D21+RWMC!D21+S.COUNTY!D21+ST.JOE!D21+WESTERLY!D21+'W&amp;I'!D21)/$F$29</f>
        <v>-29.753699999999998</v>
      </c>
      <c r="E21" s="71">
        <f>(BRADLEY!E21+BUTLER!E21+KENT!E21+LANDMARK!E21+MEMORIAL!E21+MIRIAM!E21+NEWPORT!E21+RIH!E21+RWMC!E21+S.COUNTY!E21+ST.JOE!E21+WESTERLY!E21+'W&amp;I'!E21)/$F$29</f>
        <v>-21.505100000000006</v>
      </c>
      <c r="F21" s="72">
        <f>(BRADLEY!F21+BUTLER!F21+KENT!F21+LANDMARK!F21+MEMORIAL!F21+MIRIAM!F21+NEWPORT!F21+RIH!F21+RWMC!F21+S.COUNTY!F21+ST.JOE!F21+WESTERLY!F21+'W&amp;I'!F21)/$F$29</f>
        <v>-3.665100000000006</v>
      </c>
    </row>
    <row r="22" spans="1:6" s="49" customFormat="1" ht="23.25" customHeight="1" x14ac:dyDescent="0.25">
      <c r="A22" s="6">
        <v>20</v>
      </c>
      <c r="B22" s="5" t="s">
        <v>15</v>
      </c>
      <c r="C22" s="68">
        <f>(BRADLEY!C22+BUTLER!C22+KENT!C22+LANDMARK!C22+MEMORIAL!C22+MIRIAM!C22+NEWPORT!C22+RIH!C22+RWMC!C22+S.COUNTY!C22+ST.JOE!C22+WESTERLY!C22+'W&amp;I'!C22)/$F$29</f>
        <v>23.611999999999998</v>
      </c>
      <c r="D22" s="68">
        <f>(BRADLEY!D22+BUTLER!D22+KENT!D22+LANDMARK!D22+MEMORIAL!D22+MIRIAM!D22+NEWPORT!D22+RIH!D22+RWMC!D22+S.COUNTY!D22+ST.JOE!D22+WESTERLY!D22+'W&amp;I'!D22)/$F$29</f>
        <v>46.255300000000005</v>
      </c>
      <c r="E22" s="68">
        <f>(BRADLEY!E22+BUTLER!E22+KENT!E22+LANDMARK!E22+MEMORIAL!E22+MIRIAM!E22+NEWPORT!E22+RIH!E22+RWMC!E22+S.COUNTY!E22+ST.JOE!E22+WESTERLY!E22+'W&amp;I'!E22)/$F$29</f>
        <v>8.2994000000000003</v>
      </c>
      <c r="F22" s="69">
        <f>(BRADLEY!F22+BUTLER!F22+KENT!F22+LANDMARK!F22+MEMORIAL!F22+MIRIAM!F22+NEWPORT!F22+RIH!F22+RWMC!F22+S.COUNTY!F22+ST.JOE!F22+WESTERLY!F22+'W&amp;I'!F22)/$F$29</f>
        <v>-10.799299999999999</v>
      </c>
    </row>
    <row r="23" spans="1:6" s="49" customFormat="1" ht="23.25" customHeight="1" x14ac:dyDescent="0.25">
      <c r="A23" s="15">
        <v>21</v>
      </c>
      <c r="B23" s="16" t="s">
        <v>16</v>
      </c>
      <c r="C23" s="71">
        <f>(BRADLEY!C23+BUTLER!C23+KENT!C23+LANDMARK!C23+MEMORIAL!C23+MIRIAM!C23+NEWPORT!C23+RIH!C23+RWMC!C23+S.COUNTY!C23+ST.JOE!C23+WESTERLY!C23+'W&amp;I'!C23)/$F$29</f>
        <v>-30.292000000000002</v>
      </c>
      <c r="D23" s="71">
        <f>(BRADLEY!D23+BUTLER!D23+KENT!D23+LANDMARK!D23+MEMORIAL!D23+MIRIAM!D23+NEWPORT!D23+RIH!D23+RWMC!D23+S.COUNTY!D23+ST.JOE!D23+WESTERLY!D23+'W&amp;I'!D23)/$F$29</f>
        <v>16.5016</v>
      </c>
      <c r="E23" s="71">
        <f>(BRADLEY!E23+BUTLER!E23+KENT!E23+LANDMARK!E23+MEMORIAL!E23+MIRIAM!E23+NEWPORT!E23+RIH!E23+RWMC!E23+S.COUNTY!E23+ST.JOE!E23+WESTERLY!E23+'W&amp;I'!E23)/$F$29</f>
        <v>-13.206700000000005</v>
      </c>
      <c r="F23" s="72">
        <f>(BRADLEY!F23+BUTLER!F23+KENT!F23+LANDMARK!F23+MEMORIAL!F23+MIRIAM!F23+NEWPORT!F23+RIH!F23+RWMC!F23+S.COUNTY!F23+ST.JOE!F23+WESTERLY!F23+'W&amp;I'!F23)/$F$29</f>
        <v>-14.464400000000005</v>
      </c>
    </row>
    <row r="24" spans="1:6" s="49" customFormat="1" ht="23.25" customHeight="1" x14ac:dyDescent="0.25">
      <c r="A24" s="6">
        <v>22</v>
      </c>
      <c r="B24" s="5" t="s">
        <v>18</v>
      </c>
      <c r="C24" s="68">
        <f>(BRADLEY!C24+BUTLER!C24+KENT!C24+LANDMARK!C24+MEMORIAL!C24+MIRIAM!C24+NEWPORT!C24+RIH!C24+RWMC!C24+S.COUNTY!C24+ST.JOE!C24+WESTERLY!C24+'W&amp;I'!C24)/$F$29</f>
        <v>84.352999999999994</v>
      </c>
      <c r="D24" s="68">
        <f>(BRADLEY!D24+BUTLER!D24+KENT!D24+LANDMARK!D24+MEMORIAL!D24+MIRIAM!D24+NEWPORT!D24+RIH!D24+RWMC!D24+S.COUNTY!D24+ST.JOE!D24+WESTERLY!D24+'W&amp;I'!D24)/$F$29</f>
        <v>92.78</v>
      </c>
      <c r="E24" s="68">
        <f>(BRADLEY!E24+BUTLER!E24+KENT!E24+LANDMARK!E24+MEMORIAL!E24+MIRIAM!E24+NEWPORT!E24+RIH!E24+RWMC!E24+S.COUNTY!E24+ST.JOE!E24+WESTERLY!E24+'W&amp;I'!E24)/$F$29</f>
        <v>122.8142</v>
      </c>
      <c r="F24" s="69">
        <f>(BRADLEY!F24+BUTLER!F24+KENT!F24+LANDMARK!F24+MEMORIAL!F24+MIRIAM!F24+NEWPORT!F24+RIH!F24+RWMC!F24+S.COUNTY!F24+ST.JOE!F24+WESTERLY!F24+'W&amp;I'!F24)/$F$29</f>
        <v>150.75200000000001</v>
      </c>
    </row>
    <row r="25" spans="1:6" s="49" customFormat="1" ht="23.25" customHeight="1" x14ac:dyDescent="0.25">
      <c r="A25" s="15">
        <v>23</v>
      </c>
      <c r="B25" s="16" t="s">
        <v>81</v>
      </c>
      <c r="C25" s="71">
        <f>(BRADLEY!C25+BUTLER!C25+KENT!C25+LANDMARK!C25+MEMORIAL!C25+MIRIAM!C25+NEWPORT!C25+RIH!C25+RWMC!C25+S.COUNTY!C25+ST.JOE!C25+WESTERLY!C25+'W&amp;I'!C25)/$F$29</f>
        <v>947.00699999999995</v>
      </c>
      <c r="D25" s="71">
        <f>(BRADLEY!D25+BUTLER!D25+KENT!D25+LANDMARK!D25+MEMORIAL!D25+MIRIAM!D25+NEWPORT!D25+RIH!D25+RWMC!D25+S.COUNTY!D25+ST.JOE!D25+WESTERLY!D25+'W&amp;I'!D25)/$F$29</f>
        <v>957.89730000000009</v>
      </c>
      <c r="E25" s="71">
        <f>(BRADLEY!E25+BUTLER!E25+KENT!E25+LANDMARK!E25+MEMORIAL!E25+MIRIAM!E25+NEWPORT!E25+RIH!E25+RWMC!E25+S.COUNTY!E25+ST.JOE!E25+WESTERLY!E25+'W&amp;I'!E25)/$F$29</f>
        <v>823.5021999999999</v>
      </c>
      <c r="F25" s="72">
        <f>(BRADLEY!F25+BUTLER!F25+KENT!F25+LANDMARK!F25+MEMORIAL!F25+MIRIAM!F25+NEWPORT!F25+RIH!F25+RWMC!F25+S.COUNTY!F25+ST.JOE!F25+WESTERLY!F25+'W&amp;I'!F25)/$F$29</f>
        <v>865.44869999999992</v>
      </c>
    </row>
    <row r="26" spans="1:6" s="49" customFormat="1" ht="23.25" customHeight="1" x14ac:dyDescent="0.25">
      <c r="A26" s="6">
        <v>24</v>
      </c>
      <c r="B26" s="5" t="s">
        <v>19</v>
      </c>
      <c r="C26" s="68">
        <f>(BRADLEY!C26+BUTLER!C26+KENT!C26+LANDMARK!C26+MEMORIAL!C26+MIRIAM!C26+NEWPORT!C26+RIH!C26+RWMC!C26+S.COUNTY!C26+ST.JOE!C26+WESTERLY!C26+'W&amp;I'!C26)/$F$29</f>
        <v>45.192999999999998</v>
      </c>
      <c r="D26" s="68">
        <f>(BRADLEY!D26+BUTLER!D26+KENT!D26+LANDMARK!D26+MEMORIAL!D26+MIRIAM!D26+NEWPORT!D26+RIH!D26+RWMC!D26+S.COUNTY!D26+ST.JOE!D26+WESTERLY!D26+'W&amp;I'!D26)/$F$29</f>
        <v>67.947000000000003</v>
      </c>
      <c r="E26" s="68">
        <f>(BRADLEY!E26+BUTLER!E26+KENT!E26+LANDMARK!E26+MEMORIAL!E26+MIRIAM!E26+NEWPORT!E26+RIH!E26+RWMC!E26+S.COUNTY!E26+ST.JOE!E26+WESTERLY!E26+'W&amp;I'!E26)/$F$29</f>
        <v>71.465999999999994</v>
      </c>
      <c r="F26" s="69">
        <f>(BRADLEY!F26+BUTLER!F26+KENT!F26+LANDMARK!F26+MEMORIAL!F26+MIRIAM!F26+NEWPORT!F26+RIH!F26+RWMC!F26+S.COUNTY!F26+ST.JOE!F26+WESTERLY!F26+'W&amp;I'!F26)/$F$29</f>
        <v>74.412000000000006</v>
      </c>
    </row>
    <row r="27" spans="1:6" s="49" customFormat="1" ht="23.25" customHeight="1" thickBot="1" x14ac:dyDescent="0.3">
      <c r="A27" s="17">
        <v>25</v>
      </c>
      <c r="B27" s="18" t="s">
        <v>20</v>
      </c>
      <c r="C27" s="73">
        <f>(BRADLEY!C27+BUTLER!C27+KENT!C27+LANDMARK!C27+MEMORIAL!C27+MIRIAM!C27+NEWPORT!C27+RIH!C27+RWMC!C27+S.COUNTY!C27+ST.JOE!C27+WESTERLY!C27+'W&amp;I'!C27)/$F$29</f>
        <v>35.155000000000001</v>
      </c>
      <c r="D27" s="73">
        <f>(BRADLEY!D27+BUTLER!D27+KENT!D27+LANDMARK!D27+MEMORIAL!D27+MIRIAM!D27+NEWPORT!D27+RIH!D27+RWMC!D27+S.COUNTY!D27+ST.JOE!D27+WESTERLY!D27+'W&amp;I'!D27)/$F$29</f>
        <v>45.597000000000001</v>
      </c>
      <c r="E27" s="73">
        <f>(BRADLEY!E27+BUTLER!E27+KENT!E27+LANDMARK!E27+MEMORIAL!E27+MIRIAM!E27+NEWPORT!E27+RIH!E27+RWMC!E27+S.COUNTY!E27+ST.JOE!E27+WESTERLY!E27+'W&amp;I'!E27)/$F$29</f>
        <v>49.451999999999998</v>
      </c>
      <c r="F27" s="74">
        <f>(BRADLEY!F27+BUTLER!F27+KENT!F27+LANDMARK!F27+MEMORIAL!F27+MIRIAM!F27+NEWPORT!F27+RIH!F27+RWMC!F27+S.COUNTY!F27+ST.JOE!F27+WESTERLY!F27+'W&amp;I'!F27)/$F$29</f>
        <v>52.515000000000001</v>
      </c>
    </row>
    <row r="28" spans="1:6" ht="6" customHeight="1" x14ac:dyDescent="0.25"/>
    <row r="29" spans="1:6" ht="10.5" customHeight="1" x14ac:dyDescent="0.25">
      <c r="A29" s="70" t="s">
        <v>87</v>
      </c>
      <c r="B29" s="55"/>
      <c r="C29" s="55"/>
      <c r="D29" s="55"/>
      <c r="E29" s="55"/>
      <c r="F29" s="78">
        <v>1000</v>
      </c>
    </row>
    <row r="30" spans="1:6" ht="21.75" customHeight="1" x14ac:dyDescent="0.25">
      <c r="A30" s="97" t="s">
        <v>88</v>
      </c>
      <c r="B30" s="98"/>
      <c r="C30" s="98"/>
      <c r="D30" s="98"/>
      <c r="E30" s="98"/>
      <c r="F30" s="98"/>
    </row>
    <row r="31" spans="1:6" ht="9.75" customHeight="1" x14ac:dyDescent="0.25">
      <c r="B31" s="30"/>
      <c r="C31" s="66"/>
    </row>
    <row r="32" spans="1:6" ht="10.5" customHeight="1" x14ac:dyDescent="0.25">
      <c r="A32" s="7"/>
      <c r="B32" s="8"/>
      <c r="C32" s="12"/>
      <c r="D32" s="12"/>
    </row>
    <row r="33" ht="12.75" customHeight="1" x14ac:dyDescent="0.25"/>
  </sheetData>
  <mergeCells count="7">
    <mergeCell ref="F1:F2"/>
    <mergeCell ref="A30:F30"/>
    <mergeCell ref="E1:E2"/>
    <mergeCell ref="D1:D2"/>
    <mergeCell ref="C1:C2"/>
    <mergeCell ref="A2:B2"/>
    <mergeCell ref="A1:B1"/>
  </mergeCells>
  <phoneticPr fontId="0" type="noConversion"/>
  <printOptions horizontalCentered="1"/>
  <pageMargins left="0.75" right="1" top="1.25" bottom="0.75" header="0" footer="0"/>
  <pageSetup orientation="portrait" r:id="rId1"/>
  <headerFooter alignWithMargins="0">
    <oddHeader>&amp;L&amp;"Arial,Bold Italic"&amp;14 2&amp;R&amp;"Arial,Italic"Hospital Financial Dataset (2002)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20" workbookViewId="0">
      <selection activeCell="A30" sqref="A30"/>
    </sheetView>
  </sheetViews>
  <sheetFormatPr defaultColWidth="9.109375" defaultRowHeight="13.2" x14ac:dyDescent="0.25"/>
  <cols>
    <col min="1" max="1" width="3.33203125" style="3" customWidth="1"/>
    <col min="2" max="2" width="38" style="3" customWidth="1"/>
    <col min="3" max="6" width="10.6640625" style="3" customWidth="1"/>
    <col min="7" max="16384" width="9.109375" style="3"/>
  </cols>
  <sheetData>
    <row r="1" spans="1:6" ht="36" customHeight="1" x14ac:dyDescent="0.25">
      <c r="A1" s="103" t="s">
        <v>38</v>
      </c>
      <c r="B1" s="104"/>
      <c r="C1" s="105">
        <v>1999</v>
      </c>
      <c r="D1" s="99">
        <v>2000</v>
      </c>
      <c r="E1" s="99">
        <v>2001</v>
      </c>
      <c r="F1" s="95">
        <v>2002</v>
      </c>
    </row>
    <row r="2" spans="1:6" ht="13.5" customHeight="1" thickBot="1" x14ac:dyDescent="0.3">
      <c r="A2" s="101" t="s">
        <v>22</v>
      </c>
      <c r="B2" s="102"/>
      <c r="C2" s="106"/>
      <c r="D2" s="100"/>
      <c r="E2" s="100"/>
      <c r="F2" s="96"/>
    </row>
    <row r="3" spans="1:6" s="49" customFormat="1" ht="23.25" customHeight="1" x14ac:dyDescent="0.25">
      <c r="A3" s="15">
        <v>1</v>
      </c>
      <c r="B3" s="14" t="s">
        <v>0</v>
      </c>
      <c r="C3" s="75">
        <f>(BUTLER!C3+KENT!C3+'W&amp;I'!C3)/ALL!$F$29</f>
        <v>18.03</v>
      </c>
      <c r="D3" s="75">
        <f>(BUTLER!D3+KENT!D3+'W&amp;I'!D3)/ALL!$F$29</f>
        <v>37.563000000000002</v>
      </c>
      <c r="E3" s="75">
        <f>(BUTLER!E3+KENT!E3+'W&amp;I'!E3)/ALL!$F$29</f>
        <v>38.531999999999996</v>
      </c>
      <c r="F3" s="72">
        <f>(BUTLER!F3+KENT!F3+'W&amp;I'!F3)/ALL!$F$29</f>
        <v>46.988999999999997</v>
      </c>
    </row>
    <row r="4" spans="1:6" s="49" customFormat="1" ht="23.25" customHeight="1" x14ac:dyDescent="0.25">
      <c r="A4" s="6">
        <v>2</v>
      </c>
      <c r="B4" s="5" t="s">
        <v>1</v>
      </c>
      <c r="C4" s="67">
        <f>(BUTLER!C4+KENT!C4+'W&amp;I'!C4)/ALL!$F$29</f>
        <v>56.357999999999997</v>
      </c>
      <c r="D4" s="67">
        <f>(BUTLER!D4+KENT!D4+'W&amp;I'!D4)/ALL!$F$29</f>
        <v>57.109000000000002</v>
      </c>
      <c r="E4" s="67">
        <f>(BUTLER!E4+KENT!E4+'W&amp;I'!E4)/ALL!$F$29</f>
        <v>63.122</v>
      </c>
      <c r="F4" s="69">
        <f>(BUTLER!F4+KENT!F4+'W&amp;I'!F4)/ALL!$F$29</f>
        <v>66.661000000000001</v>
      </c>
    </row>
    <row r="5" spans="1:6" s="49" customFormat="1" ht="23.25" customHeight="1" x14ac:dyDescent="0.25">
      <c r="A5" s="15">
        <v>3</v>
      </c>
      <c r="B5" s="16" t="s">
        <v>2</v>
      </c>
      <c r="C5" s="75">
        <f>(BUTLER!C5+KENT!C5+'W&amp;I'!C5)/ALL!$F$29</f>
        <v>89.555999999999997</v>
      </c>
      <c r="D5" s="75">
        <f>(BUTLER!D5+KENT!D5+'W&amp;I'!D5)/ALL!$F$29</f>
        <v>110.749</v>
      </c>
      <c r="E5" s="75">
        <f>(BUTLER!E5+KENT!E5+'W&amp;I'!E5)/ALL!$F$29</f>
        <v>117.95699999999999</v>
      </c>
      <c r="F5" s="72">
        <f>(BUTLER!F5+KENT!F5+'W&amp;I'!F5)/ALL!$F$29</f>
        <v>121.014</v>
      </c>
    </row>
    <row r="6" spans="1:6" s="49" customFormat="1" ht="23.25" customHeight="1" x14ac:dyDescent="0.25">
      <c r="A6" s="6">
        <v>4</v>
      </c>
      <c r="B6" s="5" t="s">
        <v>3</v>
      </c>
      <c r="C6" s="67">
        <f>(BUTLER!C6+KENT!C6+'W&amp;I'!C6)/ALL!$F$29</f>
        <v>92.694999999999993</v>
      </c>
      <c r="D6" s="67">
        <f>(BUTLER!D6+KENT!D6+'W&amp;I'!D6)/ALL!$F$29</f>
        <v>91.921999999999997</v>
      </c>
      <c r="E6" s="67">
        <f>(BUTLER!E6+KENT!E6+'W&amp;I'!E6)/ALL!$F$29</f>
        <v>96.831000000000003</v>
      </c>
      <c r="F6" s="69">
        <f>(BUTLER!F6+KENT!F6+'W&amp;I'!F6)/ALL!$F$29</f>
        <v>112.43899999999999</v>
      </c>
    </row>
    <row r="7" spans="1:6" s="49" customFormat="1" ht="23.25" customHeight="1" x14ac:dyDescent="0.25">
      <c r="A7" s="15">
        <v>5</v>
      </c>
      <c r="B7" s="16" t="s">
        <v>4</v>
      </c>
      <c r="C7" s="75">
        <f>(BUTLER!C7+KENT!C7+'W&amp;I'!C7)/ALL!$F$29</f>
        <v>134.61099999999999</v>
      </c>
      <c r="D7" s="75">
        <f>(BUTLER!D7+KENT!D7+'W&amp;I'!D7)/ALL!$F$29</f>
        <v>148.06299999999999</v>
      </c>
      <c r="E7" s="75">
        <f>(BUTLER!E7+KENT!E7+'W&amp;I'!E7)/ALL!$F$29</f>
        <v>161.941</v>
      </c>
      <c r="F7" s="72">
        <f>(BUTLER!F7+KENT!F7+'W&amp;I'!F7)/ALL!$F$29</f>
        <v>176.45</v>
      </c>
    </row>
    <row r="8" spans="1:6" s="49" customFormat="1" ht="23.25" customHeight="1" x14ac:dyDescent="0.25">
      <c r="A8" s="6">
        <v>6</v>
      </c>
      <c r="B8" s="5" t="s">
        <v>5</v>
      </c>
      <c r="C8" s="67">
        <f>(BUTLER!C8+KENT!C8+'W&amp;I'!C8)/ALL!$F$29</f>
        <v>312.096</v>
      </c>
      <c r="D8" s="67">
        <f>(BUTLER!D8+KENT!D8+'W&amp;I'!D8)/ALL!$F$29</f>
        <v>342.91899999999998</v>
      </c>
      <c r="E8" s="67">
        <f>(BUTLER!E8+KENT!E8+'W&amp;I'!E8)/ALL!$F$29</f>
        <v>339.82799999999997</v>
      </c>
      <c r="F8" s="69">
        <f>(BUTLER!F8+KENT!F8+'W&amp;I'!F8)/ALL!$F$29</f>
        <v>380.25900000000001</v>
      </c>
    </row>
    <row r="9" spans="1:6" s="49" customFormat="1" ht="23.25" customHeight="1" x14ac:dyDescent="0.25">
      <c r="A9" s="15">
        <v>7</v>
      </c>
      <c r="B9" s="16" t="s">
        <v>24</v>
      </c>
      <c r="C9" s="75">
        <f>(BUTLER!C9+KENT!C9+'W&amp;I'!C9)/ALL!$F$29</f>
        <v>5.1959999999999997</v>
      </c>
      <c r="D9" s="75">
        <f>(BUTLER!D9+KENT!D9+'W&amp;I'!D9)/ALL!$F$29</f>
        <v>6.1150000000000002</v>
      </c>
      <c r="E9" s="75">
        <f>(BUTLER!E9+KENT!E9+'W&amp;I'!E9)/ALL!$F$29</f>
        <v>6.484</v>
      </c>
      <c r="F9" s="72">
        <f>(BUTLER!F9+KENT!F9+'W&amp;I'!F9)/ALL!$F$29</f>
        <v>4.2629999999999999</v>
      </c>
    </row>
    <row r="10" spans="1:6" s="49" customFormat="1" ht="23.25" customHeight="1" x14ac:dyDescent="0.25">
      <c r="A10" s="6">
        <v>8</v>
      </c>
      <c r="B10" s="5" t="s">
        <v>6</v>
      </c>
      <c r="C10" s="67">
        <f>(BUTLER!C10+KENT!C10+'W&amp;I'!C10)/ALL!$F$29</f>
        <v>74.558999999999997</v>
      </c>
      <c r="D10" s="67">
        <f>(BUTLER!D10+KENT!D10+'W&amp;I'!D10)/ALL!$F$29</f>
        <v>92.123999999999995</v>
      </c>
      <c r="E10" s="67">
        <f>(BUTLER!E10+KENT!E10+'W&amp;I'!E10)/ALL!$F$29</f>
        <v>97.361999999999995</v>
      </c>
      <c r="F10" s="69">
        <f>(BUTLER!F10+KENT!F10+'W&amp;I'!F10)/ALL!$F$29</f>
        <v>92.206000000000003</v>
      </c>
    </row>
    <row r="11" spans="1:6" s="49" customFormat="1" ht="23.25" customHeight="1" x14ac:dyDescent="0.25">
      <c r="A11" s="15">
        <v>9</v>
      </c>
      <c r="B11" s="16" t="s">
        <v>7</v>
      </c>
      <c r="C11" s="75">
        <f>(BUTLER!C11+KENT!C11+'W&amp;I'!C11)/ALL!$F$29</f>
        <v>29.718</v>
      </c>
      <c r="D11" s="75">
        <f>(BUTLER!D11+KENT!D11+'W&amp;I'!D11)/ALL!$F$29</f>
        <v>26.753</v>
      </c>
      <c r="E11" s="75">
        <f>(BUTLER!E11+KENT!E11+'W&amp;I'!E11)/ALL!$F$29</f>
        <v>21.498999999999999</v>
      </c>
      <c r="F11" s="72">
        <f>(BUTLER!F11+KENT!F11+'W&amp;I'!F11)/ALL!$F$29</f>
        <v>32.722000000000001</v>
      </c>
    </row>
    <row r="12" spans="1:6" s="49" customFormat="1" ht="23.25" customHeight="1" x14ac:dyDescent="0.25">
      <c r="A12" s="6">
        <v>10</v>
      </c>
      <c r="B12" s="5" t="s">
        <v>40</v>
      </c>
      <c r="C12" s="67">
        <f>(BUTLER!C12+KENT!C12+'W&amp;I'!C12)/ALL!$F$29</f>
        <v>153.37100000000001</v>
      </c>
      <c r="D12" s="67">
        <f>(BUTLER!D12+KENT!D12+'W&amp;I'!D12)/ALL!$F$29</f>
        <v>168.404</v>
      </c>
      <c r="E12" s="67">
        <f>(BUTLER!E12+KENT!E12+'W&amp;I'!E12)/ALL!$F$29</f>
        <v>165.59100000000001</v>
      </c>
      <c r="F12" s="69">
        <f>(BUTLER!F12+KENT!F12+'W&amp;I'!F12)/ALL!$F$29</f>
        <v>165.571</v>
      </c>
    </row>
    <row r="13" spans="1:6" s="49" customFormat="1" ht="23.25" customHeight="1" x14ac:dyDescent="0.25">
      <c r="A13" s="15">
        <v>11</v>
      </c>
      <c r="B13" s="16" t="s">
        <v>8</v>
      </c>
      <c r="C13" s="75">
        <f>(BUTLER!C13+KENT!C13+'W&amp;I'!C13)/ALL!$F$29</f>
        <v>301.18599999999998</v>
      </c>
      <c r="D13" s="75">
        <f>(BUTLER!D13+KENT!D13+'W&amp;I'!D13)/ALL!$F$29</f>
        <v>327.44099999999997</v>
      </c>
      <c r="E13" s="75">
        <f>(BUTLER!E13+KENT!E13+'W&amp;I'!E13)/ALL!$F$29</f>
        <v>356.40699999999998</v>
      </c>
      <c r="F13" s="72">
        <f>(BUTLER!F13+KENT!F13+'W&amp;I'!F13)/ALL!$F$29</f>
        <v>393.75</v>
      </c>
    </row>
    <row r="14" spans="1:6" s="49" customFormat="1" ht="23.25" customHeight="1" x14ac:dyDescent="0.25">
      <c r="A14" s="6">
        <v>12</v>
      </c>
      <c r="B14" s="5" t="s">
        <v>9</v>
      </c>
      <c r="C14" s="67">
        <f>(BUTLER!C14+KENT!C14+'W&amp;I'!C14)/ALL!$F$29</f>
        <v>30.38</v>
      </c>
      <c r="D14" s="67">
        <f>(BUTLER!D14+KENT!D14+'W&amp;I'!D14)/ALL!$F$29</f>
        <v>30.795000000000002</v>
      </c>
      <c r="E14" s="67">
        <f>(BUTLER!E14+KENT!E14+'W&amp;I'!E14)/ALL!$F$29</f>
        <v>32.996000000000002</v>
      </c>
      <c r="F14" s="69">
        <f>(BUTLER!F14+KENT!F14+'W&amp;I'!F14)/ALL!$F$29</f>
        <v>32.149000000000001</v>
      </c>
    </row>
    <row r="15" spans="1:6" s="49" customFormat="1" ht="23.25" customHeight="1" x14ac:dyDescent="0.25">
      <c r="A15" s="15">
        <v>13</v>
      </c>
      <c r="B15" s="16" t="s">
        <v>10</v>
      </c>
      <c r="C15" s="75">
        <f>(BUTLER!C15+KENT!C15+'W&amp;I'!C15)/ALL!$F$29</f>
        <v>331.56599999999997</v>
      </c>
      <c r="D15" s="75">
        <f>(BUTLER!D15+KENT!D15+'W&amp;I'!D15)/ALL!$F$29</f>
        <v>358.23599999999999</v>
      </c>
      <c r="E15" s="75">
        <f>(BUTLER!E15+KENT!E15+'W&amp;I'!E15)/ALL!$F$29</f>
        <v>389.40300000000002</v>
      </c>
      <c r="F15" s="72">
        <f>(BUTLER!F15+KENT!F15+'W&amp;I'!F15)/ALL!$F$29</f>
        <v>425.899</v>
      </c>
    </row>
    <row r="16" spans="1:6" s="49" customFormat="1" ht="23.25" customHeight="1" x14ac:dyDescent="0.25">
      <c r="A16" s="6">
        <v>14</v>
      </c>
      <c r="B16" s="5" t="s">
        <v>11</v>
      </c>
      <c r="C16" s="67">
        <f>(BUTLER!C16+KENT!C16+'W&amp;I'!C16)/ALL!$F$29</f>
        <v>2.2839999999999998</v>
      </c>
      <c r="D16" s="67">
        <f>(BUTLER!D16+KENT!D16+'W&amp;I'!D16)/ALL!$F$29</f>
        <v>2.2519999999999998</v>
      </c>
      <c r="E16" s="67">
        <f>(BUTLER!E16+KENT!E16+'W&amp;I'!E16)/ALL!$F$29</f>
        <v>2.1579999999999999</v>
      </c>
      <c r="F16" s="69">
        <f>(BUTLER!F16+KENT!F16+'W&amp;I'!F16)/ALL!$F$29</f>
        <v>2.117</v>
      </c>
    </row>
    <row r="17" spans="1:6" s="49" customFormat="1" ht="23.25" customHeight="1" x14ac:dyDescent="0.25">
      <c r="A17" s="15">
        <v>15</v>
      </c>
      <c r="B17" s="16" t="s">
        <v>12</v>
      </c>
      <c r="C17" s="75">
        <f>(BUTLER!C17+KENT!C17+'W&amp;I'!C17)/ALL!$F$29</f>
        <v>12.869</v>
      </c>
      <c r="D17" s="75">
        <f>(BUTLER!D17+KENT!D17+'W&amp;I'!D17)/ALL!$F$29</f>
        <v>14.004</v>
      </c>
      <c r="E17" s="75">
        <f>(BUTLER!E17+KENT!E17+'W&amp;I'!E17)/ALL!$F$29</f>
        <v>14.207000000000001</v>
      </c>
      <c r="F17" s="72">
        <f>(BUTLER!F17+KENT!F17+'W&amp;I'!F17)/ALL!$F$29</f>
        <v>14.874000000000001</v>
      </c>
    </row>
    <row r="18" spans="1:6" s="49" customFormat="1" ht="23.25" customHeight="1" x14ac:dyDescent="0.25">
      <c r="A18" s="6">
        <v>16</v>
      </c>
      <c r="B18" s="5" t="s">
        <v>30</v>
      </c>
      <c r="C18" s="67">
        <f>(BUTLER!C18+KENT!C18+'W&amp;I'!C18)/ALL!$F$29</f>
        <v>219.18260000000001</v>
      </c>
      <c r="D18" s="67">
        <f>(BUTLER!D18+KENT!D18+'W&amp;I'!D18)/ALL!$F$29</f>
        <v>228.6807</v>
      </c>
      <c r="E18" s="67">
        <f>(BUTLER!E18+KENT!E18+'W&amp;I'!E18)/ALL!$F$29</f>
        <v>246.56840000000003</v>
      </c>
      <c r="F18" s="69">
        <f>(BUTLER!F18+KENT!F18+'W&amp;I'!F18)/ALL!$F$29</f>
        <v>270.286</v>
      </c>
    </row>
    <row r="19" spans="1:6" s="49" customFormat="1" ht="23.25" customHeight="1" x14ac:dyDescent="0.25">
      <c r="A19" s="15">
        <v>17</v>
      </c>
      <c r="B19" s="16" t="s">
        <v>13</v>
      </c>
      <c r="C19" s="75">
        <f>(BUTLER!C19+KENT!C19+'W&amp;I'!C19)/ALL!$F$29</f>
        <v>12.742000000000001</v>
      </c>
      <c r="D19" s="75">
        <f>(BUTLER!D19+KENT!D19+'W&amp;I'!D19)/ALL!$F$29</f>
        <v>11.063000000000001</v>
      </c>
      <c r="E19" s="75">
        <f>(BUTLER!E19+KENT!E19+'W&amp;I'!E19)/ALL!$F$29</f>
        <v>10.772</v>
      </c>
      <c r="F19" s="72">
        <f>(BUTLER!F19+KENT!F19+'W&amp;I'!F19)/ALL!$F$29</f>
        <v>8.6760000000000002</v>
      </c>
    </row>
    <row r="20" spans="1:6" s="49" customFormat="1" ht="23.25" customHeight="1" x14ac:dyDescent="0.25">
      <c r="A20" s="6">
        <v>18</v>
      </c>
      <c r="B20" s="5" t="s">
        <v>84</v>
      </c>
      <c r="C20" s="67">
        <f>(BUTLER!C20+KENT!C20+'W&amp;I'!C20)/ALL!$F$29</f>
        <v>342.38499999999999</v>
      </c>
      <c r="D20" s="67">
        <f>(BUTLER!D20+KENT!D20+'W&amp;I'!D20)/ALL!$F$29</f>
        <v>357.22199999999998</v>
      </c>
      <c r="E20" s="67">
        <f>(BUTLER!E20+KENT!E20+'W&amp;I'!E20)/ALL!$F$29</f>
        <v>383.38400000000001</v>
      </c>
      <c r="F20" s="69">
        <f>(BUTLER!F20+KENT!F20+'W&amp;I'!F20)/ALL!$F$29</f>
        <v>419.74200000000002</v>
      </c>
    </row>
    <row r="21" spans="1:6" s="49" customFormat="1" ht="23.25" customHeight="1" x14ac:dyDescent="0.25">
      <c r="A21" s="15">
        <v>19</v>
      </c>
      <c r="B21" s="16" t="s">
        <v>14</v>
      </c>
      <c r="C21" s="75">
        <f>(BUTLER!C21+KENT!C21+'W&amp;I'!C21)/ALL!$F$29</f>
        <v>-10.819000000000001</v>
      </c>
      <c r="D21" s="75">
        <f>(BUTLER!D21+KENT!D21+'W&amp;I'!D21)/ALL!$F$29</f>
        <v>1.0129999999999999</v>
      </c>
      <c r="E21" s="75">
        <f>(BUTLER!E21+KENT!E21+'W&amp;I'!E21)/ALL!$F$29</f>
        <v>6.0190000000000001</v>
      </c>
      <c r="F21" s="72">
        <f>(BUTLER!F21+KENT!F21+'W&amp;I'!F21)/ALL!$F$29</f>
        <v>6.157</v>
      </c>
    </row>
    <row r="22" spans="1:6" s="49" customFormat="1" ht="23.25" customHeight="1" x14ac:dyDescent="0.25">
      <c r="A22" s="6">
        <v>20</v>
      </c>
      <c r="B22" s="5" t="s">
        <v>15</v>
      </c>
      <c r="C22" s="67">
        <f>(BUTLER!C22+KENT!C22+'W&amp;I'!C22)/ALL!$F$29</f>
        <v>3.66</v>
      </c>
      <c r="D22" s="67">
        <f>(BUTLER!D22+KENT!D22+'W&amp;I'!D22)/ALL!$F$29</f>
        <v>4.0030000000000001</v>
      </c>
      <c r="E22" s="67">
        <f>(BUTLER!E22+KENT!E22+'W&amp;I'!E22)/ALL!$F$29</f>
        <v>1.5489999999999999</v>
      </c>
      <c r="F22" s="69">
        <f>(BUTLER!F22+KENT!F22+'W&amp;I'!F22)/ALL!$F$29</f>
        <v>-0.14099999999999999</v>
      </c>
    </row>
    <row r="23" spans="1:6" s="49" customFormat="1" ht="23.25" customHeight="1" x14ac:dyDescent="0.25">
      <c r="A23" s="15">
        <v>21</v>
      </c>
      <c r="B23" s="16" t="s">
        <v>16</v>
      </c>
      <c r="C23" s="75">
        <f>(BUTLER!C23+KENT!C23+'W&amp;I'!C23)/ALL!$F$29</f>
        <v>-7.1589999999999998</v>
      </c>
      <c r="D23" s="75">
        <f>(BUTLER!D23+KENT!D23+'W&amp;I'!D23)/ALL!$F$29</f>
        <v>5.0149999999999997</v>
      </c>
      <c r="E23" s="75">
        <f>(BUTLER!E23+KENT!E23+'W&amp;I'!E23)/ALL!$F$29</f>
        <v>7.5670000000000002</v>
      </c>
      <c r="F23" s="72">
        <f>(BUTLER!F23+KENT!F23+'W&amp;I'!F23)/ALL!$F$29</f>
        <v>6.016</v>
      </c>
    </row>
    <row r="24" spans="1:6" s="49" customFormat="1" ht="23.25" customHeight="1" x14ac:dyDescent="0.25">
      <c r="A24" s="6">
        <v>22</v>
      </c>
      <c r="B24" s="5" t="s">
        <v>18</v>
      </c>
      <c r="C24" s="67">
        <f>(BUTLER!C24+KENT!C24+'W&amp;I'!C24)/ALL!$F$29</f>
        <v>12.595000000000001</v>
      </c>
      <c r="D24" s="67">
        <f>(BUTLER!D24+KENT!D24+'W&amp;I'!D24)/ALL!$F$29</f>
        <v>13.246</v>
      </c>
      <c r="E24" s="67">
        <f>(BUTLER!E24+KENT!E24+'W&amp;I'!E24)/ALL!$F$29</f>
        <v>18.783999999999999</v>
      </c>
      <c r="F24" s="69">
        <f>(BUTLER!F24+KENT!F24+'W&amp;I'!F24)/ALL!$F$29</f>
        <v>30.315000000000001</v>
      </c>
    </row>
    <row r="25" spans="1:6" s="49" customFormat="1" ht="23.25" customHeight="1" x14ac:dyDescent="0.25">
      <c r="A25" s="15">
        <v>23</v>
      </c>
      <c r="B25" s="16" t="s">
        <v>81</v>
      </c>
      <c r="C25" s="75">
        <f>(BUTLER!C25+KENT!C25+'W&amp;I'!C25)/ALL!$F$29</f>
        <v>129.66200000000001</v>
      </c>
      <c r="D25" s="75">
        <f>(BUTLER!D25+KENT!D25+'W&amp;I'!D25)/ALL!$F$29</f>
        <v>138.91800000000001</v>
      </c>
      <c r="E25" s="75">
        <f>(BUTLER!E25+KENT!E25+'W&amp;I'!E25)/ALL!$F$29</f>
        <v>124.3</v>
      </c>
      <c r="F25" s="72">
        <f>(BUTLER!F25+KENT!F25+'W&amp;I'!F25)/ALL!$F$29</f>
        <v>147.37700000000001</v>
      </c>
    </row>
    <row r="26" spans="1:6" s="49" customFormat="1" ht="23.25" customHeight="1" x14ac:dyDescent="0.25">
      <c r="A26" s="6">
        <v>24</v>
      </c>
      <c r="B26" s="5" t="s">
        <v>19</v>
      </c>
      <c r="C26" s="67">
        <f>(BUTLER!C26+KENT!C26+'W&amp;I'!C26)/ALL!$F$29</f>
        <v>10.653</v>
      </c>
      <c r="D26" s="67">
        <f>(BUTLER!D26+KENT!D26+'W&amp;I'!D26)/ALL!$F$29</f>
        <v>14.561</v>
      </c>
      <c r="E26" s="67">
        <f>(BUTLER!E26+KENT!E26+'W&amp;I'!E26)/ALL!$F$29</f>
        <v>17.712</v>
      </c>
      <c r="F26" s="69">
        <f>(BUTLER!F26+KENT!F26+'W&amp;I'!F26)/ALL!$F$29</f>
        <v>17.946999999999999</v>
      </c>
    </row>
    <row r="27" spans="1:6" s="49" customFormat="1" ht="23.25" customHeight="1" thickBot="1" x14ac:dyDescent="0.3">
      <c r="A27" s="17">
        <v>25</v>
      </c>
      <c r="B27" s="18" t="s">
        <v>20</v>
      </c>
      <c r="C27" s="77">
        <f>(BUTLER!C27+KENT!C27+'W&amp;I'!C27)/ALL!$F$29</f>
        <v>6.4320000000000004</v>
      </c>
      <c r="D27" s="77">
        <f>(BUTLER!D27+KENT!D27+'W&amp;I'!D27)/ALL!$F$29</f>
        <v>8.5220000000000002</v>
      </c>
      <c r="E27" s="77">
        <f>(BUTLER!E27+KENT!E27+'W&amp;I'!E27)/ALL!$F$29</f>
        <v>10.365</v>
      </c>
      <c r="F27" s="74">
        <f>(BUTLER!F27+KENT!F27+'W&amp;I'!F27)/ALL!$F$29</f>
        <v>11.013</v>
      </c>
    </row>
    <row r="28" spans="1:6" ht="12.75" customHeight="1" x14ac:dyDescent="0.25">
      <c r="A28" s="63"/>
      <c r="B28" s="10"/>
    </row>
    <row r="29" spans="1:6" ht="12.75" customHeight="1" x14ac:dyDescent="0.25">
      <c r="A29" s="70" t="s">
        <v>87</v>
      </c>
    </row>
    <row r="30" spans="1:6" ht="12.75" customHeight="1" x14ac:dyDescent="0.25">
      <c r="A30" s="76" t="s">
        <v>89</v>
      </c>
      <c r="B30" s="12"/>
      <c r="C30" s="12"/>
      <c r="D30" s="12"/>
    </row>
  </sheetData>
  <mergeCells count="6">
    <mergeCell ref="F1:F2"/>
    <mergeCell ref="A1:B1"/>
    <mergeCell ref="A2:B2"/>
    <mergeCell ref="E1:E2"/>
    <mergeCell ref="D1:D2"/>
    <mergeCell ref="C1:C2"/>
  </mergeCells>
  <phoneticPr fontId="0" type="noConversion"/>
  <printOptions horizontalCentered="1"/>
  <pageMargins left="1" right="0.75" top="1.25" bottom="0.75" header="0" footer="0"/>
  <pageSetup orientation="portrait" r:id="rId1"/>
  <headerFooter alignWithMargins="0">
    <oddHeader>&amp;L&amp;"Arial,Italic"Hospital Financial Dataset (2002)&amp;C&amp;"Arial,Italic"&amp;11 &amp;R&amp;"Arial,Bold Italic"&amp;14 3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22" workbookViewId="0">
      <selection activeCell="A31" sqref="A31"/>
    </sheetView>
  </sheetViews>
  <sheetFormatPr defaultColWidth="9.109375" defaultRowHeight="13.2" x14ac:dyDescent="0.25"/>
  <cols>
    <col min="1" max="1" width="3.33203125" style="3" customWidth="1"/>
    <col min="2" max="2" width="38" style="3" customWidth="1"/>
    <col min="3" max="6" width="10.6640625" style="3" customWidth="1"/>
    <col min="7" max="16384" width="9.109375" style="3"/>
  </cols>
  <sheetData>
    <row r="1" spans="1:6" ht="30.75" customHeight="1" x14ac:dyDescent="0.25">
      <c r="A1" s="107" t="s">
        <v>37</v>
      </c>
      <c r="B1" s="108"/>
      <c r="C1" s="105">
        <v>1999</v>
      </c>
      <c r="D1" s="99">
        <v>2000</v>
      </c>
      <c r="E1" s="99">
        <v>2001</v>
      </c>
      <c r="F1" s="95">
        <v>2002</v>
      </c>
    </row>
    <row r="2" spans="1:6" ht="13.5" customHeight="1" thickBot="1" x14ac:dyDescent="0.3">
      <c r="A2" s="101" t="s">
        <v>23</v>
      </c>
      <c r="B2" s="102"/>
      <c r="C2" s="106"/>
      <c r="D2" s="100"/>
      <c r="E2" s="100"/>
      <c r="F2" s="96"/>
    </row>
    <row r="3" spans="1:6" s="49" customFormat="1" ht="23.25" customHeight="1" x14ac:dyDescent="0.25">
      <c r="A3" s="15">
        <v>1</v>
      </c>
      <c r="B3" s="14" t="s">
        <v>0</v>
      </c>
      <c r="C3" s="75">
        <f>(BRADLEY!C3+MIRIAM!C3+NEWPORT!C3+RIH!C3)/ALL!$F$29</f>
        <v>20.83</v>
      </c>
      <c r="D3" s="75">
        <f>(BRADLEY!D3+MIRIAM!D3+NEWPORT!D3+RIH!D3)/ALL!$F$29</f>
        <v>44.552</v>
      </c>
      <c r="E3" s="75">
        <f>(BRADLEY!E3+MIRIAM!E3+NEWPORT!E3+RIH!E3)/ALL!$F$29</f>
        <v>38.71</v>
      </c>
      <c r="F3" s="72">
        <f>(BRADLEY!F3+MIRIAM!F3+NEWPORT!F3+RIH!F3)/ALL!$F$29</f>
        <v>87.81</v>
      </c>
    </row>
    <row r="4" spans="1:6" s="49" customFormat="1" ht="23.25" customHeight="1" x14ac:dyDescent="0.25">
      <c r="A4" s="6">
        <v>2</v>
      </c>
      <c r="B4" s="5" t="s">
        <v>1</v>
      </c>
      <c r="C4" s="67">
        <f>(BRADLEY!C4+MIRIAM!C4+NEWPORT!C4+RIH!C4)/ALL!$F$29</f>
        <v>149.947</v>
      </c>
      <c r="D4" s="67">
        <f>(BRADLEY!D4+MIRIAM!D4+NEWPORT!D4+RIH!D4)/ALL!$F$29</f>
        <v>131.786</v>
      </c>
      <c r="E4" s="67">
        <f>(BRADLEY!E4+MIRIAM!E4+NEWPORT!E4+RIH!E4)/ALL!$F$29</f>
        <v>121.58499999999999</v>
      </c>
      <c r="F4" s="69">
        <f>(BRADLEY!F4+MIRIAM!F4+NEWPORT!F4+RIH!F4)/ALL!$F$29</f>
        <v>125.702</v>
      </c>
    </row>
    <row r="5" spans="1:6" s="49" customFormat="1" ht="23.25" customHeight="1" x14ac:dyDescent="0.25">
      <c r="A5" s="15">
        <v>3</v>
      </c>
      <c r="B5" s="16" t="s">
        <v>2</v>
      </c>
      <c r="C5" s="75">
        <f>(BRADLEY!C5+MIRIAM!C5+NEWPORT!C5+RIH!C5)/ALL!$F$29</f>
        <v>197.08799999999999</v>
      </c>
      <c r="D5" s="75">
        <f>(BRADLEY!D5+MIRIAM!D5+NEWPORT!D5+RIH!D5)/ALL!$F$29</f>
        <v>200.43799999999999</v>
      </c>
      <c r="E5" s="75">
        <f>(BRADLEY!E5+MIRIAM!E5+NEWPORT!E5+RIH!E5)/ALL!$F$29</f>
        <v>189.84299999999999</v>
      </c>
      <c r="F5" s="72">
        <f>(BRADLEY!F5+MIRIAM!F5+NEWPORT!F5+RIH!F5)/ALL!$F$29</f>
        <v>192.57300000000001</v>
      </c>
    </row>
    <row r="6" spans="1:6" s="49" customFormat="1" ht="23.25" customHeight="1" x14ac:dyDescent="0.25">
      <c r="A6" s="6">
        <v>4</v>
      </c>
      <c r="B6" s="5" t="s">
        <v>3</v>
      </c>
      <c r="C6" s="67">
        <f>(BRADLEY!C6+MIRIAM!C6+NEWPORT!C6+RIH!C6)/ALL!$F$29</f>
        <v>314.63099999999997</v>
      </c>
      <c r="D6" s="67">
        <f>(BRADLEY!D6+MIRIAM!D6+NEWPORT!D6+RIH!D6)/ALL!$F$29</f>
        <v>331.81599999999997</v>
      </c>
      <c r="E6" s="67">
        <f>(BRADLEY!E6+MIRIAM!E6+NEWPORT!E6+RIH!E6)/ALL!$F$29</f>
        <v>371.26</v>
      </c>
      <c r="F6" s="69">
        <f>(BRADLEY!F6+MIRIAM!F6+NEWPORT!F6+RIH!F6)/ALL!$F$29</f>
        <v>419.05599999999998</v>
      </c>
    </row>
    <row r="7" spans="1:6" s="49" customFormat="1" ht="23.25" customHeight="1" x14ac:dyDescent="0.25">
      <c r="A7" s="15">
        <v>5</v>
      </c>
      <c r="B7" s="16" t="s">
        <v>4</v>
      </c>
      <c r="C7" s="75">
        <f>(BRADLEY!C7+MIRIAM!C7+NEWPORT!C7+RIH!C7)/ALL!$F$29</f>
        <v>327.54700000000003</v>
      </c>
      <c r="D7" s="75">
        <f>(BRADLEY!D7+MIRIAM!D7+NEWPORT!D7+RIH!D7)/ALL!$F$29</f>
        <v>360.10700000000003</v>
      </c>
      <c r="E7" s="75">
        <f>(BRADLEY!E7+MIRIAM!E7+NEWPORT!E7+RIH!E7)/ALL!$F$29</f>
        <v>391.81099999999998</v>
      </c>
      <c r="F7" s="72">
        <f>(BRADLEY!F7+MIRIAM!F7+NEWPORT!F7+RIH!F7)/ALL!$F$29</f>
        <v>426.07900000000001</v>
      </c>
    </row>
    <row r="8" spans="1:6" s="49" customFormat="1" ht="23.25" customHeight="1" x14ac:dyDescent="0.25">
      <c r="A8" s="6">
        <v>6</v>
      </c>
      <c r="B8" s="5" t="s">
        <v>5</v>
      </c>
      <c r="C8" s="67">
        <f>(BRADLEY!C8+MIRIAM!C8+NEWPORT!C8+RIH!C8)/ALL!$F$29</f>
        <v>1231.356</v>
      </c>
      <c r="D8" s="67">
        <f>(BRADLEY!D8+MIRIAM!D8+NEWPORT!D8+RIH!D8)/ALL!$F$29</f>
        <v>1268.7719999999999</v>
      </c>
      <c r="E8" s="67">
        <f>(BRADLEY!E8+MIRIAM!E8+NEWPORT!E8+RIH!E8)/ALL!$F$29</f>
        <v>1136.6179999999999</v>
      </c>
      <c r="F8" s="69">
        <f>(BRADLEY!F8+MIRIAM!F8+NEWPORT!F8+RIH!F8)/ALL!$F$29</f>
        <v>1276.5360000000001</v>
      </c>
    </row>
    <row r="9" spans="1:6" s="49" customFormat="1" ht="23.25" customHeight="1" x14ac:dyDescent="0.25">
      <c r="A9" s="15">
        <v>7</v>
      </c>
      <c r="B9" s="16" t="s">
        <v>24</v>
      </c>
      <c r="C9" s="75">
        <f>(BRADLEY!C9+MIRIAM!C9+NEWPORT!C9+RIH!C9)/ALL!$F$29</f>
        <v>7.3019999999999996</v>
      </c>
      <c r="D9" s="75">
        <f>(BRADLEY!D9+MIRIAM!D9+NEWPORT!D9+RIH!D9)/ALL!$F$29</f>
        <v>4.4000000000000004</v>
      </c>
      <c r="E9" s="75">
        <f>(BRADLEY!E9+MIRIAM!E9+NEWPORT!E9+RIH!E9)/ALL!$F$29</f>
        <v>4.5949999999999998</v>
      </c>
      <c r="F9" s="72">
        <f>(BRADLEY!F9+MIRIAM!F9+NEWPORT!F9+RIH!F9)/ALL!$F$29</f>
        <v>5.88</v>
      </c>
    </row>
    <row r="10" spans="1:6" s="49" customFormat="1" ht="23.25" customHeight="1" x14ac:dyDescent="0.25">
      <c r="A10" s="6">
        <v>8</v>
      </c>
      <c r="B10" s="5" t="s">
        <v>6</v>
      </c>
      <c r="C10" s="67">
        <f>(BRADLEY!C10+MIRIAM!C10+NEWPORT!C10+RIH!C10)/ALL!$F$29</f>
        <v>104.86499999999999</v>
      </c>
      <c r="D10" s="67">
        <f>(BRADLEY!D10+MIRIAM!D10+NEWPORT!D10+RIH!D10)/ALL!$F$29</f>
        <v>110.911</v>
      </c>
      <c r="E10" s="67">
        <f>(BRADLEY!E10+MIRIAM!E10+NEWPORT!E10+RIH!E10)/ALL!$F$29</f>
        <v>109.446</v>
      </c>
      <c r="F10" s="69">
        <f>(BRADLEY!F10+MIRIAM!F10+NEWPORT!F10+RIH!F10)/ALL!$F$29</f>
        <v>121.974</v>
      </c>
    </row>
    <row r="11" spans="1:6" s="49" customFormat="1" ht="23.25" customHeight="1" x14ac:dyDescent="0.25">
      <c r="A11" s="15">
        <v>9</v>
      </c>
      <c r="B11" s="16" t="s">
        <v>7</v>
      </c>
      <c r="C11" s="75">
        <f>(BRADLEY!C11+MIRIAM!C11+NEWPORT!C11+RIH!C11)/ALL!$F$29</f>
        <v>240.87200000000001</v>
      </c>
      <c r="D11" s="75">
        <f>(BRADLEY!D11+MIRIAM!D11+NEWPORT!D11+RIH!D11)/ALL!$F$29</f>
        <v>235.96</v>
      </c>
      <c r="E11" s="75">
        <f>(BRADLEY!E11+MIRIAM!E11+NEWPORT!E11+RIH!E11)/ALL!$F$29</f>
        <v>231.36500000000001</v>
      </c>
      <c r="F11" s="72">
        <f>(BRADLEY!F11+MIRIAM!F11+NEWPORT!F11+RIH!F11)/ALL!$F$29</f>
        <v>302.029</v>
      </c>
    </row>
    <row r="12" spans="1:6" s="49" customFormat="1" ht="23.25" customHeight="1" x14ac:dyDescent="0.25">
      <c r="A12" s="6">
        <v>10</v>
      </c>
      <c r="B12" s="5" t="s">
        <v>40</v>
      </c>
      <c r="C12" s="67">
        <f>(BRADLEY!C12+MIRIAM!C12+NEWPORT!C12+RIH!C12)/ALL!$F$29</f>
        <v>768.96799999999996</v>
      </c>
      <c r="D12" s="67">
        <f>(BRADLEY!D12+MIRIAM!D12+NEWPORT!D12+RIH!D12)/ALL!$F$29</f>
        <v>821.79300000000001</v>
      </c>
      <c r="E12" s="67">
        <f>(BRADLEY!E12+MIRIAM!E12+NEWPORT!E12+RIH!E12)/ALL!$F$29</f>
        <v>714.44</v>
      </c>
      <c r="F12" s="69">
        <f>(BRADLEY!F12+MIRIAM!F12+NEWPORT!F12+RIH!F12)/ALL!$F$29</f>
        <v>740.23099999999999</v>
      </c>
    </row>
    <row r="13" spans="1:6" s="49" customFormat="1" ht="23.25" customHeight="1" x14ac:dyDescent="0.25">
      <c r="A13" s="15">
        <v>11</v>
      </c>
      <c r="B13" s="16" t="s">
        <v>8</v>
      </c>
      <c r="C13" s="75">
        <f>(BRADLEY!C13+MIRIAM!C13+NEWPORT!C13+RIH!C13)/ALL!$F$29</f>
        <v>597.70500000000004</v>
      </c>
      <c r="D13" s="75">
        <f>(BRADLEY!D13+MIRIAM!D13+NEWPORT!D13+RIH!D13)/ALL!$F$29</f>
        <v>644.93799999999999</v>
      </c>
      <c r="E13" s="75">
        <f>(BRADLEY!E13+MIRIAM!E13+NEWPORT!E13+RIH!E13)/ALL!$F$29</f>
        <v>721.50599999999997</v>
      </c>
      <c r="F13" s="72">
        <f>(BRADLEY!F13+MIRIAM!F13+NEWPORT!F13+RIH!F13)/ALL!$F$29</f>
        <v>830.03700000000003</v>
      </c>
    </row>
    <row r="14" spans="1:6" s="49" customFormat="1" ht="23.25" customHeight="1" x14ac:dyDescent="0.25">
      <c r="A14" s="6">
        <v>12</v>
      </c>
      <c r="B14" s="5" t="s">
        <v>9</v>
      </c>
      <c r="C14" s="67">
        <f>(BRADLEY!C14+MIRIAM!C14+NEWPORT!C14+RIH!C14)/ALL!$F$29</f>
        <v>87.801000000000002</v>
      </c>
      <c r="D14" s="67">
        <f>(BRADLEY!D14+MIRIAM!D14+NEWPORT!D14+RIH!D14)/ALL!$F$29</f>
        <v>84.957999999999998</v>
      </c>
      <c r="E14" s="67">
        <f>(BRADLEY!E14+MIRIAM!E14+NEWPORT!E14+RIH!E14)/ALL!$F$29</f>
        <v>101.44199999999999</v>
      </c>
      <c r="F14" s="69">
        <f>(BRADLEY!F14+MIRIAM!F14+NEWPORT!F14+RIH!F14)/ALL!$F$29</f>
        <v>118.913</v>
      </c>
    </row>
    <row r="15" spans="1:6" s="49" customFormat="1" ht="23.25" customHeight="1" x14ac:dyDescent="0.25">
      <c r="A15" s="15">
        <v>13</v>
      </c>
      <c r="B15" s="16" t="s">
        <v>10</v>
      </c>
      <c r="C15" s="75">
        <f>(BRADLEY!C15+MIRIAM!C15+NEWPORT!C15+RIH!C15)/ALL!$F$29</f>
        <v>685.50599999999997</v>
      </c>
      <c r="D15" s="75">
        <f>(BRADLEY!D15+MIRIAM!D15+NEWPORT!D15+RIH!D15)/ALL!$F$29</f>
        <v>729.89599999999996</v>
      </c>
      <c r="E15" s="75">
        <f>(BRADLEY!E15+MIRIAM!E15+NEWPORT!E15+RIH!E15)/ALL!$F$29</f>
        <v>822.94799999999998</v>
      </c>
      <c r="F15" s="72">
        <f>(BRADLEY!F15+MIRIAM!F15+NEWPORT!F15+RIH!F15)/ALL!$F$29</f>
        <v>948.95</v>
      </c>
    </row>
    <row r="16" spans="1:6" s="49" customFormat="1" ht="23.25" customHeight="1" x14ac:dyDescent="0.25">
      <c r="A16" s="6">
        <v>14</v>
      </c>
      <c r="B16" s="5" t="s">
        <v>11</v>
      </c>
      <c r="C16" s="67">
        <f>(BRADLEY!C16+MIRIAM!C16+NEWPORT!C16+RIH!C16)/ALL!$F$29</f>
        <v>13.994</v>
      </c>
      <c r="D16" s="67">
        <f>(BRADLEY!D16+MIRIAM!D16+NEWPORT!D16+RIH!D16)/ALL!$F$29</f>
        <v>12.714</v>
      </c>
      <c r="E16" s="67">
        <f>(BRADLEY!E16+MIRIAM!E16+NEWPORT!E16+RIH!E16)/ALL!$F$29</f>
        <v>12.943</v>
      </c>
      <c r="F16" s="69">
        <f>(BRADLEY!F16+MIRIAM!F16+NEWPORT!F16+RIH!F16)/ALL!$F$29</f>
        <v>13.188000000000001</v>
      </c>
    </row>
    <row r="17" spans="1:6" s="49" customFormat="1" ht="23.25" customHeight="1" x14ac:dyDescent="0.25">
      <c r="A17" s="15">
        <v>15</v>
      </c>
      <c r="B17" s="16" t="s">
        <v>12</v>
      </c>
      <c r="C17" s="75">
        <f>(BRADLEY!C17+MIRIAM!C17+NEWPORT!C17+RIH!C17)/ALL!$F$29</f>
        <v>41.305999999999997</v>
      </c>
      <c r="D17" s="75">
        <f>(BRADLEY!D17+MIRIAM!D17+NEWPORT!D17+RIH!D17)/ALL!$F$29</f>
        <v>45.472000000000001</v>
      </c>
      <c r="E17" s="75">
        <f>(BRADLEY!E17+MIRIAM!E17+NEWPORT!E17+RIH!E17)/ALL!$F$29</f>
        <v>43.024999999999999</v>
      </c>
      <c r="F17" s="72">
        <f>(BRADLEY!F17+MIRIAM!F17+NEWPORT!F17+RIH!F17)/ALL!$F$29</f>
        <v>49.066000000000003</v>
      </c>
    </row>
    <row r="18" spans="1:6" s="49" customFormat="1" ht="23.25" customHeight="1" x14ac:dyDescent="0.25">
      <c r="A18" s="6">
        <v>16</v>
      </c>
      <c r="B18" s="5" t="s">
        <v>30</v>
      </c>
      <c r="C18" s="67">
        <f>(BRADLEY!C18+MIRIAM!C18+NEWPORT!C18+RIH!C18)/ALL!$F$29</f>
        <v>352.70400000000001</v>
      </c>
      <c r="D18" s="67">
        <f>(BRADLEY!D18+MIRIAM!D18+NEWPORT!D18+RIH!D18)/ALL!$F$29</f>
        <v>363.2561</v>
      </c>
      <c r="E18" s="67">
        <f>(BRADLEY!E18+MIRIAM!E18+NEWPORT!E18+RIH!E18)/ALL!$F$29</f>
        <v>397.23809999999997</v>
      </c>
      <c r="F18" s="69">
        <f>(BRADLEY!F18+MIRIAM!F18+NEWPORT!F18+RIH!F18)/ALL!$F$29</f>
        <v>450.72219999999999</v>
      </c>
    </row>
    <row r="19" spans="1:6" s="49" customFormat="1" ht="23.25" customHeight="1" x14ac:dyDescent="0.25">
      <c r="A19" s="15">
        <v>17</v>
      </c>
      <c r="B19" s="16" t="s">
        <v>13</v>
      </c>
      <c r="C19" s="75">
        <f>(BRADLEY!C19+MIRIAM!C19+NEWPORT!C19+RIH!C19)/ALL!$F$29</f>
        <v>49.3</v>
      </c>
      <c r="D19" s="75">
        <f>(BRADLEY!D19+MIRIAM!D19+NEWPORT!D19+RIH!D19)/ALL!$F$29</f>
        <v>44.944000000000003</v>
      </c>
      <c r="E19" s="75">
        <f>(BRADLEY!E19+MIRIAM!E19+NEWPORT!E19+RIH!E19)/ALL!$F$29</f>
        <v>55.322000000000003</v>
      </c>
      <c r="F19" s="72">
        <f>(BRADLEY!F19+MIRIAM!F19+NEWPORT!F19+RIH!F19)/ALL!$F$29</f>
        <v>58.061999999999998</v>
      </c>
    </row>
    <row r="20" spans="1:6" s="49" customFormat="1" ht="23.25" customHeight="1" x14ac:dyDescent="0.25">
      <c r="A20" s="6">
        <v>18</v>
      </c>
      <c r="B20" s="5" t="s">
        <v>84</v>
      </c>
      <c r="C20" s="67">
        <f>(BRADLEY!C20+MIRIAM!C20+NEWPORT!C20+RIH!C20)/ALL!$F$29</f>
        <v>722.78899999999999</v>
      </c>
      <c r="D20" s="67">
        <f>(BRADLEY!D20+MIRIAM!D20+NEWPORT!D20+RIH!D20)/ALL!$F$29</f>
        <v>745.45699999999999</v>
      </c>
      <c r="E20" s="67">
        <f>(BRADLEY!E20+MIRIAM!E20+NEWPORT!E20+RIH!E20)/ALL!$F$29</f>
        <v>839.16899999999998</v>
      </c>
      <c r="F20" s="69">
        <f>(BRADLEY!F20+MIRIAM!F20+NEWPORT!F20+RIH!F20)/ALL!$F$29</f>
        <v>942.64400000000001</v>
      </c>
    </row>
    <row r="21" spans="1:6" s="49" customFormat="1" ht="23.25" customHeight="1" x14ac:dyDescent="0.25">
      <c r="A21" s="15">
        <v>19</v>
      </c>
      <c r="B21" s="16" t="s">
        <v>14</v>
      </c>
      <c r="C21" s="75">
        <f>(BRADLEY!C21+MIRIAM!C21+NEWPORT!C21+RIH!C21)/ALL!$F$29</f>
        <v>-37.283000000000001</v>
      </c>
      <c r="D21" s="75">
        <f>(BRADLEY!D21+MIRIAM!D21+NEWPORT!D21+RIH!D21)/ALL!$F$29</f>
        <v>-15.561</v>
      </c>
      <c r="E21" s="75">
        <f>(BRADLEY!E21+MIRIAM!E21+NEWPORT!E21+RIH!E21)/ALL!$F$29</f>
        <v>-16.221</v>
      </c>
      <c r="F21" s="72">
        <f>(BRADLEY!F21+MIRIAM!F21+NEWPORT!F21+RIH!F21)/ALL!$F$29</f>
        <v>6.3049999999999997</v>
      </c>
    </row>
    <row r="22" spans="1:6" s="49" customFormat="1" ht="23.25" customHeight="1" x14ac:dyDescent="0.25">
      <c r="A22" s="6">
        <v>20</v>
      </c>
      <c r="B22" s="5" t="s">
        <v>15</v>
      </c>
      <c r="C22" s="67">
        <f>(BRADLEY!C22+MIRIAM!C22+NEWPORT!C22+RIH!C22)/ALL!$F$29</f>
        <v>14.28</v>
      </c>
      <c r="D22" s="67">
        <f>(BRADLEY!D22+MIRIAM!D22+NEWPORT!D22+RIH!D22)/ALL!$F$29</f>
        <v>33.503</v>
      </c>
      <c r="E22" s="67">
        <f>(BRADLEY!E22+MIRIAM!E22+NEWPORT!E22+RIH!E22)/ALL!$F$29</f>
        <v>3.7650000000000001</v>
      </c>
      <c r="F22" s="69">
        <f>(BRADLEY!F22+MIRIAM!F22+NEWPORT!F22+RIH!F22)/ALL!$F$29</f>
        <v>-7.96</v>
      </c>
    </row>
    <row r="23" spans="1:6" s="49" customFormat="1" ht="23.25" customHeight="1" x14ac:dyDescent="0.25">
      <c r="A23" s="15">
        <v>21</v>
      </c>
      <c r="B23" s="16" t="s">
        <v>16</v>
      </c>
      <c r="C23" s="75">
        <f>(BRADLEY!C23+MIRIAM!C23+NEWPORT!C23+RIH!C23)/ALL!$F$29</f>
        <v>-23.003</v>
      </c>
      <c r="D23" s="75">
        <f>(BRADLEY!D23+MIRIAM!D23+NEWPORT!D23+RIH!D23)/ALL!$F$29</f>
        <v>17.943000000000001</v>
      </c>
      <c r="E23" s="75">
        <f>(BRADLEY!E23+MIRIAM!E23+NEWPORT!E23+RIH!E23)/ALL!$F$29</f>
        <v>-12.456</v>
      </c>
      <c r="F23" s="72">
        <f>(BRADLEY!F23+MIRIAM!F23+NEWPORT!F23+RIH!F23)/ALL!$F$29</f>
        <v>-1.655</v>
      </c>
    </row>
    <row r="24" spans="1:6" s="49" customFormat="1" ht="23.25" customHeight="1" x14ac:dyDescent="0.25">
      <c r="A24" s="6">
        <v>22</v>
      </c>
      <c r="B24" s="5" t="s">
        <v>18</v>
      </c>
      <c r="C24" s="67">
        <f>(BRADLEY!C24+MIRIAM!C24+NEWPORT!C24+RIH!C24)/ALL!$F$29</f>
        <v>39.942999999999998</v>
      </c>
      <c r="D24" s="67">
        <f>(BRADLEY!D24+MIRIAM!D24+NEWPORT!D24+RIH!D24)/ALL!$F$29</f>
        <v>52.872999999999998</v>
      </c>
      <c r="E24" s="67">
        <f>(BRADLEY!E24+MIRIAM!E24+NEWPORT!E24+RIH!E24)/ALL!$F$29</f>
        <v>72.680999999999997</v>
      </c>
      <c r="F24" s="69">
        <f>(BRADLEY!F24+MIRIAM!F24+NEWPORT!F24+RIH!F24)/ALL!$F$29</f>
        <v>83.528000000000006</v>
      </c>
    </row>
    <row r="25" spans="1:6" s="49" customFormat="1" ht="23.25" customHeight="1" x14ac:dyDescent="0.25">
      <c r="A25" s="15">
        <v>23</v>
      </c>
      <c r="B25" s="16" t="s">
        <v>81</v>
      </c>
      <c r="C25" s="75">
        <f>(BRADLEY!C25+MIRIAM!C25+NEWPORT!C25+RIH!C25)/ALL!$F$29</f>
        <v>630.59799999999996</v>
      </c>
      <c r="D25" s="75">
        <f>(BRADLEY!D25+MIRIAM!D25+NEWPORT!D25+RIH!D25)/ALL!$F$29</f>
        <v>622.82600000000002</v>
      </c>
      <c r="E25" s="75">
        <f>(BRADLEY!E25+MIRIAM!E25+NEWPORT!E25+RIH!E25)/ALL!$F$29</f>
        <v>540.44000000000005</v>
      </c>
      <c r="F25" s="72">
        <f>(BRADLEY!F25+MIRIAM!F25+NEWPORT!F25+RIH!F25)/ALL!$F$29</f>
        <v>576.31600000000003</v>
      </c>
    </row>
    <row r="26" spans="1:6" s="49" customFormat="1" ht="23.25" customHeight="1" x14ac:dyDescent="0.25">
      <c r="A26" s="6">
        <v>24</v>
      </c>
      <c r="B26" s="5" t="s">
        <v>19</v>
      </c>
      <c r="C26" s="67">
        <f>(BRADLEY!C26+MIRIAM!C26+NEWPORT!C26+RIH!C26)/ALL!$F$29</f>
        <v>18.815000000000001</v>
      </c>
      <c r="D26" s="67">
        <f>(BRADLEY!D26+MIRIAM!D26+NEWPORT!D26+RIH!D26)/ALL!$F$29</f>
        <v>29.634</v>
      </c>
      <c r="E26" s="67">
        <f>(BRADLEY!E26+MIRIAM!E26+NEWPORT!E26+RIH!E26)/ALL!$F$29</f>
        <v>30.274000000000001</v>
      </c>
      <c r="F26" s="69">
        <f>(BRADLEY!F26+MIRIAM!F26+NEWPORT!F26+RIH!F26)/ALL!$F$29</f>
        <v>31.855</v>
      </c>
    </row>
    <row r="27" spans="1:6" s="49" customFormat="1" ht="23.25" customHeight="1" thickBot="1" x14ac:dyDescent="0.3">
      <c r="A27" s="17">
        <v>25</v>
      </c>
      <c r="B27" s="18" t="s">
        <v>20</v>
      </c>
      <c r="C27" s="77">
        <f>(BRADLEY!C27+MIRIAM!C27+NEWPORT!C27+RIH!C27)/ALL!$F$29</f>
        <v>15.933999999999999</v>
      </c>
      <c r="D27" s="77">
        <f>(BRADLEY!D27+MIRIAM!D27+NEWPORT!D27+RIH!D27)/ALL!$F$29</f>
        <v>21.113</v>
      </c>
      <c r="E27" s="77">
        <f>(BRADLEY!E27+MIRIAM!E27+NEWPORT!E27+RIH!E27)/ALL!$F$29</f>
        <v>20.992000000000001</v>
      </c>
      <c r="F27" s="74">
        <f>(BRADLEY!F27+MIRIAM!F27+NEWPORT!F27+RIH!F27)/ALL!$F$29</f>
        <v>22.280999999999999</v>
      </c>
    </row>
    <row r="28" spans="1:6" ht="12" customHeight="1" x14ac:dyDescent="0.25">
      <c r="A28" s="63"/>
      <c r="B28" s="10"/>
    </row>
    <row r="29" spans="1:6" ht="12.75" customHeight="1" x14ac:dyDescent="0.25">
      <c r="A29" s="70" t="s">
        <v>87</v>
      </c>
    </row>
    <row r="30" spans="1:6" ht="10.5" customHeight="1" x14ac:dyDescent="0.25">
      <c r="A30" s="76" t="s">
        <v>92</v>
      </c>
      <c r="B30" s="19"/>
      <c r="C30" s="19"/>
      <c r="D30" s="19"/>
      <c r="E30" s="19"/>
    </row>
  </sheetData>
  <mergeCells count="6">
    <mergeCell ref="F1:F2"/>
    <mergeCell ref="A1:B1"/>
    <mergeCell ref="A2:B2"/>
    <mergeCell ref="E1:E2"/>
    <mergeCell ref="D1:D2"/>
    <mergeCell ref="C1:C2"/>
  </mergeCells>
  <phoneticPr fontId="0" type="noConversion"/>
  <printOptions horizontalCentered="1"/>
  <pageMargins left="0.75" right="1" top="1.25" bottom="0.75" header="0" footer="0"/>
  <pageSetup orientation="portrait" r:id="rId1"/>
  <headerFooter alignWithMargins="0">
    <oddHeader>&amp;L&amp;"Arial,Bold Italic"&amp;14 4&amp;C&amp;"Arial,Italic"&amp;11 &amp;R&amp;"Arial,Italic"Hospital Financial Dataset (2002)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E24" sqref="E24"/>
    </sheetView>
  </sheetViews>
  <sheetFormatPr defaultRowHeight="13.2" x14ac:dyDescent="0.25"/>
  <cols>
    <col min="1" max="1" width="11.6640625" customWidth="1"/>
  </cols>
  <sheetData>
    <row r="1" spans="1:10" ht="8.2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</row>
    <row r="2" spans="1:10" ht="65.25" customHeight="1" x14ac:dyDescent="0.25">
      <c r="A2" s="94" t="s">
        <v>71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7.5" customHeight="1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</row>
    <row r="32" ht="12" customHeight="1" x14ac:dyDescent="0.25"/>
  </sheetData>
  <mergeCells count="3">
    <mergeCell ref="A1:J1"/>
    <mergeCell ref="A2:J2"/>
    <mergeCell ref="A3:J3"/>
  </mergeCells>
  <phoneticPr fontId="0" type="noConversion"/>
  <printOptions horizontalCentered="1" verticalCentered="1"/>
  <pageMargins left="0.75" right="0.5" top="0.25" bottom="0.75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110" workbookViewId="0">
      <selection activeCell="G18" sqref="G18"/>
    </sheetView>
  </sheetViews>
  <sheetFormatPr defaultColWidth="9.109375" defaultRowHeight="13.2" x14ac:dyDescent="0.25"/>
  <cols>
    <col min="1" max="1" width="3.33203125" style="3" customWidth="1"/>
    <col min="2" max="2" width="38" style="3" customWidth="1"/>
    <col min="3" max="3" width="10.6640625" style="3" customWidth="1"/>
    <col min="4" max="4" width="10.88671875" style="3" customWidth="1"/>
    <col min="5" max="6" width="10.6640625" style="3" customWidth="1"/>
    <col min="7" max="16384" width="9.109375" style="3"/>
  </cols>
  <sheetData>
    <row r="1" spans="1:6" ht="30.75" customHeight="1" x14ac:dyDescent="0.25">
      <c r="A1" s="103" t="s">
        <v>29</v>
      </c>
      <c r="B1" s="109"/>
      <c r="C1" s="105">
        <v>1999</v>
      </c>
      <c r="D1" s="99">
        <v>2000</v>
      </c>
      <c r="E1" s="99">
        <v>2001</v>
      </c>
      <c r="F1" s="95">
        <v>2002</v>
      </c>
    </row>
    <row r="2" spans="1:6" ht="13.5" customHeight="1" thickBot="1" x14ac:dyDescent="0.3">
      <c r="A2" s="101" t="s">
        <v>21</v>
      </c>
      <c r="B2" s="102"/>
      <c r="C2" s="112"/>
      <c r="D2" s="111"/>
      <c r="E2" s="111"/>
      <c r="F2" s="110"/>
    </row>
    <row r="3" spans="1:6" ht="23.25" customHeight="1" x14ac:dyDescent="0.25">
      <c r="A3" s="13">
        <v>1</v>
      </c>
      <c r="B3" s="14" t="s">
        <v>0</v>
      </c>
      <c r="C3" s="31">
        <v>550</v>
      </c>
      <c r="D3" s="32">
        <v>651</v>
      </c>
      <c r="E3" s="32">
        <v>792</v>
      </c>
      <c r="F3" s="33">
        <v>688</v>
      </c>
    </row>
    <row r="4" spans="1:6" s="49" customFormat="1" ht="23.25" customHeight="1" x14ac:dyDescent="0.25">
      <c r="A4" s="6">
        <v>2</v>
      </c>
      <c r="B4" s="5" t="s">
        <v>1</v>
      </c>
      <c r="C4" s="34">
        <v>8849</v>
      </c>
      <c r="D4" s="35">
        <v>6661</v>
      </c>
      <c r="E4" s="35">
        <v>8660</v>
      </c>
      <c r="F4" s="36">
        <v>8629</v>
      </c>
    </row>
    <row r="5" spans="1:6" s="49" customFormat="1" ht="23.25" customHeight="1" x14ac:dyDescent="0.25">
      <c r="A5" s="15">
        <v>3</v>
      </c>
      <c r="B5" s="16" t="s">
        <v>2</v>
      </c>
      <c r="C5" s="37">
        <v>9984</v>
      </c>
      <c r="D5" s="38">
        <v>8101</v>
      </c>
      <c r="E5" s="38">
        <v>10401</v>
      </c>
      <c r="F5" s="39">
        <v>10869</v>
      </c>
    </row>
    <row r="6" spans="1:6" s="49" customFormat="1" ht="23.25" customHeight="1" x14ac:dyDescent="0.25">
      <c r="A6" s="6">
        <v>4</v>
      </c>
      <c r="B6" s="5" t="s">
        <v>3</v>
      </c>
      <c r="C6" s="34">
        <v>3828</v>
      </c>
      <c r="D6" s="35">
        <v>3702</v>
      </c>
      <c r="E6" s="35">
        <v>3985</v>
      </c>
      <c r="F6" s="36">
        <v>6826</v>
      </c>
    </row>
    <row r="7" spans="1:6" s="49" customFormat="1" ht="23.25" customHeight="1" x14ac:dyDescent="0.25">
      <c r="A7" s="15">
        <v>5</v>
      </c>
      <c r="B7" s="16" t="s">
        <v>4</v>
      </c>
      <c r="C7" s="37">
        <v>8003</v>
      </c>
      <c r="D7" s="38">
        <v>8457</v>
      </c>
      <c r="E7" s="38">
        <v>8903</v>
      </c>
      <c r="F7" s="39">
        <v>9394</v>
      </c>
    </row>
    <row r="8" spans="1:6" s="49" customFormat="1" ht="23.25" customHeight="1" x14ac:dyDescent="0.25">
      <c r="A8" s="6">
        <v>6</v>
      </c>
      <c r="B8" s="5" t="s">
        <v>5</v>
      </c>
      <c r="C8" s="34">
        <v>58097</v>
      </c>
      <c r="D8" s="35">
        <v>59552</v>
      </c>
      <c r="E8" s="35">
        <v>56233</v>
      </c>
      <c r="F8" s="36">
        <v>57379</v>
      </c>
    </row>
    <row r="9" spans="1:6" s="49" customFormat="1" ht="23.25" customHeight="1" x14ac:dyDescent="0.25">
      <c r="A9" s="15">
        <v>7</v>
      </c>
      <c r="B9" s="16" t="s">
        <v>24</v>
      </c>
      <c r="C9" s="37">
        <v>0</v>
      </c>
      <c r="D9" s="38">
        <v>0</v>
      </c>
      <c r="E9" s="38">
        <v>0</v>
      </c>
      <c r="F9" s="39">
        <v>0</v>
      </c>
    </row>
    <row r="10" spans="1:6" s="49" customFormat="1" ht="23.25" customHeight="1" x14ac:dyDescent="0.25">
      <c r="A10" s="6">
        <v>8</v>
      </c>
      <c r="B10" s="5" t="s">
        <v>6</v>
      </c>
      <c r="C10" s="34">
        <v>3213</v>
      </c>
      <c r="D10" s="35">
        <v>4191</v>
      </c>
      <c r="E10" s="35">
        <v>5750</v>
      </c>
      <c r="F10" s="36">
        <v>8567</v>
      </c>
    </row>
    <row r="11" spans="1:6" s="49" customFormat="1" ht="23.25" customHeight="1" x14ac:dyDescent="0.25">
      <c r="A11" s="15">
        <v>9</v>
      </c>
      <c r="B11" s="16" t="s">
        <v>7</v>
      </c>
      <c r="C11" s="38">
        <v>0</v>
      </c>
      <c r="D11" s="38">
        <v>0</v>
      </c>
      <c r="E11" s="38">
        <v>0</v>
      </c>
      <c r="F11" s="39">
        <v>0</v>
      </c>
    </row>
    <row r="12" spans="1:6" s="49" customFormat="1" ht="23.25" customHeight="1" x14ac:dyDescent="0.25">
      <c r="A12" s="6">
        <v>10</v>
      </c>
      <c r="B12" s="5" t="s">
        <v>40</v>
      </c>
      <c r="C12" s="35">
        <v>40941</v>
      </c>
      <c r="D12" s="35">
        <v>45667</v>
      </c>
      <c r="E12" s="35">
        <v>39551</v>
      </c>
      <c r="F12" s="36">
        <v>39306</v>
      </c>
    </row>
    <row r="13" spans="1:6" s="49" customFormat="1" ht="23.25" customHeight="1" x14ac:dyDescent="0.25">
      <c r="A13" s="15">
        <v>11</v>
      </c>
      <c r="B13" s="16" t="s">
        <v>8</v>
      </c>
      <c r="C13" s="38">
        <v>24773</v>
      </c>
      <c r="D13" s="38">
        <v>27986</v>
      </c>
      <c r="E13" s="38">
        <v>31145</v>
      </c>
      <c r="F13" s="39">
        <v>34546</v>
      </c>
    </row>
    <row r="14" spans="1:6" s="49" customFormat="1" ht="23.25" customHeight="1" x14ac:dyDescent="0.25">
      <c r="A14" s="6">
        <v>12</v>
      </c>
      <c r="B14" s="5" t="s">
        <v>9</v>
      </c>
      <c r="C14" s="35">
        <f>C15-C13</f>
        <v>5163</v>
      </c>
      <c r="D14" s="35">
        <f>D15-D13</f>
        <v>5263</v>
      </c>
      <c r="E14" s="35">
        <f>E15-E13</f>
        <v>5431</v>
      </c>
      <c r="F14" s="36">
        <f>F15-F13</f>
        <v>5485</v>
      </c>
    </row>
    <row r="15" spans="1:6" s="49" customFormat="1" ht="23.25" customHeight="1" x14ac:dyDescent="0.25">
      <c r="A15" s="15">
        <v>13</v>
      </c>
      <c r="B15" s="16" t="s">
        <v>10</v>
      </c>
      <c r="C15" s="37">
        <v>29936</v>
      </c>
      <c r="D15" s="38">
        <v>33249</v>
      </c>
      <c r="E15" s="38">
        <v>36576</v>
      </c>
      <c r="F15" s="39">
        <v>40031</v>
      </c>
    </row>
    <row r="16" spans="1:6" s="49" customFormat="1" ht="23.25" customHeight="1" x14ac:dyDescent="0.25">
      <c r="A16" s="6">
        <v>14</v>
      </c>
      <c r="B16" s="5" t="s">
        <v>11</v>
      </c>
      <c r="C16" s="35">
        <v>5</v>
      </c>
      <c r="D16" s="35">
        <v>9</v>
      </c>
      <c r="E16" s="35">
        <v>0</v>
      </c>
      <c r="F16" s="36">
        <v>0</v>
      </c>
    </row>
    <row r="17" spans="1:14" s="49" customFormat="1" ht="23.25" customHeight="1" x14ac:dyDescent="0.25">
      <c r="A17" s="15">
        <v>15</v>
      </c>
      <c r="B17" s="16" t="s">
        <v>12</v>
      </c>
      <c r="C17" s="38">
        <v>905</v>
      </c>
      <c r="D17" s="38">
        <v>814</v>
      </c>
      <c r="E17" s="38">
        <v>806</v>
      </c>
      <c r="F17" s="39">
        <v>744</v>
      </c>
    </row>
    <row r="18" spans="1:14" s="49" customFormat="1" ht="23.25" customHeight="1" x14ac:dyDescent="0.25">
      <c r="A18" s="6">
        <v>16</v>
      </c>
      <c r="B18" s="5" t="s">
        <v>30</v>
      </c>
      <c r="C18" s="40">
        <f>18094+3707</f>
        <v>21801</v>
      </c>
      <c r="D18" s="35">
        <f>18426+3915</f>
        <v>22341</v>
      </c>
      <c r="E18" s="35">
        <f>21544+4241</f>
        <v>25785</v>
      </c>
      <c r="F18" s="36">
        <f>23899+5182</f>
        <v>29081</v>
      </c>
      <c r="N18" s="9"/>
    </row>
    <row r="19" spans="1:14" s="49" customFormat="1" ht="23.25" customHeight="1" x14ac:dyDescent="0.25">
      <c r="A19" s="15">
        <v>17</v>
      </c>
      <c r="B19" s="16" t="s">
        <v>13</v>
      </c>
      <c r="C19" s="38">
        <v>1171</v>
      </c>
      <c r="D19" s="38">
        <v>1884</v>
      </c>
      <c r="E19" s="38">
        <v>1121</v>
      </c>
      <c r="F19" s="39">
        <v>903</v>
      </c>
    </row>
    <row r="20" spans="1:14" s="49" customFormat="1" ht="23.25" customHeight="1" x14ac:dyDescent="0.25">
      <c r="A20" s="6">
        <v>18</v>
      </c>
      <c r="B20" s="5" t="s">
        <v>84</v>
      </c>
      <c r="C20" s="35">
        <v>32070</v>
      </c>
      <c r="D20" s="35">
        <v>31986</v>
      </c>
      <c r="E20" s="35">
        <v>35436</v>
      </c>
      <c r="F20" s="36">
        <v>38972</v>
      </c>
    </row>
    <row r="21" spans="1:14" s="49" customFormat="1" ht="23.25" customHeight="1" x14ac:dyDescent="0.25">
      <c r="A21" s="15">
        <v>19</v>
      </c>
      <c r="B21" s="16" t="s">
        <v>14</v>
      </c>
      <c r="C21" s="37">
        <v>-2134</v>
      </c>
      <c r="D21" s="38">
        <v>1263</v>
      </c>
      <c r="E21" s="38">
        <v>1140</v>
      </c>
      <c r="F21" s="39">
        <v>1059</v>
      </c>
    </row>
    <row r="22" spans="1:14" s="49" customFormat="1" ht="23.25" customHeight="1" x14ac:dyDescent="0.25">
      <c r="A22" s="6">
        <v>20</v>
      </c>
      <c r="B22" s="5" t="s">
        <v>15</v>
      </c>
      <c r="C22" s="35">
        <v>0</v>
      </c>
      <c r="D22" s="35">
        <v>0</v>
      </c>
      <c r="E22" s="35">
        <v>0</v>
      </c>
      <c r="F22" s="36">
        <v>0</v>
      </c>
    </row>
    <row r="23" spans="1:14" s="49" customFormat="1" ht="23.25" customHeight="1" x14ac:dyDescent="0.25">
      <c r="A23" s="15">
        <v>21</v>
      </c>
      <c r="B23" s="16" t="s">
        <v>16</v>
      </c>
      <c r="C23" s="38">
        <v>-2134</v>
      </c>
      <c r="D23" s="38">
        <v>1263</v>
      </c>
      <c r="E23" s="38">
        <v>1140</v>
      </c>
      <c r="F23" s="39">
        <v>1059</v>
      </c>
    </row>
    <row r="24" spans="1:14" s="49" customFormat="1" ht="23.25" customHeight="1" x14ac:dyDescent="0.25">
      <c r="A24" s="6">
        <v>22</v>
      </c>
      <c r="B24" s="5" t="s">
        <v>17</v>
      </c>
      <c r="C24" s="35">
        <v>1483</v>
      </c>
      <c r="D24" s="35">
        <v>345</v>
      </c>
      <c r="E24" s="35">
        <v>746</v>
      </c>
      <c r="F24" s="36">
        <v>3332</v>
      </c>
    </row>
    <row r="25" spans="1:14" s="49" customFormat="1" ht="23.25" customHeight="1" x14ac:dyDescent="0.25">
      <c r="A25" s="15">
        <v>23</v>
      </c>
      <c r="B25" s="16" t="s">
        <v>81</v>
      </c>
      <c r="C25" s="41">
        <v>45602</v>
      </c>
      <c r="D25" s="41">
        <f>47295+454</f>
        <v>47749</v>
      </c>
      <c r="E25" s="38">
        <f>40727+1120</f>
        <v>41847</v>
      </c>
      <c r="F25" s="39">
        <v>39590</v>
      </c>
    </row>
    <row r="26" spans="1:14" s="49" customFormat="1" ht="23.25" customHeight="1" x14ac:dyDescent="0.25">
      <c r="A26" s="6">
        <v>24</v>
      </c>
      <c r="B26" s="5" t="s">
        <v>19</v>
      </c>
      <c r="C26" s="34">
        <v>40</v>
      </c>
      <c r="D26" s="35">
        <v>41</v>
      </c>
      <c r="E26" s="35">
        <v>98</v>
      </c>
      <c r="F26" s="36">
        <v>104</v>
      </c>
    </row>
    <row r="27" spans="1:14" s="49" customFormat="1" ht="23.25" customHeight="1" thickBot="1" x14ac:dyDescent="0.3">
      <c r="A27" s="17">
        <v>25</v>
      </c>
      <c r="B27" s="18" t="s">
        <v>20</v>
      </c>
      <c r="C27" s="42">
        <v>0</v>
      </c>
      <c r="D27" s="43">
        <v>0</v>
      </c>
      <c r="E27" s="43">
        <v>0</v>
      </c>
      <c r="F27" s="44">
        <v>0</v>
      </c>
    </row>
    <row r="28" spans="1:14" ht="12.75" customHeight="1" x14ac:dyDescent="0.25">
      <c r="B28" s="10"/>
      <c r="C28" s="11"/>
    </row>
    <row r="29" spans="1:14" x14ac:dyDescent="0.25">
      <c r="A29" s="53" t="s">
        <v>85</v>
      </c>
    </row>
  </sheetData>
  <mergeCells count="6">
    <mergeCell ref="A2:B2"/>
    <mergeCell ref="A1:B1"/>
    <mergeCell ref="F1:F2"/>
    <mergeCell ref="E1:E2"/>
    <mergeCell ref="D1:D2"/>
    <mergeCell ref="C1:C2"/>
  </mergeCells>
  <phoneticPr fontId="0" type="noConversion"/>
  <printOptions horizontalCentered="1"/>
  <pageMargins left="0.75" right="1" top="1.25" bottom="0.75" header="0" footer="0"/>
  <pageSetup orientation="portrait" r:id="rId1"/>
  <headerFooter alignWithMargins="0">
    <oddHeader>&amp;L&amp;"Arial,Bold Italic"&amp;14 6&amp;R&amp;"Arial,Italic"Hospital Financial Dataset (2002)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F18" sqref="F18"/>
    </sheetView>
  </sheetViews>
  <sheetFormatPr defaultColWidth="9.109375" defaultRowHeight="13.2" x14ac:dyDescent="0.25"/>
  <cols>
    <col min="1" max="1" width="3.33203125" style="3" customWidth="1"/>
    <col min="2" max="2" width="38" style="3" customWidth="1"/>
    <col min="3" max="6" width="10.6640625" style="3" customWidth="1"/>
    <col min="7" max="16384" width="9.109375" style="3"/>
  </cols>
  <sheetData>
    <row r="1" spans="1:11" ht="30.75" customHeight="1" x14ac:dyDescent="0.25">
      <c r="A1" s="107" t="s">
        <v>83</v>
      </c>
      <c r="B1" s="113"/>
      <c r="C1" s="105">
        <v>1999</v>
      </c>
      <c r="D1" s="99">
        <v>2000</v>
      </c>
      <c r="E1" s="99">
        <v>2001</v>
      </c>
      <c r="F1" s="95">
        <v>2002</v>
      </c>
    </row>
    <row r="2" spans="1:11" ht="13.5" customHeight="1" thickBot="1" x14ac:dyDescent="0.3">
      <c r="A2" s="101" t="s">
        <v>21</v>
      </c>
      <c r="B2" s="102"/>
      <c r="C2" s="106"/>
      <c r="D2" s="100"/>
      <c r="E2" s="100"/>
      <c r="F2" s="96"/>
    </row>
    <row r="3" spans="1:11" ht="23.25" customHeight="1" x14ac:dyDescent="0.25">
      <c r="A3" s="13">
        <v>1</v>
      </c>
      <c r="B3" s="16" t="s">
        <v>0</v>
      </c>
      <c r="C3" s="38">
        <f>1775+342</f>
        <v>2117</v>
      </c>
      <c r="D3" s="38">
        <f>3779+750</f>
        <v>4529</v>
      </c>
      <c r="E3" s="38">
        <f>5128+748</f>
        <v>5876</v>
      </c>
      <c r="F3" s="39">
        <f>9796+782</f>
        <v>10578</v>
      </c>
    </row>
    <row r="4" spans="1:11" s="49" customFormat="1" ht="23.25" customHeight="1" x14ac:dyDescent="0.25">
      <c r="A4" s="6">
        <v>2</v>
      </c>
      <c r="B4" s="5" t="s">
        <v>1</v>
      </c>
      <c r="C4" s="35">
        <v>7695</v>
      </c>
      <c r="D4" s="35">
        <v>5660</v>
      </c>
      <c r="E4" s="35">
        <v>5382</v>
      </c>
      <c r="F4" s="36">
        <f>10725-6111</f>
        <v>4614</v>
      </c>
      <c r="K4" s="57"/>
    </row>
    <row r="5" spans="1:11" s="49" customFormat="1" ht="23.25" customHeight="1" x14ac:dyDescent="0.25">
      <c r="A5" s="15">
        <v>3</v>
      </c>
      <c r="B5" s="16" t="s">
        <v>2</v>
      </c>
      <c r="C5" s="38">
        <v>13725</v>
      </c>
      <c r="D5" s="38">
        <v>13786</v>
      </c>
      <c r="E5" s="38">
        <v>15450</v>
      </c>
      <c r="F5" s="39">
        <v>19029</v>
      </c>
      <c r="I5" s="58"/>
    </row>
    <row r="6" spans="1:11" s="49" customFormat="1" ht="23.25" customHeight="1" x14ac:dyDescent="0.25">
      <c r="A6" s="6">
        <v>4</v>
      </c>
      <c r="B6" s="5" t="s">
        <v>3</v>
      </c>
      <c r="C6" s="35">
        <v>12573</v>
      </c>
      <c r="D6" s="35">
        <v>11904</v>
      </c>
      <c r="E6" s="35">
        <v>12690</v>
      </c>
      <c r="F6" s="36">
        <v>13216</v>
      </c>
      <c r="G6" s="59"/>
      <c r="I6" s="58"/>
    </row>
    <row r="7" spans="1:11" s="49" customFormat="1" ht="23.25" customHeight="1" x14ac:dyDescent="0.25">
      <c r="A7" s="15">
        <v>5</v>
      </c>
      <c r="B7" s="16" t="s">
        <v>4</v>
      </c>
      <c r="C7" s="38">
        <v>17408</v>
      </c>
      <c r="D7" s="38">
        <v>18727</v>
      </c>
      <c r="E7" s="38">
        <v>20173</v>
      </c>
      <c r="F7" s="39">
        <v>21740</v>
      </c>
      <c r="I7" s="58"/>
    </row>
    <row r="8" spans="1:11" s="49" customFormat="1" ht="23.25" customHeight="1" x14ac:dyDescent="0.25">
      <c r="A8" s="6">
        <v>6</v>
      </c>
      <c r="B8" s="5" t="s">
        <v>5</v>
      </c>
      <c r="C8" s="35">
        <v>47041</v>
      </c>
      <c r="D8" s="35">
        <v>47364</v>
      </c>
      <c r="E8" s="35">
        <v>47207</v>
      </c>
      <c r="F8" s="36">
        <v>52794</v>
      </c>
      <c r="G8" s="60"/>
      <c r="I8" s="58"/>
    </row>
    <row r="9" spans="1:11" s="49" customFormat="1" ht="23.25" customHeight="1" x14ac:dyDescent="0.25">
      <c r="A9" s="15">
        <v>7</v>
      </c>
      <c r="B9" s="16" t="s">
        <v>24</v>
      </c>
      <c r="C9" s="38">
        <v>360</v>
      </c>
      <c r="D9" s="38">
        <v>375</v>
      </c>
      <c r="E9" s="38">
        <v>390</v>
      </c>
      <c r="F9" s="39">
        <v>536</v>
      </c>
      <c r="I9" s="58"/>
    </row>
    <row r="10" spans="1:11" s="49" customFormat="1" ht="23.25" customHeight="1" x14ac:dyDescent="0.25">
      <c r="A10" s="6">
        <v>8</v>
      </c>
      <c r="B10" s="5" t="s">
        <v>6</v>
      </c>
      <c r="C10" s="35">
        <v>9573</v>
      </c>
      <c r="D10" s="35">
        <v>13358</v>
      </c>
      <c r="E10" s="35">
        <v>15001</v>
      </c>
      <c r="F10" s="36">
        <v>16951</v>
      </c>
      <c r="I10" s="58"/>
    </row>
    <row r="11" spans="1:11" s="49" customFormat="1" ht="23.25" customHeight="1" x14ac:dyDescent="0.25">
      <c r="A11" s="15">
        <v>9</v>
      </c>
      <c r="B11" s="16" t="s">
        <v>7</v>
      </c>
      <c r="C11" s="38">
        <v>3540</v>
      </c>
      <c r="D11" s="38">
        <v>3165</v>
      </c>
      <c r="E11" s="38">
        <f>2775+1230</f>
        <v>4005</v>
      </c>
      <c r="F11" s="39">
        <v>8768</v>
      </c>
      <c r="G11" s="61"/>
      <c r="I11" s="58"/>
    </row>
    <row r="12" spans="1:11" s="49" customFormat="1" ht="23.25" customHeight="1" x14ac:dyDescent="0.25">
      <c r="A12" s="6">
        <v>10</v>
      </c>
      <c r="B12" s="5" t="s">
        <v>40</v>
      </c>
      <c r="C12" s="35">
        <v>33475</v>
      </c>
      <c r="D12" s="35">
        <v>30388</v>
      </c>
      <c r="E12" s="35">
        <v>27780</v>
      </c>
      <c r="F12" s="36">
        <v>26397</v>
      </c>
      <c r="I12" s="58"/>
    </row>
    <row r="13" spans="1:11" s="49" customFormat="1" ht="23.25" customHeight="1" x14ac:dyDescent="0.25">
      <c r="A13" s="15">
        <v>11</v>
      </c>
      <c r="B13" s="16" t="s">
        <v>8</v>
      </c>
      <c r="C13" s="38">
        <v>31664</v>
      </c>
      <c r="D13" s="38">
        <v>30030</v>
      </c>
      <c r="E13" s="38">
        <v>28566</v>
      </c>
      <c r="F13" s="39">
        <v>30800</v>
      </c>
      <c r="I13" s="58"/>
    </row>
    <row r="14" spans="1:11" s="49" customFormat="1" ht="23.25" customHeight="1" x14ac:dyDescent="0.25">
      <c r="A14" s="6">
        <v>12</v>
      </c>
      <c r="B14" s="5" t="s">
        <v>9</v>
      </c>
      <c r="C14" s="35">
        <f>C15-C13</f>
        <v>11431</v>
      </c>
      <c r="D14" s="35">
        <f>D15-D13</f>
        <v>11929</v>
      </c>
      <c r="E14" s="35">
        <f>E15-E13</f>
        <v>13798</v>
      </c>
      <c r="F14" s="36">
        <f>F15-F13</f>
        <v>13829</v>
      </c>
    </row>
    <row r="15" spans="1:11" s="49" customFormat="1" ht="23.25" customHeight="1" x14ac:dyDescent="0.25">
      <c r="A15" s="15">
        <v>13</v>
      </c>
      <c r="B15" s="16" t="s">
        <v>10</v>
      </c>
      <c r="C15" s="38">
        <v>43095</v>
      </c>
      <c r="D15" s="38">
        <v>41959</v>
      </c>
      <c r="E15" s="38">
        <v>42364</v>
      </c>
      <c r="F15" s="39">
        <v>44629</v>
      </c>
    </row>
    <row r="16" spans="1:11" s="49" customFormat="1" ht="23.25" customHeight="1" x14ac:dyDescent="0.25">
      <c r="A16" s="6">
        <v>14</v>
      </c>
      <c r="B16" s="5" t="s">
        <v>11</v>
      </c>
      <c r="C16" s="35">
        <v>194</v>
      </c>
      <c r="D16" s="35">
        <v>188</v>
      </c>
      <c r="E16" s="35">
        <v>161</v>
      </c>
      <c r="F16" s="36">
        <v>329</v>
      </c>
    </row>
    <row r="17" spans="1:25" s="49" customFormat="1" ht="23.25" customHeight="1" x14ac:dyDescent="0.25">
      <c r="A17" s="15">
        <v>15</v>
      </c>
      <c r="B17" s="16" t="s">
        <v>12</v>
      </c>
      <c r="C17" s="38">
        <v>1509</v>
      </c>
      <c r="D17" s="38">
        <v>1573</v>
      </c>
      <c r="E17" s="38">
        <v>1596</v>
      </c>
      <c r="F17" s="39">
        <v>1725</v>
      </c>
    </row>
    <row r="18" spans="1:25" s="49" customFormat="1" ht="23.25" customHeight="1" x14ac:dyDescent="0.25">
      <c r="A18" s="6">
        <v>16</v>
      </c>
      <c r="B18" s="5" t="s">
        <v>30</v>
      </c>
      <c r="C18" s="34">
        <f>27418+4302</f>
        <v>31720</v>
      </c>
      <c r="D18" s="35">
        <f>28912+5024</f>
        <v>33936</v>
      </c>
      <c r="E18" s="40">
        <f>26355.4+5425.7</f>
        <v>31781.100000000002</v>
      </c>
      <c r="F18" s="45">
        <f>26698.6+5635.5</f>
        <v>32334.1</v>
      </c>
    </row>
    <row r="19" spans="1:25" s="49" customFormat="1" ht="23.25" customHeight="1" x14ac:dyDescent="0.25">
      <c r="A19" s="15">
        <v>17</v>
      </c>
      <c r="B19" s="16" t="s">
        <v>13</v>
      </c>
      <c r="C19" s="37">
        <v>2355</v>
      </c>
      <c r="D19" s="38">
        <v>1600</v>
      </c>
      <c r="E19" s="38">
        <v>1755</v>
      </c>
      <c r="F19" s="39">
        <v>564</v>
      </c>
    </row>
    <row r="20" spans="1:25" s="49" customFormat="1" ht="23.25" customHeight="1" x14ac:dyDescent="0.25">
      <c r="A20" s="6">
        <v>18</v>
      </c>
      <c r="B20" s="5" t="s">
        <v>84</v>
      </c>
      <c r="C20" s="35">
        <f>44210+518</f>
        <v>44728</v>
      </c>
      <c r="D20" s="35">
        <v>46757</v>
      </c>
      <c r="E20" s="35">
        <v>43428</v>
      </c>
      <c r="F20" s="36">
        <f>44014+344</f>
        <v>44358</v>
      </c>
    </row>
    <row r="21" spans="1:25" s="49" customFormat="1" ht="23.25" customHeight="1" x14ac:dyDescent="0.25">
      <c r="A21" s="15">
        <v>19</v>
      </c>
      <c r="B21" s="16" t="s">
        <v>14</v>
      </c>
      <c r="C21" s="38">
        <v>-1633</v>
      </c>
      <c r="D21" s="38">
        <v>-4799</v>
      </c>
      <c r="E21" s="38">
        <v>-1064</v>
      </c>
      <c r="F21" s="39">
        <v>271</v>
      </c>
    </row>
    <row r="22" spans="1:25" s="49" customFormat="1" ht="23.25" customHeight="1" x14ac:dyDescent="0.25">
      <c r="A22" s="6">
        <v>20</v>
      </c>
      <c r="B22" s="5" t="s">
        <v>15</v>
      </c>
      <c r="C22" s="35">
        <v>1051</v>
      </c>
      <c r="D22" s="35">
        <v>392</v>
      </c>
      <c r="E22" s="35">
        <v>752</v>
      </c>
      <c r="F22" s="36">
        <v>492</v>
      </c>
    </row>
    <row r="23" spans="1:25" s="49" customFormat="1" ht="23.25" customHeight="1" x14ac:dyDescent="0.25">
      <c r="A23" s="15">
        <v>21</v>
      </c>
      <c r="B23" s="16" t="s">
        <v>16</v>
      </c>
      <c r="C23" s="38">
        <v>-582</v>
      </c>
      <c r="D23" s="38">
        <v>-4407</v>
      </c>
      <c r="E23" s="38">
        <v>-312</v>
      </c>
      <c r="F23" s="39">
        <v>763</v>
      </c>
    </row>
    <row r="24" spans="1:25" s="49" customFormat="1" ht="23.25" customHeight="1" x14ac:dyDescent="0.25">
      <c r="A24" s="6">
        <v>22</v>
      </c>
      <c r="B24" s="5" t="s">
        <v>17</v>
      </c>
      <c r="C24" s="35">
        <v>1089</v>
      </c>
      <c r="D24" s="35">
        <f>1172-36</f>
        <v>1136</v>
      </c>
      <c r="E24" s="35">
        <f>2273-4</f>
        <v>2269</v>
      </c>
      <c r="F24" s="36">
        <f>2345-47</f>
        <v>2298</v>
      </c>
    </row>
    <row r="25" spans="1:25" s="49" customFormat="1" ht="23.25" customHeight="1" x14ac:dyDescent="0.25">
      <c r="A25" s="15">
        <v>23</v>
      </c>
      <c r="B25" s="16" t="s">
        <v>81</v>
      </c>
      <c r="C25" s="46">
        <v>20797</v>
      </c>
      <c r="D25" s="38">
        <v>22314</v>
      </c>
      <c r="E25" s="38">
        <v>19887</v>
      </c>
      <c r="F25" s="39">
        <v>21680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s="49" customFormat="1" ht="23.25" customHeight="1" x14ac:dyDescent="0.25">
      <c r="A26" s="6">
        <v>24</v>
      </c>
      <c r="B26" s="5" t="s">
        <v>19</v>
      </c>
      <c r="C26" s="34">
        <v>0</v>
      </c>
      <c r="D26" s="35">
        <v>0</v>
      </c>
      <c r="E26" s="35">
        <v>0</v>
      </c>
      <c r="F26" s="36">
        <v>0</v>
      </c>
    </row>
    <row r="27" spans="1:25" s="49" customFormat="1" ht="23.25" customHeight="1" thickBot="1" x14ac:dyDescent="0.3">
      <c r="A27" s="17">
        <v>25</v>
      </c>
      <c r="B27" s="18" t="s">
        <v>20</v>
      </c>
      <c r="C27" s="43">
        <v>0</v>
      </c>
      <c r="D27" s="43">
        <v>0</v>
      </c>
      <c r="E27" s="43">
        <v>0</v>
      </c>
      <c r="F27" s="44">
        <v>0</v>
      </c>
    </row>
    <row r="28" spans="1:25" ht="12.75" customHeight="1" x14ac:dyDescent="0.25">
      <c r="B28" s="10"/>
      <c r="C28" s="11"/>
    </row>
    <row r="29" spans="1:25" ht="12.75" customHeight="1" x14ac:dyDescent="0.25">
      <c r="A29" s="53" t="s">
        <v>85</v>
      </c>
    </row>
  </sheetData>
  <mergeCells count="6">
    <mergeCell ref="F1:F2"/>
    <mergeCell ref="E1:E2"/>
    <mergeCell ref="D1:D2"/>
    <mergeCell ref="A2:B2"/>
    <mergeCell ref="A1:B1"/>
    <mergeCell ref="C1:C2"/>
  </mergeCells>
  <phoneticPr fontId="0" type="noConversion"/>
  <printOptions horizontalCentered="1"/>
  <pageMargins left="1" right="0.75" top="1.25" bottom="0.75" header="0" footer="0"/>
  <pageSetup orientation="portrait" r:id="rId1"/>
  <headerFooter alignWithMargins="0">
    <oddHeader>&amp;L&amp;"Arial,Italic"Hospital Financial Dataset (2002)&amp;R&amp;"Arial,Bold Italic"&amp;14 7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</vt:lpstr>
      <vt:lpstr>CONTENTS</vt:lpstr>
      <vt:lpstr>STATEWIDE</vt:lpstr>
      <vt:lpstr>ALL</vt:lpstr>
      <vt:lpstr>CNE</vt:lpstr>
      <vt:lpstr>LIFESPAN</vt:lpstr>
      <vt:lpstr>INDIVIDUAL</vt:lpstr>
      <vt:lpstr>BRADLEY</vt:lpstr>
      <vt:lpstr>BUTLER</vt:lpstr>
      <vt:lpstr>KENT</vt:lpstr>
      <vt:lpstr>LANDMARK</vt:lpstr>
      <vt:lpstr>MEMORIAL</vt:lpstr>
      <vt:lpstr>MIRIAM</vt:lpstr>
      <vt:lpstr>NEWPORT</vt:lpstr>
      <vt:lpstr>RIH</vt:lpstr>
      <vt:lpstr>RWMC</vt:lpstr>
      <vt:lpstr>S.COUNTY</vt:lpstr>
      <vt:lpstr>ST.JOE</vt:lpstr>
      <vt:lpstr>WESTERLY</vt:lpstr>
      <vt:lpstr>W&amp;I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RIDOH</dc:creator>
  <cp:lastModifiedBy>Aniket Gupta</cp:lastModifiedBy>
  <cp:lastPrinted>2003-08-07T17:30:50Z</cp:lastPrinted>
  <dcterms:created xsi:type="dcterms:W3CDTF">1999-12-09T18:21:32Z</dcterms:created>
  <dcterms:modified xsi:type="dcterms:W3CDTF">2024-02-03T22:14:35Z</dcterms:modified>
</cp:coreProperties>
</file>