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841F15BA-5B46-4E1A-98E5-59AFF9647381}" xr6:coauthVersionLast="47" xr6:coauthVersionMax="47" xr10:uidLastSave="{00000000-0000-0000-0000-000000000000}"/>
  <bookViews>
    <workbookView xWindow="3348" yWindow="3348" windowWidth="17280" windowHeight="8880"/>
  </bookViews>
  <sheets>
    <sheet name="opfinlev" sheetId="1" r:id="rId1"/>
    <sheet name="optCOC" sheetId="2" r:id="rId2"/>
    <sheet name="Sheet3" sheetId="3" r:id="rId3"/>
  </sheets>
  <definedNames>
    <definedName name="_xlnm.Print_Area" localSheetId="0">opfinlev!$A$1:$H$44</definedName>
    <definedName name="_xlnm.Print_Area" localSheetId="1">optCOC!$A$1:$J$39</definedName>
  </definedNames>
  <calcPr calcId="191029" iterate="1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B11" i="1"/>
  <c r="B12" i="1"/>
  <c r="B13" i="1" s="1"/>
  <c r="F13" i="1"/>
  <c r="D54" i="1" s="1"/>
  <c r="C18" i="1"/>
  <c r="C21" i="1" s="1"/>
  <c r="E18" i="1"/>
  <c r="G18" i="1"/>
  <c r="G21" i="1" s="1"/>
  <c r="P18" i="1"/>
  <c r="Q18" i="1"/>
  <c r="T18" i="1"/>
  <c r="S18" i="1" s="1"/>
  <c r="C19" i="1"/>
  <c r="E19" i="1"/>
  <c r="G19" i="1"/>
  <c r="P19" i="1"/>
  <c r="Q19" i="1"/>
  <c r="S19" i="1"/>
  <c r="T19" i="1"/>
  <c r="V19" i="1" s="1"/>
  <c r="U19" i="1"/>
  <c r="C20" i="1"/>
  <c r="E20" i="1"/>
  <c r="G20" i="1"/>
  <c r="P20" i="1"/>
  <c r="Q20" i="1"/>
  <c r="S20" i="1"/>
  <c r="U20" i="1" s="1"/>
  <c r="T20" i="1"/>
  <c r="V20" i="1"/>
  <c r="E21" i="1"/>
  <c r="E23" i="1" s="1"/>
  <c r="P21" i="1"/>
  <c r="Q21" i="1"/>
  <c r="T21" i="1"/>
  <c r="S21" i="1" s="1"/>
  <c r="V21" i="1"/>
  <c r="C22" i="1"/>
  <c r="C37" i="1" s="1"/>
  <c r="E22" i="1"/>
  <c r="G22" i="1"/>
  <c r="P22" i="1"/>
  <c r="Q22" i="1"/>
  <c r="T22" i="1"/>
  <c r="S36" i="1" s="1"/>
  <c r="P23" i="1"/>
  <c r="Q23" i="1"/>
  <c r="S23" i="1"/>
  <c r="T23" i="1"/>
  <c r="V23" i="1" s="1"/>
  <c r="U23" i="1"/>
  <c r="P24" i="1"/>
  <c r="Q24" i="1"/>
  <c r="S24" i="1"/>
  <c r="U24" i="1" s="1"/>
  <c r="T24" i="1"/>
  <c r="V24" i="1"/>
  <c r="P25" i="1"/>
  <c r="Q25" i="1"/>
  <c r="T25" i="1"/>
  <c r="S25" i="1" s="1"/>
  <c r="V25" i="1"/>
  <c r="P33" i="1"/>
  <c r="S33" i="1"/>
  <c r="S34" i="1"/>
  <c r="C36" i="1"/>
  <c r="P37" i="1"/>
  <c r="S37" i="1"/>
  <c r="S38" i="1"/>
  <c r="S39" i="1"/>
  <c r="B49" i="1"/>
  <c r="B54" i="1"/>
  <c r="B7" i="2"/>
  <c r="C7" i="2"/>
  <c r="A50" i="2" s="1"/>
  <c r="B8" i="2"/>
  <c r="C8" i="2" s="1"/>
  <c r="B9" i="2"/>
  <c r="C9" i="2"/>
  <c r="A52" i="2" s="1"/>
  <c r="B10" i="2"/>
  <c r="C10" i="2" s="1"/>
  <c r="B11" i="2"/>
  <c r="C11" i="2"/>
  <c r="A35" i="2" s="1"/>
  <c r="B35" i="2" s="1"/>
  <c r="B12" i="2"/>
  <c r="C12" i="2" s="1"/>
  <c r="C32" i="2"/>
  <c r="C33" i="2" s="1"/>
  <c r="D32" i="2"/>
  <c r="D33" i="2" s="1"/>
  <c r="D34" i="2" s="1"/>
  <c r="D35" i="2" s="1"/>
  <c r="D36" i="2" s="1"/>
  <c r="B50" i="2"/>
  <c r="B51" i="2"/>
  <c r="B52" i="2"/>
  <c r="B53" i="2"/>
  <c r="B54" i="2"/>
  <c r="B55" i="2"/>
  <c r="A32" i="2" l="1"/>
  <c r="B32" i="2" s="1"/>
  <c r="E32" i="2" s="1"/>
  <c r="F8" i="2" s="1"/>
  <c r="A51" i="2"/>
  <c r="G23" i="1"/>
  <c r="G33" i="1"/>
  <c r="G34" i="1"/>
  <c r="C38" i="1"/>
  <c r="C33" i="1"/>
  <c r="C34" i="1"/>
  <c r="C23" i="1"/>
  <c r="A36" i="2"/>
  <c r="B36" i="2" s="1"/>
  <c r="A55" i="2"/>
  <c r="R20" i="1"/>
  <c r="C34" i="2"/>
  <c r="A34" i="2"/>
  <c r="B34" i="2" s="1"/>
  <c r="A53" i="2"/>
  <c r="R24" i="1"/>
  <c r="E24" i="1"/>
  <c r="E25" i="1"/>
  <c r="P39" i="1"/>
  <c r="U25" i="1"/>
  <c r="R23" i="1"/>
  <c r="R19" i="1"/>
  <c r="P32" i="1"/>
  <c r="U18" i="1"/>
  <c r="R25" i="1"/>
  <c r="U21" i="1"/>
  <c r="R21" i="1" s="1"/>
  <c r="P35" i="1"/>
  <c r="A33" i="2"/>
  <c r="B33" i="2" s="1"/>
  <c r="E33" i="2" s="1"/>
  <c r="F9" i="2" s="1"/>
  <c r="A31" i="2"/>
  <c r="B31" i="2" s="1"/>
  <c r="E31" i="2" s="1"/>
  <c r="F7" i="2" s="1"/>
  <c r="S32" i="1"/>
  <c r="V22" i="1"/>
  <c r="V18" i="1"/>
  <c r="P34" i="1"/>
  <c r="P38" i="1"/>
  <c r="E34" i="1"/>
  <c r="S22" i="1"/>
  <c r="E33" i="1"/>
  <c r="S35" i="1"/>
  <c r="A54" i="2"/>
  <c r="C52" i="2" l="1"/>
  <c r="G9" i="2"/>
  <c r="D52" i="2" s="1"/>
  <c r="C35" i="1"/>
  <c r="Q39" i="1"/>
  <c r="T39" i="1" s="1"/>
  <c r="U39" i="1" s="1"/>
  <c r="Q32" i="1"/>
  <c r="T32" i="1" s="1"/>
  <c r="U32" i="1" s="1"/>
  <c r="Q38" i="1"/>
  <c r="T38" i="1" s="1"/>
  <c r="U38" i="1" s="1"/>
  <c r="Q33" i="1"/>
  <c r="Q37" i="1"/>
  <c r="Q34" i="1"/>
  <c r="T34" i="1" s="1"/>
  <c r="U34" i="1" s="1"/>
  <c r="Q35" i="1"/>
  <c r="T35" i="1" s="1"/>
  <c r="U35" i="1" s="1"/>
  <c r="R34" i="1"/>
  <c r="R18" i="1"/>
  <c r="E31" i="1"/>
  <c r="E29" i="1"/>
  <c r="R32" i="1"/>
  <c r="G35" i="1"/>
  <c r="G24" i="1"/>
  <c r="G25" i="1" s="1"/>
  <c r="G7" i="2"/>
  <c r="D50" i="2" s="1"/>
  <c r="C50" i="2"/>
  <c r="C35" i="2"/>
  <c r="E34" i="2"/>
  <c r="F10" i="2" s="1"/>
  <c r="E35" i="1"/>
  <c r="U22" i="1"/>
  <c r="R22" i="1" s="1"/>
  <c r="P36" i="1"/>
  <c r="C24" i="1"/>
  <c r="C25" i="1"/>
  <c r="C51" i="2"/>
  <c r="G8" i="2"/>
  <c r="D51" i="2" s="1"/>
  <c r="G31" i="1" l="1"/>
  <c r="G29" i="1"/>
  <c r="C53" i="2"/>
  <c r="G10" i="2"/>
  <c r="D53" i="2" s="1"/>
  <c r="C31" i="1"/>
  <c r="C39" i="1"/>
  <c r="D46" i="1" s="1"/>
  <c r="C41" i="1"/>
  <c r="F41" i="1" s="1"/>
  <c r="C29" i="1"/>
  <c r="T37" i="1"/>
  <c r="U37" i="1" s="1"/>
  <c r="R37" i="1"/>
  <c r="R36" i="1"/>
  <c r="R38" i="1"/>
  <c r="C36" i="2"/>
  <c r="E36" i="2" s="1"/>
  <c r="F12" i="2" s="1"/>
  <c r="E35" i="2"/>
  <c r="F11" i="2" s="1"/>
  <c r="T33" i="1"/>
  <c r="U33" i="1" s="1"/>
  <c r="R33" i="1"/>
  <c r="R39" i="1"/>
  <c r="Q36" i="1"/>
  <c r="T36" i="1" s="1"/>
  <c r="U36" i="1" s="1"/>
  <c r="R35" i="1"/>
  <c r="C55" i="2" l="1"/>
  <c r="G12" i="2"/>
  <c r="D55" i="2" s="1"/>
  <c r="G11" i="2"/>
  <c r="D54" i="2" s="1"/>
  <c r="C54" i="2"/>
  <c r="B50" i="1"/>
  <c r="C54" i="1" s="1"/>
  <c r="C40" i="1"/>
  <c r="C42" i="1" l="1"/>
  <c r="F42" i="1" s="1"/>
  <c r="E54" i="1"/>
  <c r="F54" i="1" s="1"/>
  <c r="E43" i="1" l="1"/>
</calcChain>
</file>

<file path=xl/sharedStrings.xml><?xml version="1.0" encoding="utf-8"?>
<sst xmlns="http://schemas.openxmlformats.org/spreadsheetml/2006/main" count="152" uniqueCount="131">
  <si>
    <t>Operating and Financial Leverage</t>
  </si>
  <si>
    <t>Input Section:</t>
  </si>
  <si>
    <t>Fixed operating costs=</t>
  </si>
  <si>
    <t>Variable costs per unit=</t>
  </si>
  <si>
    <t>Sales price per unit=</t>
  </si>
  <si>
    <t>Amount Borrowed=</t>
  </si>
  <si>
    <t>Interest rate on loan=</t>
  </si>
  <si>
    <t>Equity Capital $=</t>
  </si>
  <si>
    <t>Number of Shares=</t>
  </si>
  <si>
    <t>Quantity in units=</t>
  </si>
  <si>
    <t>Revenues</t>
  </si>
  <si>
    <t>EBIT</t>
  </si>
  <si>
    <t>-interest</t>
  </si>
  <si>
    <t>EBT</t>
  </si>
  <si>
    <t>Tax rate=</t>
  </si>
  <si>
    <t>- taxes</t>
  </si>
  <si>
    <t>- Fixed costs</t>
  </si>
  <si>
    <t>- Variable costs</t>
  </si>
  <si>
    <t>Net Profit</t>
  </si>
  <si>
    <t>Probability of sales</t>
  </si>
  <si>
    <t>EPS</t>
  </si>
  <si>
    <t>Return on Equity</t>
  </si>
  <si>
    <t>units</t>
  </si>
  <si>
    <t>Degree Op. Leverage</t>
  </si>
  <si>
    <t>Degree Fin. Leverage</t>
  </si>
  <si>
    <t>Combined Leverage</t>
  </si>
  <si>
    <t>Breakeven Quantity(after taxes)</t>
  </si>
  <si>
    <t>Breakeven Quantity(EBIT=0)</t>
  </si>
  <si>
    <t>Expected Profits=</t>
  </si>
  <si>
    <t>Standard deviation Profits=</t>
  </si>
  <si>
    <t>Expected ROE=</t>
  </si>
  <si>
    <t>Standard Deviaiton ROE=</t>
  </si>
  <si>
    <t>(leverage.xls)</t>
  </si>
  <si>
    <t>times</t>
  </si>
  <si>
    <t>OUTPUT:</t>
  </si>
  <si>
    <t>coef var(ROE)=</t>
  </si>
  <si>
    <t>coef var(Profits)=</t>
  </si>
  <si>
    <t>Total Capital=</t>
  </si>
  <si>
    <t>Price=</t>
  </si>
  <si>
    <t>Value of Stock=</t>
  </si>
  <si>
    <t>(EBIT - I)*(1-T)</t>
  </si>
  <si>
    <t xml:space="preserve">         Ks</t>
  </si>
  <si>
    <t>Value of Debt</t>
  </si>
  <si>
    <t>Value of firm=</t>
  </si>
  <si>
    <t>Req'd return to equity=</t>
  </si>
  <si>
    <t xml:space="preserve">  '@ Ks</t>
  </si>
  <si>
    <t xml:space="preserve">  (Ks)</t>
  </si>
  <si>
    <t xml:space="preserve">  (at expected level of profits)</t>
  </si>
  <si>
    <t>Overall Cost of Capital:</t>
  </si>
  <si>
    <t>Kd(1-T)</t>
  </si>
  <si>
    <t>wgt debt</t>
  </si>
  <si>
    <t>Ks</t>
  </si>
  <si>
    <t>wgt stock</t>
  </si>
  <si>
    <t>wgtd avg Ko</t>
  </si>
  <si>
    <t xml:space="preserve">probability that ROE will be less than '0' (I.e., zero) </t>
  </si>
  <si>
    <t>Capital structure and cost of debt and equity:</t>
  </si>
  <si>
    <t>b =</t>
  </si>
  <si>
    <t>c =</t>
  </si>
  <si>
    <t>Kdo</t>
  </si>
  <si>
    <t>Cost of debt= Kdo + b times (D/S) + c times (D/S)^2</t>
  </si>
  <si>
    <t>Cost of equity= Kso + d times (D/S) + e times (D/S)^2</t>
  </si>
  <si>
    <t>Kso =</t>
  </si>
  <si>
    <t>d =</t>
  </si>
  <si>
    <t>e =</t>
  </si>
  <si>
    <t>D/S</t>
  </si>
  <si>
    <t>Cost of</t>
  </si>
  <si>
    <t>debt</t>
  </si>
  <si>
    <t>equity</t>
  </si>
  <si>
    <t>ratio</t>
  </si>
  <si>
    <t>Total Initial capital required=</t>
  </si>
  <si>
    <t xml:space="preserve">Amount </t>
  </si>
  <si>
    <t>Debt</t>
  </si>
  <si>
    <t>Amount</t>
  </si>
  <si>
    <t>Equity</t>
  </si>
  <si>
    <t>Wd</t>
  </si>
  <si>
    <t>Ws</t>
  </si>
  <si>
    <t>Optimal Capital Structure:</t>
  </si>
  <si>
    <t>Value of</t>
  </si>
  <si>
    <t>Market</t>
  </si>
  <si>
    <t>value</t>
  </si>
  <si>
    <t>stock</t>
  </si>
  <si>
    <t>Total</t>
  </si>
  <si>
    <t>firm</t>
  </si>
  <si>
    <t>Expected EBIT=</t>
  </si>
  <si>
    <t># of shares</t>
  </si>
  <si>
    <t xml:space="preserve">sold to </t>
  </si>
  <si>
    <t>public</t>
  </si>
  <si>
    <t># shares</t>
  </si>
  <si>
    <t>to founders</t>
  </si>
  <si>
    <t>Value</t>
  </si>
  <si>
    <t>Overall cost</t>
  </si>
  <si>
    <t>of capital</t>
  </si>
  <si>
    <t>Financial Leverage Class Lecture Spreadsheet</t>
  </si>
  <si>
    <t>Debt/ TC</t>
  </si>
  <si>
    <t xml:space="preserve">   Wd</t>
  </si>
  <si>
    <t>Equity/ TC</t>
  </si>
  <si>
    <t>Debt/Eq</t>
  </si>
  <si>
    <t>Ratio</t>
  </si>
  <si>
    <t>Bond</t>
  </si>
  <si>
    <t>Rating</t>
  </si>
  <si>
    <t>(pre-tax)</t>
  </si>
  <si>
    <t>Cost of debt</t>
  </si>
  <si>
    <t>AA</t>
  </si>
  <si>
    <t xml:space="preserve">A </t>
  </si>
  <si>
    <t>BBB</t>
  </si>
  <si>
    <t xml:space="preserve">BB </t>
  </si>
  <si>
    <t>B</t>
  </si>
  <si>
    <t>CCC</t>
  </si>
  <si>
    <t>Stock</t>
  </si>
  <si>
    <t>WACC =</t>
  </si>
  <si>
    <t>Wd*Kd*(1-T) + Ws*Ks</t>
  </si>
  <si>
    <t>Cost of Stock depends on the Beta of the company, and the weight of use of debt in</t>
  </si>
  <si>
    <t>the Capital Structure, as per Prof. Hamada:</t>
  </si>
  <si>
    <t>then:</t>
  </si>
  <si>
    <t>if   BU is the Beta of the company without use of debt leverage (i.e., unleveraged),</t>
  </si>
  <si>
    <t xml:space="preserve">Beta of leveraged company stock  (BL) would be </t>
  </si>
  <si>
    <t>BL    =   BU  *  [1 + (1-T) * (Debt/Equity Ratio)]</t>
  </si>
  <si>
    <t>BU =</t>
  </si>
  <si>
    <t xml:space="preserve">Debt/Equity </t>
  </si>
  <si>
    <t>Beta</t>
  </si>
  <si>
    <t>Leveraged</t>
  </si>
  <si>
    <t>risk-free</t>
  </si>
  <si>
    <t>interest</t>
  </si>
  <si>
    <t>Risk Prem.</t>
  </si>
  <si>
    <t>Cost of Stock</t>
  </si>
  <si>
    <t>Kd</t>
  </si>
  <si>
    <t>d/e</t>
  </si>
  <si>
    <t>kd</t>
  </si>
  <si>
    <t>ks</t>
  </si>
  <si>
    <t>wacc</t>
  </si>
  <si>
    <t>Dr.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</si>
</sst>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$&quot;#,##0"/>
    <numFmt numFmtId="165" formatCode="&quot;$&quot;#,##0.00"/>
    <numFmt numFmtId="167" formatCode="0.0000%"/>
    <numFmt numFmtId="168" formatCode="0.0%"/>
  </numFmts>
  <fonts count="6" x14ac:knownFonts="1">
    <font>
      <sz val="10"/>
      <name val="Arial"/>
    </font>
    <font>
      <sz val="14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9" fontId="0" fillId="2" borderId="0" xfId="0" applyNumberFormat="1" applyFill="1"/>
    <xf numFmtId="164" fontId="0" fillId="2" borderId="0" xfId="0" applyNumberFormat="1" applyFill="1"/>
    <xf numFmtId="0" fontId="0" fillId="0" borderId="0" xfId="0" quotePrefix="1"/>
    <xf numFmtId="10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10" fontId="0" fillId="0" borderId="0" xfId="0" applyNumberFormat="1"/>
    <xf numFmtId="165" fontId="0" fillId="3" borderId="0" xfId="0" applyNumberFormat="1" applyFill="1"/>
    <xf numFmtId="0" fontId="0" fillId="3" borderId="0" xfId="0" applyFill="1"/>
    <xf numFmtId="10" fontId="0" fillId="3" borderId="0" xfId="0" applyNumberFormat="1" applyFill="1"/>
    <xf numFmtId="2" fontId="0" fillId="3" borderId="0" xfId="0" applyNumberFormat="1" applyFill="1"/>
    <xf numFmtId="3" fontId="0" fillId="3" borderId="0" xfId="0" applyNumberFormat="1" applyFill="1"/>
    <xf numFmtId="4" fontId="0" fillId="3" borderId="0" xfId="0" applyNumberFormat="1" applyFill="1"/>
    <xf numFmtId="0" fontId="1" fillId="0" borderId="0" xfId="0" applyFont="1"/>
    <xf numFmtId="0" fontId="2" fillId="0" borderId="0" xfId="0" applyFont="1"/>
    <xf numFmtId="0" fontId="2" fillId="3" borderId="0" xfId="0" applyFont="1" applyFill="1"/>
    <xf numFmtId="167" fontId="0" fillId="0" borderId="0" xfId="0" applyNumberFormat="1"/>
    <xf numFmtId="164" fontId="0" fillId="3" borderId="0" xfId="0" applyNumberFormat="1" applyFill="1"/>
    <xf numFmtId="165" fontId="0" fillId="2" borderId="0" xfId="0" applyNumberFormat="1" applyFill="1"/>
    <xf numFmtId="0" fontId="3" fillId="0" borderId="0" xfId="0" quotePrefix="1" applyFont="1"/>
    <xf numFmtId="164" fontId="3" fillId="0" borderId="0" xfId="0" applyNumberFormat="1" applyFont="1"/>
    <xf numFmtId="9" fontId="0" fillId="0" borderId="0" xfId="0" applyNumberFormat="1"/>
    <xf numFmtId="0" fontId="4" fillId="0" borderId="0" xfId="0" applyFont="1"/>
    <xf numFmtId="2" fontId="0" fillId="0" borderId="0" xfId="0" applyNumberFormat="1"/>
    <xf numFmtId="164" fontId="4" fillId="0" borderId="0" xfId="0" applyNumberFormat="1" applyFont="1"/>
    <xf numFmtId="0" fontId="0" fillId="0" borderId="0" xfId="0" applyFill="1"/>
    <xf numFmtId="9" fontId="0" fillId="0" borderId="0" xfId="0" applyNumberFormat="1" applyFill="1"/>
    <xf numFmtId="165" fontId="0" fillId="0" borderId="0" xfId="0" applyNumberFormat="1" applyFill="1"/>
    <xf numFmtId="10" fontId="0" fillId="0" borderId="0" xfId="0" applyNumberFormat="1" applyFill="1"/>
    <xf numFmtId="2" fontId="0" fillId="0" borderId="0" xfId="0" applyNumberFormat="1" applyFill="1"/>
    <xf numFmtId="164" fontId="0" fillId="0" borderId="0" xfId="0" applyNumberFormat="1" applyFill="1"/>
    <xf numFmtId="168" fontId="0" fillId="0" borderId="0" xfId="0" applyNumberFormat="1"/>
    <xf numFmtId="0" fontId="5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146990938938557"/>
          <c:y val="0.10645542583169573"/>
          <c:w val="0.4834460273532375"/>
          <c:h val="0.59679556905647602"/>
        </c:manualLayout>
      </c:layout>
      <c:scatterChart>
        <c:scatterStyle val="smoothMarker"/>
        <c:varyColors val="0"/>
        <c:ser>
          <c:idx val="0"/>
          <c:order val="0"/>
          <c:tx>
            <c:v>debt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opfinlev!$O$18:$O$25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0.6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opfinlev!$P$18:$P$25</c:f>
              <c:numCache>
                <c:formatCode>0.00%</c:formatCode>
                <c:ptCount val="8"/>
                <c:pt idx="0">
                  <c:v>0.06</c:v>
                </c:pt>
                <c:pt idx="1">
                  <c:v>6.13E-2</c:v>
                </c:pt>
                <c:pt idx="2">
                  <c:v>6.3200000000000006E-2</c:v>
                </c:pt>
                <c:pt idx="3">
                  <c:v>6.5699999999999995E-2</c:v>
                </c:pt>
                <c:pt idx="4">
                  <c:v>6.88E-2</c:v>
                </c:pt>
                <c:pt idx="5">
                  <c:v>7.6800000000000007E-2</c:v>
                </c:pt>
                <c:pt idx="6">
                  <c:v>8.72E-2</c:v>
                </c:pt>
                <c:pt idx="7">
                  <c:v>9.9999999999999992E-2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B3-4DD5-9995-47871614C708}"/>
            </c:ext>
          </c:extLst>
        </c:ser>
        <c:ser>
          <c:idx val="1"/>
          <c:order val="1"/>
          <c:tx>
            <c:v>equity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opfinlev!$O$18:$O$25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0.6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opfinlev!$Q$18:$Q$25</c:f>
              <c:numCache>
                <c:formatCode>0.00%</c:formatCode>
                <c:ptCount val="8"/>
                <c:pt idx="0">
                  <c:v>0.1</c:v>
                </c:pt>
                <c:pt idx="1">
                  <c:v>0.10260000000000001</c:v>
                </c:pt>
                <c:pt idx="2">
                  <c:v>0.10640000000000001</c:v>
                </c:pt>
                <c:pt idx="3">
                  <c:v>0.11140000000000001</c:v>
                </c:pt>
                <c:pt idx="4">
                  <c:v>0.11760000000000001</c:v>
                </c:pt>
                <c:pt idx="5">
                  <c:v>0.1336</c:v>
                </c:pt>
                <c:pt idx="6">
                  <c:v>0.15440000000000001</c:v>
                </c:pt>
                <c:pt idx="7">
                  <c:v>0.18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B3-4DD5-9995-47871614C708}"/>
            </c:ext>
          </c:extLst>
        </c:ser>
        <c:ser>
          <c:idx val="2"/>
          <c:order val="2"/>
          <c:tx>
            <c:v>wacc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opfinlev!$O$18:$O$25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0.6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opfinlev!$R$18:$R$25</c:f>
              <c:numCache>
                <c:formatCode>0.0%</c:formatCode>
                <c:ptCount val="8"/>
                <c:pt idx="0">
                  <c:v>0.1</c:v>
                </c:pt>
                <c:pt idx="1">
                  <c:v>9.6616363636363653E-2</c:v>
                </c:pt>
                <c:pt idx="2">
                  <c:v>9.4986666666666664E-2</c:v>
                </c:pt>
                <c:pt idx="3">
                  <c:v>9.4789230769230778E-2</c:v>
                </c:pt>
                <c:pt idx="4">
                  <c:v>9.5794285714285721E-2</c:v>
                </c:pt>
                <c:pt idx="5">
                  <c:v>0.10077999999999999</c:v>
                </c:pt>
                <c:pt idx="6">
                  <c:v>0.10903111111111112</c:v>
                </c:pt>
                <c:pt idx="7">
                  <c:v>0.12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FB3-4DD5-9995-47871614C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880912"/>
        <c:axId val="1"/>
      </c:scatterChart>
      <c:valAx>
        <c:axId val="1661880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D/S ratio</a:t>
                </a:r>
              </a:p>
            </c:rich>
          </c:tx>
          <c:layout>
            <c:manualLayout>
              <c:xMode val="edge"/>
              <c:yMode val="edge"/>
              <c:x val="0.41521775736386929"/>
              <c:y val="0.841965640668866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cost</a:t>
                </a:r>
              </a:p>
            </c:rich>
          </c:tx>
          <c:layout>
            <c:manualLayout>
              <c:xMode val="edge"/>
              <c:yMode val="edge"/>
              <c:x val="3.7038203708514163E-2"/>
              <c:y val="0.30001074552568796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18809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949855273411762"/>
          <c:y val="0.27742929156138885"/>
          <c:w val="0.19103915597023091"/>
          <c:h val="0.254847837597089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590611849295841"/>
          <c:y val="5.8194858021906971E-2"/>
          <c:w val="0.52393496806256323"/>
          <c:h val="0.75959604154910154"/>
        </c:manualLayout>
      </c:layout>
      <c:scatterChart>
        <c:scatterStyle val="smoothMarker"/>
        <c:varyColors val="0"/>
        <c:ser>
          <c:idx val="0"/>
          <c:order val="0"/>
          <c:tx>
            <c:v>cost of debt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optCOC!$A$50:$A$55</c:f>
              <c:numCache>
                <c:formatCode>0.00</c:formatCode>
                <c:ptCount val="6"/>
                <c:pt idx="0">
                  <c:v>0</c:v>
                </c:pt>
                <c:pt idx="1">
                  <c:v>0.11111111111111112</c:v>
                </c:pt>
                <c:pt idx="2">
                  <c:v>0.25</c:v>
                </c:pt>
                <c:pt idx="3">
                  <c:v>0.4285714285714286</c:v>
                </c:pt>
                <c:pt idx="4">
                  <c:v>0.81818181818181812</c:v>
                </c:pt>
                <c:pt idx="5">
                  <c:v>1.4999999999999998</c:v>
                </c:pt>
              </c:numCache>
            </c:numRef>
          </c:xVal>
          <c:yVal>
            <c:numRef>
              <c:f>optCOC!$B$50:$B$55</c:f>
              <c:numCache>
                <c:formatCode>0.00%</c:formatCode>
                <c:ptCount val="6"/>
                <c:pt idx="0">
                  <c:v>0.06</c:v>
                </c:pt>
                <c:pt idx="1">
                  <c:v>6.2E-2</c:v>
                </c:pt>
                <c:pt idx="2">
                  <c:v>6.7000000000000004E-2</c:v>
                </c:pt>
                <c:pt idx="3">
                  <c:v>7.4999999999999997E-2</c:v>
                </c:pt>
                <c:pt idx="4">
                  <c:v>9.9000000000000005E-2</c:v>
                </c:pt>
                <c:pt idx="5">
                  <c:v>0.15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75-4B52-B451-7E6701937060}"/>
            </c:ext>
          </c:extLst>
        </c:ser>
        <c:ser>
          <c:idx val="1"/>
          <c:order val="1"/>
          <c:tx>
            <c:v>cost of stock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optCOC!$A$50:$A$55</c:f>
              <c:numCache>
                <c:formatCode>0.00</c:formatCode>
                <c:ptCount val="6"/>
                <c:pt idx="0">
                  <c:v>0</c:v>
                </c:pt>
                <c:pt idx="1">
                  <c:v>0.11111111111111112</c:v>
                </c:pt>
                <c:pt idx="2">
                  <c:v>0.25</c:v>
                </c:pt>
                <c:pt idx="3">
                  <c:v>0.4285714285714286</c:v>
                </c:pt>
                <c:pt idx="4">
                  <c:v>0.81818181818181812</c:v>
                </c:pt>
                <c:pt idx="5">
                  <c:v>1.4999999999999998</c:v>
                </c:pt>
              </c:numCache>
            </c:numRef>
          </c:xVal>
          <c:yVal>
            <c:numRef>
              <c:f>optCOC!$C$50:$C$55</c:f>
              <c:numCache>
                <c:formatCode>0.00%</c:formatCode>
                <c:ptCount val="6"/>
                <c:pt idx="0">
                  <c:v>0.10400000000000001</c:v>
                </c:pt>
                <c:pt idx="1">
                  <c:v>0.10897777777777778</c:v>
                </c:pt>
                <c:pt idx="2">
                  <c:v>0.1152</c:v>
                </c:pt>
                <c:pt idx="3">
                  <c:v>0.1232</c:v>
                </c:pt>
                <c:pt idx="4">
                  <c:v>0.14065454545454548</c:v>
                </c:pt>
                <c:pt idx="5">
                  <c:v>0.17119999999999999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75-4B52-B451-7E6701937060}"/>
            </c:ext>
          </c:extLst>
        </c:ser>
        <c:ser>
          <c:idx val="2"/>
          <c:order val="2"/>
          <c:tx>
            <c:v>WACC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optCOC!$A$50:$A$55</c:f>
              <c:numCache>
                <c:formatCode>0.00</c:formatCode>
                <c:ptCount val="6"/>
                <c:pt idx="0">
                  <c:v>0</c:v>
                </c:pt>
                <c:pt idx="1">
                  <c:v>0.11111111111111112</c:v>
                </c:pt>
                <c:pt idx="2">
                  <c:v>0.25</c:v>
                </c:pt>
                <c:pt idx="3">
                  <c:v>0.4285714285714286</c:v>
                </c:pt>
                <c:pt idx="4">
                  <c:v>0.81818181818181812</c:v>
                </c:pt>
                <c:pt idx="5">
                  <c:v>1.4999999999999998</c:v>
                </c:pt>
              </c:numCache>
            </c:numRef>
          </c:xVal>
          <c:yVal>
            <c:numRef>
              <c:f>optCOC!$D$50:$D$55</c:f>
              <c:numCache>
                <c:formatCode>0.00%</c:formatCode>
                <c:ptCount val="6"/>
                <c:pt idx="0">
                  <c:v>0.10400000000000001</c:v>
                </c:pt>
                <c:pt idx="1">
                  <c:v>0.10242000000000001</c:v>
                </c:pt>
                <c:pt idx="2">
                  <c:v>0.10154000000000001</c:v>
                </c:pt>
                <c:pt idx="3">
                  <c:v>0.10199</c:v>
                </c:pt>
                <c:pt idx="4">
                  <c:v>0.10854500000000002</c:v>
                </c:pt>
                <c:pt idx="5">
                  <c:v>0.13147999999999999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75-4B52-B451-7E6701937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667008"/>
        <c:axId val="1"/>
      </c:scatterChart>
      <c:valAx>
        <c:axId val="1662667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Debt/Equity ratio</a:t>
                </a:r>
              </a:p>
            </c:rich>
          </c:tx>
          <c:layout>
            <c:manualLayout>
              <c:xMode val="edge"/>
              <c:yMode val="edge"/>
              <c:x val="0.34055772924066607"/>
              <c:y val="0.9050831866038687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cost</a:t>
                </a:r>
              </a:p>
            </c:rich>
          </c:tx>
          <c:layout>
            <c:manualLayout>
              <c:xMode val="edge"/>
              <c:yMode val="edge"/>
              <c:x val="2.1640792159105873E-2"/>
              <c:y val="0.37367224624592893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26670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653963805675007"/>
          <c:y val="0.35988925355652984"/>
          <c:w val="0.22210286689608658"/>
          <c:h val="0.1577386941120109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662940</xdr:colOff>
      <xdr:row>0</xdr:row>
      <xdr:rowOff>137160</xdr:rowOff>
    </xdr:from>
    <xdr:to>
      <xdr:col>25</xdr:col>
      <xdr:colOff>441960</xdr:colOff>
      <xdr:row>14</xdr:row>
      <xdr:rowOff>99060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E902EE3-F383-EFF0-15A7-207C8E3AE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1</xdr:row>
      <xdr:rowOff>106680</xdr:rowOff>
    </xdr:from>
    <xdr:to>
      <xdr:col>21</xdr:col>
      <xdr:colOff>601980</xdr:colOff>
      <xdr:row>31</xdr:row>
      <xdr:rowOff>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DD68E79C-FD71-3FE8-AAE5-451D7AF31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tabSelected="1" workbookViewId="0">
      <selection activeCell="F2" sqref="F2"/>
    </sheetView>
  </sheetViews>
  <sheetFormatPr defaultRowHeight="13.2" x14ac:dyDescent="0.25"/>
  <cols>
    <col min="1" max="1" width="21.44140625" customWidth="1"/>
    <col min="3" max="3" width="11.33203125" customWidth="1"/>
    <col min="4" max="4" width="10.109375" bestFit="1" customWidth="1"/>
    <col min="5" max="5" width="14.5546875" customWidth="1"/>
    <col min="6" max="6" width="10.6640625" customWidth="1"/>
    <col min="7" max="12" width="13.88671875" customWidth="1"/>
    <col min="17" max="17" width="10.109375" bestFit="1" customWidth="1"/>
    <col min="18" max="18" width="13.109375" customWidth="1"/>
    <col min="19" max="19" width="11" customWidth="1"/>
    <col min="20" max="20" width="12" customWidth="1"/>
    <col min="21" max="21" width="12.6640625" customWidth="1"/>
  </cols>
  <sheetData>
    <row r="1" spans="1:22" ht="17.399999999999999" x14ac:dyDescent="0.3">
      <c r="A1" s="15" t="s">
        <v>0</v>
      </c>
      <c r="F1" t="s">
        <v>130</v>
      </c>
    </row>
    <row r="2" spans="1:22" x14ac:dyDescent="0.25">
      <c r="F2" t="s">
        <v>32</v>
      </c>
    </row>
    <row r="3" spans="1:22" x14ac:dyDescent="0.25">
      <c r="O3" s="24" t="s">
        <v>69</v>
      </c>
      <c r="P3" s="24"/>
      <c r="Q3" s="24"/>
      <c r="R3" s="26">
        <f>E11</f>
        <v>10000</v>
      </c>
    </row>
    <row r="4" spans="1:22" x14ac:dyDescent="0.25">
      <c r="A4" s="16" t="s">
        <v>1</v>
      </c>
    </row>
    <row r="5" spans="1:22" x14ac:dyDescent="0.25">
      <c r="A5" t="s">
        <v>14</v>
      </c>
      <c r="B5" s="5">
        <v>0.4</v>
      </c>
      <c r="O5" s="16" t="s">
        <v>55</v>
      </c>
      <c r="P5" s="16"/>
      <c r="Q5" s="16"/>
      <c r="R5" s="16"/>
      <c r="S5" s="16"/>
    </row>
    <row r="6" spans="1:22" x14ac:dyDescent="0.25">
      <c r="A6" t="s">
        <v>2</v>
      </c>
      <c r="B6" s="3">
        <v>2500</v>
      </c>
      <c r="O6" s="24" t="s">
        <v>59</v>
      </c>
      <c r="P6" s="24"/>
      <c r="Q6" s="24"/>
      <c r="R6" s="24"/>
      <c r="S6" s="24"/>
    </row>
    <row r="7" spans="1:22" x14ac:dyDescent="0.25">
      <c r="A7" t="s">
        <v>3</v>
      </c>
      <c r="B7" s="3">
        <v>59</v>
      </c>
      <c r="O7" t="s">
        <v>58</v>
      </c>
      <c r="P7" s="2">
        <v>0.06</v>
      </c>
    </row>
    <row r="8" spans="1:22" x14ac:dyDescent="0.25">
      <c r="A8" t="s">
        <v>4</v>
      </c>
      <c r="B8" s="3">
        <v>80</v>
      </c>
      <c r="O8" t="s">
        <v>56</v>
      </c>
      <c r="P8" s="1">
        <v>0.01</v>
      </c>
    </row>
    <row r="9" spans="1:22" x14ac:dyDescent="0.25">
      <c r="B9" s="1"/>
      <c r="O9" t="s">
        <v>57</v>
      </c>
      <c r="P9" s="1">
        <v>0.03</v>
      </c>
    </row>
    <row r="10" spans="1:22" x14ac:dyDescent="0.25">
      <c r="A10" t="s">
        <v>5</v>
      </c>
      <c r="B10" s="3">
        <v>4000</v>
      </c>
      <c r="D10" t="s">
        <v>37</v>
      </c>
    </row>
    <row r="11" spans="1:22" x14ac:dyDescent="0.25">
      <c r="A11" t="s">
        <v>6</v>
      </c>
      <c r="B11" s="5">
        <f>P7+P8*B10/(E11-B10)+P9*(B10/(E11-B10))^2</f>
        <v>0.08</v>
      </c>
      <c r="E11" s="3">
        <v>10000</v>
      </c>
      <c r="O11" s="24" t="s">
        <v>60</v>
      </c>
      <c r="P11" s="24"/>
      <c r="Q11" s="24"/>
      <c r="R11" s="24"/>
      <c r="S11" s="24"/>
    </row>
    <row r="12" spans="1:22" x14ac:dyDescent="0.25">
      <c r="A12" t="s">
        <v>7</v>
      </c>
      <c r="B12" s="19">
        <f>E11-B10</f>
        <v>6000</v>
      </c>
      <c r="D12" t="s">
        <v>38</v>
      </c>
      <c r="E12" s="20">
        <v>10</v>
      </c>
      <c r="O12" t="s">
        <v>61</v>
      </c>
      <c r="P12" s="2">
        <v>0.1</v>
      </c>
    </row>
    <row r="13" spans="1:22" x14ac:dyDescent="0.25">
      <c r="A13" t="s">
        <v>8</v>
      </c>
      <c r="B13" s="10">
        <f>B12/E12</f>
        <v>600</v>
      </c>
      <c r="D13" t="s">
        <v>44</v>
      </c>
      <c r="F13" s="5">
        <f>P12+P13*B10/(E11-B10)+P14*(B10/(E11-B10))^2</f>
        <v>0.14000000000000001</v>
      </c>
      <c r="G13" s="4" t="s">
        <v>46</v>
      </c>
      <c r="H13" s="4"/>
      <c r="I13" s="4"/>
      <c r="J13" s="4"/>
      <c r="K13" s="4"/>
      <c r="L13" s="4"/>
      <c r="O13" t="s">
        <v>62</v>
      </c>
      <c r="P13" s="1">
        <v>0.02</v>
      </c>
    </row>
    <row r="14" spans="1:22" x14ac:dyDescent="0.25">
      <c r="O14" t="s">
        <v>63</v>
      </c>
      <c r="P14" s="1">
        <v>0.06</v>
      </c>
    </row>
    <row r="15" spans="1:22" x14ac:dyDescent="0.25">
      <c r="A15" t="s">
        <v>9</v>
      </c>
      <c r="C15" s="1">
        <v>125</v>
      </c>
      <c r="D15" s="1"/>
      <c r="E15" s="1">
        <v>200</v>
      </c>
      <c r="F15" s="1"/>
      <c r="G15" s="1">
        <v>275</v>
      </c>
      <c r="H15" s="27"/>
      <c r="I15" s="27"/>
      <c r="J15" s="27"/>
      <c r="K15" s="27"/>
      <c r="L15" s="27"/>
      <c r="M15" s="27"/>
    </row>
    <row r="16" spans="1:22" x14ac:dyDescent="0.25">
      <c r="A16" t="s">
        <v>19</v>
      </c>
      <c r="C16" s="2">
        <v>0.2</v>
      </c>
      <c r="D16" s="1"/>
      <c r="E16" s="2">
        <v>0.6</v>
      </c>
      <c r="F16" s="1"/>
      <c r="G16" s="2">
        <v>0.2</v>
      </c>
      <c r="H16" s="28"/>
      <c r="I16" s="28"/>
      <c r="J16" s="28"/>
      <c r="K16" s="28"/>
      <c r="L16" s="28"/>
      <c r="M16" s="27"/>
      <c r="O16" s="24" t="s">
        <v>64</v>
      </c>
      <c r="P16" s="24" t="s">
        <v>65</v>
      </c>
      <c r="Q16" s="24" t="s">
        <v>65</v>
      </c>
      <c r="R16" s="24" t="s">
        <v>90</v>
      </c>
      <c r="S16" s="24" t="s">
        <v>70</v>
      </c>
      <c r="T16" s="24" t="s">
        <v>72</v>
      </c>
      <c r="U16" t="s">
        <v>74</v>
      </c>
      <c r="V16" t="s">
        <v>75</v>
      </c>
    </row>
    <row r="17" spans="1:22" x14ac:dyDescent="0.25">
      <c r="L17" s="27"/>
      <c r="M17" s="27"/>
      <c r="O17" s="24" t="s">
        <v>68</v>
      </c>
      <c r="P17" s="24" t="s">
        <v>66</v>
      </c>
      <c r="Q17" s="24" t="s">
        <v>67</v>
      </c>
      <c r="R17" s="24" t="s">
        <v>91</v>
      </c>
      <c r="S17" s="24" t="s">
        <v>71</v>
      </c>
      <c r="T17" s="24" t="s">
        <v>73</v>
      </c>
    </row>
    <row r="18" spans="1:22" x14ac:dyDescent="0.25">
      <c r="A18" t="s">
        <v>10</v>
      </c>
      <c r="C18" s="6">
        <f>C15*$B$8</f>
        <v>10000</v>
      </c>
      <c r="D18" s="6"/>
      <c r="E18" s="6">
        <f>E15*$B$8</f>
        <v>16000</v>
      </c>
      <c r="F18" s="6"/>
      <c r="G18" s="6">
        <f>G15*$B$8</f>
        <v>22000</v>
      </c>
      <c r="H18" s="6"/>
      <c r="I18" s="6"/>
      <c r="J18" s="6"/>
      <c r="K18" s="6"/>
      <c r="L18" s="32"/>
      <c r="M18" s="27"/>
      <c r="O18">
        <v>0</v>
      </c>
      <c r="P18" s="8">
        <f>$P$7+$P$8*O18+$P$9*(O18)^2</f>
        <v>0.06</v>
      </c>
      <c r="Q18" s="8">
        <f>$P$12+$P$13*O18+$P$14*(O18)^2</f>
        <v>0.1</v>
      </c>
      <c r="R18" s="33">
        <f>P18*(1-$B$5)*U18+Q18*V18</f>
        <v>0.1</v>
      </c>
      <c r="S18" s="7">
        <f>$R$3-T18</f>
        <v>0</v>
      </c>
      <c r="T18" s="7">
        <f>$R$3</f>
        <v>10000</v>
      </c>
      <c r="U18" s="8">
        <f t="shared" ref="U18:U25" si="0">S18/$T$18</f>
        <v>0</v>
      </c>
      <c r="V18" s="8">
        <f>T18/$R$3</f>
        <v>1</v>
      </c>
    </row>
    <row r="19" spans="1:22" x14ac:dyDescent="0.25">
      <c r="A19" s="4" t="s">
        <v>17</v>
      </c>
      <c r="C19" s="6">
        <f>C15*$B$7</f>
        <v>7375</v>
      </c>
      <c r="D19" s="6"/>
      <c r="E19" s="6">
        <f>E15*$B$7</f>
        <v>11800</v>
      </c>
      <c r="F19" s="6"/>
      <c r="G19" s="6">
        <f>G15*$B$7</f>
        <v>16225</v>
      </c>
      <c r="H19" s="6"/>
      <c r="I19" s="6"/>
      <c r="J19" s="6"/>
      <c r="K19" s="6"/>
      <c r="L19" s="32"/>
      <c r="M19" s="27"/>
      <c r="O19">
        <v>0.1</v>
      </c>
      <c r="P19" s="8">
        <f t="shared" ref="P19:P25" si="1">$P$7+$P$8*O19+$P$9*(O19)^2</f>
        <v>6.13E-2</v>
      </c>
      <c r="Q19" s="8">
        <f t="shared" ref="Q19:Q25" si="2">$P$12+$P$13*O19+$P$14*(O19)^2</f>
        <v>0.10260000000000001</v>
      </c>
      <c r="R19" s="33">
        <f t="shared" ref="R19:R25" si="3">P19*(1-$B$5)*U19+Q19*V19</f>
        <v>9.6616363636363653E-2</v>
      </c>
      <c r="S19" s="7">
        <f t="shared" ref="S19:S25" si="4">$R$3-T19</f>
        <v>909.09090909090992</v>
      </c>
      <c r="T19" s="7">
        <f t="shared" ref="T19:T25" si="5">$R$3/(1+O19)</f>
        <v>9090.9090909090901</v>
      </c>
      <c r="U19" s="8">
        <f t="shared" si="0"/>
        <v>9.0909090909090995E-2</v>
      </c>
      <c r="V19" s="8">
        <f t="shared" ref="V19:V25" si="6">T19/$R$3</f>
        <v>0.90909090909090906</v>
      </c>
    </row>
    <row r="20" spans="1:22" x14ac:dyDescent="0.25">
      <c r="A20" s="4" t="s">
        <v>16</v>
      </c>
      <c r="C20" s="6">
        <f>$B$6</f>
        <v>2500</v>
      </c>
      <c r="D20" s="6"/>
      <c r="E20" s="6">
        <f>$B$6</f>
        <v>2500</v>
      </c>
      <c r="F20" s="6"/>
      <c r="G20" s="6">
        <f>$B$6</f>
        <v>2500</v>
      </c>
      <c r="H20" s="6"/>
      <c r="I20" s="6"/>
      <c r="J20" s="6"/>
      <c r="K20" s="6"/>
      <c r="L20" s="32"/>
      <c r="M20" s="27"/>
      <c r="O20">
        <v>0.2</v>
      </c>
      <c r="P20" s="8">
        <f t="shared" si="1"/>
        <v>6.3200000000000006E-2</v>
      </c>
      <c r="Q20" s="8">
        <f t="shared" si="2"/>
        <v>0.10640000000000001</v>
      </c>
      <c r="R20" s="33">
        <f t="shared" si="3"/>
        <v>9.4986666666666664E-2</v>
      </c>
      <c r="S20" s="7">
        <f t="shared" si="4"/>
        <v>1666.6666666666661</v>
      </c>
      <c r="T20" s="7">
        <f t="shared" si="5"/>
        <v>8333.3333333333339</v>
      </c>
      <c r="U20" s="8">
        <f t="shared" si="0"/>
        <v>0.1666666666666666</v>
      </c>
      <c r="V20" s="8">
        <f t="shared" si="6"/>
        <v>0.83333333333333337</v>
      </c>
    </row>
    <row r="21" spans="1:22" x14ac:dyDescent="0.25">
      <c r="A21" t="s">
        <v>11</v>
      </c>
      <c r="C21" s="6">
        <f>C18-C19-C20</f>
        <v>125</v>
      </c>
      <c r="D21" s="6"/>
      <c r="E21" s="6">
        <f>E18-E19-E20</f>
        <v>1700</v>
      </c>
      <c r="F21" s="6"/>
      <c r="G21" s="6">
        <f>G18-G19-G20</f>
        <v>3275</v>
      </c>
      <c r="H21" s="6"/>
      <c r="I21" s="6"/>
      <c r="J21" s="6"/>
      <c r="K21" s="6"/>
      <c r="L21" s="32"/>
      <c r="M21" s="27"/>
      <c r="O21">
        <v>0.3</v>
      </c>
      <c r="P21" s="8">
        <f t="shared" si="1"/>
        <v>6.5699999999999995E-2</v>
      </c>
      <c r="Q21" s="8">
        <f t="shared" si="2"/>
        <v>0.11140000000000001</v>
      </c>
      <c r="R21" s="33">
        <f t="shared" si="3"/>
        <v>9.4789230769230778E-2</v>
      </c>
      <c r="S21" s="7">
        <f t="shared" si="4"/>
        <v>2307.6923076923076</v>
      </c>
      <c r="T21" s="7">
        <f t="shared" si="5"/>
        <v>7692.3076923076924</v>
      </c>
      <c r="U21" s="8">
        <f t="shared" si="0"/>
        <v>0.23076923076923075</v>
      </c>
      <c r="V21" s="8">
        <f t="shared" si="6"/>
        <v>0.76923076923076927</v>
      </c>
    </row>
    <row r="22" spans="1:22" x14ac:dyDescent="0.25">
      <c r="A22" s="4" t="s">
        <v>12</v>
      </c>
      <c r="C22" s="6">
        <f>$B$10*$B$11</f>
        <v>320</v>
      </c>
      <c r="D22" s="6"/>
      <c r="E22" s="6">
        <f>$B$10*$B$11</f>
        <v>320</v>
      </c>
      <c r="F22" s="6"/>
      <c r="G22" s="6">
        <f>$B$10*$B$11</f>
        <v>320</v>
      </c>
      <c r="H22" s="6"/>
      <c r="I22" s="6"/>
      <c r="J22" s="6"/>
      <c r="K22" s="6"/>
      <c r="L22" s="32"/>
      <c r="M22" s="27"/>
      <c r="O22">
        <v>0.4</v>
      </c>
      <c r="P22" s="8">
        <f t="shared" si="1"/>
        <v>6.88E-2</v>
      </c>
      <c r="Q22" s="8">
        <f t="shared" si="2"/>
        <v>0.11760000000000001</v>
      </c>
      <c r="R22" s="33">
        <f t="shared" si="3"/>
        <v>9.5794285714285721E-2</v>
      </c>
      <c r="S22" s="7">
        <f t="shared" si="4"/>
        <v>2857.1428571428569</v>
      </c>
      <c r="T22" s="7">
        <f t="shared" si="5"/>
        <v>7142.8571428571431</v>
      </c>
      <c r="U22" s="8">
        <f t="shared" si="0"/>
        <v>0.2857142857142857</v>
      </c>
      <c r="V22" s="8">
        <f t="shared" si="6"/>
        <v>0.7142857142857143</v>
      </c>
    </row>
    <row r="23" spans="1:22" x14ac:dyDescent="0.25">
      <c r="A23" t="s">
        <v>13</v>
      </c>
      <c r="C23" s="6">
        <f>C21-C22</f>
        <v>-195</v>
      </c>
      <c r="D23" s="6"/>
      <c r="E23" s="6">
        <f>E21-E22</f>
        <v>1380</v>
      </c>
      <c r="F23" s="6"/>
      <c r="G23" s="6">
        <f>G21-G22</f>
        <v>2955</v>
      </c>
      <c r="H23" s="6"/>
      <c r="I23" s="6"/>
      <c r="J23" s="6"/>
      <c r="K23" s="6"/>
      <c r="L23" s="32"/>
      <c r="M23" s="27"/>
      <c r="O23">
        <v>0.6</v>
      </c>
      <c r="P23" s="8">
        <f t="shared" si="1"/>
        <v>7.6800000000000007E-2</v>
      </c>
      <c r="Q23" s="8">
        <f t="shared" si="2"/>
        <v>0.1336</v>
      </c>
      <c r="R23" s="33">
        <f t="shared" si="3"/>
        <v>0.10077999999999999</v>
      </c>
      <c r="S23" s="7">
        <f t="shared" si="4"/>
        <v>3750</v>
      </c>
      <c r="T23" s="7">
        <f t="shared" si="5"/>
        <v>6250</v>
      </c>
      <c r="U23" s="8">
        <f t="shared" si="0"/>
        <v>0.375</v>
      </c>
      <c r="V23" s="8">
        <f t="shared" si="6"/>
        <v>0.625</v>
      </c>
    </row>
    <row r="24" spans="1:22" x14ac:dyDescent="0.25">
      <c r="A24" s="4" t="s">
        <v>15</v>
      </c>
      <c r="C24" s="6">
        <f>$B$5*C23</f>
        <v>-78</v>
      </c>
      <c r="D24" s="6"/>
      <c r="E24" s="6">
        <f>$B$5*E23</f>
        <v>552</v>
      </c>
      <c r="F24" s="6"/>
      <c r="G24" s="6">
        <f>$B$5*G23</f>
        <v>1182</v>
      </c>
      <c r="H24" s="6"/>
      <c r="I24" s="6"/>
      <c r="J24" s="6"/>
      <c r="K24" s="6"/>
      <c r="L24" s="32"/>
      <c r="M24" s="27"/>
      <c r="O24">
        <v>0.8</v>
      </c>
      <c r="P24" s="8">
        <f t="shared" si="1"/>
        <v>8.72E-2</v>
      </c>
      <c r="Q24" s="8">
        <f t="shared" si="2"/>
        <v>0.15440000000000001</v>
      </c>
      <c r="R24" s="33">
        <f t="shared" si="3"/>
        <v>0.10903111111111112</v>
      </c>
      <c r="S24" s="7">
        <f t="shared" si="4"/>
        <v>4444.4444444444443</v>
      </c>
      <c r="T24" s="7">
        <f t="shared" si="5"/>
        <v>5555.5555555555557</v>
      </c>
      <c r="U24" s="8">
        <f t="shared" si="0"/>
        <v>0.44444444444444442</v>
      </c>
      <c r="V24" s="8">
        <f t="shared" si="6"/>
        <v>0.55555555555555558</v>
      </c>
    </row>
    <row r="25" spans="1:22" x14ac:dyDescent="0.25">
      <c r="A25" t="s">
        <v>18</v>
      </c>
      <c r="C25" s="6">
        <f>C23-C24</f>
        <v>-117</v>
      </c>
      <c r="D25" s="6"/>
      <c r="E25" s="6">
        <f>E23-E24</f>
        <v>828</v>
      </c>
      <c r="F25" s="6"/>
      <c r="G25" s="6">
        <f>G23-G24</f>
        <v>1773</v>
      </c>
      <c r="H25" s="6"/>
      <c r="I25" s="6"/>
      <c r="J25" s="6"/>
      <c r="K25" s="6"/>
      <c r="L25" s="32"/>
      <c r="M25" s="27"/>
      <c r="O25">
        <v>1</v>
      </c>
      <c r="P25" s="8">
        <f t="shared" si="1"/>
        <v>9.9999999999999992E-2</v>
      </c>
      <c r="Q25" s="8">
        <f t="shared" si="2"/>
        <v>0.18</v>
      </c>
      <c r="R25" s="33">
        <f t="shared" si="3"/>
        <v>0.12</v>
      </c>
      <c r="S25" s="7">
        <f t="shared" si="4"/>
        <v>5000</v>
      </c>
      <c r="T25" s="7">
        <f t="shared" si="5"/>
        <v>5000</v>
      </c>
      <c r="U25" s="8">
        <f t="shared" si="0"/>
        <v>0.5</v>
      </c>
      <c r="V25" s="8">
        <f t="shared" si="6"/>
        <v>0.5</v>
      </c>
    </row>
    <row r="26" spans="1:22" x14ac:dyDescent="0.25">
      <c r="C26" s="6"/>
      <c r="D26" s="6"/>
      <c r="E26" s="6"/>
      <c r="F26" s="6"/>
      <c r="G26" s="6"/>
      <c r="H26" s="6"/>
      <c r="I26" s="6"/>
      <c r="J26" s="6"/>
      <c r="K26" s="6"/>
      <c r="L26" s="32"/>
      <c r="M26" s="27"/>
    </row>
    <row r="27" spans="1:22" x14ac:dyDescent="0.25">
      <c r="C27" s="6"/>
      <c r="D27" s="6"/>
      <c r="E27" s="6"/>
      <c r="F27" s="6"/>
      <c r="G27" s="6"/>
      <c r="H27" s="6"/>
      <c r="I27" s="6"/>
      <c r="J27" s="6"/>
      <c r="K27" s="6"/>
      <c r="L27" s="32"/>
      <c r="M27" s="27"/>
    </row>
    <row r="28" spans="1:22" x14ac:dyDescent="0.25">
      <c r="A28" s="17" t="s">
        <v>34</v>
      </c>
      <c r="L28" s="27"/>
      <c r="M28" s="27"/>
      <c r="O28" s="24" t="s">
        <v>76</v>
      </c>
      <c r="P28" s="24"/>
      <c r="Q28" s="24"/>
      <c r="R28" s="24"/>
      <c r="S28" s="24"/>
      <c r="T28" s="24"/>
      <c r="U28" s="24"/>
    </row>
    <row r="29" spans="1:22" x14ac:dyDescent="0.25">
      <c r="A29" t="s">
        <v>20</v>
      </c>
      <c r="C29" s="9">
        <f>C25/$B$13</f>
        <v>-0.19500000000000001</v>
      </c>
      <c r="D29" s="10"/>
      <c r="E29" s="9">
        <f>E25/$B$13</f>
        <v>1.38</v>
      </c>
      <c r="F29" s="10"/>
      <c r="G29" s="9">
        <f>G25/$B$13</f>
        <v>2.9550000000000001</v>
      </c>
      <c r="H29" s="29"/>
      <c r="I29" s="29"/>
      <c r="J29" s="29"/>
      <c r="K29" s="29"/>
      <c r="L29" s="29"/>
      <c r="M29" s="27"/>
      <c r="O29" s="24"/>
      <c r="P29" s="24"/>
      <c r="Q29" s="24" t="s">
        <v>78</v>
      </c>
      <c r="R29" s="24" t="s">
        <v>81</v>
      </c>
      <c r="S29" s="24" t="s">
        <v>84</v>
      </c>
      <c r="T29" s="24" t="s">
        <v>87</v>
      </c>
      <c r="U29" s="24" t="s">
        <v>89</v>
      </c>
    </row>
    <row r="30" spans="1:22" x14ac:dyDescent="0.25">
      <c r="C30" s="10"/>
      <c r="D30" s="10"/>
      <c r="E30" s="10"/>
      <c r="F30" s="10"/>
      <c r="G30" s="10"/>
      <c r="H30" s="27"/>
      <c r="I30" s="27"/>
      <c r="J30" s="27"/>
      <c r="K30" s="27"/>
      <c r="L30" s="27"/>
      <c r="M30" s="27"/>
      <c r="O30" s="24" t="s">
        <v>64</v>
      </c>
      <c r="P30" s="24" t="s">
        <v>77</v>
      </c>
      <c r="Q30" s="24" t="s">
        <v>79</v>
      </c>
      <c r="R30" s="24" t="s">
        <v>79</v>
      </c>
      <c r="S30" s="24" t="s">
        <v>85</v>
      </c>
      <c r="T30" s="24" t="s">
        <v>88</v>
      </c>
      <c r="U30" s="24" t="s">
        <v>88</v>
      </c>
    </row>
    <row r="31" spans="1:22" x14ac:dyDescent="0.25">
      <c r="A31" t="s">
        <v>21</v>
      </c>
      <c r="C31" s="11">
        <f>C25/$B$12</f>
        <v>-1.95E-2</v>
      </c>
      <c r="D31" s="10"/>
      <c r="E31" s="11">
        <f>E25/$B$12</f>
        <v>0.13800000000000001</v>
      </c>
      <c r="F31" s="10"/>
      <c r="G31" s="11">
        <f>G25/$B$12</f>
        <v>0.29549999999999998</v>
      </c>
      <c r="H31" s="30"/>
      <c r="I31" s="30"/>
      <c r="J31" s="30"/>
      <c r="K31" s="30"/>
      <c r="L31" s="30"/>
      <c r="M31" s="27"/>
      <c r="O31" s="24" t="s">
        <v>68</v>
      </c>
      <c r="P31" s="24" t="s">
        <v>66</v>
      </c>
      <c r="Q31" s="24" t="s">
        <v>80</v>
      </c>
      <c r="R31" s="24" t="s">
        <v>82</v>
      </c>
      <c r="S31" s="24" t="s">
        <v>86</v>
      </c>
      <c r="T31" s="24"/>
      <c r="U31" s="24"/>
    </row>
    <row r="32" spans="1:22" x14ac:dyDescent="0.25">
      <c r="C32" s="11"/>
      <c r="D32" s="10"/>
      <c r="E32" s="11"/>
      <c r="F32" s="10"/>
      <c r="G32" s="11"/>
      <c r="H32" s="30"/>
      <c r="I32" s="30"/>
      <c r="J32" s="30"/>
      <c r="K32" s="30"/>
      <c r="L32" s="30"/>
      <c r="M32" s="27"/>
      <c r="O32">
        <v>0</v>
      </c>
      <c r="P32" s="7">
        <f t="shared" ref="P32:P39" si="7">S18</f>
        <v>0</v>
      </c>
      <c r="Q32" s="7">
        <f>(($C$38-P32*P18)*(1-$B$5))/Q18</f>
        <v>10200</v>
      </c>
      <c r="R32" s="7">
        <f>P32+Q32</f>
        <v>10200</v>
      </c>
      <c r="S32" s="25">
        <f t="shared" ref="S32:S39" si="8">T18/E$12</f>
        <v>1000</v>
      </c>
      <c r="T32" s="25">
        <f>Q32/$E$12-S32</f>
        <v>20</v>
      </c>
      <c r="U32" s="7">
        <f>(T32*$E$12)</f>
        <v>200</v>
      </c>
    </row>
    <row r="33" spans="1:24" x14ac:dyDescent="0.25">
      <c r="A33" t="s">
        <v>23</v>
      </c>
      <c r="C33" s="12">
        <f>C15*($B$8-$B$7)/(C21)</f>
        <v>21</v>
      </c>
      <c r="D33" s="10" t="s">
        <v>33</v>
      </c>
      <c r="E33" s="12">
        <f>E15*($B$8-$B$7)/(E21)</f>
        <v>2.4705882352941178</v>
      </c>
      <c r="F33" s="10" t="s">
        <v>33</v>
      </c>
      <c r="G33" s="12">
        <f>G15*($B$8-$B$7)/(G21)</f>
        <v>1.7633587786259541</v>
      </c>
      <c r="H33" s="31"/>
      <c r="I33" s="31"/>
      <c r="J33" s="31"/>
      <c r="K33" s="31"/>
      <c r="L33" s="31"/>
      <c r="M33" s="27"/>
      <c r="O33">
        <v>0.1</v>
      </c>
      <c r="P33" s="7">
        <f t="shared" si="7"/>
        <v>909.09090909090992</v>
      </c>
      <c r="Q33" s="7">
        <f t="shared" ref="Q33:Q39" si="9">(($C$38-P33*P19)*(1-$B$5))/Q19</f>
        <v>9615.6299840510346</v>
      </c>
      <c r="R33" s="7">
        <f t="shared" ref="R33:R39" si="10">P33+Q33</f>
        <v>10524.720893141945</v>
      </c>
      <c r="S33" s="25">
        <f t="shared" si="8"/>
        <v>909.09090909090901</v>
      </c>
      <c r="T33" s="25">
        <f t="shared" ref="T33:T38" si="11">Q33/$E$12-S33</f>
        <v>52.472089314194477</v>
      </c>
      <c r="U33" s="7">
        <f t="shared" ref="U33:U39" si="12">(T33*$E$12)</f>
        <v>524.72089314194477</v>
      </c>
    </row>
    <row r="34" spans="1:24" x14ac:dyDescent="0.25">
      <c r="A34" t="s">
        <v>24</v>
      </c>
      <c r="C34" s="12">
        <f>C21/C23</f>
        <v>-0.64102564102564108</v>
      </c>
      <c r="D34" s="12" t="s">
        <v>33</v>
      </c>
      <c r="E34" s="12">
        <f>E21/E23</f>
        <v>1.2318840579710144</v>
      </c>
      <c r="F34" s="12" t="s">
        <v>33</v>
      </c>
      <c r="G34" s="12">
        <f>G21/G23</f>
        <v>1.1082910321489001</v>
      </c>
      <c r="H34" s="31"/>
      <c r="I34" s="31"/>
      <c r="J34" s="31"/>
      <c r="K34" s="31"/>
      <c r="L34" s="31"/>
      <c r="M34" s="31"/>
      <c r="O34">
        <v>0.2</v>
      </c>
      <c r="P34" s="7">
        <f t="shared" si="7"/>
        <v>1666.6666666666661</v>
      </c>
      <c r="Q34" s="7">
        <f t="shared" si="9"/>
        <v>8992.4812030075173</v>
      </c>
      <c r="R34" s="7">
        <f t="shared" si="10"/>
        <v>10659.147869674183</v>
      </c>
      <c r="S34" s="25">
        <f t="shared" si="8"/>
        <v>833.33333333333337</v>
      </c>
      <c r="T34" s="25">
        <f t="shared" si="11"/>
        <v>65.914786967418308</v>
      </c>
      <c r="U34" s="7">
        <f t="shared" si="12"/>
        <v>659.14786967418308</v>
      </c>
    </row>
    <row r="35" spans="1:24" x14ac:dyDescent="0.25">
      <c r="A35" t="s">
        <v>25</v>
      </c>
      <c r="C35" s="12">
        <f>C33*C34</f>
        <v>-13.461538461538463</v>
      </c>
      <c r="D35" s="12" t="s">
        <v>33</v>
      </c>
      <c r="E35" s="12">
        <f>E33*E34</f>
        <v>3.043478260869565</v>
      </c>
      <c r="F35" s="12" t="s">
        <v>33</v>
      </c>
      <c r="G35" s="12">
        <f>G33*G34</f>
        <v>1.9543147208121825</v>
      </c>
      <c r="H35" s="31"/>
      <c r="I35" s="31"/>
      <c r="J35" s="31"/>
      <c r="K35" s="31"/>
      <c r="L35" s="31"/>
      <c r="M35" s="31"/>
      <c r="O35">
        <v>0.3</v>
      </c>
      <c r="P35" s="7">
        <f t="shared" si="7"/>
        <v>2307.6923076923076</v>
      </c>
      <c r="Q35" s="7">
        <f t="shared" si="9"/>
        <v>8339.5939787322186</v>
      </c>
      <c r="R35" s="7">
        <f t="shared" si="10"/>
        <v>10647.286286424525</v>
      </c>
      <c r="S35" s="25">
        <f t="shared" si="8"/>
        <v>769.23076923076928</v>
      </c>
      <c r="T35" s="25">
        <f t="shared" si="11"/>
        <v>64.728628642452577</v>
      </c>
      <c r="U35" s="7">
        <f t="shared" si="12"/>
        <v>647.28628642452577</v>
      </c>
    </row>
    <row r="36" spans="1:24" x14ac:dyDescent="0.25">
      <c r="A36" t="s">
        <v>27</v>
      </c>
      <c r="C36" s="13">
        <f>B6/(B8-B7)</f>
        <v>119.04761904761905</v>
      </c>
      <c r="D36" s="10" t="s">
        <v>22</v>
      </c>
      <c r="E36" s="10"/>
      <c r="F36" s="10"/>
      <c r="G36" s="10"/>
      <c r="H36" s="27"/>
      <c r="I36" s="27"/>
      <c r="J36" s="27"/>
      <c r="K36" s="27"/>
      <c r="L36" s="27"/>
      <c r="M36" s="27"/>
      <c r="O36">
        <v>0.4</v>
      </c>
      <c r="P36" s="7">
        <f t="shared" si="7"/>
        <v>2857.1428571428569</v>
      </c>
      <c r="Q36" s="7">
        <f t="shared" si="9"/>
        <v>7670.5539358600581</v>
      </c>
      <c r="R36" s="7">
        <f t="shared" si="10"/>
        <v>10527.696793002915</v>
      </c>
      <c r="S36" s="25">
        <f t="shared" si="8"/>
        <v>714.28571428571433</v>
      </c>
      <c r="T36" s="25">
        <f t="shared" si="11"/>
        <v>52.7696793002915</v>
      </c>
      <c r="U36" s="7">
        <f t="shared" si="12"/>
        <v>527.696793002915</v>
      </c>
    </row>
    <row r="37" spans="1:24" x14ac:dyDescent="0.25">
      <c r="A37" t="s">
        <v>26</v>
      </c>
      <c r="C37" s="14">
        <f>(C20+C22*(1-$B$5))/($B$8-$B$7)</f>
        <v>128.1904761904762</v>
      </c>
      <c r="D37" s="10" t="s">
        <v>22</v>
      </c>
      <c r="E37" s="10"/>
      <c r="F37" s="10"/>
      <c r="G37" s="10"/>
      <c r="H37" s="27"/>
      <c r="I37" s="27"/>
      <c r="J37" s="27"/>
      <c r="K37" s="27"/>
      <c r="L37" s="27"/>
      <c r="M37" s="27"/>
      <c r="O37">
        <v>0.6</v>
      </c>
      <c r="P37" s="7">
        <f t="shared" si="7"/>
        <v>3750</v>
      </c>
      <c r="Q37" s="7">
        <f t="shared" si="9"/>
        <v>6341.3173652694604</v>
      </c>
      <c r="R37" s="7">
        <f t="shared" si="10"/>
        <v>10091.31736526946</v>
      </c>
      <c r="S37" s="25">
        <f t="shared" si="8"/>
        <v>625</v>
      </c>
      <c r="T37" s="25">
        <f t="shared" si="11"/>
        <v>9.1317365269460424</v>
      </c>
      <c r="U37" s="7">
        <f t="shared" si="12"/>
        <v>91.317365269460424</v>
      </c>
      <c r="X37" s="25"/>
    </row>
    <row r="38" spans="1:24" x14ac:dyDescent="0.25">
      <c r="A38" t="s">
        <v>83</v>
      </c>
      <c r="C38" s="6">
        <f>C21*C16+E21*E16+G21*G16</f>
        <v>1700</v>
      </c>
      <c r="O38">
        <v>0.8</v>
      </c>
      <c r="P38" s="7">
        <f t="shared" si="7"/>
        <v>4444.4444444444443</v>
      </c>
      <c r="Q38" s="7">
        <f t="shared" si="9"/>
        <v>5100.1727115716749</v>
      </c>
      <c r="R38" s="7">
        <f t="shared" si="10"/>
        <v>9544.6171560161201</v>
      </c>
      <c r="S38" s="25">
        <f t="shared" si="8"/>
        <v>555.55555555555554</v>
      </c>
      <c r="T38" s="25">
        <f t="shared" si="11"/>
        <v>-45.538284398388043</v>
      </c>
      <c r="U38" s="7">
        <f t="shared" si="12"/>
        <v>-455.38284398388043</v>
      </c>
    </row>
    <row r="39" spans="1:24" x14ac:dyDescent="0.25">
      <c r="A39" t="s">
        <v>28</v>
      </c>
      <c r="C39" s="7">
        <f>(C25*C16+E25*E16+G25*G16)</f>
        <v>828</v>
      </c>
      <c r="O39">
        <v>1</v>
      </c>
      <c r="P39" s="7">
        <f t="shared" si="7"/>
        <v>5000</v>
      </c>
      <c r="Q39" s="7">
        <f t="shared" si="9"/>
        <v>4000</v>
      </c>
      <c r="R39" s="7">
        <f t="shared" si="10"/>
        <v>9000</v>
      </c>
      <c r="S39" s="25">
        <f t="shared" si="8"/>
        <v>500</v>
      </c>
      <c r="T39" s="25">
        <f>Q39/$E$12-S39</f>
        <v>-100</v>
      </c>
      <c r="U39" s="7">
        <f t="shared" si="12"/>
        <v>-1000</v>
      </c>
    </row>
    <row r="40" spans="1:24" x14ac:dyDescent="0.25">
      <c r="A40" t="s">
        <v>30</v>
      </c>
      <c r="C40" s="8">
        <f>(C31*C16+E31*E16+G31*G16)</f>
        <v>0.13800000000000001</v>
      </c>
    </row>
    <row r="41" spans="1:24" x14ac:dyDescent="0.25">
      <c r="A41" t="s">
        <v>29</v>
      </c>
      <c r="C41" s="6">
        <f>((C25-C39)^2*C16+(E25-C39)^2*E16+(G25-C39)^2*G16)^0.5</f>
        <v>597.6704777718237</v>
      </c>
      <c r="E41" t="s">
        <v>36</v>
      </c>
      <c r="F41" s="18">
        <f>C41/C39</f>
        <v>0.72182424851669524</v>
      </c>
    </row>
    <row r="42" spans="1:24" x14ac:dyDescent="0.25">
      <c r="A42" t="s">
        <v>31</v>
      </c>
      <c r="C42" s="8">
        <f>((C31-C40)^2*C16+(E31-C40)^2*E16+(G31-C40)^2*G16)^0.5</f>
        <v>9.9611746295303949E-2</v>
      </c>
      <c r="E42" t="s">
        <v>35</v>
      </c>
      <c r="F42" s="18">
        <f>C42/C40</f>
        <v>0.72182424851669524</v>
      </c>
    </row>
    <row r="43" spans="1:24" x14ac:dyDescent="0.25">
      <c r="A43" t="s">
        <v>54</v>
      </c>
      <c r="E43" s="18">
        <f>NORMDIST(0,C40,C42,TRUE)</f>
        <v>8.2968337354145952E-2</v>
      </c>
    </row>
    <row r="46" spans="1:24" x14ac:dyDescent="0.25">
      <c r="A46" t="s">
        <v>39</v>
      </c>
      <c r="B46" s="21" t="s">
        <v>40</v>
      </c>
      <c r="D46" s="9">
        <f>C39/$F$13</f>
        <v>5914.2857142857138</v>
      </c>
      <c r="E46" s="4" t="s">
        <v>47</v>
      </c>
    </row>
    <row r="47" spans="1:24" x14ac:dyDescent="0.25">
      <c r="A47" t="s">
        <v>45</v>
      </c>
      <c r="B47" t="s">
        <v>41</v>
      </c>
    </row>
    <row r="49" spans="1:6" x14ac:dyDescent="0.25">
      <c r="A49" t="s">
        <v>42</v>
      </c>
      <c r="B49" s="22">
        <f>B10</f>
        <v>4000</v>
      </c>
    </row>
    <row r="50" spans="1:6" x14ac:dyDescent="0.25">
      <c r="A50" t="s">
        <v>43</v>
      </c>
      <c r="B50" s="19">
        <f>D46+B49</f>
        <v>9914.2857142857138</v>
      </c>
    </row>
    <row r="52" spans="1:6" x14ac:dyDescent="0.25">
      <c r="A52" t="s">
        <v>48</v>
      </c>
      <c r="B52" t="s">
        <v>49</v>
      </c>
      <c r="C52" t="s">
        <v>50</v>
      </c>
      <c r="D52" t="s">
        <v>51</v>
      </c>
      <c r="E52" t="s">
        <v>52</v>
      </c>
      <c r="F52" t="s">
        <v>53</v>
      </c>
    </row>
    <row r="54" spans="1:6" x14ac:dyDescent="0.25">
      <c r="B54" s="8">
        <f>$B$11*(1-B5)</f>
        <v>4.8000000000000001E-2</v>
      </c>
      <c r="C54">
        <f>B49/B50</f>
        <v>0.40345821325648418</v>
      </c>
      <c r="D54" s="23">
        <f>$F$13</f>
        <v>0.14000000000000001</v>
      </c>
      <c r="E54">
        <f>D46/B50</f>
        <v>0.59654178674351588</v>
      </c>
      <c r="F54" s="11">
        <f>B54*C54+D54*E54</f>
        <v>0.10288184438040347</v>
      </c>
    </row>
  </sheetData>
  <phoneticPr fontId="0" type="noConversion"/>
  <pageMargins left="0.75" right="0.75" top="1" bottom="1" header="0.5" footer="0.5"/>
  <pageSetup scale="86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0"/>
  <sheetViews>
    <sheetView workbookViewId="0">
      <selection activeCell="E12" sqref="E12"/>
    </sheetView>
  </sheetViews>
  <sheetFormatPr defaultRowHeight="13.2" x14ac:dyDescent="0.25"/>
  <cols>
    <col min="1" max="1" width="11.44140625" customWidth="1"/>
    <col min="2" max="3" width="10.6640625" customWidth="1"/>
    <col min="4" max="4" width="10.33203125" customWidth="1"/>
    <col min="5" max="5" width="12.88671875" customWidth="1"/>
    <col min="6" max="6" width="12" customWidth="1"/>
    <col min="10" max="10" width="21" customWidth="1"/>
  </cols>
  <sheetData>
    <row r="1" spans="1:8" ht="20.399999999999999" x14ac:dyDescent="0.35">
      <c r="A1" s="34" t="s">
        <v>92</v>
      </c>
    </row>
    <row r="3" spans="1:8" x14ac:dyDescent="0.25">
      <c r="A3" s="24" t="s">
        <v>93</v>
      </c>
      <c r="B3" s="24" t="s">
        <v>95</v>
      </c>
      <c r="C3" s="24" t="s">
        <v>96</v>
      </c>
      <c r="D3" s="24" t="s">
        <v>98</v>
      </c>
      <c r="E3" s="24" t="s">
        <v>101</v>
      </c>
      <c r="F3" s="24" t="s">
        <v>65</v>
      </c>
      <c r="G3" s="24" t="s">
        <v>90</v>
      </c>
    </row>
    <row r="4" spans="1:8" x14ac:dyDescent="0.25">
      <c r="A4" s="24" t="s">
        <v>94</v>
      </c>
      <c r="B4" s="35" t="s">
        <v>75</v>
      </c>
      <c r="C4" s="24" t="s">
        <v>97</v>
      </c>
      <c r="D4" s="24" t="s">
        <v>99</v>
      </c>
      <c r="E4" s="24" t="s">
        <v>100</v>
      </c>
      <c r="F4" s="24" t="s">
        <v>108</v>
      </c>
      <c r="G4" s="24" t="s">
        <v>91</v>
      </c>
    </row>
    <row r="5" spans="1:8" x14ac:dyDescent="0.25">
      <c r="A5" s="24"/>
      <c r="B5" s="35"/>
      <c r="C5" s="24"/>
      <c r="D5" s="24"/>
      <c r="E5" s="24" t="s">
        <v>125</v>
      </c>
      <c r="F5" s="24" t="s">
        <v>51</v>
      </c>
      <c r="G5" s="24" t="s">
        <v>109</v>
      </c>
      <c r="H5" s="24" t="s">
        <v>110</v>
      </c>
    </row>
    <row r="7" spans="1:8" x14ac:dyDescent="0.25">
      <c r="A7" s="25">
        <v>0</v>
      </c>
      <c r="B7" s="25">
        <f t="shared" ref="B7:B12" si="0">1-A7</f>
        <v>1</v>
      </c>
      <c r="C7" s="25">
        <f t="shared" ref="C7:C12" si="1">A7/B7</f>
        <v>0</v>
      </c>
      <c r="D7" t="s">
        <v>102</v>
      </c>
      <c r="E7" s="5">
        <v>0.06</v>
      </c>
      <c r="F7" s="8">
        <f t="shared" ref="F7:F12" si="2">E31</f>
        <v>0.10400000000000001</v>
      </c>
      <c r="G7" s="11">
        <f t="shared" ref="G7:G12" si="3">A7*E7*(1-$B$14)+F7*B7</f>
        <v>0.10400000000000001</v>
      </c>
    </row>
    <row r="8" spans="1:8" x14ac:dyDescent="0.25">
      <c r="A8" s="25">
        <v>0.1</v>
      </c>
      <c r="B8" s="25">
        <f t="shared" si="0"/>
        <v>0.9</v>
      </c>
      <c r="C8" s="25">
        <f t="shared" si="1"/>
        <v>0.11111111111111112</v>
      </c>
      <c r="D8" t="s">
        <v>103</v>
      </c>
      <c r="E8" s="5">
        <v>6.2E-2</v>
      </c>
      <c r="F8" s="8">
        <f t="shared" si="2"/>
        <v>0.10897777777777778</v>
      </c>
      <c r="G8" s="11">
        <f t="shared" si="3"/>
        <v>0.10242000000000001</v>
      </c>
    </row>
    <row r="9" spans="1:8" x14ac:dyDescent="0.25">
      <c r="A9" s="25">
        <v>0.2</v>
      </c>
      <c r="B9" s="25">
        <f t="shared" si="0"/>
        <v>0.8</v>
      </c>
      <c r="C9" s="25">
        <f t="shared" si="1"/>
        <v>0.25</v>
      </c>
      <c r="D9" t="s">
        <v>104</v>
      </c>
      <c r="E9" s="5">
        <v>6.7000000000000004E-2</v>
      </c>
      <c r="F9" s="8">
        <f t="shared" si="2"/>
        <v>0.1152</v>
      </c>
      <c r="G9" s="11">
        <f t="shared" si="3"/>
        <v>0.10154000000000001</v>
      </c>
    </row>
    <row r="10" spans="1:8" x14ac:dyDescent="0.25">
      <c r="A10" s="25">
        <v>0.3</v>
      </c>
      <c r="B10" s="25">
        <f t="shared" si="0"/>
        <v>0.7</v>
      </c>
      <c r="C10" s="25">
        <f t="shared" si="1"/>
        <v>0.4285714285714286</v>
      </c>
      <c r="D10" t="s">
        <v>105</v>
      </c>
      <c r="E10" s="5">
        <v>7.4999999999999997E-2</v>
      </c>
      <c r="F10" s="8">
        <f t="shared" si="2"/>
        <v>0.1232</v>
      </c>
      <c r="G10" s="11">
        <f t="shared" si="3"/>
        <v>0.10199</v>
      </c>
    </row>
    <row r="11" spans="1:8" x14ac:dyDescent="0.25">
      <c r="A11" s="25">
        <v>0.45</v>
      </c>
      <c r="B11" s="25">
        <f t="shared" si="0"/>
        <v>0.55000000000000004</v>
      </c>
      <c r="C11" s="25">
        <f t="shared" si="1"/>
        <v>0.81818181818181812</v>
      </c>
      <c r="D11" t="s">
        <v>106</v>
      </c>
      <c r="E11" s="5">
        <v>9.9000000000000005E-2</v>
      </c>
      <c r="F11" s="8">
        <f t="shared" si="2"/>
        <v>0.14065454545454548</v>
      </c>
      <c r="G11" s="11">
        <f t="shared" si="3"/>
        <v>0.10854500000000002</v>
      </c>
    </row>
    <row r="12" spans="1:8" x14ac:dyDescent="0.25">
      <c r="A12" s="25">
        <v>0.6</v>
      </c>
      <c r="B12" s="25">
        <f t="shared" si="0"/>
        <v>0.4</v>
      </c>
      <c r="C12" s="25">
        <f t="shared" si="1"/>
        <v>1.4999999999999998</v>
      </c>
      <c r="D12" t="s">
        <v>107</v>
      </c>
      <c r="E12" s="5">
        <v>0.15</v>
      </c>
      <c r="F12" s="8">
        <f t="shared" si="2"/>
        <v>0.17119999999999999</v>
      </c>
      <c r="G12" s="11">
        <f t="shared" si="3"/>
        <v>0.13147999999999999</v>
      </c>
    </row>
    <row r="14" spans="1:8" x14ac:dyDescent="0.25">
      <c r="A14" t="s">
        <v>14</v>
      </c>
      <c r="B14" s="2">
        <v>0.3</v>
      </c>
    </row>
    <row r="16" spans="1:8" x14ac:dyDescent="0.25">
      <c r="A16" s="24" t="s">
        <v>111</v>
      </c>
      <c r="B16" s="24"/>
      <c r="C16" s="24"/>
      <c r="D16" s="24"/>
      <c r="E16" s="24"/>
      <c r="F16" s="24"/>
      <c r="G16" s="24"/>
    </row>
    <row r="17" spans="1:13" x14ac:dyDescent="0.25">
      <c r="A17" s="24" t="s">
        <v>112</v>
      </c>
      <c r="B17" s="24"/>
      <c r="C17" s="24"/>
      <c r="D17" s="24"/>
      <c r="E17" s="24"/>
      <c r="F17" s="24"/>
      <c r="G17" s="24"/>
    </row>
    <row r="18" spans="1:13" x14ac:dyDescent="0.25">
      <c r="A18" s="24"/>
      <c r="B18" s="24"/>
      <c r="C18" s="24"/>
      <c r="D18" s="24"/>
      <c r="E18" s="24"/>
      <c r="F18" s="24"/>
      <c r="G18" s="24"/>
    </row>
    <row r="19" spans="1:13" x14ac:dyDescent="0.25">
      <c r="A19" s="24" t="s">
        <v>114</v>
      </c>
      <c r="B19" s="24"/>
      <c r="C19" s="24"/>
      <c r="D19" s="24"/>
      <c r="E19" s="24"/>
      <c r="F19" s="24"/>
      <c r="G19" s="24"/>
    </row>
    <row r="20" spans="1:13" x14ac:dyDescent="0.25">
      <c r="A20" s="24" t="s">
        <v>113</v>
      </c>
      <c r="B20" s="24"/>
      <c r="C20" s="24"/>
      <c r="D20" s="24"/>
      <c r="E20" s="24"/>
      <c r="F20" s="24"/>
      <c r="G20" s="24"/>
    </row>
    <row r="21" spans="1:13" x14ac:dyDescent="0.25">
      <c r="A21" s="24"/>
      <c r="B21" s="24"/>
      <c r="C21" s="24"/>
      <c r="D21" s="24"/>
      <c r="E21" s="24"/>
      <c r="F21" s="24"/>
      <c r="G21" s="24"/>
    </row>
    <row r="22" spans="1:13" x14ac:dyDescent="0.25">
      <c r="A22" s="24" t="s">
        <v>115</v>
      </c>
      <c r="B22" s="24"/>
      <c r="C22" s="24"/>
      <c r="D22" s="24"/>
      <c r="E22" s="24"/>
      <c r="F22" s="24"/>
      <c r="G22" s="24"/>
    </row>
    <row r="23" spans="1:13" x14ac:dyDescent="0.25">
      <c r="A23" s="24"/>
      <c r="B23" s="24"/>
      <c r="C23" s="24"/>
      <c r="D23" s="24"/>
      <c r="E23" s="24"/>
      <c r="F23" s="24"/>
      <c r="G23" s="24"/>
    </row>
    <row r="24" spans="1:13" ht="17.399999999999999" x14ac:dyDescent="0.3">
      <c r="A24" s="15" t="s">
        <v>116</v>
      </c>
      <c r="B24" s="15"/>
      <c r="C24" s="15"/>
      <c r="D24" s="15"/>
    </row>
    <row r="26" spans="1:13" x14ac:dyDescent="0.25">
      <c r="A26" t="s">
        <v>117</v>
      </c>
      <c r="B26" s="1">
        <v>0.8</v>
      </c>
    </row>
    <row r="28" spans="1:13" x14ac:dyDescent="0.25">
      <c r="A28" s="24" t="s">
        <v>118</v>
      </c>
      <c r="B28" s="24" t="s">
        <v>119</v>
      </c>
      <c r="C28" s="24" t="s">
        <v>121</v>
      </c>
      <c r="D28" s="24" t="s">
        <v>78</v>
      </c>
      <c r="E28" s="24" t="s">
        <v>124</v>
      </c>
      <c r="M28" s="10"/>
    </row>
    <row r="29" spans="1:13" x14ac:dyDescent="0.25">
      <c r="A29" s="24" t="s">
        <v>68</v>
      </c>
      <c r="B29" s="24" t="s">
        <v>120</v>
      </c>
      <c r="C29" s="24" t="s">
        <v>122</v>
      </c>
      <c r="D29" s="24" t="s">
        <v>123</v>
      </c>
      <c r="E29" s="35" t="s">
        <v>51</v>
      </c>
    </row>
    <row r="31" spans="1:13" x14ac:dyDescent="0.25">
      <c r="A31" s="25">
        <f t="shared" ref="A31:A36" si="4">C7</f>
        <v>0</v>
      </c>
      <c r="B31" s="25">
        <f t="shared" ref="B31:B36" si="5">$B$26*(1+(1-$B$14)*A31)</f>
        <v>0.8</v>
      </c>
      <c r="C31" s="2">
        <v>0.04</v>
      </c>
      <c r="D31" s="2">
        <v>0.08</v>
      </c>
      <c r="E31" s="8">
        <f t="shared" ref="E31:E36" si="6">C31+B31*(D31)</f>
        <v>0.10400000000000001</v>
      </c>
    </row>
    <row r="32" spans="1:13" x14ac:dyDescent="0.25">
      <c r="A32" s="25">
        <f t="shared" si="4"/>
        <v>0.11111111111111112</v>
      </c>
      <c r="B32" s="25">
        <f t="shared" si="5"/>
        <v>0.86222222222222222</v>
      </c>
      <c r="C32" s="23">
        <f t="shared" ref="C32:D36" si="7">C31</f>
        <v>0.04</v>
      </c>
      <c r="D32" s="23">
        <f t="shared" si="7"/>
        <v>0.08</v>
      </c>
      <c r="E32" s="8">
        <f t="shared" si="6"/>
        <v>0.10897777777777778</v>
      </c>
    </row>
    <row r="33" spans="1:5" x14ac:dyDescent="0.25">
      <c r="A33" s="25">
        <f t="shared" si="4"/>
        <v>0.25</v>
      </c>
      <c r="B33" s="25">
        <f t="shared" si="5"/>
        <v>0.94000000000000006</v>
      </c>
      <c r="C33" s="23">
        <f t="shared" si="7"/>
        <v>0.04</v>
      </c>
      <c r="D33" s="23">
        <f t="shared" si="7"/>
        <v>0.08</v>
      </c>
      <c r="E33" s="8">
        <f t="shared" si="6"/>
        <v>0.1152</v>
      </c>
    </row>
    <row r="34" spans="1:5" x14ac:dyDescent="0.25">
      <c r="A34" s="25">
        <f t="shared" si="4"/>
        <v>0.4285714285714286</v>
      </c>
      <c r="B34" s="25">
        <f t="shared" si="5"/>
        <v>1.04</v>
      </c>
      <c r="C34" s="23">
        <f t="shared" si="7"/>
        <v>0.04</v>
      </c>
      <c r="D34" s="23">
        <f t="shared" si="7"/>
        <v>0.08</v>
      </c>
      <c r="E34" s="8">
        <f t="shared" si="6"/>
        <v>0.1232</v>
      </c>
    </row>
    <row r="35" spans="1:5" x14ac:dyDescent="0.25">
      <c r="A35" s="25">
        <f t="shared" si="4"/>
        <v>0.81818181818181812</v>
      </c>
      <c r="B35" s="25">
        <f t="shared" si="5"/>
        <v>1.2581818181818183</v>
      </c>
      <c r="C35" s="23">
        <f t="shared" si="7"/>
        <v>0.04</v>
      </c>
      <c r="D35" s="23">
        <f t="shared" si="7"/>
        <v>0.08</v>
      </c>
      <c r="E35" s="8">
        <f t="shared" si="6"/>
        <v>0.14065454545454548</v>
      </c>
    </row>
    <row r="36" spans="1:5" x14ac:dyDescent="0.25">
      <c r="A36" s="25">
        <f t="shared" si="4"/>
        <v>1.4999999999999998</v>
      </c>
      <c r="B36" s="25">
        <f t="shared" si="5"/>
        <v>1.64</v>
      </c>
      <c r="C36" s="23">
        <f t="shared" si="7"/>
        <v>0.04</v>
      </c>
      <c r="D36" s="23">
        <f t="shared" si="7"/>
        <v>0.08</v>
      </c>
      <c r="E36" s="8">
        <f t="shared" si="6"/>
        <v>0.17119999999999999</v>
      </c>
    </row>
    <row r="37" spans="1:5" x14ac:dyDescent="0.25">
      <c r="A37" s="25"/>
    </row>
    <row r="38" spans="1:5" x14ac:dyDescent="0.25">
      <c r="A38" s="25"/>
    </row>
    <row r="49" spans="1:4" x14ac:dyDescent="0.25">
      <c r="A49" t="s">
        <v>126</v>
      </c>
      <c r="B49" t="s">
        <v>127</v>
      </c>
      <c r="C49" t="s">
        <v>128</v>
      </c>
      <c r="D49" t="s">
        <v>129</v>
      </c>
    </row>
    <row r="50" spans="1:4" x14ac:dyDescent="0.25">
      <c r="A50" s="25">
        <f t="shared" ref="A50:A55" si="8">C7</f>
        <v>0</v>
      </c>
      <c r="B50" s="8">
        <f t="shared" ref="B50:D55" si="9">E7</f>
        <v>0.06</v>
      </c>
      <c r="C50" s="8">
        <f t="shared" si="9"/>
        <v>0.10400000000000001</v>
      </c>
      <c r="D50" s="8">
        <f t="shared" si="9"/>
        <v>0.10400000000000001</v>
      </c>
    </row>
    <row r="51" spans="1:4" x14ac:dyDescent="0.25">
      <c r="A51" s="25">
        <f t="shared" si="8"/>
        <v>0.11111111111111112</v>
      </c>
      <c r="B51" s="8">
        <f t="shared" si="9"/>
        <v>6.2E-2</v>
      </c>
      <c r="C51" s="8">
        <f t="shared" si="9"/>
        <v>0.10897777777777778</v>
      </c>
      <c r="D51" s="8">
        <f t="shared" si="9"/>
        <v>0.10242000000000001</v>
      </c>
    </row>
    <row r="52" spans="1:4" x14ac:dyDescent="0.25">
      <c r="A52" s="25">
        <f t="shared" si="8"/>
        <v>0.25</v>
      </c>
      <c r="B52" s="8">
        <f t="shared" si="9"/>
        <v>6.7000000000000004E-2</v>
      </c>
      <c r="C52" s="8">
        <f t="shared" si="9"/>
        <v>0.1152</v>
      </c>
      <c r="D52" s="8">
        <f t="shared" si="9"/>
        <v>0.10154000000000001</v>
      </c>
    </row>
    <row r="53" spans="1:4" x14ac:dyDescent="0.25">
      <c r="A53" s="25">
        <f t="shared" si="8"/>
        <v>0.4285714285714286</v>
      </c>
      <c r="B53" s="8">
        <f t="shared" si="9"/>
        <v>7.4999999999999997E-2</v>
      </c>
      <c r="C53" s="8">
        <f t="shared" si="9"/>
        <v>0.1232</v>
      </c>
      <c r="D53" s="8">
        <f t="shared" si="9"/>
        <v>0.10199</v>
      </c>
    </row>
    <row r="54" spans="1:4" x14ac:dyDescent="0.25">
      <c r="A54" s="25">
        <f t="shared" si="8"/>
        <v>0.81818181818181812</v>
      </c>
      <c r="B54" s="8">
        <f t="shared" si="9"/>
        <v>9.9000000000000005E-2</v>
      </c>
      <c r="C54" s="8">
        <f t="shared" si="9"/>
        <v>0.14065454545454548</v>
      </c>
      <c r="D54" s="8">
        <f t="shared" si="9"/>
        <v>0.10854500000000002</v>
      </c>
    </row>
    <row r="55" spans="1:4" x14ac:dyDescent="0.25">
      <c r="A55" s="25">
        <f t="shared" si="8"/>
        <v>1.4999999999999998</v>
      </c>
      <c r="B55" s="8">
        <f t="shared" si="9"/>
        <v>0.15</v>
      </c>
      <c r="C55" s="8">
        <f t="shared" si="9"/>
        <v>0.17119999999999999</v>
      </c>
      <c r="D55" s="8">
        <f t="shared" si="9"/>
        <v>0.13147999999999999</v>
      </c>
    </row>
    <row r="56" spans="1:4" x14ac:dyDescent="0.25">
      <c r="A56" s="25"/>
      <c r="B56" s="8"/>
      <c r="C56" s="8"/>
      <c r="D56" s="8"/>
    </row>
    <row r="65" spans="5:5" x14ac:dyDescent="0.25">
      <c r="E65" s="25"/>
    </row>
    <row r="66" spans="5:5" x14ac:dyDescent="0.25">
      <c r="E66" s="25"/>
    </row>
    <row r="67" spans="5:5" x14ac:dyDescent="0.25">
      <c r="E67" s="25"/>
    </row>
    <row r="68" spans="5:5" x14ac:dyDescent="0.25">
      <c r="E68" s="25"/>
    </row>
    <row r="69" spans="5:5" x14ac:dyDescent="0.25">
      <c r="E69" s="25"/>
    </row>
    <row r="70" spans="5:5" x14ac:dyDescent="0.25">
      <c r="E70" s="25"/>
    </row>
  </sheetData>
  <phoneticPr fontId="0" type="noConversion"/>
  <pageMargins left="0.75" right="0.75" top="1" bottom="1" header="0.5" footer="0.5"/>
  <pageSetup scale="94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opfinlev</vt:lpstr>
      <vt:lpstr>optCOC</vt:lpstr>
      <vt:lpstr>Sheet3</vt:lpstr>
      <vt:lpstr>opfinlev!Print_Area</vt:lpstr>
      <vt:lpstr>optCOC!Print_Area</vt:lpstr>
    </vt:vector>
  </TitlesOfParts>
  <Company>CNU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agudikun</dc:creator>
  <cp:lastModifiedBy>Aniket Gupta</cp:lastModifiedBy>
  <cp:lastPrinted>2003-12-04T18:49:58Z</cp:lastPrinted>
  <dcterms:created xsi:type="dcterms:W3CDTF">2003-09-30T16:58:54Z</dcterms:created>
  <dcterms:modified xsi:type="dcterms:W3CDTF">2024-02-03T22:14:37Z</dcterms:modified>
</cp:coreProperties>
</file>