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forms3\original\"/>
    </mc:Choice>
  </mc:AlternateContent>
  <xr:revisionPtr revIDLastSave="0" documentId="8_{C0B99690-1FFC-4FDC-B371-AB97C41DD351}" xr6:coauthVersionLast="47" xr6:coauthVersionMax="47" xr10:uidLastSave="{00000000-0000-0000-0000-000000000000}"/>
  <bookViews>
    <workbookView xWindow="3348" yWindow="3348" windowWidth="17280" windowHeight="8880" tabRatio="599"/>
  </bookViews>
  <sheets>
    <sheet name="Data" sheetId="1" r:id="rId1"/>
    <sheet name="Simulation" sheetId="2" r:id="rId2"/>
    <sheet name="Computations" sheetId="3" r:id="rId3"/>
    <sheet name="Copyright" sheetId="4" r:id="rId4"/>
    <sheet name="Function" sheetId="5" state="veryHidden" r:id=""/>
  </sheets>
  <definedNames>
    <definedName name="arrival">Data!$B$11:$D$14</definedName>
    <definedName name="balk_num">Data!$E$4</definedName>
    <definedName name="close_time">Data!$C$4</definedName>
    <definedName name="renege_time">Computations!$E$2</definedName>
    <definedName name="service">Data!$G$11:$I$13</definedName>
    <definedName name="start_time">Data!$A$4</definedName>
  </definedNames>
  <calcPr calcId="19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" i="3" l="1"/>
  <c r="E2" i="3"/>
  <c r="C11" i="1"/>
  <c r="B12" i="1" s="1"/>
  <c r="H11" i="1"/>
  <c r="G12" i="1" s="1"/>
  <c r="D26" i="3" s="1"/>
  <c r="E26" i="3" s="1"/>
  <c r="C11" i="2"/>
  <c r="D13" i="3" l="1"/>
  <c r="E13" i="3" s="1"/>
  <c r="D17" i="3"/>
  <c r="E17" i="3" s="1"/>
  <c r="D21" i="3"/>
  <c r="E21" i="3" s="1"/>
  <c r="D24" i="3"/>
  <c r="E24" i="3" s="1"/>
  <c r="H12" i="1"/>
  <c r="G13" i="1" s="1"/>
  <c r="D16" i="3"/>
  <c r="E16" i="3" s="1"/>
  <c r="D20" i="3"/>
  <c r="E20" i="3" s="1"/>
  <c r="B25" i="3"/>
  <c r="C25" i="3" s="1"/>
  <c r="B16" i="3"/>
  <c r="C16" i="3" s="1"/>
  <c r="B20" i="3"/>
  <c r="C20" i="3" s="1"/>
  <c r="C12" i="1"/>
  <c r="B13" i="1" s="1"/>
  <c r="B14" i="3"/>
  <c r="C14" i="3" s="1"/>
  <c r="B18" i="3"/>
  <c r="C18" i="3" s="1"/>
  <c r="B22" i="3"/>
  <c r="C22" i="3" s="1"/>
  <c r="B13" i="3"/>
  <c r="C13" i="3" s="1"/>
  <c r="B19" i="3"/>
  <c r="C19" i="3" s="1"/>
  <c r="D14" i="3"/>
  <c r="E14" i="3" s="1"/>
  <c r="H13" i="1" l="1"/>
  <c r="D18" i="3"/>
  <c r="E18" i="3" s="1"/>
  <c r="D12" i="3"/>
  <c r="E12" i="3" s="1"/>
  <c r="C13" i="1"/>
  <c r="B14" i="1" s="1"/>
  <c r="B17" i="3" s="1"/>
  <c r="C17" i="3" s="1"/>
  <c r="B21" i="3"/>
  <c r="C21" i="3" s="1"/>
  <c r="D22" i="3"/>
  <c r="E22" i="3" s="1"/>
  <c r="B23" i="3"/>
  <c r="C23" i="3" s="1"/>
  <c r="D25" i="3"/>
  <c r="E25" i="3" s="1"/>
  <c r="D19" i="3"/>
  <c r="E19" i="3" s="1"/>
  <c r="D23" i="3"/>
  <c r="E23" i="3" s="1"/>
  <c r="D15" i="3"/>
  <c r="E15" i="3" s="1"/>
  <c r="B15" i="3" l="1"/>
  <c r="C15" i="3" s="1"/>
  <c r="B24" i="3"/>
  <c r="C24" i="3" s="1"/>
  <c r="C14" i="1"/>
  <c r="B26" i="3"/>
  <c r="C26" i="3" s="1"/>
  <c r="B12" i="3"/>
  <c r="C12" i="3" s="1"/>
  <c r="F12" i="3" s="1"/>
  <c r="G12" i="3"/>
  <c r="H12" i="3" l="1"/>
  <c r="E12" i="2" s="1"/>
  <c r="A12" i="3"/>
  <c r="A12" i="2" s="1"/>
  <c r="D12" i="2" s="1"/>
  <c r="F13" i="3"/>
  <c r="C12" i="2"/>
  <c r="B12" i="2" s="1"/>
  <c r="I12" i="3" l="1"/>
  <c r="J12" i="3"/>
  <c r="K12" i="3" s="1"/>
  <c r="L12" i="3" s="1"/>
  <c r="C13" i="2"/>
  <c r="B13" i="2" s="1"/>
  <c r="A13" i="3"/>
  <c r="A13" i="2" s="1"/>
  <c r="F14" i="3"/>
  <c r="F12" i="2" l="1"/>
  <c r="N12" i="3"/>
  <c r="M12" i="3"/>
  <c r="G12" i="2" s="1"/>
  <c r="A14" i="3"/>
  <c r="A14" i="2" s="1"/>
  <c r="C14" i="2"/>
  <c r="B14" i="2" s="1"/>
  <c r="F15" i="3"/>
  <c r="G13" i="3"/>
  <c r="H13" i="3" l="1"/>
  <c r="D13" i="2"/>
  <c r="A15" i="3"/>
  <c r="A15" i="2" s="1"/>
  <c r="C15" i="2"/>
  <c r="B15" i="2" s="1"/>
  <c r="F16" i="3"/>
  <c r="K12" i="2"/>
  <c r="L12" i="2"/>
  <c r="M12" i="2" s="1"/>
  <c r="H12" i="2"/>
  <c r="O12" i="3"/>
  <c r="I12" i="2" s="1"/>
  <c r="J12" i="2" s="1"/>
  <c r="E13" i="2" l="1"/>
  <c r="I13" i="3"/>
  <c r="J13" i="3" s="1"/>
  <c r="K13" i="3" s="1"/>
  <c r="L13" i="3" s="1"/>
  <c r="A16" i="3"/>
  <c r="A16" i="2" s="1"/>
  <c r="C16" i="2"/>
  <c r="B16" i="2" s="1"/>
  <c r="F17" i="3"/>
  <c r="N13" i="3" l="1"/>
  <c r="F13" i="2"/>
  <c r="M13" i="3"/>
  <c r="G13" i="2" s="1"/>
  <c r="A17" i="3"/>
  <c r="A17" i="2" s="1"/>
  <c r="F18" i="3"/>
  <c r="C17" i="2"/>
  <c r="B17" i="2" s="1"/>
  <c r="G14" i="3"/>
  <c r="H14" i="3" l="1"/>
  <c r="D14" i="2"/>
  <c r="L13" i="2"/>
  <c r="M13" i="2" s="1"/>
  <c r="K13" i="2"/>
  <c r="H13" i="2"/>
  <c r="O13" i="3"/>
  <c r="I13" i="2" s="1"/>
  <c r="J13" i="2" s="1"/>
  <c r="A18" i="3"/>
  <c r="A18" i="2" s="1"/>
  <c r="C18" i="2"/>
  <c r="B18" i="2" s="1"/>
  <c r="F19" i="3"/>
  <c r="E14" i="2" l="1"/>
  <c r="I14" i="3"/>
  <c r="J14" i="3" s="1"/>
  <c r="K14" i="3" s="1"/>
  <c r="L14" i="3" s="1"/>
  <c r="A19" i="3"/>
  <c r="A19" i="2" s="1"/>
  <c r="C19" i="2"/>
  <c r="B19" i="2" s="1"/>
  <c r="F20" i="3"/>
  <c r="M14" i="3" l="1"/>
  <c r="G14" i="2" s="1"/>
  <c r="N14" i="3"/>
  <c r="F14" i="2"/>
  <c r="A20" i="3"/>
  <c r="A20" i="2" s="1"/>
  <c r="C20" i="2"/>
  <c r="B20" i="2" s="1"/>
  <c r="F21" i="3"/>
  <c r="G15" i="3"/>
  <c r="H15" i="3" l="1"/>
  <c r="D15" i="2"/>
  <c r="L14" i="2"/>
  <c r="M14" i="2" s="1"/>
  <c r="K14" i="2"/>
  <c r="O14" i="3"/>
  <c r="I14" i="2" s="1"/>
  <c r="J14" i="2" s="1"/>
  <c r="H14" i="2"/>
  <c r="F22" i="3"/>
  <c r="C21" i="2"/>
  <c r="B21" i="2" s="1"/>
  <c r="A21" i="3"/>
  <c r="A21" i="2" s="1"/>
  <c r="E15" i="2" l="1"/>
  <c r="I15" i="3"/>
  <c r="J15" i="3" s="1"/>
  <c r="K15" i="3" s="1"/>
  <c r="L15" i="3" s="1"/>
  <c r="A22" i="3"/>
  <c r="A22" i="2" s="1"/>
  <c r="C22" i="2"/>
  <c r="B22" i="2" s="1"/>
  <c r="F23" i="3"/>
  <c r="F15" i="2" l="1"/>
  <c r="M15" i="3"/>
  <c r="G15" i="2" s="1"/>
  <c r="N15" i="3"/>
  <c r="A23" i="3"/>
  <c r="A23" i="2" s="1"/>
  <c r="C23" i="2"/>
  <c r="B23" i="2" s="1"/>
  <c r="F24" i="3"/>
  <c r="G16" i="3"/>
  <c r="H16" i="3" l="1"/>
  <c r="D16" i="2"/>
  <c r="O15" i="3"/>
  <c r="I15" i="2" s="1"/>
  <c r="J15" i="2" s="1"/>
  <c r="H15" i="2"/>
  <c r="L15" i="2"/>
  <c r="M15" i="2" s="1"/>
  <c r="K15" i="2"/>
  <c r="A24" i="3"/>
  <c r="A24" i="2" s="1"/>
  <c r="C24" i="2"/>
  <c r="B24" i="2" s="1"/>
  <c r="F25" i="3"/>
  <c r="E16" i="2" l="1"/>
  <c r="I16" i="3"/>
  <c r="C25" i="2"/>
  <c r="B25" i="2" s="1"/>
  <c r="A25" i="3"/>
  <c r="A25" i="2" s="1"/>
  <c r="D25" i="2" s="1"/>
  <c r="F26" i="3"/>
  <c r="J16" i="3" l="1"/>
  <c r="K16" i="3"/>
  <c r="L16" i="3" s="1"/>
  <c r="A26" i="3"/>
  <c r="A26" i="2" s="1"/>
  <c r="D26" i="2" s="1"/>
  <c r="C26" i="2"/>
  <c r="B26" i="2" s="1"/>
  <c r="M16" i="3" l="1"/>
  <c r="G16" i="2" s="1"/>
  <c r="F16" i="2"/>
  <c r="N16" i="3"/>
  <c r="G17" i="3"/>
  <c r="H17" i="3" l="1"/>
  <c r="D17" i="2"/>
  <c r="H16" i="2"/>
  <c r="O16" i="3"/>
  <c r="I16" i="2" s="1"/>
  <c r="J16" i="2" s="1"/>
  <c r="L16" i="2"/>
  <c r="M16" i="2" s="1"/>
  <c r="K16" i="2"/>
  <c r="E17" i="2" l="1"/>
  <c r="I17" i="3"/>
  <c r="J17" i="3" s="1"/>
  <c r="K17" i="3" s="1"/>
  <c r="L17" i="3" s="1"/>
  <c r="M17" i="3" l="1"/>
  <c r="G17" i="2" s="1"/>
  <c r="F17" i="2"/>
  <c r="N17" i="3"/>
  <c r="G18" i="3"/>
  <c r="H18" i="3" l="1"/>
  <c r="D18" i="2"/>
  <c r="K17" i="2"/>
  <c r="L17" i="2"/>
  <c r="M17" i="2" s="1"/>
  <c r="H17" i="2"/>
  <c r="O17" i="3"/>
  <c r="I17" i="2" s="1"/>
  <c r="J17" i="2" s="1"/>
  <c r="E18" i="2" l="1"/>
  <c r="I18" i="3"/>
  <c r="J18" i="3" s="1"/>
  <c r="K18" i="3" s="1"/>
  <c r="L18" i="3" s="1"/>
  <c r="M18" i="3" l="1"/>
  <c r="G18" i="2" s="1"/>
  <c r="F18" i="2"/>
  <c r="N18" i="3"/>
  <c r="G19" i="3"/>
  <c r="H19" i="3" l="1"/>
  <c r="D19" i="2"/>
  <c r="K18" i="2"/>
  <c r="L18" i="2"/>
  <c r="M18" i="2" s="1"/>
  <c r="O18" i="3"/>
  <c r="I18" i="2" s="1"/>
  <c r="J18" i="2" s="1"/>
  <c r="H18" i="2"/>
  <c r="E19" i="2" l="1"/>
  <c r="I19" i="3"/>
  <c r="J19" i="3" l="1"/>
  <c r="K19" i="3"/>
  <c r="L19" i="3" s="1"/>
  <c r="N19" i="3" l="1"/>
  <c r="F19" i="2"/>
  <c r="M19" i="3"/>
  <c r="G19" i="2" s="1"/>
  <c r="G20" i="3"/>
  <c r="H20" i="3" l="1"/>
  <c r="D20" i="2"/>
  <c r="L19" i="2"/>
  <c r="M19" i="2" s="1"/>
  <c r="K19" i="2"/>
  <c r="O19" i="3"/>
  <c r="I19" i="2" s="1"/>
  <c r="J19" i="2" s="1"/>
  <c r="H19" i="2"/>
  <c r="E20" i="2" l="1"/>
  <c r="I20" i="3"/>
  <c r="J20" i="3" l="1"/>
  <c r="K20" i="3" s="1"/>
  <c r="L20" i="3" s="1"/>
  <c r="M20" i="3" l="1"/>
  <c r="G20" i="2" s="1"/>
  <c r="N20" i="3"/>
  <c r="F20" i="2"/>
  <c r="G21" i="3"/>
  <c r="H21" i="3" l="1"/>
  <c r="D21" i="2"/>
  <c r="K20" i="2"/>
  <c r="L20" i="2"/>
  <c r="M20" i="2" s="1"/>
  <c r="O20" i="3"/>
  <c r="I20" i="2" s="1"/>
  <c r="J20" i="2" s="1"/>
  <c r="H20" i="2"/>
  <c r="E21" i="2" l="1"/>
  <c r="I21" i="3"/>
  <c r="J21" i="3" s="1"/>
  <c r="K21" i="3" s="1"/>
  <c r="L21" i="3" s="1"/>
  <c r="M21" i="3" l="1"/>
  <c r="G21" i="2" s="1"/>
  <c r="N21" i="3"/>
  <c r="F21" i="2"/>
  <c r="G22" i="3"/>
  <c r="H22" i="3" l="1"/>
  <c r="D22" i="2"/>
  <c r="L21" i="2"/>
  <c r="M21" i="2" s="1"/>
  <c r="K21" i="2"/>
  <c r="H21" i="2"/>
  <c r="O21" i="3"/>
  <c r="I21" i="2" s="1"/>
  <c r="J21" i="2" s="1"/>
  <c r="E22" i="2" l="1"/>
  <c r="I22" i="3"/>
  <c r="J22" i="3" s="1"/>
  <c r="K22" i="3" s="1"/>
  <c r="L22" i="3" s="1"/>
  <c r="N22" i="3" l="1"/>
  <c r="M22" i="3"/>
  <c r="G22" i="2" s="1"/>
  <c r="F22" i="2"/>
  <c r="G23" i="3"/>
  <c r="H23" i="3" l="1"/>
  <c r="D23" i="2"/>
  <c r="K22" i="2"/>
  <c r="L22" i="2"/>
  <c r="M22" i="2" s="1"/>
  <c r="H22" i="2"/>
  <c r="O22" i="3"/>
  <c r="I22" i="2" s="1"/>
  <c r="J22" i="2" s="1"/>
  <c r="E23" i="2" l="1"/>
  <c r="I23" i="3"/>
  <c r="J23" i="3" s="1"/>
  <c r="K23" i="3" s="1"/>
  <c r="L23" i="3" s="1"/>
  <c r="N23" i="3" l="1"/>
  <c r="M23" i="3"/>
  <c r="G23" i="2" s="1"/>
  <c r="F23" i="2"/>
  <c r="G24" i="3"/>
  <c r="H24" i="3" l="1"/>
  <c r="D24" i="2"/>
  <c r="K23" i="2"/>
  <c r="L23" i="2"/>
  <c r="M23" i="2" s="1"/>
  <c r="O23" i="3"/>
  <c r="I23" i="2" s="1"/>
  <c r="J23" i="2" s="1"/>
  <c r="H23" i="2"/>
  <c r="E24" i="2" l="1"/>
  <c r="I24" i="3"/>
  <c r="L24" i="3" l="1"/>
  <c r="J24" i="3"/>
  <c r="K24" i="3"/>
  <c r="F24" i="2" l="1"/>
  <c r="M24" i="3"/>
  <c r="G24" i="2" s="1"/>
  <c r="N24" i="3"/>
  <c r="G25" i="3"/>
  <c r="H25" i="3" l="1"/>
  <c r="H24" i="2"/>
  <c r="O24" i="3"/>
  <c r="I24" i="2" s="1"/>
  <c r="J24" i="2" s="1"/>
  <c r="K24" i="2"/>
  <c r="L24" i="2"/>
  <c r="M24" i="2" s="1"/>
  <c r="E25" i="2" l="1"/>
  <c r="I25" i="3"/>
  <c r="J25" i="3" s="1"/>
  <c r="K25" i="3" s="1"/>
  <c r="L25" i="3" s="1"/>
  <c r="N25" i="3" l="1"/>
  <c r="M25" i="3"/>
  <c r="G25" i="2" s="1"/>
  <c r="F25" i="2"/>
  <c r="G26" i="3"/>
  <c r="H26" i="3" l="1"/>
  <c r="K25" i="2"/>
  <c r="L25" i="2"/>
  <c r="M25" i="2" s="1"/>
  <c r="O25" i="3"/>
  <c r="I25" i="2" s="1"/>
  <c r="J25" i="2" s="1"/>
  <c r="H25" i="2"/>
  <c r="E26" i="2" l="1"/>
  <c r="I26" i="3"/>
  <c r="J26" i="3" s="1"/>
  <c r="K26" i="3" s="1"/>
  <c r="L26" i="3" s="1"/>
  <c r="M26" i="3" l="1"/>
  <c r="G26" i="2" s="1"/>
  <c r="F26" i="2"/>
  <c r="N26" i="3"/>
  <c r="H26" i="2" l="1"/>
  <c r="O26" i="3"/>
  <c r="I26" i="2" s="1"/>
  <c r="J26" i="2" s="1"/>
  <c r="L26" i="2"/>
  <c r="M26" i="2" s="1"/>
  <c r="K26" i="2"/>
</calcChain>
</file>

<file path=xl/sharedStrings.xml><?xml version="1.0" encoding="utf-8"?>
<sst xmlns="http://schemas.openxmlformats.org/spreadsheetml/2006/main" count="154" uniqueCount="96">
  <si>
    <t>Spreadsheet Simulation Queueing Engine:  1 Server with Balking and Reneging</t>
  </si>
  <si>
    <t>Start Time</t>
  </si>
  <si>
    <t>Close Time</t>
  </si>
  <si>
    <t>Balk if queue length is or exceeds</t>
  </si>
  <si>
    <t>Renege if waiting time exceeds</t>
  </si>
  <si>
    <t>minute(s)</t>
  </si>
  <si>
    <t>Interarrival Rate Probability Distribution</t>
  </si>
  <si>
    <t>Service Time Probability Distribution</t>
  </si>
  <si>
    <t>Lower</t>
  </si>
  <si>
    <t>Upper</t>
  </si>
  <si>
    <t>Interarrival</t>
  </si>
  <si>
    <t>Service</t>
  </si>
  <si>
    <t>Probability</t>
  </si>
  <si>
    <t>Bound</t>
  </si>
  <si>
    <t>Rate</t>
  </si>
  <si>
    <t>Time</t>
  </si>
  <si>
    <t>(min)</t>
  </si>
  <si>
    <t>Queue</t>
  </si>
  <si>
    <t>Cust</t>
  </si>
  <si>
    <t>Arrival</t>
  </si>
  <si>
    <t>Length</t>
  </si>
  <si>
    <t>Renege</t>
  </si>
  <si>
    <t xml:space="preserve">Server #1 </t>
  </si>
  <si>
    <t>Wait</t>
  </si>
  <si>
    <t>Total</t>
  </si>
  <si>
    <t>#</t>
  </si>
  <si>
    <t>at Arrival</t>
  </si>
  <si>
    <t>Balk?</t>
  </si>
  <si>
    <t>Renege?</t>
  </si>
  <si>
    <t>Depart</t>
  </si>
  <si>
    <t>Start</t>
  </si>
  <si>
    <t>End</t>
  </si>
  <si>
    <t>Wait Time</t>
  </si>
  <si>
    <t>(hr:min)</t>
  </si>
  <si>
    <t>(# cust.)</t>
  </si>
  <si>
    <t>start</t>
  </si>
  <si>
    <t>renege_time(serial) (Named "renege_time")</t>
  </si>
  <si>
    <t xml:space="preserve">Interarrival </t>
  </si>
  <si>
    <t>Potential</t>
  </si>
  <si>
    <t xml:space="preserve">Service </t>
  </si>
  <si>
    <t>#1Start</t>
  </si>
  <si>
    <t>Earliest</t>
  </si>
  <si>
    <t>Actual</t>
  </si>
  <si>
    <t xml:space="preserve">Next </t>
  </si>
  <si>
    <t>User Input</t>
  </si>
  <si>
    <t>time</t>
  </si>
  <si>
    <t>Server</t>
  </si>
  <si>
    <t>(serial)</t>
  </si>
  <si>
    <t>Monte Carlo Simulation of Queues in Spreadsheets</t>
  </si>
  <si>
    <t>Spreadsheet Queueing Simulation Engines</t>
  </si>
  <si>
    <t>see below for important copyright information</t>
  </si>
  <si>
    <t>Background</t>
  </si>
  <si>
    <t>This spreadsheet queueing simulation engine was developed to simplify or eliminate the difficult programming required to simulate</t>
  </si>
  <si>
    <t>a queue in a spreadsheet.  The user need only customize the spreadsheet queueing simulation engine with the</t>
  </si>
  <si>
    <t>appropriate data, and then perform simulation runs in the usual fashion.</t>
  </si>
  <si>
    <t>Instructions for use...</t>
  </si>
  <si>
    <t>Instructions for the use of this spreadsheet queueing engine can be found on the world wide web, at</t>
  </si>
  <si>
    <t>http://www.ucalgary.ca/~grossman/simulation/</t>
  </si>
  <si>
    <t xml:space="preserve">The basic idea is that you go to the Computations Worksheet and insert the probability distributions of your choice </t>
  </si>
  <si>
    <t>for the interarrival time distribution and the service time distribution in the colored columns.</t>
  </si>
  <si>
    <t>Change a few numbers in the green boxes in the Data Worksheet as appropriate.</t>
  </si>
  <si>
    <t xml:space="preserve">Then copy the cell formulas in the last row of the Simulation Worksheet down for as many customers as you would like to  </t>
  </si>
  <si>
    <t xml:space="preserve">simulate.  Copy down the same number of rows on the Computations Worksheet (make sure you have the </t>
  </si>
  <si>
    <t>same number of rows on both the Computations and Spreadsheet Worksheets!).</t>
  </si>
  <si>
    <t>Then run simulations using the spreadsheet simulation software of your choice.</t>
  </si>
  <si>
    <t>Updates</t>
  </si>
  <si>
    <t xml:space="preserve">The spreadsheet queueing engines may periodically be updated and improved.  Updated engines can be found at </t>
  </si>
  <si>
    <t xml:space="preserve">Additional information regarding spreadsheet simulation, including texts and training courses, can be found at </t>
  </si>
  <si>
    <t>http://www.ucalgary.ca/~grossman/resources/</t>
  </si>
  <si>
    <t>Note:</t>
  </si>
  <si>
    <t xml:space="preserve">Cells that contain formulas for the spreadsheet queueing engine have been "protected" to prevent accidental changes </t>
  </si>
  <si>
    <t>to the cell formulas.  If you choose to make changes to the cell formulas that have been provided, you need</t>
  </si>
  <si>
    <t>to use Tool - Protection - Unprotect sheet.  (We recommend that you exercise care if you choose to do this.)</t>
  </si>
  <si>
    <t>Acknowledgments</t>
  </si>
  <si>
    <t>Programming by Rebecca Tsang and Tom Grossman.</t>
  </si>
  <si>
    <t>This research was partially supported by Canadian Natural Sciences and Engineering Research Council Grant OGP0172794.</t>
  </si>
  <si>
    <t xml:space="preserve">Distribution of this software via the World Wide Web (but not the development of this software) was partially supported </t>
  </si>
  <si>
    <t>by the "Learning Enhancement Envelope" Program of the Province of Alberta, Canada.</t>
  </si>
  <si>
    <t>Legalities and Copyright</t>
  </si>
  <si>
    <t>Copyright 1997, T.A. Grossman, Jr. All rights reserved except as described below.</t>
  </si>
  <si>
    <r>
      <t xml:space="preserve">This software program may be </t>
    </r>
    <r>
      <rPr>
        <b/>
        <sz val="10"/>
        <rFont val="Arial"/>
      </rPr>
      <t>freely copied, distributed and modified</t>
    </r>
    <r>
      <rPr>
        <sz val="10"/>
        <rFont val="Arial"/>
      </rPr>
      <t xml:space="preserve"> provided that this Copyright Worksheet is </t>
    </r>
  </si>
  <si>
    <t>retained (without any alterations) within the software program, and is obviously visible to anyone using the software program.</t>
  </si>
  <si>
    <t xml:space="preserve">This software program is for use at your own risk.  No warranty, express or implied, is provided for the use </t>
  </si>
  <si>
    <t>of this software program.  This software program may contain errors.</t>
  </si>
  <si>
    <t>Feedback</t>
  </si>
  <si>
    <t>... on the spreadsheet queueing simulation engines can be e-mailed to grossman@mgmt.ucalgary.ca</t>
  </si>
  <si>
    <t>This copyright sheet updated November 18, 1997.</t>
  </si>
  <si>
    <t>Function QSSNumGreater(QSSRange As Object, QSSCell As Variant) As Integer</t>
  </si>
  <si>
    <t>' Similar to CountIf function except 2nd</t>
  </si>
  <si>
    <t>' function parameter is a cell reference.</t>
  </si>
  <si>
    <t>' Cells within range (Qss Range) are compared to see if their</t>
  </si>
  <si>
    <t>' values are greater than comparison cell (QSSCell).</t>
  </si>
  <si>
    <t>Dim QSSCriteria As String</t>
  </si>
  <si>
    <t xml:space="preserve">    QSSCriteria = "&gt;" &amp; CStr(QSSCell)</t>
  </si>
  <si>
    <t xml:space="preserve">    QSSNumGreater = Application.CountIf(QSSRange, QSSCriteria)</t>
  </si>
  <si>
    <t>End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</si>
</sst>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5" formatCode="0.000000"/>
  </numFmts>
  <fonts count="14" x14ac:knownFonts="1">
    <font>
      <sz val="10"/>
      <name val="Arial"/>
    </font>
    <font>
      <sz val="10"/>
      <name val="Arial"/>
    </font>
    <font>
      <sz val="9"/>
      <name val="Arial"/>
    </font>
    <font>
      <b/>
      <sz val="10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sz val="9"/>
      <color indexed="12"/>
      <name val="Arial"/>
      <family val="2"/>
    </font>
    <font>
      <sz val="10"/>
      <color indexed="12"/>
      <name val="Arial"/>
      <family val="2"/>
    </font>
    <font>
      <sz val="16"/>
      <name val="Arial"/>
    </font>
    <font>
      <b/>
      <sz val="12"/>
      <name val="Arial"/>
      <family val="2"/>
    </font>
    <font>
      <b/>
      <sz val="14"/>
      <name val="Arial"/>
      <family val="2"/>
    </font>
    <font>
      <sz val="8"/>
      <name val="Arial"/>
    </font>
    <font>
      <b/>
      <sz val="10"/>
      <name val="Arial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5">
    <xf numFmtId="0" fontId="0" fillId="0" borderId="0" xfId="0"/>
    <xf numFmtId="0" fontId="10" fillId="0" borderId="0" xfId="0" applyFont="1"/>
    <xf numFmtId="0" fontId="9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9" fillId="0" borderId="1" xfId="0" applyFont="1" applyBorder="1" applyAlignment="1" applyProtection="1">
      <alignment horizontal="centerContinuous" vertical="center"/>
      <protection locked="0"/>
    </xf>
    <xf numFmtId="0" fontId="8" fillId="0" borderId="1" xfId="0" applyFont="1" applyBorder="1" applyAlignment="1" applyProtection="1">
      <alignment horizontal="centerContinuous"/>
      <protection locked="0"/>
    </xf>
    <xf numFmtId="20" fontId="8" fillId="0" borderId="1" xfId="0" applyNumberFormat="1" applyFont="1" applyBorder="1" applyAlignment="1" applyProtection="1">
      <alignment horizontal="centerContinuous"/>
      <protection locked="0"/>
    </xf>
    <xf numFmtId="0" fontId="0" fillId="0" borderId="0" xfId="0" applyBorder="1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0" fontId="1" fillId="0" borderId="0" xfId="0" applyFont="1" applyProtection="1">
      <protection locked="0"/>
    </xf>
    <xf numFmtId="20" fontId="1" fillId="0" borderId="0" xfId="0" applyNumberFormat="1" applyFont="1" applyProtection="1">
      <protection locked="0"/>
    </xf>
    <xf numFmtId="0" fontId="0" fillId="0" borderId="0" xfId="0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20" fontId="3" fillId="0" borderId="0" xfId="0" applyNumberFormat="1" applyFont="1" applyProtection="1">
      <protection locked="0"/>
    </xf>
    <xf numFmtId="20" fontId="1" fillId="2" borderId="2" xfId="0" applyNumberFormat="1" applyFont="1" applyFill="1" applyBorder="1" applyAlignment="1" applyProtection="1">
      <alignment horizontal="center"/>
      <protection locked="0"/>
    </xf>
    <xf numFmtId="0" fontId="1" fillId="2" borderId="2" xfId="0" applyNumberFormat="1" applyFont="1" applyFill="1" applyBorder="1" applyAlignment="1" applyProtection="1">
      <alignment horizontal="center"/>
      <protection locked="0"/>
    </xf>
    <xf numFmtId="20" fontId="3" fillId="0" borderId="0" xfId="0" applyNumberFormat="1" applyFont="1" applyAlignment="1" applyProtection="1">
      <alignment horizontal="left"/>
      <protection locked="0"/>
    </xf>
    <xf numFmtId="0" fontId="0" fillId="2" borderId="2" xfId="0" applyFill="1" applyBorder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Continuous"/>
      <protection locked="0"/>
    </xf>
    <xf numFmtId="0" fontId="4" fillId="0" borderId="0" xfId="0" applyFont="1" applyProtection="1">
      <protection locked="0"/>
    </xf>
    <xf numFmtId="0" fontId="3" fillId="0" borderId="1" xfId="0" applyFont="1" applyBorder="1" applyAlignment="1" applyProtection="1">
      <alignment horizontal="left"/>
      <protection locked="0"/>
    </xf>
    <xf numFmtId="0" fontId="3" fillId="3" borderId="3" xfId="0" applyFont="1" applyFill="1" applyBorder="1" applyAlignment="1" applyProtection="1">
      <alignment horizontal="center"/>
      <protection locked="0"/>
    </xf>
    <xf numFmtId="0" fontId="3" fillId="3" borderId="4" xfId="0" applyFont="1" applyFill="1" applyBorder="1" applyAlignment="1" applyProtection="1">
      <alignment horizontal="center"/>
      <protection locked="0"/>
    </xf>
    <xf numFmtId="0" fontId="3" fillId="3" borderId="5" xfId="0" applyFont="1" applyFill="1" applyBorder="1" applyAlignment="1" applyProtection="1">
      <alignment horizontal="center"/>
      <protection locked="0"/>
    </xf>
    <xf numFmtId="0" fontId="3" fillId="3" borderId="6" xfId="0" applyFont="1" applyFill="1" applyBorder="1" applyAlignment="1" applyProtection="1">
      <alignment horizontal="center"/>
      <protection locked="0"/>
    </xf>
    <xf numFmtId="0" fontId="3" fillId="3" borderId="0" xfId="0" applyFont="1" applyFill="1" applyBorder="1" applyAlignment="1" applyProtection="1">
      <alignment horizontal="center"/>
      <protection locked="0"/>
    </xf>
    <xf numFmtId="0" fontId="3" fillId="3" borderId="7" xfId="0" applyFont="1" applyFill="1" applyBorder="1" applyAlignment="1" applyProtection="1">
      <alignment horizontal="center"/>
      <protection locked="0"/>
    </xf>
    <xf numFmtId="0" fontId="3" fillId="3" borderId="8" xfId="0" applyFont="1" applyFill="1" applyBorder="1" applyProtection="1">
      <protection locked="0"/>
    </xf>
    <xf numFmtId="0" fontId="3" fillId="3" borderId="1" xfId="0" applyFont="1" applyFill="1" applyBorder="1" applyAlignment="1" applyProtection="1">
      <alignment horizontal="center"/>
      <protection locked="0"/>
    </xf>
    <xf numFmtId="0" fontId="3" fillId="3" borderId="9" xfId="0" applyFont="1" applyFill="1" applyBorder="1" applyAlignment="1" applyProtection="1">
      <alignment horizontal="center"/>
      <protection locked="0"/>
    </xf>
    <xf numFmtId="0" fontId="3" fillId="3" borderId="8" xfId="0" applyFont="1" applyFill="1" applyBorder="1" applyAlignment="1" applyProtection="1">
      <alignment horizontal="center"/>
      <protection locked="0"/>
    </xf>
    <xf numFmtId="0" fontId="4" fillId="3" borderId="6" xfId="0" applyFont="1" applyFill="1" applyBorder="1" applyAlignment="1" applyProtection="1">
      <alignment horizontal="center"/>
      <protection locked="0"/>
    </xf>
    <xf numFmtId="0" fontId="4" fillId="3" borderId="0" xfId="0" applyFont="1" applyFill="1" applyBorder="1" applyAlignment="1" applyProtection="1">
      <alignment horizontal="center"/>
      <protection locked="0"/>
    </xf>
    <xf numFmtId="0" fontId="4" fillId="3" borderId="7" xfId="0" applyFont="1" applyFill="1" applyBorder="1" applyAlignment="1" applyProtection="1">
      <alignment horizontal="center"/>
      <protection locked="0"/>
    </xf>
    <xf numFmtId="0" fontId="4" fillId="3" borderId="8" xfId="0" applyFont="1" applyFill="1" applyBorder="1" applyAlignment="1" applyProtection="1">
      <alignment horizontal="center"/>
      <protection locked="0"/>
    </xf>
    <xf numFmtId="0" fontId="4" fillId="3" borderId="1" xfId="0" applyFont="1" applyFill="1" applyBorder="1" applyAlignment="1" applyProtection="1">
      <alignment horizontal="center"/>
      <protection locked="0"/>
    </xf>
    <xf numFmtId="0" fontId="4" fillId="3" borderId="9" xfId="0" applyFont="1" applyFill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1" fillId="0" borderId="0" xfId="0" applyFont="1" applyBorder="1" applyAlignment="1" applyProtection="1">
      <alignment horizontal="center"/>
      <protection locked="0"/>
    </xf>
    <xf numFmtId="0" fontId="0" fillId="0" borderId="0" xfId="0" applyAlignment="1" applyProtection="1">
      <protection locked="0"/>
    </xf>
    <xf numFmtId="0" fontId="0" fillId="0" borderId="0" xfId="0" applyFill="1" applyBorder="1" applyProtection="1">
      <protection locked="0"/>
    </xf>
    <xf numFmtId="0" fontId="4" fillId="3" borderId="0" xfId="0" applyFont="1" applyFill="1" applyBorder="1" applyAlignment="1" applyProtection="1">
      <alignment horizontal="center"/>
    </xf>
    <xf numFmtId="0" fontId="4" fillId="3" borderId="1" xfId="0" applyFont="1" applyFill="1" applyBorder="1" applyAlignment="1" applyProtection="1">
      <alignment horizontal="center"/>
    </xf>
    <xf numFmtId="0" fontId="0" fillId="0" borderId="0" xfId="0" applyNumberFormat="1" applyFill="1" applyAlignment="1" applyProtection="1">
      <alignment horizontal="center"/>
      <protection locked="0"/>
    </xf>
    <xf numFmtId="0" fontId="2" fillId="0" borderId="0" xfId="0" applyFont="1" applyFill="1" applyProtection="1">
      <protection locked="0"/>
    </xf>
    <xf numFmtId="0" fontId="2" fillId="0" borderId="0" xfId="0" applyNumberFormat="1" applyFont="1" applyFill="1" applyProtection="1">
      <protection locked="0"/>
    </xf>
    <xf numFmtId="0" fontId="2" fillId="0" borderId="0" xfId="0" applyFont="1" applyAlignment="1" applyProtection="1">
      <alignment horizontal="center"/>
      <protection locked="0"/>
    </xf>
    <xf numFmtId="0" fontId="2" fillId="0" borderId="0" xfId="0" applyFont="1" applyProtection="1">
      <protection locked="0"/>
    </xf>
    <xf numFmtId="20" fontId="2" fillId="0" borderId="0" xfId="0" applyNumberFormat="1" applyFont="1" applyAlignment="1" applyProtection="1">
      <alignment horizontal="center"/>
      <protection locked="0"/>
    </xf>
    <xf numFmtId="20" fontId="5" fillId="0" borderId="0" xfId="0" applyNumberFormat="1" applyFont="1" applyAlignment="1" applyProtection="1">
      <alignment horizontal="center"/>
      <protection locked="0"/>
    </xf>
    <xf numFmtId="0" fontId="1" fillId="0" borderId="0" xfId="0" applyNumberFormat="1" applyFont="1" applyFill="1" applyAlignment="1" applyProtection="1">
      <alignment horizontal="center"/>
      <protection locked="0"/>
    </xf>
    <xf numFmtId="0" fontId="5" fillId="3" borderId="0" xfId="0" applyNumberFormat="1" applyFont="1" applyFill="1" applyAlignment="1" applyProtection="1">
      <alignment horizontal="center"/>
      <protection locked="0"/>
    </xf>
    <xf numFmtId="0" fontId="5" fillId="0" borderId="0" xfId="0" applyFont="1" applyProtection="1">
      <protection locked="0"/>
    </xf>
    <xf numFmtId="0" fontId="5" fillId="0" borderId="0" xfId="0" applyFont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20" fontId="3" fillId="0" borderId="0" xfId="0" applyNumberFormat="1" applyFont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5" fillId="3" borderId="1" xfId="0" applyNumberFormat="1" applyFont="1" applyFill="1" applyBorder="1" applyAlignment="1" applyProtection="1">
      <alignment horizontal="center"/>
      <protection locked="0"/>
    </xf>
    <xf numFmtId="0" fontId="5" fillId="0" borderId="1" xfId="0" applyFont="1" applyBorder="1" applyAlignment="1" applyProtection="1">
      <alignment horizontal="center"/>
      <protection locked="0"/>
    </xf>
    <xf numFmtId="20" fontId="3" fillId="0" borderId="1" xfId="0" applyNumberFormat="1" applyFont="1" applyBorder="1" applyAlignment="1" applyProtection="1">
      <alignment horizontal="center"/>
      <protection locked="0"/>
    </xf>
    <xf numFmtId="0" fontId="1" fillId="0" borderId="0" xfId="0" applyFont="1" applyAlignment="1" applyProtection="1">
      <alignment horizontal="center"/>
      <protection locked="0"/>
    </xf>
    <xf numFmtId="0" fontId="1" fillId="3" borderId="0" xfId="0" applyNumberFormat="1" applyFont="1" applyFill="1" applyAlignment="1" applyProtection="1">
      <alignment horizontal="center"/>
      <protection locked="0"/>
    </xf>
    <xf numFmtId="0" fontId="2" fillId="3" borderId="0" xfId="0" applyNumberFormat="1" applyFont="1" applyFill="1" applyAlignment="1" applyProtection="1">
      <alignment horizontal="center"/>
      <protection locked="0"/>
    </xf>
    <xf numFmtId="0" fontId="2" fillId="3" borderId="0" xfId="0" applyNumberFormat="1" applyFont="1" applyFill="1" applyProtection="1">
      <protection locked="0"/>
    </xf>
    <xf numFmtId="0" fontId="7" fillId="0" borderId="0" xfId="0" applyFont="1" applyAlignment="1" applyProtection="1">
      <alignment horizontal="center"/>
      <protection locked="0"/>
    </xf>
    <xf numFmtId="175" fontId="2" fillId="0" borderId="0" xfId="0" applyNumberFormat="1" applyFont="1" applyProtection="1">
      <protection locked="0"/>
    </xf>
    <xf numFmtId="0" fontId="6" fillId="0" borderId="0" xfId="0" applyFont="1" applyAlignment="1" applyProtection="1">
      <alignment horizontal="center"/>
      <protection locked="0"/>
    </xf>
    <xf numFmtId="20" fontId="6" fillId="0" borderId="0" xfId="0" applyNumberFormat="1" applyFont="1" applyAlignment="1" applyProtection="1">
      <alignment horizontal="left"/>
      <protection locked="0"/>
    </xf>
    <xf numFmtId="0" fontId="6" fillId="0" borderId="0" xfId="0" applyFont="1" applyAlignment="1" applyProtection="1">
      <alignment horizontal="left"/>
      <protection locked="0"/>
    </xf>
    <xf numFmtId="0" fontId="6" fillId="0" borderId="0" xfId="0" applyFont="1" applyProtection="1">
      <protection locked="0"/>
    </xf>
    <xf numFmtId="0" fontId="6" fillId="3" borderId="0" xfId="0" applyNumberFormat="1" applyFont="1" applyFill="1" applyProtection="1">
      <protection locked="0"/>
    </xf>
    <xf numFmtId="0" fontId="0" fillId="0" borderId="0" xfId="0" applyNumberFormat="1" applyProtection="1">
      <protection locked="0"/>
    </xf>
    <xf numFmtId="20" fontId="0" fillId="0" borderId="0" xfId="0" applyNumberFormat="1" applyProtection="1">
      <protection locked="0"/>
    </xf>
    <xf numFmtId="0" fontId="1" fillId="0" borderId="0" xfId="0" applyNumberFormat="1" applyFont="1" applyProtection="1">
      <protection locked="0"/>
    </xf>
    <xf numFmtId="0" fontId="3" fillId="0" borderId="0" xfId="0" applyNumberFormat="1" applyFont="1" applyAlignment="1" applyProtection="1">
      <alignment horizontal="center"/>
      <protection locked="0"/>
    </xf>
    <xf numFmtId="20" fontId="3" fillId="0" borderId="0" xfId="0" applyNumberFormat="1" applyFont="1" applyBorder="1" applyAlignment="1" applyProtection="1">
      <alignment horizontal="centerContinuous"/>
      <protection locked="0"/>
    </xf>
    <xf numFmtId="20" fontId="3" fillId="0" borderId="0" xfId="0" applyNumberFormat="1" applyFont="1" applyBorder="1" applyAlignment="1" applyProtection="1">
      <alignment horizontal="center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3" fillId="0" borderId="1" xfId="0" applyNumberFormat="1" applyFont="1" applyBorder="1" applyAlignment="1" applyProtection="1">
      <alignment horizontal="center"/>
      <protection locked="0"/>
    </xf>
    <xf numFmtId="0" fontId="1" fillId="0" borderId="0" xfId="0" applyNumberFormat="1" applyFont="1" applyAlignment="1" applyProtection="1">
      <alignment horizontal="center"/>
      <protection locked="0"/>
    </xf>
    <xf numFmtId="20" fontId="1" fillId="0" borderId="0" xfId="0" applyNumberFormat="1" applyFont="1" applyAlignment="1" applyProtection="1">
      <alignment horizontal="center"/>
      <protection locked="0"/>
    </xf>
    <xf numFmtId="20" fontId="4" fillId="0" borderId="0" xfId="0" applyNumberFormat="1" applyFont="1" applyProtection="1">
      <protection locked="0"/>
    </xf>
    <xf numFmtId="20" fontId="7" fillId="0" borderId="0" xfId="0" applyNumberFormat="1" applyFont="1" applyProtection="1">
      <protection locked="0"/>
    </xf>
    <xf numFmtId="0" fontId="1" fillId="0" borderId="0" xfId="0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20" fontId="1" fillId="0" borderId="0" xfId="0" applyNumberFormat="1" applyFont="1" applyAlignment="1" applyProtection="1">
      <alignment horizontal="center"/>
    </xf>
    <xf numFmtId="20" fontId="2" fillId="0" borderId="0" xfId="0" applyNumberFormat="1" applyFont="1" applyAlignment="1" applyProtection="1">
      <alignment horizontal="center"/>
    </xf>
    <xf numFmtId="20" fontId="2" fillId="0" borderId="0" xfId="0" applyNumberFormat="1" applyFont="1" applyProtection="1"/>
    <xf numFmtId="0" fontId="2" fillId="0" borderId="0" xfId="0" applyFont="1" applyAlignment="1" applyProtection="1">
      <alignment horizontal="center"/>
    </xf>
    <xf numFmtId="0" fontId="0" fillId="0" borderId="0" xfId="0" applyAlignment="1" applyProtection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EAEAE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26"/>
  <sheetViews>
    <sheetView tabSelected="1" workbookViewId="0">
      <selection activeCell="A16" sqref="A16"/>
    </sheetView>
  </sheetViews>
  <sheetFormatPr defaultRowHeight="13.2" x14ac:dyDescent="0.25"/>
  <cols>
    <col min="1" max="1" width="10.6640625" style="13" customWidth="1"/>
    <col min="2" max="3" width="8.88671875" style="13" customWidth="1"/>
    <col min="4" max="4" width="12.109375" style="13" customWidth="1"/>
    <col min="5" max="5" width="10" style="13" customWidth="1"/>
    <col min="6" max="6" width="12" style="13" customWidth="1"/>
    <col min="7" max="7" width="11.6640625" style="13" customWidth="1"/>
    <col min="8" max="8" width="9.6640625" style="13" customWidth="1"/>
    <col min="9" max="9" width="9.5546875" style="13" customWidth="1"/>
    <col min="10" max="16384" width="8.88671875" style="13"/>
  </cols>
  <sheetData>
    <row r="1" spans="1:10" s="10" customFormat="1" ht="22.2" customHeight="1" thickBot="1" x14ac:dyDescent="0.4">
      <c r="A1" s="6" t="s">
        <v>0</v>
      </c>
      <c r="B1" s="7"/>
      <c r="C1" s="7"/>
      <c r="D1" s="8"/>
      <c r="E1" s="8"/>
      <c r="F1" s="8"/>
      <c r="G1" s="8"/>
      <c r="H1" s="7"/>
      <c r="I1" s="7"/>
      <c r="J1" s="9"/>
    </row>
    <row r="2" spans="1:10" x14ac:dyDescent="0.25">
      <c r="A2" s="11"/>
      <c r="B2" s="11"/>
      <c r="C2" s="11"/>
      <c r="D2" s="12"/>
      <c r="E2" s="12"/>
      <c r="F2" s="12"/>
      <c r="G2" s="12"/>
    </row>
    <row r="3" spans="1:10" ht="13.8" thickBot="1" x14ac:dyDescent="0.3">
      <c r="A3" s="14" t="s">
        <v>1</v>
      </c>
      <c r="B3" s="11"/>
      <c r="C3" s="15" t="s">
        <v>2</v>
      </c>
      <c r="E3" s="16" t="s">
        <v>3</v>
      </c>
      <c r="F3" s="14"/>
      <c r="G3" s="12"/>
      <c r="H3" s="14" t="s">
        <v>4</v>
      </c>
    </row>
    <row r="4" spans="1:10" ht="13.8" thickBot="1" x14ac:dyDescent="0.3">
      <c r="A4" s="17">
        <v>0.375</v>
      </c>
      <c r="B4" s="11"/>
      <c r="C4" s="17">
        <v>0.3888888888888889</v>
      </c>
      <c r="E4" s="18">
        <v>1</v>
      </c>
      <c r="F4" s="19"/>
      <c r="H4" s="20">
        <v>2</v>
      </c>
      <c r="I4" s="14" t="s">
        <v>5</v>
      </c>
    </row>
    <row r="6" spans="1:10" x14ac:dyDescent="0.25">
      <c r="I6" s="21"/>
    </row>
    <row r="7" spans="1:10" ht="13.8" thickBot="1" x14ac:dyDescent="0.3">
      <c r="A7" s="22" t="s">
        <v>6</v>
      </c>
      <c r="B7" s="22"/>
      <c r="C7" s="22"/>
      <c r="D7" s="22"/>
      <c r="E7" s="23"/>
      <c r="F7" s="24" t="s">
        <v>7</v>
      </c>
      <c r="G7" s="22"/>
      <c r="H7" s="22"/>
      <c r="I7" s="22"/>
    </row>
    <row r="8" spans="1:10" x14ac:dyDescent="0.25">
      <c r="A8" s="25"/>
      <c r="B8" s="26" t="s">
        <v>8</v>
      </c>
      <c r="C8" s="26" t="s">
        <v>9</v>
      </c>
      <c r="D8" s="27" t="s">
        <v>10</v>
      </c>
      <c r="E8" s="23"/>
      <c r="F8" s="25"/>
      <c r="G8" s="26" t="s">
        <v>8</v>
      </c>
      <c r="H8" s="26" t="s">
        <v>9</v>
      </c>
      <c r="I8" s="27" t="s">
        <v>11</v>
      </c>
    </row>
    <row r="9" spans="1:10" x14ac:dyDescent="0.25">
      <c r="A9" s="28" t="s">
        <v>12</v>
      </c>
      <c r="B9" s="29" t="s">
        <v>13</v>
      </c>
      <c r="C9" s="29" t="s">
        <v>13</v>
      </c>
      <c r="D9" s="30" t="s">
        <v>14</v>
      </c>
      <c r="E9" s="23"/>
      <c r="F9" s="28" t="s">
        <v>12</v>
      </c>
      <c r="G9" s="29" t="s">
        <v>13</v>
      </c>
      <c r="H9" s="29" t="s">
        <v>13</v>
      </c>
      <c r="I9" s="30" t="s">
        <v>15</v>
      </c>
    </row>
    <row r="10" spans="1:10" ht="13.8" thickBot="1" x14ac:dyDescent="0.3">
      <c r="A10" s="31"/>
      <c r="B10" s="32"/>
      <c r="C10" s="32"/>
      <c r="D10" s="33" t="s">
        <v>16</v>
      </c>
      <c r="E10" s="23"/>
      <c r="F10" s="34"/>
      <c r="G10" s="32"/>
      <c r="H10" s="32"/>
      <c r="I10" s="33" t="s">
        <v>16</v>
      </c>
    </row>
    <row r="11" spans="1:10" x14ac:dyDescent="0.25">
      <c r="A11" s="35">
        <v>0.45</v>
      </c>
      <c r="B11" s="36">
        <v>0</v>
      </c>
      <c r="C11" s="46">
        <f>B11+A11</f>
        <v>0.45</v>
      </c>
      <c r="D11" s="37">
        <v>1</v>
      </c>
      <c r="E11" s="23"/>
      <c r="F11" s="35">
        <v>0.3</v>
      </c>
      <c r="G11" s="36">
        <v>0</v>
      </c>
      <c r="H11" s="46">
        <f>G11+F11</f>
        <v>0.3</v>
      </c>
      <c r="I11" s="37">
        <v>2</v>
      </c>
    </row>
    <row r="12" spans="1:10" x14ac:dyDescent="0.25">
      <c r="A12" s="35">
        <v>0.25</v>
      </c>
      <c r="B12" s="36">
        <f>C11</f>
        <v>0.45</v>
      </c>
      <c r="C12" s="46">
        <f>B12+A12</f>
        <v>0.7</v>
      </c>
      <c r="D12" s="37">
        <v>2</v>
      </c>
      <c r="E12" s="23"/>
      <c r="F12" s="35">
        <v>0.35</v>
      </c>
      <c r="G12" s="36">
        <f>H11</f>
        <v>0.3</v>
      </c>
      <c r="H12" s="46">
        <f>G12+F12</f>
        <v>0.64999999999999991</v>
      </c>
      <c r="I12" s="37">
        <v>4</v>
      </c>
    </row>
    <row r="13" spans="1:10" ht="13.8" thickBot="1" x14ac:dyDescent="0.3">
      <c r="A13" s="35">
        <v>0.1</v>
      </c>
      <c r="B13" s="36">
        <f>C12</f>
        <v>0.7</v>
      </c>
      <c r="C13" s="46">
        <f>B13+A13</f>
        <v>0.79999999999999993</v>
      </c>
      <c r="D13" s="37">
        <v>2</v>
      </c>
      <c r="E13" s="23"/>
      <c r="F13" s="38">
        <v>0.35</v>
      </c>
      <c r="G13" s="39">
        <f>H12</f>
        <v>0.64999999999999991</v>
      </c>
      <c r="H13" s="47">
        <f>G13+F13</f>
        <v>0.99999999999999989</v>
      </c>
      <c r="I13" s="40">
        <v>6</v>
      </c>
    </row>
    <row r="14" spans="1:10" ht="13.8" thickBot="1" x14ac:dyDescent="0.3">
      <c r="A14" s="38">
        <v>0.2</v>
      </c>
      <c r="B14" s="39">
        <f>C13</f>
        <v>0.79999999999999993</v>
      </c>
      <c r="C14" s="47">
        <f>B14+A14</f>
        <v>1</v>
      </c>
      <c r="D14" s="40">
        <v>1</v>
      </c>
      <c r="E14" s="23"/>
      <c r="F14" s="41"/>
      <c r="G14" s="41"/>
      <c r="H14" s="41"/>
      <c r="I14" s="41"/>
    </row>
    <row r="15" spans="1:10" x14ac:dyDescent="0.25">
      <c r="A15" s="41"/>
      <c r="B15" s="41"/>
      <c r="C15" s="42"/>
      <c r="D15" s="41"/>
      <c r="E15" s="23"/>
      <c r="F15" s="41"/>
      <c r="G15" s="41"/>
      <c r="H15" s="41"/>
      <c r="I15" s="41"/>
    </row>
    <row r="16" spans="1:10" x14ac:dyDescent="0.25">
      <c r="A16" s="41"/>
      <c r="B16" s="41"/>
      <c r="C16" s="42"/>
      <c r="D16" s="41"/>
      <c r="E16" s="23"/>
      <c r="F16" s="41"/>
      <c r="G16" s="41"/>
      <c r="H16" s="41"/>
      <c r="I16" s="41"/>
    </row>
    <row r="17" spans="1:9" x14ac:dyDescent="0.25">
      <c r="A17" s="41"/>
      <c r="B17" s="41"/>
      <c r="C17" s="42"/>
      <c r="D17" s="41"/>
      <c r="E17" s="23"/>
      <c r="F17" s="41"/>
      <c r="G17" s="41"/>
      <c r="H17" s="41"/>
      <c r="I17" s="41"/>
    </row>
    <row r="18" spans="1:9" x14ac:dyDescent="0.25">
      <c r="A18" s="41"/>
      <c r="B18" s="41"/>
      <c r="C18" s="42"/>
      <c r="D18" s="41"/>
      <c r="E18" s="23"/>
      <c r="F18" s="41"/>
      <c r="G18" s="41"/>
      <c r="H18" s="41"/>
      <c r="I18" s="41"/>
    </row>
    <row r="19" spans="1:9" x14ac:dyDescent="0.25">
      <c r="A19" s="41"/>
      <c r="B19" s="41"/>
      <c r="C19" s="42"/>
      <c r="D19" s="41"/>
      <c r="E19" s="23"/>
      <c r="F19" s="41"/>
      <c r="G19" s="41"/>
      <c r="H19" s="41"/>
      <c r="I19" s="41"/>
    </row>
    <row r="20" spans="1:9" x14ac:dyDescent="0.25">
      <c r="A20" s="41"/>
      <c r="B20" s="41"/>
      <c r="C20" s="42"/>
      <c r="D20" s="41"/>
      <c r="F20" s="41"/>
      <c r="G20" s="41"/>
      <c r="H20" s="41"/>
      <c r="I20" s="41"/>
    </row>
    <row r="21" spans="1:9" x14ac:dyDescent="0.25">
      <c r="A21" s="43"/>
      <c r="B21" s="43"/>
      <c r="E21" s="44"/>
    </row>
    <row r="22" spans="1:9" x14ac:dyDescent="0.25">
      <c r="A22" s="43"/>
      <c r="B22" s="43"/>
      <c r="E22" s="44"/>
      <c r="G22" s="45"/>
    </row>
    <row r="23" spans="1:9" x14ac:dyDescent="0.25">
      <c r="A23" s="43"/>
      <c r="B23" s="43"/>
    </row>
    <row r="24" spans="1:9" x14ac:dyDescent="0.25">
      <c r="A24" s="43"/>
      <c r="B24" s="43"/>
    </row>
    <row r="25" spans="1:9" x14ac:dyDescent="0.25">
      <c r="A25" s="43"/>
      <c r="B25" s="43"/>
    </row>
    <row r="26" spans="1:9" x14ac:dyDescent="0.25">
      <c r="A26" s="43"/>
      <c r="B26" s="43"/>
    </row>
  </sheetData>
  <sheetProtection sheet="1" objects="1" scenarios="1"/>
  <phoneticPr fontId="11" type="noConversion"/>
  <pageMargins left="0.75" right="0.75" top="1" bottom="1" header="0.5" footer="0.5"/>
  <pageSetup orientation="landscape" horizontalDpi="360" verticalDpi="0" copies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35"/>
  <sheetViews>
    <sheetView topLeftCell="A6" zoomScale="75" workbookViewId="0">
      <selection activeCell="G17" sqref="G17"/>
    </sheetView>
  </sheetViews>
  <sheetFormatPr defaultRowHeight="13.2" x14ac:dyDescent="0.25"/>
  <cols>
    <col min="1" max="1" width="6.33203125" style="11" customWidth="1"/>
    <col min="2" max="2" width="12.109375" style="78" customWidth="1"/>
    <col min="3" max="3" width="9.109375" style="11" customWidth="1"/>
    <col min="4" max="4" width="9.6640625" style="78" customWidth="1"/>
    <col min="5" max="5" width="7.109375" style="11" customWidth="1"/>
    <col min="6" max="6" width="10" style="11" customWidth="1"/>
    <col min="7" max="7" width="9.109375" style="12" customWidth="1"/>
    <col min="8" max="8" width="8.88671875" style="12" customWidth="1"/>
    <col min="9" max="10" width="9.109375" style="12" customWidth="1"/>
    <col min="11" max="11" width="11.109375" style="65" customWidth="1"/>
    <col min="12" max="13" width="9.109375" style="11" customWidth="1"/>
    <col min="14" max="14" width="7.44140625" style="11" customWidth="1"/>
    <col min="15" max="19" width="7.6640625" style="11" customWidth="1"/>
    <col min="20" max="20" width="9.109375" style="78" customWidth="1"/>
    <col min="21" max="21" width="9.109375" style="12" customWidth="1"/>
    <col min="22" max="254" width="9.109375" style="11" customWidth="1"/>
    <col min="255" max="16384" width="8.88671875" style="11"/>
  </cols>
  <sheetData>
    <row r="1" spans="1:21" x14ac:dyDescent="0.25">
      <c r="A1" s="13"/>
      <c r="B1" s="76"/>
      <c r="C1" s="13"/>
      <c r="D1" s="76"/>
      <c r="E1" s="13"/>
      <c r="F1" s="13"/>
      <c r="G1" s="77"/>
      <c r="H1" s="13"/>
      <c r="I1" s="13"/>
      <c r="J1" s="13"/>
      <c r="T1" s="11"/>
      <c r="U1" s="11"/>
    </row>
    <row r="2" spans="1:21" x14ac:dyDescent="0.25">
      <c r="A2" s="13"/>
      <c r="B2" s="76"/>
      <c r="C2" s="13"/>
      <c r="D2" s="76"/>
      <c r="E2" s="13"/>
      <c r="F2" s="13"/>
      <c r="G2" s="77"/>
      <c r="H2" s="13"/>
      <c r="I2" s="13"/>
      <c r="J2" s="13"/>
      <c r="T2" s="11"/>
      <c r="U2" s="11"/>
    </row>
    <row r="3" spans="1:21" x14ac:dyDescent="0.25">
      <c r="A3" s="13"/>
      <c r="B3" s="76"/>
      <c r="C3" s="13"/>
      <c r="D3" s="76"/>
      <c r="E3" s="13"/>
      <c r="F3" s="13"/>
      <c r="G3" s="77"/>
      <c r="H3" s="13"/>
      <c r="I3" s="13"/>
      <c r="J3" s="13"/>
      <c r="T3" s="11"/>
      <c r="U3" s="11"/>
    </row>
    <row r="4" spans="1:21" x14ac:dyDescent="0.25">
      <c r="A4" s="13"/>
      <c r="B4" s="76"/>
      <c r="C4" s="13"/>
      <c r="D4" s="76"/>
      <c r="E4" s="13"/>
      <c r="F4" s="13"/>
      <c r="G4" s="77"/>
      <c r="H4" s="13"/>
      <c r="I4" s="13"/>
      <c r="J4" s="13"/>
      <c r="T4" s="11"/>
      <c r="U4" s="11"/>
    </row>
    <row r="6" spans="1:21" x14ac:dyDescent="0.25">
      <c r="D6" s="79" t="s">
        <v>17</v>
      </c>
    </row>
    <row r="7" spans="1:21" s="59" customFormat="1" x14ac:dyDescent="0.25">
      <c r="A7" s="59" t="s">
        <v>18</v>
      </c>
      <c r="B7" s="79" t="s">
        <v>10</v>
      </c>
      <c r="C7" s="59" t="s">
        <v>19</v>
      </c>
      <c r="D7" s="79" t="s">
        <v>20</v>
      </c>
      <c r="G7" s="60" t="s">
        <v>21</v>
      </c>
      <c r="H7" s="59" t="s">
        <v>11</v>
      </c>
      <c r="I7" s="80" t="s">
        <v>22</v>
      </c>
      <c r="J7" s="80"/>
      <c r="K7" s="81" t="s">
        <v>21</v>
      </c>
      <c r="L7" s="59" t="s">
        <v>23</v>
      </c>
      <c r="M7" s="59" t="s">
        <v>24</v>
      </c>
    </row>
    <row r="8" spans="1:21" s="59" customFormat="1" x14ac:dyDescent="0.25">
      <c r="A8" s="59" t="s">
        <v>25</v>
      </c>
      <c r="B8" s="79" t="s">
        <v>15</v>
      </c>
      <c r="C8" s="79" t="s">
        <v>15</v>
      </c>
      <c r="D8" s="79" t="s">
        <v>26</v>
      </c>
      <c r="E8" s="59" t="s">
        <v>27</v>
      </c>
      <c r="F8" s="59" t="s">
        <v>28</v>
      </c>
      <c r="G8" s="60" t="s">
        <v>29</v>
      </c>
      <c r="H8" s="59" t="s">
        <v>15</v>
      </c>
      <c r="I8" s="81" t="s">
        <v>30</v>
      </c>
      <c r="J8" s="81" t="s">
        <v>31</v>
      </c>
      <c r="K8" s="81" t="s">
        <v>32</v>
      </c>
      <c r="L8" s="82" t="s">
        <v>15</v>
      </c>
      <c r="M8" s="82" t="s">
        <v>15</v>
      </c>
    </row>
    <row r="9" spans="1:21" s="59" customFormat="1" ht="13.8" thickBot="1" x14ac:dyDescent="0.3">
      <c r="A9" s="61"/>
      <c r="B9" s="83" t="s">
        <v>16</v>
      </c>
      <c r="C9" s="61" t="s">
        <v>33</v>
      </c>
      <c r="D9" s="83" t="s">
        <v>34</v>
      </c>
      <c r="E9" s="61"/>
      <c r="F9" s="61"/>
      <c r="G9" s="64" t="s">
        <v>33</v>
      </c>
      <c r="H9" s="61" t="s">
        <v>16</v>
      </c>
      <c r="I9" s="61" t="s">
        <v>33</v>
      </c>
      <c r="J9" s="61" t="s">
        <v>33</v>
      </c>
      <c r="K9" s="61" t="s">
        <v>33</v>
      </c>
      <c r="L9" s="61" t="s">
        <v>33</v>
      </c>
      <c r="M9" s="61" t="s">
        <v>33</v>
      </c>
    </row>
    <row r="10" spans="1:21" s="65" customFormat="1" x14ac:dyDescent="0.25">
      <c r="B10" s="84"/>
      <c r="D10" s="84"/>
      <c r="G10" s="85"/>
      <c r="I10" s="85"/>
      <c r="J10" s="85"/>
      <c r="K10" s="85"/>
    </row>
    <row r="11" spans="1:21" s="65" customFormat="1" x14ac:dyDescent="0.25">
      <c r="A11" s="88" t="s">
        <v>35</v>
      </c>
      <c r="B11" s="89"/>
      <c r="C11" s="90">
        <f>Computations!F11</f>
        <v>0.375</v>
      </c>
      <c r="D11" s="89"/>
      <c r="E11" s="88"/>
      <c r="F11" s="88"/>
      <c r="G11" s="90"/>
      <c r="H11" s="88"/>
      <c r="I11" s="90"/>
      <c r="J11" s="90"/>
      <c r="K11" s="90"/>
      <c r="L11" s="88"/>
      <c r="M11" s="88"/>
    </row>
    <row r="12" spans="1:21" s="65" customFormat="1" x14ac:dyDescent="0.25">
      <c r="A12" s="88">
        <f ca="1">Computations!A12</f>
        <v>1</v>
      </c>
      <c r="B12" s="89">
        <f ca="1">IF(ISTEXT(C12),"",Computations!B12)</f>
        <v>1</v>
      </c>
      <c r="C12" s="90">
        <f ca="1">IF(Computations!F12="closed",Computations!F11+Computations!C12,Computations!F12)</f>
        <v>0.37569444444444444</v>
      </c>
      <c r="D12" s="89">
        <f ca="1">IF(ISTEXT(A12),"",Computations!G12)</f>
        <v>0</v>
      </c>
      <c r="E12" s="88" t="str">
        <f ca="1">Computations!H12</f>
        <v/>
      </c>
      <c r="F12" s="88" t="str">
        <f ca="1">Computations!L12</f>
        <v/>
      </c>
      <c r="G12" s="90" t="str">
        <f ca="1">Computations!M12</f>
        <v/>
      </c>
      <c r="H12" s="88">
        <f ca="1">IF(ISTEXT(Computations!N12),"",Computations!D12)</f>
        <v>4</v>
      </c>
      <c r="I12" s="90">
        <f ca="1">IF(Computations!$O12=1,Computations!N12,"")</f>
        <v>0.37569444444444444</v>
      </c>
      <c r="J12" s="90">
        <f ca="1">IF(ISTEXT($I12),"",$I12+Computations!$E12)</f>
        <v>0.37847222222222221</v>
      </c>
      <c r="K12" s="90" t="str">
        <f ca="1">IF(F12="renege",G12-C12,"")</f>
        <v/>
      </c>
      <c r="L12" s="90">
        <f ca="1">IF(F12="renege","",Computations!K12)</f>
        <v>0</v>
      </c>
      <c r="M12" s="90">
        <f ca="1">IF(ISTEXT($L12),"",Computations!$E12+L12)</f>
        <v>2.7777777777777779E-3</v>
      </c>
    </row>
    <row r="13" spans="1:21" s="65" customFormat="1" x14ac:dyDescent="0.25">
      <c r="A13" s="88">
        <f ca="1">Computations!A13</f>
        <v>2</v>
      </c>
      <c r="B13" s="89">
        <f ca="1">IF(ISTEXT(C13),"",Computations!B13)</f>
        <v>1</v>
      </c>
      <c r="C13" s="90">
        <f ca="1">IF(Computations!F13="closed",Computations!F12+Computations!C13,Computations!F13)</f>
        <v>0.37638888888888888</v>
      </c>
      <c r="D13" s="89">
        <f ca="1">IF(ISTEXT(A13),"",Computations!G13)</f>
        <v>0</v>
      </c>
      <c r="E13" s="88" t="str">
        <f ca="1">Computations!H13</f>
        <v/>
      </c>
      <c r="F13" s="88" t="str">
        <f ca="1">Computations!L13</f>
        <v>renege</v>
      </c>
      <c r="G13" s="90">
        <f ca="1">Computations!M13</f>
        <v>0.37777777777777777</v>
      </c>
      <c r="H13" s="88" t="str">
        <f ca="1">IF(ISTEXT(Computations!N13),"",Computations!D13)</f>
        <v/>
      </c>
      <c r="I13" s="90" t="str">
        <f ca="1">IF(Computations!$O13=1,Computations!N13,"")</f>
        <v/>
      </c>
      <c r="J13" s="90" t="str">
        <f ca="1">IF(ISTEXT($I13),"",$I13+Computations!$E13)</f>
        <v/>
      </c>
      <c r="K13" s="90">
        <f t="shared" ref="K13:K26" ca="1" si="0">IF(F13="renege",G13-C13,"")</f>
        <v>1.388888888888884E-3</v>
      </c>
      <c r="L13" s="90" t="str">
        <f ca="1">IF(F13="renege","",Computations!K13)</f>
        <v/>
      </c>
      <c r="M13" s="90" t="str">
        <f ca="1">IF(ISTEXT($L13),"",Computations!$E13+L13)</f>
        <v/>
      </c>
    </row>
    <row r="14" spans="1:21" s="65" customFormat="1" x14ac:dyDescent="0.25">
      <c r="A14" s="88">
        <f ca="1">Computations!A14</f>
        <v>3</v>
      </c>
      <c r="B14" s="89">
        <f ca="1">IF(ISTEXT(C14),"",Computations!B14)</f>
        <v>2</v>
      </c>
      <c r="C14" s="90">
        <f ca="1">IF(Computations!F14="closed",Computations!F13+Computations!C14,Computations!F14)</f>
        <v>0.37777777777777777</v>
      </c>
      <c r="D14" s="89">
        <f ca="1">IF(ISTEXT(A14),"",Computations!G14)</f>
        <v>0</v>
      </c>
      <c r="E14" s="88" t="str">
        <f ca="1">Computations!H14</f>
        <v/>
      </c>
      <c r="F14" s="88" t="str">
        <f ca="1">Computations!L14</f>
        <v/>
      </c>
      <c r="G14" s="90" t="str">
        <f ca="1">Computations!M14</f>
        <v/>
      </c>
      <c r="H14" s="88">
        <f ca="1">IF(ISTEXT(Computations!N14),"",Computations!D14)</f>
        <v>2</v>
      </c>
      <c r="I14" s="90">
        <f ca="1">IF(Computations!$O14=1,Computations!N14,"")</f>
        <v>0.37847222222222221</v>
      </c>
      <c r="J14" s="90">
        <f ca="1">IF(ISTEXT($I14),"",$I14+Computations!$E14)</f>
        <v>0.37986111111111109</v>
      </c>
      <c r="K14" s="90" t="str">
        <f t="shared" ca="1" si="0"/>
        <v/>
      </c>
      <c r="L14" s="90">
        <f ca="1">IF(F14="renege","",Computations!K14)</f>
        <v>6.9444444444444198E-4</v>
      </c>
      <c r="M14" s="90">
        <f ca="1">IF(ISTEXT($L14),"",Computations!$E14+L14)</f>
        <v>2.0833333333333311E-3</v>
      </c>
    </row>
    <row r="15" spans="1:21" s="65" customFormat="1" x14ac:dyDescent="0.25">
      <c r="A15" s="88">
        <f ca="1">Computations!A15</f>
        <v>4</v>
      </c>
      <c r="B15" s="89">
        <f ca="1">IF(ISTEXT(C15),"",Computations!B15)</f>
        <v>1</v>
      </c>
      <c r="C15" s="90">
        <f ca="1">IF(Computations!F15="closed",Computations!F14+Computations!C15,Computations!F15)</f>
        <v>0.37847222222222221</v>
      </c>
      <c r="D15" s="89">
        <f ca="1">IF(ISTEXT(A15),"",Computations!G15)</f>
        <v>0</v>
      </c>
      <c r="E15" s="88" t="str">
        <f ca="1">Computations!H15</f>
        <v/>
      </c>
      <c r="F15" s="88" t="str">
        <f ca="1">Computations!L15</f>
        <v/>
      </c>
      <c r="G15" s="90" t="str">
        <f ca="1">Computations!M15</f>
        <v/>
      </c>
      <c r="H15" s="88">
        <f ca="1">IF(ISTEXT(Computations!N15),"",Computations!D15)</f>
        <v>4</v>
      </c>
      <c r="I15" s="90">
        <f ca="1">IF(Computations!$O15=1,Computations!N15,"")</f>
        <v>0.37986111111111109</v>
      </c>
      <c r="J15" s="90">
        <f ca="1">IF(ISTEXT($I15),"",$I15+Computations!$E15)</f>
        <v>0.38263888888888886</v>
      </c>
      <c r="K15" s="90" t="str">
        <f t="shared" ca="1" si="0"/>
        <v/>
      </c>
      <c r="L15" s="90">
        <f ca="1">IF(F15="renege","",Computations!K15)</f>
        <v>1.388888888888884E-3</v>
      </c>
      <c r="M15" s="90">
        <f ca="1">IF(ISTEXT($L15),"",Computations!$E15+L15)</f>
        <v>4.1666666666666623E-3</v>
      </c>
    </row>
    <row r="16" spans="1:21" s="65" customFormat="1" x14ac:dyDescent="0.25">
      <c r="A16" s="88">
        <f ca="1">Computations!A16</f>
        <v>5</v>
      </c>
      <c r="B16" s="89">
        <f ca="1">IF(ISTEXT(C16),"",Computations!B16)</f>
        <v>2</v>
      </c>
      <c r="C16" s="90">
        <f ca="1">IF(Computations!F16="closed",Computations!F15+Computations!C16,Computations!F16)</f>
        <v>0.37986111111111109</v>
      </c>
      <c r="D16" s="89">
        <f ca="1">IF(ISTEXT(A16),"",Computations!G16)</f>
        <v>0</v>
      </c>
      <c r="E16" s="88" t="str">
        <f ca="1">Computations!H16</f>
        <v/>
      </c>
      <c r="F16" s="88" t="str">
        <f ca="1">Computations!L16</f>
        <v>renege</v>
      </c>
      <c r="G16" s="90">
        <f ca="1">Computations!M16</f>
        <v>0.38124999999999998</v>
      </c>
      <c r="H16" s="88" t="str">
        <f ca="1">IF(ISTEXT(Computations!N16),"",Computations!D16)</f>
        <v/>
      </c>
      <c r="I16" s="90" t="str">
        <f ca="1">IF(Computations!$O16=1,Computations!N16,"")</f>
        <v/>
      </c>
      <c r="J16" s="90" t="str">
        <f ca="1">IF(ISTEXT($I16),"",$I16+Computations!$E16)</f>
        <v/>
      </c>
      <c r="K16" s="90">
        <f t="shared" ca="1" si="0"/>
        <v>1.388888888888884E-3</v>
      </c>
      <c r="L16" s="90" t="str">
        <f ca="1">IF(F16="renege","",Computations!K16)</f>
        <v/>
      </c>
      <c r="M16" s="90" t="str">
        <f ca="1">IF(ISTEXT($L16),"",Computations!$E16+L16)</f>
        <v/>
      </c>
    </row>
    <row r="17" spans="1:23" s="65" customFormat="1" x14ac:dyDescent="0.25">
      <c r="A17" s="88">
        <f ca="1">Computations!A17</f>
        <v>6</v>
      </c>
      <c r="B17" s="89">
        <f ca="1">IF(ISTEXT(C17),"",Computations!B17)</f>
        <v>1</v>
      </c>
      <c r="C17" s="90">
        <f ca="1">IF(Computations!F17="closed",Computations!F16+Computations!C17,Computations!F17)</f>
        <v>0.38055555555555554</v>
      </c>
      <c r="D17" s="89">
        <f ca="1">IF(ISTEXT(A17),"",Computations!G17)</f>
        <v>1</v>
      </c>
      <c r="E17" s="88" t="str">
        <f ca="1">Computations!H17</f>
        <v>balk</v>
      </c>
      <c r="F17" s="88" t="str">
        <f ca="1">Computations!L17</f>
        <v/>
      </c>
      <c r="G17" s="90" t="str">
        <f ca="1">Computations!M17</f>
        <v/>
      </c>
      <c r="H17" s="88" t="str">
        <f ca="1">IF(ISTEXT(Computations!N17),"",Computations!D17)</f>
        <v/>
      </c>
      <c r="I17" s="90" t="str">
        <f ca="1">IF(Computations!$O17=1,Computations!N17,"")</f>
        <v/>
      </c>
      <c r="J17" s="90" t="str">
        <f ca="1">IF(ISTEXT($I17),"",$I17+Computations!$E17)</f>
        <v/>
      </c>
      <c r="K17" s="90" t="str">
        <f t="shared" ca="1" si="0"/>
        <v/>
      </c>
      <c r="L17" s="90" t="str">
        <f ca="1">IF(F17="renege","",Computations!K17)</f>
        <v/>
      </c>
      <c r="M17" s="90" t="str">
        <f ca="1">IF(ISTEXT($L17),"",Computations!$E17+L17)</f>
        <v/>
      </c>
    </row>
    <row r="18" spans="1:23" s="65" customFormat="1" x14ac:dyDescent="0.25">
      <c r="A18" s="88">
        <f ca="1">Computations!A18</f>
        <v>7</v>
      </c>
      <c r="B18" s="89">
        <f ca="1">IF(ISTEXT(C18),"",Computations!B18)</f>
        <v>1</v>
      </c>
      <c r="C18" s="90">
        <f ca="1">IF(Computations!F18="closed",Computations!F17+Computations!C18,Computations!F18)</f>
        <v>0.38124999999999998</v>
      </c>
      <c r="D18" s="89">
        <f ca="1">IF(ISTEXT(A18),"",Computations!G18)</f>
        <v>0</v>
      </c>
      <c r="E18" s="88" t="str">
        <f ca="1">Computations!H18</f>
        <v/>
      </c>
      <c r="F18" s="88" t="str">
        <f ca="1">Computations!L18</f>
        <v/>
      </c>
      <c r="G18" s="90" t="str">
        <f ca="1">Computations!M18</f>
        <v/>
      </c>
      <c r="H18" s="88">
        <f ca="1">IF(ISTEXT(Computations!N18),"",Computations!D18)</f>
        <v>6</v>
      </c>
      <c r="I18" s="90">
        <f ca="1">IF(Computations!$O18=1,Computations!N18,"")</f>
        <v>0.38263888888888886</v>
      </c>
      <c r="J18" s="90">
        <f ca="1">IF(ISTEXT($I18),"",$I18+Computations!$E18)</f>
        <v>0.38680555555555551</v>
      </c>
      <c r="K18" s="90" t="str">
        <f t="shared" ca="1" si="0"/>
        <v/>
      </c>
      <c r="L18" s="90">
        <f ca="1">IF(F18="renege","",Computations!K18)</f>
        <v>1.388888888888884E-3</v>
      </c>
      <c r="M18" s="90">
        <f ca="1">IF(ISTEXT($L18),"",Computations!$E18+L18)</f>
        <v>5.5555555555555506E-3</v>
      </c>
    </row>
    <row r="19" spans="1:23" s="65" customFormat="1" x14ac:dyDescent="0.25">
      <c r="A19" s="88">
        <f ca="1">Computations!A19</f>
        <v>8</v>
      </c>
      <c r="B19" s="89">
        <f ca="1">IF(ISTEXT(C19),"",Computations!B19)</f>
        <v>2</v>
      </c>
      <c r="C19" s="90">
        <f ca="1">IF(Computations!F19="closed",Computations!F18+Computations!C19,Computations!F19)</f>
        <v>0.38263888888888886</v>
      </c>
      <c r="D19" s="89">
        <f ca="1">IF(ISTEXT(A19),"",Computations!G19)</f>
        <v>0</v>
      </c>
      <c r="E19" s="88" t="str">
        <f ca="1">Computations!H19</f>
        <v/>
      </c>
      <c r="F19" s="88" t="str">
        <f ca="1">Computations!L19</f>
        <v>renege</v>
      </c>
      <c r="G19" s="90">
        <f ca="1">Computations!M19</f>
        <v>0.38402777777777775</v>
      </c>
      <c r="H19" s="88" t="str">
        <f ca="1">IF(ISTEXT(Computations!N19),"",Computations!D19)</f>
        <v/>
      </c>
      <c r="I19" s="90" t="str">
        <f ca="1">IF(Computations!$O19=1,Computations!N19,"")</f>
        <v/>
      </c>
      <c r="J19" s="90" t="str">
        <f ca="1">IF(ISTEXT($I19),"",$I19+Computations!$E19)</f>
        <v/>
      </c>
      <c r="K19" s="90">
        <f t="shared" ca="1" si="0"/>
        <v>1.388888888888884E-3</v>
      </c>
      <c r="L19" s="90" t="str">
        <f ca="1">IF(F19="renege","",Computations!K19)</f>
        <v/>
      </c>
      <c r="M19" s="90" t="str">
        <f ca="1">IF(ISTEXT($L19),"",Computations!$E19+L19)</f>
        <v/>
      </c>
    </row>
    <row r="20" spans="1:23" s="65" customFormat="1" x14ac:dyDescent="0.25">
      <c r="A20" s="88">
        <f ca="1">Computations!A20</f>
        <v>9</v>
      </c>
      <c r="B20" s="89">
        <f ca="1">IF(ISTEXT(C20),"",Computations!B20)</f>
        <v>2</v>
      </c>
      <c r="C20" s="90">
        <f ca="1">IF(Computations!F20="closed",Computations!F19+Computations!C20,Computations!F20)</f>
        <v>0.38402777777777775</v>
      </c>
      <c r="D20" s="89">
        <f ca="1">IF(ISTEXT(A20),"",Computations!G20)</f>
        <v>0</v>
      </c>
      <c r="E20" s="88" t="str">
        <f ca="1">Computations!H20</f>
        <v/>
      </c>
      <c r="F20" s="88" t="str">
        <f ca="1">Computations!L20</f>
        <v>renege</v>
      </c>
      <c r="G20" s="90">
        <f ca="1">Computations!M20</f>
        <v>0.38541666666666663</v>
      </c>
      <c r="H20" s="88" t="str">
        <f ca="1">IF(ISTEXT(Computations!N20),"",Computations!D20)</f>
        <v/>
      </c>
      <c r="I20" s="90" t="str">
        <f ca="1">IF(Computations!$O20=1,Computations!N20,"")</f>
        <v/>
      </c>
      <c r="J20" s="90" t="str">
        <f ca="1">IF(ISTEXT($I20),"",$I20+Computations!$E20)</f>
        <v/>
      </c>
      <c r="K20" s="90">
        <f t="shared" ca="1" si="0"/>
        <v>1.388888888888884E-3</v>
      </c>
      <c r="L20" s="90" t="str">
        <f ca="1">IF(F20="renege","",Computations!K20)</f>
        <v/>
      </c>
      <c r="M20" s="90" t="str">
        <f ca="1">IF(ISTEXT($L20),"",Computations!$E20+L20)</f>
        <v/>
      </c>
    </row>
    <row r="21" spans="1:23" s="65" customFormat="1" x14ac:dyDescent="0.25">
      <c r="A21" s="88">
        <f ca="1">Computations!A21</f>
        <v>10</v>
      </c>
      <c r="B21" s="89">
        <f ca="1">IF(ISTEXT(C21),"",Computations!B21)</f>
        <v>1</v>
      </c>
      <c r="C21" s="90">
        <f ca="1">IF(Computations!F21="closed",Computations!F20+Computations!C21,Computations!F21)</f>
        <v>0.38472222222222219</v>
      </c>
      <c r="D21" s="89">
        <f ca="1">IF(ISTEXT(A21),"",Computations!G21)</f>
        <v>1</v>
      </c>
      <c r="E21" s="88" t="str">
        <f ca="1">Computations!H21</f>
        <v>balk</v>
      </c>
      <c r="F21" s="88" t="str">
        <f ca="1">Computations!L21</f>
        <v/>
      </c>
      <c r="G21" s="90" t="str">
        <f ca="1">Computations!M21</f>
        <v/>
      </c>
      <c r="H21" s="88" t="str">
        <f ca="1">IF(ISTEXT(Computations!N21),"",Computations!D21)</f>
        <v/>
      </c>
      <c r="I21" s="90" t="str">
        <f ca="1">IF(Computations!$O21=1,Computations!N21,"")</f>
        <v/>
      </c>
      <c r="J21" s="90" t="str">
        <f ca="1">IF(ISTEXT($I21),"",$I21+Computations!$E21)</f>
        <v/>
      </c>
      <c r="K21" s="90" t="str">
        <f t="shared" ca="1" si="0"/>
        <v/>
      </c>
      <c r="L21" s="90" t="str">
        <f ca="1">IF(F21="renege","",Computations!K21)</f>
        <v/>
      </c>
      <c r="M21" s="90" t="str">
        <f ca="1">IF(ISTEXT($L21),"",Computations!$E21+L21)</f>
        <v/>
      </c>
    </row>
    <row r="22" spans="1:23" s="65" customFormat="1" x14ac:dyDescent="0.25">
      <c r="A22" s="88">
        <f ca="1">Computations!A22</f>
        <v>11</v>
      </c>
      <c r="B22" s="89">
        <f ca="1">IF(ISTEXT(C22),"",Computations!B22)</f>
        <v>1</v>
      </c>
      <c r="C22" s="90">
        <f ca="1">IF(Computations!F22="closed",Computations!F21+Computations!C22,Computations!F22)</f>
        <v>0.38541666666666663</v>
      </c>
      <c r="D22" s="89">
        <f ca="1">IF(ISTEXT(A22),"",Computations!G22)</f>
        <v>0</v>
      </c>
      <c r="E22" s="88" t="str">
        <f ca="1">Computations!H22</f>
        <v/>
      </c>
      <c r="F22" s="88" t="str">
        <f ca="1">Computations!L22</f>
        <v/>
      </c>
      <c r="G22" s="90" t="str">
        <f ca="1">Computations!M22</f>
        <v/>
      </c>
      <c r="H22" s="88">
        <f ca="1">IF(ISTEXT(Computations!N22),"",Computations!D22)</f>
        <v>4</v>
      </c>
      <c r="I22" s="90">
        <f ca="1">IF(Computations!$O22=1,Computations!N22,"")</f>
        <v>0.38680555555555551</v>
      </c>
      <c r="J22" s="90">
        <f ca="1">IF(ISTEXT($I22),"",$I22+Computations!$E22)</f>
        <v>0.38958333333333328</v>
      </c>
      <c r="K22" s="90" t="str">
        <f t="shared" ca="1" si="0"/>
        <v/>
      </c>
      <c r="L22" s="90">
        <f ca="1">IF(F22="renege","",Computations!K22)</f>
        <v>1.388888888888884E-3</v>
      </c>
      <c r="M22" s="90">
        <f ca="1">IF(ISTEXT($L22),"",Computations!$E22+L22)</f>
        <v>4.1666666666666623E-3</v>
      </c>
    </row>
    <row r="23" spans="1:23" x14ac:dyDescent="0.25">
      <c r="A23" s="88">
        <f ca="1">Computations!A23</f>
        <v>12</v>
      </c>
      <c r="B23" s="89">
        <f ca="1">IF(ISTEXT(C23),"",Computations!B23)</f>
        <v>2</v>
      </c>
      <c r="C23" s="90">
        <f ca="1">IF(Computations!F23="closed",Computations!F22+Computations!C23,Computations!F23)</f>
        <v>0.38680555555555551</v>
      </c>
      <c r="D23" s="89">
        <f ca="1">IF(ISTEXT(A23),"",Computations!G23)</f>
        <v>0</v>
      </c>
      <c r="E23" s="88" t="str">
        <f ca="1">Computations!H23</f>
        <v/>
      </c>
      <c r="F23" s="88" t="str">
        <f ca="1">Computations!L23</f>
        <v>renege</v>
      </c>
      <c r="G23" s="90">
        <f ca="1">Computations!M23</f>
        <v>0.3881944444444444</v>
      </c>
      <c r="H23" s="88" t="str">
        <f ca="1">IF(ISTEXT(Computations!N23),"",Computations!D23)</f>
        <v/>
      </c>
      <c r="I23" s="90" t="str">
        <f ca="1">IF(Computations!$O23=1,Computations!N23,"")</f>
        <v/>
      </c>
      <c r="J23" s="90" t="str">
        <f ca="1">IF(ISTEXT($I23),"",$I23+Computations!$E23)</f>
        <v/>
      </c>
      <c r="K23" s="90">
        <f t="shared" ca="1" si="0"/>
        <v>1.388888888888884E-3</v>
      </c>
      <c r="L23" s="90" t="str">
        <f ca="1">IF(F23="renege","",Computations!K23)</f>
        <v/>
      </c>
      <c r="M23" s="90" t="str">
        <f ca="1">IF(ISTEXT($L23),"",Computations!$E23+L23)</f>
        <v/>
      </c>
      <c r="W23" s="65"/>
    </row>
    <row r="24" spans="1:23" x14ac:dyDescent="0.25">
      <c r="A24" s="88">
        <f ca="1">Computations!A24</f>
        <v>13</v>
      </c>
      <c r="B24" s="89">
        <f ca="1">IF(ISTEXT(C24),"",Computations!B24)</f>
        <v>1</v>
      </c>
      <c r="C24" s="90">
        <f ca="1">IF(Computations!F24="closed",Computations!F23+Computations!C24,Computations!F24)</f>
        <v>0.38749999999999996</v>
      </c>
      <c r="D24" s="89">
        <f ca="1">IF(ISTEXT(A24),"",Computations!G24)</f>
        <v>1</v>
      </c>
      <c r="E24" s="88" t="str">
        <f ca="1">Computations!H24</f>
        <v>balk</v>
      </c>
      <c r="F24" s="88" t="str">
        <f ca="1">Computations!L24</f>
        <v/>
      </c>
      <c r="G24" s="90" t="str">
        <f ca="1">Computations!M24</f>
        <v/>
      </c>
      <c r="H24" s="88" t="str">
        <f ca="1">IF(ISTEXT(Computations!N24),"",Computations!D24)</f>
        <v/>
      </c>
      <c r="I24" s="90" t="str">
        <f ca="1">IF(Computations!$O24=1,Computations!N24,"")</f>
        <v/>
      </c>
      <c r="J24" s="90" t="str">
        <f ca="1">IF(ISTEXT($I24),"",$I24+Computations!$E24)</f>
        <v/>
      </c>
      <c r="K24" s="90" t="str">
        <f t="shared" ca="1" si="0"/>
        <v/>
      </c>
      <c r="L24" s="90" t="str">
        <f ca="1">IF(F24="renege","",Computations!K24)</f>
        <v/>
      </c>
      <c r="M24" s="90" t="str">
        <f ca="1">IF(ISTEXT($L24),"",Computations!$E24+L24)</f>
        <v/>
      </c>
    </row>
    <row r="25" spans="1:23" x14ac:dyDescent="0.25">
      <c r="A25" s="88" t="str">
        <f ca="1">Computations!A25</f>
        <v>closed</v>
      </c>
      <c r="B25" s="89">
        <f ca="1">IF(ISTEXT(C25),"",Computations!B25)</f>
        <v>2</v>
      </c>
      <c r="C25" s="90">
        <f ca="1">IF(Computations!F25="closed",Computations!F24+Computations!C25,Computations!F25)</f>
        <v>0.38888888888888884</v>
      </c>
      <c r="D25" s="89" t="str">
        <f ca="1">IF(ISTEXT(A25),"",Computations!G25)</f>
        <v/>
      </c>
      <c r="E25" s="88" t="str">
        <f ca="1">Computations!H25</f>
        <v/>
      </c>
      <c r="F25" s="88" t="str">
        <f ca="1">Computations!L25</f>
        <v/>
      </c>
      <c r="G25" s="90" t="str">
        <f ca="1">Computations!M25</f>
        <v/>
      </c>
      <c r="H25" s="88" t="str">
        <f ca="1">IF(ISTEXT(Computations!N25),"",Computations!D25)</f>
        <v/>
      </c>
      <c r="I25" s="90" t="str">
        <f ca="1">IF(Computations!$O25=1,Computations!N25,"")</f>
        <v/>
      </c>
      <c r="J25" s="90" t="str">
        <f ca="1">IF(ISTEXT($I25),"",$I25+Computations!$E25)</f>
        <v/>
      </c>
      <c r="K25" s="90" t="str">
        <f t="shared" ca="1" si="0"/>
        <v/>
      </c>
      <c r="L25" s="90" t="str">
        <f ca="1">IF(F25="renege","",Computations!K25)</f>
        <v/>
      </c>
      <c r="M25" s="90" t="str">
        <f ca="1">IF(ISTEXT($L25),"",Computations!$E25+L25)</f>
        <v/>
      </c>
    </row>
    <row r="26" spans="1:23" x14ac:dyDescent="0.25">
      <c r="A26" s="88" t="str">
        <f ca="1">Computations!A26</f>
        <v>closed</v>
      </c>
      <c r="B26" s="89" t="str">
        <f ca="1">IF(ISTEXT(C26),"",Computations!B26)</f>
        <v/>
      </c>
      <c r="C26" s="90" t="str">
        <f ca="1">IF(Computations!F26="closed",Computations!F25+Computations!C26,Computations!F26)</f>
        <v/>
      </c>
      <c r="D26" s="89" t="str">
        <f ca="1">IF(ISTEXT(A26),"",Computations!G26)</f>
        <v/>
      </c>
      <c r="E26" s="88" t="str">
        <f ca="1">Computations!H26</f>
        <v/>
      </c>
      <c r="F26" s="88" t="str">
        <f ca="1">Computations!L26</f>
        <v/>
      </c>
      <c r="G26" s="90" t="str">
        <f ca="1">Computations!M26</f>
        <v/>
      </c>
      <c r="H26" s="88" t="str">
        <f ca="1">IF(ISTEXT(Computations!N26),"",Computations!D26)</f>
        <v/>
      </c>
      <c r="I26" s="90" t="str">
        <f ca="1">IF(Computations!$O26=1,Computations!N26,"")</f>
        <v/>
      </c>
      <c r="J26" s="90" t="str">
        <f ca="1">IF(ISTEXT($I26),"",$I26+Computations!$E26)</f>
        <v/>
      </c>
      <c r="K26" s="90" t="str">
        <f t="shared" ca="1" si="0"/>
        <v/>
      </c>
      <c r="L26" s="90" t="str">
        <f ca="1">IF(F26="renege","",Computations!K26)</f>
        <v/>
      </c>
      <c r="M26" s="90" t="str">
        <f ca="1">IF(ISTEXT($L26),"",Computations!$E26+L26)</f>
        <v/>
      </c>
    </row>
    <row r="27" spans="1:23" x14ac:dyDescent="0.25">
      <c r="E27" s="65"/>
      <c r="F27" s="65"/>
      <c r="G27" s="85"/>
      <c r="I27" s="85"/>
    </row>
    <row r="28" spans="1:23" x14ac:dyDescent="0.25">
      <c r="K28" s="85"/>
      <c r="S28" s="12"/>
    </row>
    <row r="29" spans="1:23" x14ac:dyDescent="0.25">
      <c r="I29" s="86"/>
      <c r="U29" s="78"/>
    </row>
    <row r="31" spans="1:23" x14ac:dyDescent="0.25">
      <c r="S31" s="12"/>
    </row>
    <row r="32" spans="1:23" x14ac:dyDescent="0.25">
      <c r="H32" s="87"/>
      <c r="S32" s="12"/>
    </row>
    <row r="33" spans="19:19" x14ac:dyDescent="0.25">
      <c r="S33" s="12"/>
    </row>
    <row r="34" spans="19:19" x14ac:dyDescent="0.25">
      <c r="S34" s="12"/>
    </row>
    <row r="35" spans="19:19" x14ac:dyDescent="0.25">
      <c r="S35" s="12"/>
    </row>
  </sheetData>
  <sheetProtection sheet="1" objects="1" scenarios="1"/>
  <phoneticPr fontId="11" type="noConversion"/>
  <printOptions headings="1" gridLines="1"/>
  <pageMargins left="0.25" right="0.25" top="1" bottom="1" header="0.5" footer="0.5"/>
  <pageSetup orientation="landscape" horizontalDpi="360" verticalDpi="0" copies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S42"/>
  <sheetViews>
    <sheetView topLeftCell="A6" zoomScale="75" workbookViewId="0">
      <selection activeCell="I29" sqref="I29"/>
    </sheetView>
  </sheetViews>
  <sheetFormatPr defaultRowHeight="13.2" x14ac:dyDescent="0.25"/>
  <cols>
    <col min="1" max="1" width="6.5546875" style="11" customWidth="1"/>
    <col min="2" max="2" width="10.88671875" style="66" customWidth="1"/>
    <col min="3" max="3" width="10.5546875" style="52" customWidth="1"/>
    <col min="4" max="4" width="11.44140625" style="68" customWidth="1"/>
    <col min="5" max="5" width="8" style="52" customWidth="1"/>
    <col min="6" max="6" width="8.88671875" style="52" customWidth="1"/>
    <col min="7" max="7" width="10.5546875" style="51" customWidth="1"/>
    <col min="8" max="8" width="7.109375" style="51" customWidth="1"/>
    <col min="9" max="11" width="10.5546875" style="51" customWidth="1"/>
    <col min="12" max="12" width="10" style="21" customWidth="1"/>
    <col min="13" max="13" width="9.109375" style="53" customWidth="1"/>
    <col min="14" max="14" width="11.6640625" style="53" customWidth="1"/>
    <col min="15" max="15" width="8" style="51" customWidth="1"/>
    <col min="16" max="19" width="8.88671875" style="13" customWidth="1"/>
    <col min="20" max="255" width="9.109375" style="52" customWidth="1"/>
    <col min="256" max="16384" width="8.88671875" style="52"/>
  </cols>
  <sheetData>
    <row r="1" spans="1:15" x14ac:dyDescent="0.25">
      <c r="A1" s="13"/>
      <c r="B1" s="48"/>
      <c r="C1" s="49" t="s">
        <v>36</v>
      </c>
      <c r="D1" s="50"/>
      <c r="E1" s="51"/>
    </row>
    <row r="2" spans="1:15" x14ac:dyDescent="0.25">
      <c r="A2" s="13"/>
      <c r="B2" s="48"/>
      <c r="C2" s="49"/>
      <c r="D2" s="50"/>
      <c r="E2" s="92">
        <f>Data!H4/1440</f>
        <v>1.3888888888888889E-3</v>
      </c>
    </row>
    <row r="3" spans="1:15" x14ac:dyDescent="0.25">
      <c r="A3" s="13"/>
      <c r="B3" s="48"/>
      <c r="D3" s="50"/>
      <c r="E3" s="53"/>
      <c r="N3" s="54"/>
    </row>
    <row r="4" spans="1:15" x14ac:dyDescent="0.25">
      <c r="A4" s="13"/>
      <c r="B4" s="48"/>
      <c r="D4" s="50"/>
      <c r="E4" s="53"/>
    </row>
    <row r="5" spans="1:15" x14ac:dyDescent="0.25">
      <c r="B5" s="55"/>
      <c r="D5" s="50"/>
      <c r="E5" s="53"/>
      <c r="N5" s="54"/>
    </row>
    <row r="6" spans="1:15" s="57" customFormat="1" x14ac:dyDescent="0.25">
      <c r="A6" s="14"/>
      <c r="B6" s="56" t="s">
        <v>37</v>
      </c>
      <c r="D6" s="56" t="s">
        <v>11</v>
      </c>
      <c r="G6" s="58" t="s">
        <v>17</v>
      </c>
      <c r="H6" s="58"/>
      <c r="I6" s="58" t="s">
        <v>38</v>
      </c>
      <c r="J6" s="58"/>
      <c r="K6" s="58" t="s">
        <v>38</v>
      </c>
      <c r="L6" s="58"/>
      <c r="M6" s="54"/>
      <c r="N6" s="54"/>
      <c r="O6" s="58"/>
    </row>
    <row r="7" spans="1:15" s="57" customFormat="1" x14ac:dyDescent="0.25">
      <c r="A7" s="59" t="s">
        <v>18</v>
      </c>
      <c r="B7" s="56" t="s">
        <v>15</v>
      </c>
      <c r="C7" s="58" t="s">
        <v>10</v>
      </c>
      <c r="D7" s="56" t="s">
        <v>15</v>
      </c>
      <c r="E7" s="58" t="s">
        <v>39</v>
      </c>
      <c r="F7" s="58" t="s">
        <v>19</v>
      </c>
      <c r="G7" s="59" t="s">
        <v>20</v>
      </c>
      <c r="H7" s="58"/>
      <c r="I7" s="58" t="s">
        <v>40</v>
      </c>
      <c r="J7" s="54" t="s">
        <v>41</v>
      </c>
      <c r="K7" s="58" t="s">
        <v>23</v>
      </c>
      <c r="L7" s="58"/>
      <c r="M7" s="60" t="s">
        <v>21</v>
      </c>
      <c r="N7" s="58" t="s">
        <v>42</v>
      </c>
      <c r="O7" s="58" t="s">
        <v>43</v>
      </c>
    </row>
    <row r="8" spans="1:15" s="57" customFormat="1" x14ac:dyDescent="0.25">
      <c r="A8" s="59" t="s">
        <v>25</v>
      </c>
      <c r="B8" s="56" t="s">
        <v>44</v>
      </c>
      <c r="C8" s="58" t="s">
        <v>45</v>
      </c>
      <c r="D8" s="56" t="s">
        <v>44</v>
      </c>
      <c r="E8" s="58" t="s">
        <v>15</v>
      </c>
      <c r="F8" s="58" t="s">
        <v>15</v>
      </c>
      <c r="G8" s="59" t="s">
        <v>26</v>
      </c>
      <c r="H8" s="58" t="s">
        <v>27</v>
      </c>
      <c r="I8" s="58" t="s">
        <v>15</v>
      </c>
      <c r="J8" s="54" t="s">
        <v>1</v>
      </c>
      <c r="K8" s="58" t="s">
        <v>15</v>
      </c>
      <c r="L8" s="58" t="s">
        <v>28</v>
      </c>
      <c r="M8" s="60" t="s">
        <v>29</v>
      </c>
      <c r="N8" s="58" t="s">
        <v>1</v>
      </c>
      <c r="O8" s="58" t="s">
        <v>46</v>
      </c>
    </row>
    <row r="9" spans="1:15" s="57" customFormat="1" ht="13.8" thickBot="1" x14ac:dyDescent="0.3">
      <c r="A9" s="61"/>
      <c r="B9" s="62" t="s">
        <v>16</v>
      </c>
      <c r="C9" s="63" t="s">
        <v>47</v>
      </c>
      <c r="D9" s="62" t="s">
        <v>16</v>
      </c>
      <c r="E9" s="63" t="s">
        <v>47</v>
      </c>
      <c r="F9" s="63" t="s">
        <v>33</v>
      </c>
      <c r="G9" s="61" t="s">
        <v>34</v>
      </c>
      <c r="H9" s="63"/>
      <c r="I9" s="63" t="s">
        <v>33</v>
      </c>
      <c r="J9" s="63" t="s">
        <v>33</v>
      </c>
      <c r="K9" s="63" t="s">
        <v>33</v>
      </c>
      <c r="L9" s="63"/>
      <c r="M9" s="64" t="s">
        <v>33</v>
      </c>
      <c r="N9" s="63" t="s">
        <v>33</v>
      </c>
      <c r="O9" s="63"/>
    </row>
    <row r="10" spans="1:15" x14ac:dyDescent="0.25">
      <c r="A10" s="65"/>
      <c r="C10" s="51"/>
      <c r="D10" s="67"/>
      <c r="E10" s="51"/>
      <c r="F10" s="51"/>
    </row>
    <row r="11" spans="1:15" x14ac:dyDescent="0.25">
      <c r="A11" s="65" t="s">
        <v>35</v>
      </c>
      <c r="C11" s="51"/>
      <c r="D11" s="67"/>
      <c r="E11" s="51"/>
      <c r="F11" s="91">
        <f>start_time</f>
        <v>0.375</v>
      </c>
      <c r="I11" s="53"/>
      <c r="J11" s="53"/>
    </row>
    <row r="12" spans="1:15" x14ac:dyDescent="0.25">
      <c r="A12" s="88">
        <f ca="1">IF(ISTEXT(F12),"closed",1)</f>
        <v>1</v>
      </c>
      <c r="B12" s="67">
        <f ca="1">VLOOKUP(RAND(),arrival,3)</f>
        <v>1</v>
      </c>
      <c r="C12" s="91">
        <f ca="1">B12/1440</f>
        <v>6.9444444444444447E-4</v>
      </c>
      <c r="D12" s="67">
        <f ca="1">VLOOKUP(RAND(),service,3)</f>
        <v>4</v>
      </c>
      <c r="E12" s="91">
        <f ca="1">D12/1440</f>
        <v>2.7777777777777779E-3</v>
      </c>
      <c r="F12" s="91">
        <f ca="1">IF(ISTEXT(F11),"",IF(F11+ C12&gt;=close_time,"closed",F11+C12))</f>
        <v>0.37569444444444444</v>
      </c>
      <c r="G12" s="93">
        <f ca="1">QSSNumGreater(N$11:$N11,F12)+QSSNumGreater(M$11:M11,F12)</f>
        <v>0</v>
      </c>
      <c r="H12" s="93" t="str">
        <f ca="1">IF(G12&gt;=balk_num,"balk","")</f>
        <v/>
      </c>
      <c r="I12" s="91">
        <f ca="1">IF(OR(H12="balk",ISTEXT(F12)),"",MAX(Simulation!J$11:J11,start_time,$F12))</f>
        <v>0.37569444444444444</v>
      </c>
      <c r="J12" s="91">
        <f t="shared" ref="J12:J26" ca="1" si="0">IF(ISTEXT(I12),"",MIN(I12:I12))</f>
        <v>0.37569444444444444</v>
      </c>
      <c r="K12" s="91">
        <f t="shared" ref="K12:K26" ca="1" si="1">IF(ISTEXT(I12),"",J12-F12)</f>
        <v>0</v>
      </c>
      <c r="L12" s="94" t="str">
        <f t="shared" ref="L12:L26" ca="1" si="2">IF(ISTEXT(I12),"",IF(K12&gt;renege_time,"renege",""))</f>
        <v/>
      </c>
      <c r="M12" s="91" t="str">
        <f t="shared" ref="M12:M26" ca="1" si="3">IF(L12="renege",F12+renege_time,"")</f>
        <v/>
      </c>
      <c r="N12" s="91">
        <f t="shared" ref="N12:N26" ca="1" si="4">IF(OR(L12="renege",ISTEXT(I12)),"",J12)</f>
        <v>0.37569444444444444</v>
      </c>
      <c r="O12" s="93">
        <f t="shared" ref="O12:O26" ca="1" si="5">IF(ISTEXT(N12),"",MATCH(N12,I12:I12,0))</f>
        <v>1</v>
      </c>
    </row>
    <row r="13" spans="1:15" x14ac:dyDescent="0.25">
      <c r="A13" s="88">
        <f ca="1">IF(ISTEXT(F13),"closed",A12+1)</f>
        <v>2</v>
      </c>
      <c r="B13" s="67">
        <f t="shared" ref="B13:B26" ca="1" si="6">VLOOKUP(RAND(),arrival,3)</f>
        <v>1</v>
      </c>
      <c r="C13" s="91">
        <f t="shared" ref="C13:C26" ca="1" si="7">B13/1440</f>
        <v>6.9444444444444447E-4</v>
      </c>
      <c r="D13" s="67">
        <f t="shared" ref="D13:D26" ca="1" si="8">VLOOKUP(RAND(),service,3)</f>
        <v>4</v>
      </c>
      <c r="E13" s="91">
        <f t="shared" ref="E13:E26" ca="1" si="9">D13/1440</f>
        <v>2.7777777777777779E-3</v>
      </c>
      <c r="F13" s="91">
        <f t="shared" ref="F13:F26" ca="1" si="10">IF(ISTEXT(F12),"",IF(F12+ C13&gt;=close_time,"closed",F12+C13))</f>
        <v>0.37638888888888888</v>
      </c>
      <c r="G13" s="93">
        <f ca="1">QSSNumGreater(N$11:$N12,F13)+QSSNumGreater(M$11:M12,F13)</f>
        <v>0</v>
      </c>
      <c r="H13" s="93" t="str">
        <f t="shared" ref="H13:H26" ca="1" si="11">IF(G13&gt;=balk_num,"balk","")</f>
        <v/>
      </c>
      <c r="I13" s="91">
        <f ca="1">IF(OR(H13="balk",ISTEXT(F13)),"",MAX(Simulation!J$11:J12,start_time,$F13))</f>
        <v>0.37847222222222221</v>
      </c>
      <c r="J13" s="91">
        <f t="shared" ca="1" si="0"/>
        <v>0.37847222222222221</v>
      </c>
      <c r="K13" s="91">
        <f t="shared" ca="1" si="1"/>
        <v>2.0833333333333259E-3</v>
      </c>
      <c r="L13" s="94" t="str">
        <f t="shared" ca="1" si="2"/>
        <v>renege</v>
      </c>
      <c r="M13" s="91">
        <f t="shared" ca="1" si="3"/>
        <v>0.37777777777777777</v>
      </c>
      <c r="N13" s="91" t="str">
        <f t="shared" ca="1" si="4"/>
        <v/>
      </c>
      <c r="O13" s="93" t="str">
        <f t="shared" ca="1" si="5"/>
        <v/>
      </c>
    </row>
    <row r="14" spans="1:15" x14ac:dyDescent="0.25">
      <c r="A14" s="88">
        <f t="shared" ref="A14:A26" ca="1" si="12">IF(ISTEXT(F14),"closed",A13+1)</f>
        <v>3</v>
      </c>
      <c r="B14" s="67">
        <f t="shared" ca="1" si="6"/>
        <v>2</v>
      </c>
      <c r="C14" s="91">
        <f t="shared" ca="1" si="7"/>
        <v>1.3888888888888889E-3</v>
      </c>
      <c r="D14" s="67">
        <f t="shared" ca="1" si="8"/>
        <v>2</v>
      </c>
      <c r="E14" s="91">
        <f t="shared" ca="1" si="9"/>
        <v>1.3888888888888889E-3</v>
      </c>
      <c r="F14" s="91">
        <f t="shared" ca="1" si="10"/>
        <v>0.37777777777777777</v>
      </c>
      <c r="G14" s="93">
        <f ca="1">QSSNumGreater(N$11:$N13,F14)+QSSNumGreater(M$11:M13,F14)</f>
        <v>0</v>
      </c>
      <c r="H14" s="93" t="str">
        <f t="shared" ca="1" si="11"/>
        <v/>
      </c>
      <c r="I14" s="91">
        <f ca="1">IF(OR(H14="balk",ISTEXT(F14)),"",MAX(Simulation!J$11:J13,start_time,$F14))</f>
        <v>0.37847222222222221</v>
      </c>
      <c r="J14" s="91">
        <f t="shared" ca="1" si="0"/>
        <v>0.37847222222222221</v>
      </c>
      <c r="K14" s="91">
        <f t="shared" ca="1" si="1"/>
        <v>6.9444444444444198E-4</v>
      </c>
      <c r="L14" s="94" t="str">
        <f t="shared" ca="1" si="2"/>
        <v/>
      </c>
      <c r="M14" s="91" t="str">
        <f t="shared" ca="1" si="3"/>
        <v/>
      </c>
      <c r="N14" s="91">
        <f t="shared" ca="1" si="4"/>
        <v>0.37847222222222221</v>
      </c>
      <c r="O14" s="93">
        <f t="shared" ca="1" si="5"/>
        <v>1</v>
      </c>
    </row>
    <row r="15" spans="1:15" x14ac:dyDescent="0.25">
      <c r="A15" s="88">
        <f t="shared" ca="1" si="12"/>
        <v>4</v>
      </c>
      <c r="B15" s="67">
        <f t="shared" ca="1" si="6"/>
        <v>1</v>
      </c>
      <c r="C15" s="91">
        <f t="shared" ca="1" si="7"/>
        <v>6.9444444444444447E-4</v>
      </c>
      <c r="D15" s="67">
        <f t="shared" ca="1" si="8"/>
        <v>4</v>
      </c>
      <c r="E15" s="91">
        <f t="shared" ca="1" si="9"/>
        <v>2.7777777777777779E-3</v>
      </c>
      <c r="F15" s="91">
        <f t="shared" ca="1" si="10"/>
        <v>0.37847222222222221</v>
      </c>
      <c r="G15" s="93">
        <f ca="1">QSSNumGreater(N$11:$N14,F15)+QSSNumGreater(M$11:M14,F15)</f>
        <v>0</v>
      </c>
      <c r="H15" s="93" t="str">
        <f t="shared" ca="1" si="11"/>
        <v/>
      </c>
      <c r="I15" s="91">
        <f ca="1">IF(OR(H15="balk",ISTEXT(F15)),"",MAX(Simulation!J$11:J14,start_time,$F15))</f>
        <v>0.37986111111111109</v>
      </c>
      <c r="J15" s="91">
        <f t="shared" ca="1" si="0"/>
        <v>0.37986111111111109</v>
      </c>
      <c r="K15" s="91">
        <f t="shared" ca="1" si="1"/>
        <v>1.388888888888884E-3</v>
      </c>
      <c r="L15" s="94" t="str">
        <f t="shared" ca="1" si="2"/>
        <v/>
      </c>
      <c r="M15" s="91" t="str">
        <f t="shared" ca="1" si="3"/>
        <v/>
      </c>
      <c r="N15" s="91">
        <f t="shared" ca="1" si="4"/>
        <v>0.37986111111111109</v>
      </c>
      <c r="O15" s="93">
        <f t="shared" ca="1" si="5"/>
        <v>1</v>
      </c>
    </row>
    <row r="16" spans="1:15" x14ac:dyDescent="0.25">
      <c r="A16" s="88">
        <f t="shared" ca="1" si="12"/>
        <v>5</v>
      </c>
      <c r="B16" s="67">
        <f t="shared" ca="1" si="6"/>
        <v>2</v>
      </c>
      <c r="C16" s="91">
        <f t="shared" ca="1" si="7"/>
        <v>1.3888888888888889E-3</v>
      </c>
      <c r="D16" s="67">
        <f t="shared" ca="1" si="8"/>
        <v>4</v>
      </c>
      <c r="E16" s="91">
        <f t="shared" ca="1" si="9"/>
        <v>2.7777777777777779E-3</v>
      </c>
      <c r="F16" s="91">
        <f t="shared" ca="1" si="10"/>
        <v>0.37986111111111109</v>
      </c>
      <c r="G16" s="93">
        <f ca="1">QSSNumGreater(N$11:$N15,F16)+QSSNumGreater(M$11:M15,F16)</f>
        <v>0</v>
      </c>
      <c r="H16" s="93" t="str">
        <f t="shared" ca="1" si="11"/>
        <v/>
      </c>
      <c r="I16" s="91">
        <f ca="1">IF(OR(H16="balk",ISTEXT(F16)),"",MAX(Simulation!J$11:J15,start_time,$F16))</f>
        <v>0.38263888888888886</v>
      </c>
      <c r="J16" s="91">
        <f t="shared" ca="1" si="0"/>
        <v>0.38263888888888886</v>
      </c>
      <c r="K16" s="91">
        <f t="shared" ca="1" si="1"/>
        <v>2.7777777777777679E-3</v>
      </c>
      <c r="L16" s="94" t="str">
        <f t="shared" ca="1" si="2"/>
        <v>renege</v>
      </c>
      <c r="M16" s="91">
        <f t="shared" ca="1" si="3"/>
        <v>0.38124999999999998</v>
      </c>
      <c r="N16" s="91" t="str">
        <f t="shared" ca="1" si="4"/>
        <v/>
      </c>
      <c r="O16" s="93" t="str">
        <f t="shared" ca="1" si="5"/>
        <v/>
      </c>
    </row>
    <row r="17" spans="1:15" x14ac:dyDescent="0.25">
      <c r="A17" s="88">
        <f t="shared" ca="1" si="12"/>
        <v>6</v>
      </c>
      <c r="B17" s="67">
        <f t="shared" ca="1" si="6"/>
        <v>1</v>
      </c>
      <c r="C17" s="91">
        <f t="shared" ca="1" si="7"/>
        <v>6.9444444444444447E-4</v>
      </c>
      <c r="D17" s="67">
        <f t="shared" ca="1" si="8"/>
        <v>2</v>
      </c>
      <c r="E17" s="91">
        <f t="shared" ca="1" si="9"/>
        <v>1.3888888888888889E-3</v>
      </c>
      <c r="F17" s="91">
        <f t="shared" ca="1" si="10"/>
        <v>0.38055555555555554</v>
      </c>
      <c r="G17" s="93">
        <f ca="1">QSSNumGreater(N$11:$N16,F17)+QSSNumGreater(M$11:M16,F17)</f>
        <v>1</v>
      </c>
      <c r="H17" s="93" t="str">
        <f t="shared" ca="1" si="11"/>
        <v>balk</v>
      </c>
      <c r="I17" s="91" t="str">
        <f ca="1">IF(OR(H17="balk",ISTEXT(F17)),"",MAX(Simulation!J$11:J16,start_time,$F17))</f>
        <v/>
      </c>
      <c r="J17" s="91" t="str">
        <f t="shared" ca="1" si="0"/>
        <v/>
      </c>
      <c r="K17" s="91" t="str">
        <f t="shared" ca="1" si="1"/>
        <v/>
      </c>
      <c r="L17" s="94" t="str">
        <f t="shared" ca="1" si="2"/>
        <v/>
      </c>
      <c r="M17" s="91" t="str">
        <f t="shared" ca="1" si="3"/>
        <v/>
      </c>
      <c r="N17" s="91" t="str">
        <f t="shared" ca="1" si="4"/>
        <v/>
      </c>
      <c r="O17" s="93" t="str">
        <f t="shared" ca="1" si="5"/>
        <v/>
      </c>
    </row>
    <row r="18" spans="1:15" x14ac:dyDescent="0.25">
      <c r="A18" s="88">
        <f t="shared" ca="1" si="12"/>
        <v>7</v>
      </c>
      <c r="B18" s="67">
        <f t="shared" ca="1" si="6"/>
        <v>1</v>
      </c>
      <c r="C18" s="91">
        <f t="shared" ca="1" si="7"/>
        <v>6.9444444444444447E-4</v>
      </c>
      <c r="D18" s="67">
        <f t="shared" ca="1" si="8"/>
        <v>6</v>
      </c>
      <c r="E18" s="91">
        <f t="shared" ca="1" si="9"/>
        <v>4.1666666666666666E-3</v>
      </c>
      <c r="F18" s="91">
        <f t="shared" ca="1" si="10"/>
        <v>0.38124999999999998</v>
      </c>
      <c r="G18" s="93">
        <f ca="1">QSSNumGreater(N$11:$N17,F18)+QSSNumGreater(M$11:M17,F18)</f>
        <v>0</v>
      </c>
      <c r="H18" s="93" t="str">
        <f t="shared" ca="1" si="11"/>
        <v/>
      </c>
      <c r="I18" s="91">
        <f ca="1">IF(OR(H18="balk",ISTEXT(F18)),"",MAX(Simulation!J$11:J17,start_time,$F18))</f>
        <v>0.38263888888888886</v>
      </c>
      <c r="J18" s="91">
        <f t="shared" ca="1" si="0"/>
        <v>0.38263888888888886</v>
      </c>
      <c r="K18" s="91">
        <f t="shared" ca="1" si="1"/>
        <v>1.388888888888884E-3</v>
      </c>
      <c r="L18" s="94" t="str">
        <f t="shared" ca="1" si="2"/>
        <v/>
      </c>
      <c r="M18" s="91" t="str">
        <f t="shared" ca="1" si="3"/>
        <v/>
      </c>
      <c r="N18" s="91">
        <f t="shared" ca="1" si="4"/>
        <v>0.38263888888888886</v>
      </c>
      <c r="O18" s="93">
        <f t="shared" ca="1" si="5"/>
        <v>1</v>
      </c>
    </row>
    <row r="19" spans="1:15" x14ac:dyDescent="0.25">
      <c r="A19" s="88">
        <f t="shared" ca="1" si="12"/>
        <v>8</v>
      </c>
      <c r="B19" s="67">
        <f t="shared" ca="1" si="6"/>
        <v>2</v>
      </c>
      <c r="C19" s="91">
        <f t="shared" ca="1" si="7"/>
        <v>1.3888888888888889E-3</v>
      </c>
      <c r="D19" s="67">
        <f t="shared" ca="1" si="8"/>
        <v>2</v>
      </c>
      <c r="E19" s="91">
        <f t="shared" ca="1" si="9"/>
        <v>1.3888888888888889E-3</v>
      </c>
      <c r="F19" s="91">
        <f t="shared" ca="1" si="10"/>
        <v>0.38263888888888886</v>
      </c>
      <c r="G19" s="93">
        <f ca="1">QSSNumGreater(N$11:$N18,F19)+QSSNumGreater(M$11:M18,F19)</f>
        <v>0</v>
      </c>
      <c r="H19" s="93" t="str">
        <f t="shared" ca="1" si="11"/>
        <v/>
      </c>
      <c r="I19" s="91">
        <f ca="1">IF(OR(H19="balk",ISTEXT(F19)),"",MAX(Simulation!J$11:J18,start_time,$F19))</f>
        <v>0.38680555555555551</v>
      </c>
      <c r="J19" s="91">
        <f t="shared" ca="1" si="0"/>
        <v>0.38680555555555551</v>
      </c>
      <c r="K19" s="91">
        <f t="shared" ca="1" si="1"/>
        <v>4.1666666666666519E-3</v>
      </c>
      <c r="L19" s="94" t="str">
        <f t="shared" ca="1" si="2"/>
        <v>renege</v>
      </c>
      <c r="M19" s="91">
        <f t="shared" ca="1" si="3"/>
        <v>0.38402777777777775</v>
      </c>
      <c r="N19" s="91" t="str">
        <f t="shared" ca="1" si="4"/>
        <v/>
      </c>
      <c r="O19" s="93" t="str">
        <f t="shared" ca="1" si="5"/>
        <v/>
      </c>
    </row>
    <row r="20" spans="1:15" x14ac:dyDescent="0.25">
      <c r="A20" s="88">
        <f t="shared" ca="1" si="12"/>
        <v>9</v>
      </c>
      <c r="B20" s="67">
        <f t="shared" ca="1" si="6"/>
        <v>2</v>
      </c>
      <c r="C20" s="91">
        <f t="shared" ca="1" si="7"/>
        <v>1.3888888888888889E-3</v>
      </c>
      <c r="D20" s="67">
        <f t="shared" ca="1" si="8"/>
        <v>4</v>
      </c>
      <c r="E20" s="91">
        <f t="shared" ca="1" si="9"/>
        <v>2.7777777777777779E-3</v>
      </c>
      <c r="F20" s="91">
        <f t="shared" ca="1" si="10"/>
        <v>0.38402777777777775</v>
      </c>
      <c r="G20" s="93">
        <f ca="1">QSSNumGreater(N$11:$N19,F20)+QSSNumGreater(M$11:M19,F20)</f>
        <v>0</v>
      </c>
      <c r="H20" s="93" t="str">
        <f t="shared" ca="1" si="11"/>
        <v/>
      </c>
      <c r="I20" s="91">
        <f ca="1">IF(OR(H20="balk",ISTEXT(F20)),"",MAX(Simulation!J$11:J19,start_time,$F20))</f>
        <v>0.38680555555555551</v>
      </c>
      <c r="J20" s="91">
        <f t="shared" ca="1" si="0"/>
        <v>0.38680555555555551</v>
      </c>
      <c r="K20" s="91">
        <f t="shared" ca="1" si="1"/>
        <v>2.7777777777777679E-3</v>
      </c>
      <c r="L20" s="94" t="str">
        <f t="shared" ca="1" si="2"/>
        <v>renege</v>
      </c>
      <c r="M20" s="91">
        <f t="shared" ca="1" si="3"/>
        <v>0.38541666666666663</v>
      </c>
      <c r="N20" s="91" t="str">
        <f t="shared" ca="1" si="4"/>
        <v/>
      </c>
      <c r="O20" s="93" t="str">
        <f t="shared" ca="1" si="5"/>
        <v/>
      </c>
    </row>
    <row r="21" spans="1:15" x14ac:dyDescent="0.25">
      <c r="A21" s="88">
        <f t="shared" ca="1" si="12"/>
        <v>10</v>
      </c>
      <c r="B21" s="67">
        <f t="shared" ca="1" si="6"/>
        <v>1</v>
      </c>
      <c r="C21" s="91">
        <f t="shared" ca="1" si="7"/>
        <v>6.9444444444444447E-4</v>
      </c>
      <c r="D21" s="67">
        <f t="shared" ca="1" si="8"/>
        <v>4</v>
      </c>
      <c r="E21" s="91">
        <f t="shared" ca="1" si="9"/>
        <v>2.7777777777777779E-3</v>
      </c>
      <c r="F21" s="91">
        <f t="shared" ca="1" si="10"/>
        <v>0.38472222222222219</v>
      </c>
      <c r="G21" s="93">
        <f ca="1">QSSNumGreater(N$11:$N20,F21)+QSSNumGreater(M$11:M20,F21)</f>
        <v>1</v>
      </c>
      <c r="H21" s="93" t="str">
        <f t="shared" ca="1" si="11"/>
        <v>balk</v>
      </c>
      <c r="I21" s="91" t="str">
        <f ca="1">IF(OR(H21="balk",ISTEXT(F21)),"",MAX(Simulation!J$11:J20,start_time,$F21))</f>
        <v/>
      </c>
      <c r="J21" s="91" t="str">
        <f t="shared" ca="1" si="0"/>
        <v/>
      </c>
      <c r="K21" s="91" t="str">
        <f t="shared" ca="1" si="1"/>
        <v/>
      </c>
      <c r="L21" s="94" t="str">
        <f t="shared" ca="1" si="2"/>
        <v/>
      </c>
      <c r="M21" s="91" t="str">
        <f t="shared" ca="1" si="3"/>
        <v/>
      </c>
      <c r="N21" s="91" t="str">
        <f t="shared" ca="1" si="4"/>
        <v/>
      </c>
      <c r="O21" s="93" t="str">
        <f t="shared" ca="1" si="5"/>
        <v/>
      </c>
    </row>
    <row r="22" spans="1:15" x14ac:dyDescent="0.25">
      <c r="A22" s="88">
        <f t="shared" ca="1" si="12"/>
        <v>11</v>
      </c>
      <c r="B22" s="67">
        <f t="shared" ca="1" si="6"/>
        <v>1</v>
      </c>
      <c r="C22" s="91">
        <f t="shared" ca="1" si="7"/>
        <v>6.9444444444444447E-4</v>
      </c>
      <c r="D22" s="67">
        <f t="shared" ca="1" si="8"/>
        <v>4</v>
      </c>
      <c r="E22" s="91">
        <f t="shared" ca="1" si="9"/>
        <v>2.7777777777777779E-3</v>
      </c>
      <c r="F22" s="91">
        <f t="shared" ca="1" si="10"/>
        <v>0.38541666666666663</v>
      </c>
      <c r="G22" s="93">
        <f ca="1">QSSNumGreater(N$11:$N21,F22)+QSSNumGreater(M$11:M21,F22)</f>
        <v>0</v>
      </c>
      <c r="H22" s="93" t="str">
        <f t="shared" ca="1" si="11"/>
        <v/>
      </c>
      <c r="I22" s="91">
        <f ca="1">IF(OR(H22="balk",ISTEXT(F22)),"",MAX(Simulation!J$11:J21,start_time,$F22))</f>
        <v>0.38680555555555551</v>
      </c>
      <c r="J22" s="91">
        <f t="shared" ca="1" si="0"/>
        <v>0.38680555555555551</v>
      </c>
      <c r="K22" s="91">
        <f t="shared" ca="1" si="1"/>
        <v>1.388888888888884E-3</v>
      </c>
      <c r="L22" s="94" t="str">
        <f t="shared" ca="1" si="2"/>
        <v/>
      </c>
      <c r="M22" s="91" t="str">
        <f t="shared" ca="1" si="3"/>
        <v/>
      </c>
      <c r="N22" s="91">
        <f t="shared" ca="1" si="4"/>
        <v>0.38680555555555551</v>
      </c>
      <c r="O22" s="93">
        <f t="shared" ca="1" si="5"/>
        <v>1</v>
      </c>
    </row>
    <row r="23" spans="1:15" x14ac:dyDescent="0.25">
      <c r="A23" s="88">
        <f t="shared" ca="1" si="12"/>
        <v>12</v>
      </c>
      <c r="B23" s="67">
        <f t="shared" ca="1" si="6"/>
        <v>2</v>
      </c>
      <c r="C23" s="91">
        <f t="shared" ca="1" si="7"/>
        <v>1.3888888888888889E-3</v>
      </c>
      <c r="D23" s="67">
        <f t="shared" ca="1" si="8"/>
        <v>4</v>
      </c>
      <c r="E23" s="91">
        <f t="shared" ca="1" si="9"/>
        <v>2.7777777777777779E-3</v>
      </c>
      <c r="F23" s="91">
        <f t="shared" ca="1" si="10"/>
        <v>0.38680555555555551</v>
      </c>
      <c r="G23" s="93">
        <f ca="1">QSSNumGreater(N$11:$N22,F23)+QSSNumGreater(M$11:M22,F23)</f>
        <v>0</v>
      </c>
      <c r="H23" s="93" t="str">
        <f t="shared" ca="1" si="11"/>
        <v/>
      </c>
      <c r="I23" s="91">
        <f ca="1">IF(OR(H23="balk",ISTEXT(F23)),"",MAX(Simulation!J$11:J22,start_time,$F23))</f>
        <v>0.38958333333333328</v>
      </c>
      <c r="J23" s="91">
        <f t="shared" ca="1" si="0"/>
        <v>0.38958333333333328</v>
      </c>
      <c r="K23" s="91">
        <f t="shared" ca="1" si="1"/>
        <v>2.7777777777777679E-3</v>
      </c>
      <c r="L23" s="94" t="str">
        <f t="shared" ca="1" si="2"/>
        <v>renege</v>
      </c>
      <c r="M23" s="91">
        <f t="shared" ca="1" si="3"/>
        <v>0.3881944444444444</v>
      </c>
      <c r="N23" s="91" t="str">
        <f t="shared" ca="1" si="4"/>
        <v/>
      </c>
      <c r="O23" s="93" t="str">
        <f t="shared" ca="1" si="5"/>
        <v/>
      </c>
    </row>
    <row r="24" spans="1:15" x14ac:dyDescent="0.25">
      <c r="A24" s="88">
        <f t="shared" ca="1" si="12"/>
        <v>13</v>
      </c>
      <c r="B24" s="67">
        <f t="shared" ca="1" si="6"/>
        <v>1</v>
      </c>
      <c r="C24" s="91">
        <f t="shared" ca="1" si="7"/>
        <v>6.9444444444444447E-4</v>
      </c>
      <c r="D24" s="67">
        <f t="shared" ca="1" si="8"/>
        <v>4</v>
      </c>
      <c r="E24" s="91">
        <f t="shared" ca="1" si="9"/>
        <v>2.7777777777777779E-3</v>
      </c>
      <c r="F24" s="91">
        <f t="shared" ca="1" si="10"/>
        <v>0.38749999999999996</v>
      </c>
      <c r="G24" s="93">
        <f ca="1">QSSNumGreater(N$11:$N23,F24)+QSSNumGreater(M$11:M23,F24)</f>
        <v>1</v>
      </c>
      <c r="H24" s="93" t="str">
        <f t="shared" ca="1" si="11"/>
        <v>balk</v>
      </c>
      <c r="I24" s="91" t="str">
        <f ca="1">IF(OR(H24="balk",ISTEXT(F24)),"",MAX(Simulation!J$11:J23,start_time,$F24))</f>
        <v/>
      </c>
      <c r="J24" s="91" t="str">
        <f t="shared" ca="1" si="0"/>
        <v/>
      </c>
      <c r="K24" s="91" t="str">
        <f t="shared" ca="1" si="1"/>
        <v/>
      </c>
      <c r="L24" s="94" t="str">
        <f t="shared" ca="1" si="2"/>
        <v/>
      </c>
      <c r="M24" s="91" t="str">
        <f t="shared" ca="1" si="3"/>
        <v/>
      </c>
      <c r="N24" s="91" t="str">
        <f t="shared" ca="1" si="4"/>
        <v/>
      </c>
      <c r="O24" s="93" t="str">
        <f t="shared" ca="1" si="5"/>
        <v/>
      </c>
    </row>
    <row r="25" spans="1:15" x14ac:dyDescent="0.25">
      <c r="A25" s="88" t="str">
        <f t="shared" ca="1" si="12"/>
        <v>closed</v>
      </c>
      <c r="B25" s="67">
        <f t="shared" ca="1" si="6"/>
        <v>2</v>
      </c>
      <c r="C25" s="91">
        <f t="shared" ca="1" si="7"/>
        <v>1.3888888888888889E-3</v>
      </c>
      <c r="D25" s="67">
        <f t="shared" ca="1" si="8"/>
        <v>4</v>
      </c>
      <c r="E25" s="91">
        <f t="shared" ca="1" si="9"/>
        <v>2.7777777777777779E-3</v>
      </c>
      <c r="F25" s="91" t="str">
        <f t="shared" ca="1" si="10"/>
        <v>closed</v>
      </c>
      <c r="G25" s="93">
        <f ca="1">QSSNumGreater(N$11:$N24,F25)+QSSNumGreater(M$11:M24,F25)</f>
        <v>0</v>
      </c>
      <c r="H25" s="93" t="str">
        <f t="shared" ca="1" si="11"/>
        <v/>
      </c>
      <c r="I25" s="91" t="str">
        <f ca="1">IF(OR(H25="balk",ISTEXT(F25)),"",MAX(Simulation!J$11:J24,start_time,$F25))</f>
        <v/>
      </c>
      <c r="J25" s="91" t="str">
        <f t="shared" ca="1" si="0"/>
        <v/>
      </c>
      <c r="K25" s="91" t="str">
        <f t="shared" ca="1" si="1"/>
        <v/>
      </c>
      <c r="L25" s="94" t="str">
        <f t="shared" ca="1" si="2"/>
        <v/>
      </c>
      <c r="M25" s="91" t="str">
        <f t="shared" ca="1" si="3"/>
        <v/>
      </c>
      <c r="N25" s="91" t="str">
        <f t="shared" ca="1" si="4"/>
        <v/>
      </c>
      <c r="O25" s="93" t="str">
        <f t="shared" ca="1" si="5"/>
        <v/>
      </c>
    </row>
    <row r="26" spans="1:15" x14ac:dyDescent="0.25">
      <c r="A26" s="88" t="str">
        <f t="shared" ca="1" si="12"/>
        <v>closed</v>
      </c>
      <c r="B26" s="67">
        <f t="shared" ca="1" si="6"/>
        <v>1</v>
      </c>
      <c r="C26" s="91">
        <f t="shared" ca="1" si="7"/>
        <v>6.9444444444444447E-4</v>
      </c>
      <c r="D26" s="67">
        <f t="shared" ca="1" si="8"/>
        <v>6</v>
      </c>
      <c r="E26" s="91">
        <f t="shared" ca="1" si="9"/>
        <v>4.1666666666666666E-3</v>
      </c>
      <c r="F26" s="91" t="str">
        <f t="shared" ca="1" si="10"/>
        <v/>
      </c>
      <c r="G26" s="93">
        <f ca="1">QSSNumGreater(N$11:$N25,F26)+QSSNumGreater(M$11:M25,F26)</f>
        <v>0</v>
      </c>
      <c r="H26" s="93" t="str">
        <f t="shared" ca="1" si="11"/>
        <v/>
      </c>
      <c r="I26" s="91" t="str">
        <f ca="1">IF(OR(H26="balk",ISTEXT(F26)),"",MAX(Simulation!J$11:J25,start_time,$F26))</f>
        <v/>
      </c>
      <c r="J26" s="91" t="str">
        <f t="shared" ca="1" si="0"/>
        <v/>
      </c>
      <c r="K26" s="91" t="str">
        <f t="shared" ca="1" si="1"/>
        <v/>
      </c>
      <c r="L26" s="94" t="str">
        <f t="shared" ca="1" si="2"/>
        <v/>
      </c>
      <c r="M26" s="91" t="str">
        <f t="shared" ca="1" si="3"/>
        <v/>
      </c>
      <c r="N26" s="91" t="str">
        <f t="shared" ca="1" si="4"/>
        <v/>
      </c>
      <c r="O26" s="93" t="str">
        <f t="shared" ca="1" si="5"/>
        <v/>
      </c>
    </row>
    <row r="27" spans="1:15" x14ac:dyDescent="0.25">
      <c r="L27" s="69"/>
    </row>
    <row r="28" spans="1:15" x14ac:dyDescent="0.25">
      <c r="F28" s="70"/>
      <c r="G28" s="71"/>
      <c r="I28" s="53"/>
      <c r="J28" s="53"/>
      <c r="M28" s="72"/>
      <c r="N28" s="72"/>
    </row>
    <row r="30" spans="1:15" x14ac:dyDescent="0.25">
      <c r="I30" s="73"/>
    </row>
    <row r="32" spans="1:15" x14ac:dyDescent="0.25">
      <c r="C32" s="74"/>
      <c r="D32" s="75"/>
      <c r="F32" s="52" t="s">
        <v>87</v>
      </c>
    </row>
    <row r="33" spans="3:6" x14ac:dyDescent="0.25">
      <c r="C33" s="74"/>
      <c r="D33" s="75"/>
      <c r="F33" s="52" t="s">
        <v>88</v>
      </c>
    </row>
    <row r="34" spans="3:6" x14ac:dyDescent="0.25">
      <c r="C34" s="74"/>
      <c r="D34" s="75"/>
      <c r="F34" s="52" t="s">
        <v>89</v>
      </c>
    </row>
    <row r="35" spans="3:6" x14ac:dyDescent="0.25">
      <c r="C35" s="74"/>
      <c r="D35" s="75"/>
      <c r="F35" s="52" t="s">
        <v>90</v>
      </c>
    </row>
    <row r="36" spans="3:6" x14ac:dyDescent="0.25">
      <c r="C36" s="74"/>
      <c r="D36" s="75"/>
      <c r="F36" s="52" t="s">
        <v>91</v>
      </c>
    </row>
    <row r="37" spans="3:6" x14ac:dyDescent="0.25">
      <c r="F37" s="52" t="s">
        <v>92</v>
      </c>
    </row>
    <row r="39" spans="3:6" x14ac:dyDescent="0.25">
      <c r="F39" s="52" t="s">
        <v>93</v>
      </c>
    </row>
    <row r="40" spans="3:6" x14ac:dyDescent="0.25">
      <c r="F40" s="52" t="s">
        <v>94</v>
      </c>
    </row>
    <row r="42" spans="3:6" x14ac:dyDescent="0.25">
      <c r="F42" s="52" t="s">
        <v>95</v>
      </c>
    </row>
  </sheetData>
  <sheetProtection sheet="1" objects="1" scenarios="1"/>
  <phoneticPr fontId="11" type="noConversion"/>
  <printOptions headings="1" gridLines="1"/>
  <pageMargins left="0.25" right="0.25" top="1" bottom="1" header="0.5" footer="0.5"/>
  <pageSetup orientation="landscape" horizontalDpi="360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48"/>
  <sheetViews>
    <sheetView showGridLines="0" workbookViewId="0"/>
  </sheetViews>
  <sheetFormatPr defaultRowHeight="13.2" x14ac:dyDescent="0.25"/>
  <sheetData>
    <row r="1" spans="1:2" ht="17.399999999999999" x14ac:dyDescent="0.3">
      <c r="A1" s="1" t="s">
        <v>48</v>
      </c>
    </row>
    <row r="2" spans="1:2" ht="15.6" x14ac:dyDescent="0.3">
      <c r="A2" s="2" t="s">
        <v>49</v>
      </c>
    </row>
    <row r="3" spans="1:2" ht="12.75" customHeight="1" x14ac:dyDescent="0.25">
      <c r="B3" s="3" t="s">
        <v>50</v>
      </c>
    </row>
    <row r="4" spans="1:2" ht="12.75" customHeight="1" x14ac:dyDescent="0.25">
      <c r="B4" s="3"/>
    </row>
    <row r="5" spans="1:2" x14ac:dyDescent="0.25">
      <c r="A5" s="4" t="s">
        <v>51</v>
      </c>
    </row>
    <row r="6" spans="1:2" x14ac:dyDescent="0.25">
      <c r="A6" t="s">
        <v>52</v>
      </c>
    </row>
    <row r="7" spans="1:2" x14ac:dyDescent="0.25">
      <c r="A7" t="s">
        <v>53</v>
      </c>
    </row>
    <row r="8" spans="1:2" x14ac:dyDescent="0.25">
      <c r="A8" t="s">
        <v>54</v>
      </c>
    </row>
    <row r="10" spans="1:2" x14ac:dyDescent="0.25">
      <c r="A10" s="4" t="s">
        <v>55</v>
      </c>
    </row>
    <row r="11" spans="1:2" x14ac:dyDescent="0.25">
      <c r="A11" t="s">
        <v>56</v>
      </c>
    </row>
    <row r="12" spans="1:2" x14ac:dyDescent="0.25">
      <c r="A12" t="s">
        <v>57</v>
      </c>
    </row>
    <row r="13" spans="1:2" x14ac:dyDescent="0.25">
      <c r="A13" t="s">
        <v>58</v>
      </c>
    </row>
    <row r="14" spans="1:2" x14ac:dyDescent="0.25">
      <c r="A14" t="s">
        <v>59</v>
      </c>
    </row>
    <row r="15" spans="1:2" x14ac:dyDescent="0.25">
      <c r="A15" t="s">
        <v>60</v>
      </c>
    </row>
    <row r="16" spans="1:2" x14ac:dyDescent="0.25">
      <c r="A16" t="s">
        <v>61</v>
      </c>
    </row>
    <row r="17" spans="1:1" x14ac:dyDescent="0.25">
      <c r="A17" t="s">
        <v>62</v>
      </c>
    </row>
    <row r="18" spans="1:1" x14ac:dyDescent="0.25">
      <c r="A18" t="s">
        <v>63</v>
      </c>
    </row>
    <row r="19" spans="1:1" x14ac:dyDescent="0.25">
      <c r="A19" t="s">
        <v>64</v>
      </c>
    </row>
    <row r="21" spans="1:1" x14ac:dyDescent="0.25">
      <c r="A21" s="4" t="s">
        <v>65</v>
      </c>
    </row>
    <row r="22" spans="1:1" x14ac:dyDescent="0.25">
      <c r="A22" t="s">
        <v>66</v>
      </c>
    </row>
    <row r="23" spans="1:1" x14ac:dyDescent="0.25">
      <c r="A23" t="s">
        <v>57</v>
      </c>
    </row>
    <row r="24" spans="1:1" x14ac:dyDescent="0.25">
      <c r="A24" t="s">
        <v>67</v>
      </c>
    </row>
    <row r="25" spans="1:1" x14ac:dyDescent="0.25">
      <c r="A25" t="s">
        <v>68</v>
      </c>
    </row>
    <row r="27" spans="1:1" x14ac:dyDescent="0.25">
      <c r="A27" s="4" t="s">
        <v>69</v>
      </c>
    </row>
    <row r="28" spans="1:1" x14ac:dyDescent="0.25">
      <c r="A28" t="s">
        <v>70</v>
      </c>
    </row>
    <row r="29" spans="1:1" x14ac:dyDescent="0.25">
      <c r="A29" t="s">
        <v>71</v>
      </c>
    </row>
    <row r="30" spans="1:1" x14ac:dyDescent="0.25">
      <c r="A30" t="s">
        <v>72</v>
      </c>
    </row>
    <row r="32" spans="1:1" x14ac:dyDescent="0.25">
      <c r="A32" s="4" t="s">
        <v>73</v>
      </c>
    </row>
    <row r="33" spans="1:1" x14ac:dyDescent="0.25">
      <c r="A33" t="s">
        <v>74</v>
      </c>
    </row>
    <row r="34" spans="1:1" x14ac:dyDescent="0.25">
      <c r="A34" t="s">
        <v>75</v>
      </c>
    </row>
    <row r="35" spans="1:1" x14ac:dyDescent="0.25">
      <c r="A35" t="s">
        <v>76</v>
      </c>
    </row>
    <row r="36" spans="1:1" x14ac:dyDescent="0.25">
      <c r="A36" t="s">
        <v>77</v>
      </c>
    </row>
    <row r="38" spans="1:1" x14ac:dyDescent="0.25">
      <c r="A38" s="4" t="s">
        <v>78</v>
      </c>
    </row>
    <row r="39" spans="1:1" x14ac:dyDescent="0.25">
      <c r="A39" t="s">
        <v>79</v>
      </c>
    </row>
    <row r="40" spans="1:1" x14ac:dyDescent="0.25">
      <c r="A40" t="s">
        <v>80</v>
      </c>
    </row>
    <row r="41" spans="1:1" x14ac:dyDescent="0.25">
      <c r="A41" t="s">
        <v>81</v>
      </c>
    </row>
    <row r="42" spans="1:1" x14ac:dyDescent="0.25">
      <c r="A42" t="s">
        <v>82</v>
      </c>
    </row>
    <row r="43" spans="1:1" x14ac:dyDescent="0.25">
      <c r="A43" t="s">
        <v>83</v>
      </c>
    </row>
    <row r="45" spans="1:1" x14ac:dyDescent="0.25">
      <c r="A45" s="4" t="s">
        <v>84</v>
      </c>
    </row>
    <row r="46" spans="1:1" x14ac:dyDescent="0.25">
      <c r="A46" t="s">
        <v>85</v>
      </c>
    </row>
    <row r="48" spans="1:1" x14ac:dyDescent="0.25">
      <c r="A48" s="5" t="s">
        <v>86</v>
      </c>
    </row>
  </sheetData>
  <sheetProtection sheet="1" objects="1" scenarios="1"/>
  <phoneticPr fontId="11" type="noConversion"/>
  <printOptions gridLinesSet="0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6</vt:i4>
      </vt:variant>
    </vt:vector>
  </HeadingPairs>
  <TitlesOfParts>
    <vt:vector size="10" baseType="lpstr">
      <vt:lpstr>Data</vt:lpstr>
      <vt:lpstr>Simulation</vt:lpstr>
      <vt:lpstr>Computations</vt:lpstr>
      <vt:lpstr>Copyright</vt:lpstr>
      <vt:lpstr>arrival</vt:lpstr>
      <vt:lpstr>balk_num</vt:lpstr>
      <vt:lpstr>close_time</vt:lpstr>
      <vt:lpstr>renege_time</vt:lpstr>
      <vt:lpstr>service</vt:lpstr>
      <vt:lpstr>start_time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Aniket Gupta</cp:lastModifiedBy>
  <cp:lastPrinted>1997-11-11T07:01:59Z</cp:lastPrinted>
  <dcterms:created xsi:type="dcterms:W3CDTF">1997-08-14T11:51:01Z</dcterms:created>
  <dcterms:modified xsi:type="dcterms:W3CDTF">2024-02-03T22:16:28Z</dcterms:modified>
</cp:coreProperties>
</file>