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08C585EF-938A-4CD0-8C67-DFDBB93E4638}" xr6:coauthVersionLast="47" xr6:coauthVersionMax="47" xr10:uidLastSave="{00000000-0000-0000-0000-000000000000}"/>
  <bookViews>
    <workbookView xWindow="3348" yWindow="3348" windowWidth="17280" windowHeight="8880" activeTab="6"/>
  </bookViews>
  <sheets>
    <sheet name="Q1" sheetId="1" r:id="rId1"/>
    <sheet name="Q1 a-b, graph" sheetId="2" r:id="rId2"/>
    <sheet name="Q1 c-d, additional info" sheetId="3" r:id="rId3"/>
    <sheet name="Q2" sheetId="4" r:id="rId4"/>
    <sheet name="Q3" sheetId="5" r:id="rId5"/>
    <sheet name="Q4" sheetId="6" r:id="rId6"/>
    <sheet name="Q5"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D5" i="1"/>
  <c r="B5" i="1" s="1"/>
  <c r="E5" i="1"/>
  <c r="F5" i="1"/>
  <c r="G5" i="1"/>
  <c r="D6" i="1"/>
  <c r="E6" i="1"/>
  <c r="F6" i="1"/>
  <c r="G6" i="1"/>
  <c r="B6" i="1"/>
  <c r="D7" i="1"/>
  <c r="E7" i="1"/>
  <c r="B7" i="1" s="1"/>
  <c r="F7" i="1"/>
  <c r="G7" i="1"/>
  <c r="D8" i="1"/>
  <c r="B8" i="1" s="1"/>
  <c r="E8" i="1"/>
  <c r="F8" i="1"/>
  <c r="G8" i="1"/>
  <c r="D9" i="1"/>
  <c r="E9" i="1"/>
  <c r="B9" i="1" s="1"/>
  <c r="F9" i="1"/>
  <c r="G9" i="1"/>
  <c r="D10" i="1"/>
  <c r="E10" i="1"/>
  <c r="F10" i="1"/>
  <c r="G10" i="1"/>
  <c r="B10" i="1"/>
  <c r="D11" i="1"/>
  <c r="B11" i="1" s="1"/>
  <c r="E11" i="1"/>
  <c r="F11" i="1"/>
  <c r="G11" i="1"/>
  <c r="D12" i="1"/>
  <c r="E12" i="1"/>
  <c r="F12" i="1"/>
  <c r="B12" i="1" s="1"/>
  <c r="G12" i="1"/>
  <c r="D13" i="1"/>
  <c r="B13" i="1" s="1"/>
  <c r="E13" i="1"/>
  <c r="F13" i="1"/>
  <c r="G13" i="1"/>
  <c r="D14" i="1"/>
  <c r="B14" i="1" s="1"/>
  <c r="E14" i="1"/>
  <c r="F14" i="1"/>
  <c r="G14" i="1"/>
  <c r="D15" i="1"/>
  <c r="E15" i="1"/>
  <c r="B15" i="1" s="1"/>
  <c r="F15" i="1"/>
  <c r="G15" i="1"/>
  <c r="D16" i="1"/>
  <c r="B16" i="1" s="1"/>
  <c r="E16" i="1"/>
  <c r="F16" i="1"/>
  <c r="G16" i="1"/>
  <c r="D17" i="1"/>
  <c r="E17" i="1"/>
  <c r="B17" i="1" s="1"/>
  <c r="F17" i="1"/>
  <c r="G17" i="1"/>
  <c r="D18" i="1"/>
  <c r="E18" i="1"/>
  <c r="F18" i="1"/>
  <c r="G18" i="1"/>
  <c r="B18" i="1"/>
  <c r="D19" i="1"/>
  <c r="B19" i="1" s="1"/>
  <c r="E19" i="1"/>
  <c r="F19" i="1"/>
  <c r="G19" i="1"/>
  <c r="D20" i="1"/>
  <c r="E20" i="1"/>
  <c r="F20" i="1"/>
  <c r="B20" i="1" s="1"/>
  <c r="G20" i="1"/>
  <c r="D21" i="1"/>
  <c r="B21" i="1" s="1"/>
  <c r="E21" i="1"/>
  <c r="F21" i="1"/>
  <c r="G21" i="1"/>
  <c r="D22" i="1"/>
  <c r="B22" i="1" s="1"/>
  <c r="E22" i="1"/>
  <c r="F22" i="1"/>
  <c r="G22" i="1"/>
  <c r="D23" i="1"/>
  <c r="E23" i="1"/>
  <c r="B23" i="1" s="1"/>
  <c r="F23" i="1"/>
  <c r="G23" i="1"/>
  <c r="D24" i="1"/>
  <c r="B24" i="1" s="1"/>
  <c r="E24" i="1"/>
  <c r="F24" i="1"/>
  <c r="G24" i="1"/>
  <c r="D25" i="1"/>
  <c r="E25" i="1"/>
  <c r="B25" i="1" s="1"/>
  <c r="F25" i="1"/>
  <c r="G25" i="1"/>
  <c r="D26" i="1"/>
  <c r="E26" i="1"/>
  <c r="F26" i="1"/>
  <c r="G26" i="1"/>
  <c r="B26" i="1"/>
  <c r="D27" i="1"/>
  <c r="B27" i="1" s="1"/>
  <c r="E27" i="1"/>
  <c r="F27" i="1"/>
  <c r="G27" i="1"/>
  <c r="D28" i="1"/>
  <c r="E28" i="1"/>
  <c r="F28" i="1"/>
  <c r="B28" i="1" s="1"/>
  <c r="G28" i="1"/>
  <c r="D29" i="1"/>
  <c r="B29" i="1" s="1"/>
  <c r="E29" i="1"/>
  <c r="F29" i="1"/>
  <c r="G29" i="1"/>
  <c r="D30" i="1"/>
  <c r="E30" i="1"/>
  <c r="F30" i="1"/>
  <c r="G30" i="1"/>
  <c r="B30" i="1"/>
  <c r="D31" i="1"/>
  <c r="E31" i="1"/>
  <c r="B31" i="1" s="1"/>
  <c r="F31" i="1"/>
  <c r="G31" i="1"/>
  <c r="D32" i="1"/>
  <c r="B32" i="1" s="1"/>
  <c r="E32" i="1"/>
  <c r="F32" i="1"/>
  <c r="G32" i="1"/>
  <c r="D33" i="1"/>
  <c r="E33" i="1"/>
  <c r="B33" i="1" s="1"/>
  <c r="F33" i="1"/>
  <c r="G33" i="1"/>
  <c r="D34" i="1"/>
  <c r="E34" i="1"/>
  <c r="F34" i="1"/>
  <c r="G34" i="1"/>
  <c r="B34" i="1"/>
  <c r="D35" i="1"/>
  <c r="B35" i="1" s="1"/>
  <c r="E35" i="1"/>
  <c r="F35" i="1"/>
  <c r="G35" i="1"/>
  <c r="D36" i="1"/>
  <c r="E36" i="1"/>
  <c r="F36" i="1"/>
  <c r="B36" i="1" s="1"/>
  <c r="G36" i="1"/>
  <c r="D37" i="1"/>
  <c r="B37" i="1" s="1"/>
  <c r="E37" i="1"/>
  <c r="F37" i="1"/>
  <c r="G37" i="1"/>
  <c r="D38" i="1"/>
  <c r="B38" i="1" s="1"/>
  <c r="E38" i="1"/>
  <c r="F38" i="1"/>
  <c r="G38" i="1"/>
  <c r="D39" i="1"/>
  <c r="E39" i="1"/>
  <c r="B39" i="1" s="1"/>
  <c r="F39" i="1"/>
  <c r="G39" i="1"/>
  <c r="D40" i="1"/>
  <c r="B40" i="1" s="1"/>
  <c r="E40" i="1"/>
  <c r="F40" i="1"/>
  <c r="G40" i="1"/>
  <c r="D41" i="1"/>
  <c r="E41" i="1"/>
  <c r="B41" i="1" s="1"/>
  <c r="F41" i="1"/>
  <c r="G41" i="1"/>
  <c r="D42" i="1"/>
  <c r="E42" i="1"/>
  <c r="F42" i="1"/>
  <c r="G42" i="1"/>
  <c r="B42" i="1"/>
  <c r="D43" i="1"/>
  <c r="B43" i="1" s="1"/>
  <c r="E43" i="1"/>
  <c r="F43" i="1"/>
  <c r="G43" i="1"/>
  <c r="D44" i="1"/>
  <c r="E44" i="1"/>
  <c r="F44" i="1"/>
  <c r="B44" i="1" s="1"/>
  <c r="G44" i="1"/>
  <c r="G4" i="1"/>
  <c r="F4" i="1"/>
  <c r="E4" i="1"/>
  <c r="D4" i="1"/>
  <c r="B4" i="1" s="1"/>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G26" i="3"/>
  <c r="F26" i="3"/>
  <c r="E24" i="4"/>
  <c r="E25" i="4" s="1"/>
  <c r="C20" i="4"/>
  <c r="F24" i="4"/>
  <c r="F25" i="4"/>
  <c r="F26" i="4" s="1"/>
  <c r="G24" i="4"/>
  <c r="G25" i="4"/>
  <c r="G26" i="4" s="1"/>
  <c r="G27" i="4" s="1"/>
  <c r="G30" i="4" s="1"/>
  <c r="G31" i="4" s="1"/>
  <c r="D24" i="4"/>
  <c r="D25" i="4"/>
  <c r="D26" i="4" s="1"/>
  <c r="E67" i="4"/>
  <c r="C60" i="4"/>
  <c r="E68" i="4" s="1"/>
  <c r="E69" i="4" s="1"/>
  <c r="E71" i="4" s="1"/>
  <c r="C63" i="4"/>
  <c r="F67" i="4"/>
  <c r="F69" i="4"/>
  <c r="D67" i="4"/>
  <c r="D68" i="4"/>
  <c r="D69" i="4" s="1"/>
  <c r="D71" i="4" s="1"/>
  <c r="G67" i="4"/>
  <c r="C39" i="4"/>
  <c r="E44" i="4" s="1"/>
  <c r="E45" i="4" s="1"/>
  <c r="E47" i="4" s="1"/>
  <c r="D44" i="4"/>
  <c r="D45" i="4" s="1"/>
  <c r="D47" i="4" s="1"/>
  <c r="F45" i="4"/>
  <c r="C76" i="4"/>
  <c r="C77" i="4" s="1"/>
  <c r="G45" i="4"/>
  <c r="C50" i="4"/>
  <c r="C51" i="4"/>
  <c r="C10" i="4"/>
  <c r="C30" i="4"/>
  <c r="C31" i="4"/>
  <c r="C11" i="4"/>
  <c r="D8" i="4"/>
  <c r="D10" i="4"/>
  <c r="D11" i="4" s="1"/>
  <c r="E8" i="4"/>
  <c r="E10" i="4" s="1"/>
  <c r="E11" i="4" s="1"/>
  <c r="F8" i="4"/>
  <c r="F10" i="4"/>
  <c r="F11" i="4" s="1"/>
  <c r="G8" i="4"/>
  <c r="G10" i="4" s="1"/>
  <c r="G11" i="4" s="1"/>
  <c r="C41" i="5"/>
  <c r="C46" i="5" s="1"/>
  <c r="C48" i="5" s="1"/>
  <c r="C34" i="5"/>
  <c r="C37" i="5"/>
  <c r="C47" i="5"/>
  <c r="C51" i="5"/>
  <c r="D17" i="6"/>
  <c r="D20" i="6" s="1"/>
  <c r="D21" i="6" s="1"/>
  <c r="D8" i="6"/>
  <c r="D18" i="6"/>
  <c r="D19" i="6"/>
  <c r="C18" i="6"/>
  <c r="D14" i="6"/>
  <c r="D12" i="6"/>
  <c r="D13" i="6" s="1"/>
  <c r="D10" i="6"/>
  <c r="D11" i="6"/>
  <c r="B9" i="7"/>
  <c r="B8" i="7"/>
  <c r="B5" i="7"/>
  <c r="B4" i="7"/>
  <c r="D72" i="4" l="1"/>
  <c r="D73" i="4" s="1"/>
  <c r="D76" i="4" s="1"/>
  <c r="D77" i="4" s="1"/>
  <c r="E70" i="4"/>
  <c r="C12" i="4"/>
  <c r="E72" i="4"/>
  <c r="E73" i="4" s="1"/>
  <c r="E76" i="4" s="1"/>
  <c r="E77" i="4" s="1"/>
  <c r="F70" i="4"/>
  <c r="F71" i="4" s="1"/>
  <c r="E46" i="4"/>
  <c r="D48" i="4"/>
  <c r="D50" i="4" s="1"/>
  <c r="D51" i="4" s="1"/>
  <c r="E48" i="4"/>
  <c r="E50" i="4" s="1"/>
  <c r="E51" i="4" s="1"/>
  <c r="F46" i="4"/>
  <c r="F47" i="4" s="1"/>
  <c r="E26" i="4"/>
  <c r="E27" i="4" s="1"/>
  <c r="E30" i="4" s="1"/>
  <c r="E31" i="4" s="1"/>
  <c r="F27" i="4"/>
  <c r="F30" i="4" s="1"/>
  <c r="F31" i="4" s="1"/>
  <c r="C43" i="5"/>
  <c r="E45" i="5" s="1"/>
  <c r="G69" i="4"/>
  <c r="C53" i="5"/>
  <c r="D27" i="4"/>
  <c r="D30" i="4" s="1"/>
  <c r="D31" i="4" s="1"/>
  <c r="C32" i="4" l="1"/>
  <c r="G70" i="4"/>
  <c r="G71" i="4" s="1"/>
  <c r="G72" i="4" s="1"/>
  <c r="G73" i="4" s="1"/>
  <c r="G76" i="4" s="1"/>
  <c r="G77" i="4" s="1"/>
  <c r="C78" i="4" s="1"/>
  <c r="F72" i="4"/>
  <c r="F73" i="4" s="1"/>
  <c r="F76" i="4" s="1"/>
  <c r="F77" i="4" s="1"/>
  <c r="G46" i="4"/>
  <c r="G47" i="4" s="1"/>
  <c r="G48" i="4" s="1"/>
  <c r="G50" i="4" s="1"/>
  <c r="G51" i="4" s="1"/>
  <c r="F48" i="4"/>
  <c r="F50" i="4" s="1"/>
  <c r="F51" i="4" s="1"/>
  <c r="C52" i="4" s="1"/>
</calcChain>
</file>

<file path=xl/sharedStrings.xml><?xml version="1.0" encoding="utf-8"?>
<sst xmlns="http://schemas.openxmlformats.org/spreadsheetml/2006/main" count="242" uniqueCount="139">
  <si>
    <t xml:space="preserve">Question 4 </t>
  </si>
  <si>
    <t>http://biz.yahoo.com/fin/l/k/ko_ai.html</t>
  </si>
  <si>
    <t xml:space="preserve">From Site: </t>
  </si>
  <si>
    <t xml:space="preserve">a) </t>
  </si>
  <si>
    <t>For year ending December 31, 2001</t>
  </si>
  <si>
    <t>Income Tax Expense</t>
  </si>
  <si>
    <t>assume that none of this amount was deferred</t>
  </si>
  <si>
    <t xml:space="preserve">b) </t>
  </si>
  <si>
    <t>Income Before Taxes (After Interest)</t>
  </si>
  <si>
    <t xml:space="preserve">c) </t>
  </si>
  <si>
    <t>Tax Rate</t>
  </si>
  <si>
    <t xml:space="preserve">d) </t>
  </si>
  <si>
    <t>Depreciation Charge</t>
  </si>
  <si>
    <t>Income Less Depreciation</t>
  </si>
  <si>
    <t>Tax Expense (with Dep'n)</t>
  </si>
  <si>
    <t>Tax Expense (without Dep'n)</t>
  </si>
  <si>
    <t>Tax Reduction</t>
  </si>
  <si>
    <t>=also = to tax rate*Dep'n</t>
  </si>
  <si>
    <t>e)</t>
  </si>
  <si>
    <t>Interest Expense</t>
  </si>
  <si>
    <t>EBIT (earnings before interest and taxes)</t>
  </si>
  <si>
    <t>Tax Expense (with Interest)</t>
  </si>
  <si>
    <t>Tax Expense (without interest)</t>
  </si>
  <si>
    <t>Interest is tax deductible</t>
  </si>
  <si>
    <t>Depreciation is tax deductible</t>
  </si>
  <si>
    <t>Deduct interest to arrive at taxable income</t>
  </si>
  <si>
    <t>=also = to tax rate*interest expense</t>
  </si>
  <si>
    <t>FORD MOTOR COMPANY</t>
  </si>
  <si>
    <t>Period Ending:</t>
  </si>
  <si>
    <t>Total Revenue</t>
  </si>
  <si>
    <t>Cost Of Revenue</t>
  </si>
  <si>
    <t>Gross Profit</t>
  </si>
  <si>
    <t>Operating Expenses</t>
  </si>
  <si>
    <t>N/A</t>
  </si>
  <si>
    <t>Operating Income</t>
  </si>
  <si>
    <t>Total Other Income And Expenses Net</t>
  </si>
  <si>
    <t>Earnings Before Interest And Taxes</t>
  </si>
  <si>
    <t>Income Before Tax</t>
  </si>
  <si>
    <t>Net Income From Continuing Operations</t>
  </si>
  <si>
    <t>Nonrecurring Events</t>
  </si>
  <si>
    <t>(a)</t>
  </si>
  <si>
    <t>Net Income</t>
  </si>
  <si>
    <t xml:space="preserve"> </t>
  </si>
  <si>
    <t>Net Income Applicable To Common Shares</t>
  </si>
  <si>
    <t>(b)</t>
  </si>
  <si>
    <t>3-Year Average Earnings</t>
  </si>
  <si>
    <t>(c)</t>
  </si>
  <si>
    <t>Ford's Perpetuity Value (@ 9%)</t>
  </si>
  <si>
    <t>(d)</t>
  </si>
  <si>
    <t># of Outstanding Shares</t>
  </si>
  <si>
    <t>Price per Share</t>
  </si>
  <si>
    <t>Ford's Market Value</t>
  </si>
  <si>
    <t>(e)</t>
  </si>
  <si>
    <t>PVGO</t>
  </si>
  <si>
    <t>(f)</t>
  </si>
  <si>
    <t>EPS/Price = r*(1-PVGO/Price):  Therefore, the number is 1/(1-PVGO/Price)</t>
  </si>
  <si>
    <t>P/E</t>
  </si>
  <si>
    <t>Discount Rate</t>
  </si>
  <si>
    <t>Unknown</t>
  </si>
  <si>
    <t>(g)</t>
  </si>
  <si>
    <t>Ford's Perpetuity Value (@ 11%)</t>
  </si>
  <si>
    <r>
      <t>    </t>
    </r>
    <r>
      <rPr>
        <sz val="7.5"/>
        <rFont val="Arial"/>
        <family val="2"/>
      </rPr>
      <t>Research And Development</t>
    </r>
  </si>
  <si>
    <r>
      <t>    </t>
    </r>
    <r>
      <rPr>
        <sz val="7.5"/>
        <rFont val="Arial"/>
        <family val="2"/>
      </rPr>
      <t>Selling General And Administrative Expenses</t>
    </r>
  </si>
  <si>
    <r>
      <t>    </t>
    </r>
    <r>
      <rPr>
        <sz val="7.5"/>
        <rFont val="Arial"/>
        <family val="2"/>
      </rPr>
      <t>Non Recurring</t>
    </r>
  </si>
  <si>
    <r>
      <t>    </t>
    </r>
    <r>
      <rPr>
        <sz val="7.5"/>
        <rFont val="Arial"/>
        <family val="2"/>
      </rPr>
      <t>Other Operating Expenses</t>
    </r>
  </si>
  <si>
    <r>
      <t>    </t>
    </r>
    <r>
      <rPr>
        <sz val="7.5"/>
        <rFont val="Arial"/>
        <family val="2"/>
      </rPr>
      <t>Income Tax Expense</t>
    </r>
  </si>
  <si>
    <r>
      <t>    </t>
    </r>
    <r>
      <rPr>
        <sz val="7.5"/>
        <rFont val="Arial"/>
        <family val="2"/>
      </rPr>
      <t>Equity Earnings Or Loss Unconsolidated Subsidiary</t>
    </r>
  </si>
  <si>
    <r>
      <t>    </t>
    </r>
    <r>
      <rPr>
        <sz val="7.5"/>
        <rFont val="Arial"/>
        <family val="2"/>
      </rPr>
      <t>Minority Interest</t>
    </r>
  </si>
  <si>
    <r>
      <t>    </t>
    </r>
    <r>
      <rPr>
        <sz val="7.5"/>
        <rFont val="Arial"/>
        <family val="2"/>
      </rPr>
      <t>Discontinued Operations</t>
    </r>
  </si>
  <si>
    <r>
      <t>    </t>
    </r>
    <r>
      <rPr>
        <sz val="7.5"/>
        <rFont val="Arial"/>
        <family val="2"/>
      </rPr>
      <t>Extraordinary Items</t>
    </r>
  </si>
  <si>
    <r>
      <t>    </t>
    </r>
    <r>
      <rPr>
        <sz val="7.5"/>
        <rFont val="Arial"/>
        <family val="2"/>
      </rPr>
      <t>Effect Of Accounting Changes</t>
    </r>
  </si>
  <si>
    <r>
      <t>    </t>
    </r>
    <r>
      <rPr>
        <sz val="7.5"/>
        <rFont val="Arial"/>
        <family val="2"/>
      </rPr>
      <t>Other Items</t>
    </r>
  </si>
  <si>
    <r>
      <t>    </t>
    </r>
    <r>
      <rPr>
        <sz val="7.5"/>
        <rFont val="Arial"/>
        <family val="2"/>
      </rPr>
      <t>Preferred Stock And Other Adjustments</t>
    </r>
  </si>
  <si>
    <t>Period</t>
  </si>
  <si>
    <t>C (nominal)</t>
  </si>
  <si>
    <t>DCF:</t>
  </si>
  <si>
    <t>C (discounted)</t>
  </si>
  <si>
    <t>Interest</t>
  </si>
  <si>
    <t>Rates:</t>
  </si>
  <si>
    <t>IRR</t>
  </si>
  <si>
    <t>this is a bit of a silly problem because if you have a negative cash flow in the future (exception is time 0), you will either get 2+ solutions or no solution.</t>
  </si>
  <si>
    <t>Having said that, if you set up a dcf and play (trial and error/goal seek) with the IRR possibilites, you'll get more than one sol'n</t>
  </si>
  <si>
    <t xml:space="preserve">  </t>
  </si>
  <si>
    <t>if you are told to pick low IRR, then you will reject projects that actually have a higher IRR.</t>
  </si>
  <si>
    <t>Basically, when you have negative future cash flows, the IRR rule doesn't work very well.  That is why we use the NPV rule !!!</t>
  </si>
  <si>
    <t>(Theoretically, if you are told to use the lower IRR, you will reject any project with negative future cash flows whose "low IRR" is below your firms Opportunty Cost of Capital).</t>
  </si>
  <si>
    <t>WITHOUT DEPRECIATION</t>
  </si>
  <si>
    <t>NO DEBT SCENARIO</t>
  </si>
  <si>
    <t>Taxes</t>
  </si>
  <si>
    <t>Competitive Cost of Capital</t>
  </si>
  <si>
    <t>CF(in) (as proxy for income)</t>
  </si>
  <si>
    <t>Other Cash Flows (nominal)</t>
  </si>
  <si>
    <t>Total After-tax Cash Flows (nominal)</t>
  </si>
  <si>
    <t>After-tax Discounted C.F.</t>
  </si>
  <si>
    <t xml:space="preserve">(d) </t>
  </si>
  <si>
    <t>DCF</t>
  </si>
  <si>
    <t>DEBT SCENARIO</t>
  </si>
  <si>
    <t>Loan</t>
  </si>
  <si>
    <t>Interest on Loan</t>
  </si>
  <si>
    <t>Cash Flows</t>
  </si>
  <si>
    <t>CF(in) minus Interest (proxy for Taxable Income)</t>
  </si>
  <si>
    <t>C after taxes and after interest (nominal)</t>
  </si>
  <si>
    <t>Project Cost</t>
  </si>
  <si>
    <t>Loan Principal cash flows</t>
  </si>
  <si>
    <t>Nominal Total Cash Flows after interest and taxes</t>
  </si>
  <si>
    <t>DCF = value of equity</t>
  </si>
  <si>
    <t>WITH DEPRECIATION</t>
  </si>
  <si>
    <t>Depreciation</t>
  </si>
  <si>
    <t>years</t>
  </si>
  <si>
    <t>per year (assumes that full factory cost is depreciated.  Further assume 100% carry forward of tax loss)</t>
  </si>
  <si>
    <t>CF(in) (as proxy for EBITDA)</t>
  </si>
  <si>
    <t>EBT</t>
  </si>
  <si>
    <t>Tax Loss Carry Forward</t>
  </si>
  <si>
    <t>Taxable Income</t>
  </si>
  <si>
    <t>Problem 5</t>
  </si>
  <si>
    <t>a)</t>
  </si>
  <si>
    <t>Formula</t>
  </si>
  <si>
    <t>Company 1 - 5% earnings growth</t>
  </si>
  <si>
    <t>P/E=1/(r-g), where r - required rate of return on equity (10%), and g - earnings growth rate.</t>
  </si>
  <si>
    <t>Company 2 - 2% earnings growth</t>
  </si>
  <si>
    <t>b)</t>
  </si>
  <si>
    <t>E/P</t>
  </si>
  <si>
    <t>E/P=(r-g), where r - required rate of return on equity, and g - earnings growth rate.</t>
  </si>
  <si>
    <t>Q1 a)</t>
  </si>
  <si>
    <t>Cashflow</t>
  </si>
  <si>
    <t>INT</t>
  </si>
  <si>
    <t>NPV</t>
  </si>
  <si>
    <t>b)   The NPV is positive for discount rates which are &gt;7% and &lt;43%.</t>
  </si>
  <si>
    <t>IRRs</t>
  </si>
  <si>
    <t>As the cashflow changes from positive to negative values multiple times, the IRR method might lead to the wrong conclusion.</t>
  </si>
  <si>
    <t>The idea is that having a high IRR is good. Thinking of the IRR as a hurdle rate where a project can endure a high discount rate before turning negative. In this example the NPV of the project is at first increasing at increasing discount rates, because the PV of a later negative CF is reduced. In fact, By increasing the negative cash flow we will be able to increase the lower IRR (try -142 above) to 9.9%. By reducing the negative cashflow (try -138 in CF4 above), the lower IRR decreases to 3.76%.</t>
  </si>
  <si>
    <t>Thus a project with higher negative cashflows and lower NPV, could be perceived as being better as its IRR is Higher. It will therefore be accepted. The project with lower negative cashflows and higher NPV, could be perceived as being worse, because of its lower IRR, and thus rejected.</t>
  </si>
  <si>
    <t>WACC</t>
  </si>
  <si>
    <t>Discounted After Tax Cash Flows to Equity</t>
  </si>
  <si>
    <t>Cost of Equity = r(e)</t>
  </si>
  <si>
    <t>DCF (project)</t>
  </si>
  <si>
    <t>Unlevered Cost of Equity</t>
  </si>
  <si>
    <t>In the context of this problem, if you plug the cash flows into excel, you get a 7% IRR - excel picks the solution that is + and has a lower absolute value...</t>
  </si>
  <si>
    <t xml:space="preserve">Discounted Cash Flows: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</si>
</sst>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5" formatCode="_(* #,##0_);_(* \(#,##0\);_(* &quot;-&quot;??_);_(@_)"/>
    <numFmt numFmtId="166" formatCode="0.0%"/>
    <numFmt numFmtId="173" formatCode="_(&quot;$&quot;* #,##0_);_(&quot;$&quot;* \(#,##0\);_(&quot;$&quot;* &quot;-&quot;??_);_(@_)"/>
    <numFmt numFmtId="179" formatCode="#,##0.0"/>
    <numFmt numFmtId="181" formatCode="&quot;$&quot;#,##0.00"/>
    <numFmt numFmtId="185" formatCode="0.000000000000000"/>
  </numFmts>
  <fonts count="10" x14ac:knownFonts="1">
    <font>
      <sz val="10"/>
      <name val="Arial"/>
    </font>
    <font>
      <sz val="10"/>
      <name val="Arial"/>
    </font>
    <font>
      <b/>
      <sz val="16"/>
      <name val="Arial"/>
      <family val="2"/>
    </font>
    <font>
      <u/>
      <sz val="10"/>
      <name val="Arial"/>
      <family val="2"/>
    </font>
    <font>
      <b/>
      <i/>
      <sz val="10"/>
      <name val="Arial"/>
      <family val="2"/>
    </font>
    <font>
      <b/>
      <sz val="10"/>
      <name val="Arial"/>
      <family val="2"/>
    </font>
    <font>
      <b/>
      <sz val="7.5"/>
      <name val="Arial"/>
      <family val="2"/>
    </font>
    <font>
      <b/>
      <sz val="10"/>
      <name val="Arial"/>
    </font>
    <font>
      <sz val="7.5"/>
      <name val="Arial"/>
      <family val="2"/>
    </font>
    <font>
      <b/>
      <u/>
      <sz val="10"/>
      <name val="Arial"/>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50"/>
        <bgColor indexed="64"/>
      </patternFill>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2" fillId="0" borderId="0" xfId="0" applyFont="1"/>
    <xf numFmtId="165" fontId="0" fillId="0" borderId="0" xfId="1" applyNumberFormat="1" applyFont="1"/>
    <xf numFmtId="166" fontId="0" fillId="0" borderId="0" xfId="3" applyNumberFormat="1" applyFont="1"/>
    <xf numFmtId="165" fontId="0" fillId="0" borderId="0" xfId="0" applyNumberFormat="1"/>
    <xf numFmtId="0" fontId="3" fillId="0" borderId="1" xfId="0" applyFont="1" applyBorder="1"/>
    <xf numFmtId="165" fontId="0" fillId="0" borderId="1" xfId="0" applyNumberFormat="1" applyBorder="1"/>
    <xf numFmtId="0" fontId="0" fillId="0" borderId="1" xfId="0" applyBorder="1"/>
    <xf numFmtId="0" fontId="0" fillId="0" borderId="0" xfId="0" quotePrefix="1" applyFill="1" applyBorder="1"/>
    <xf numFmtId="165" fontId="0" fillId="0" borderId="0" xfId="0" applyNumberFormat="1" applyAlignment="1"/>
    <xf numFmtId="9" fontId="0" fillId="0" borderId="0" xfId="0" applyNumberFormat="1"/>
    <xf numFmtId="0" fontId="4" fillId="0" borderId="0" xfId="0" applyFont="1" applyAlignment="1">
      <alignment horizontal="center"/>
    </xf>
    <xf numFmtId="0" fontId="6" fillId="2" borderId="0" xfId="0" applyFont="1" applyFill="1" applyAlignment="1">
      <alignment wrapText="1"/>
    </xf>
    <xf numFmtId="15" fontId="7" fillId="2" borderId="0" xfId="0" applyNumberFormat="1" applyFont="1" applyFill="1" applyAlignment="1">
      <alignment horizontal="right" wrapText="1"/>
    </xf>
    <xf numFmtId="6" fontId="7" fillId="2" borderId="0" xfId="0" applyNumberFormat="1" applyFont="1" applyFill="1" applyAlignment="1">
      <alignment horizontal="right" wrapText="1"/>
    </xf>
    <xf numFmtId="0" fontId="8" fillId="2" borderId="0" xfId="0" applyFont="1" applyFill="1" applyAlignment="1">
      <alignment wrapText="1"/>
    </xf>
    <xf numFmtId="6" fontId="0" fillId="2" borderId="0" xfId="0" applyNumberFormat="1" applyFill="1" applyAlignment="1">
      <alignment horizontal="right" wrapText="1"/>
    </xf>
    <xf numFmtId="0" fontId="0" fillId="2" borderId="0" xfId="0" applyFill="1" applyAlignment="1">
      <alignment wrapText="1"/>
    </xf>
    <xf numFmtId="0" fontId="0" fillId="2" borderId="0" xfId="0" applyFill="1" applyAlignment="1">
      <alignment horizontal="right" wrapText="1"/>
    </xf>
    <xf numFmtId="0" fontId="6" fillId="3" borderId="2" xfId="0" applyFont="1" applyFill="1" applyBorder="1" applyAlignment="1">
      <alignment wrapText="1"/>
    </xf>
    <xf numFmtId="6" fontId="7" fillId="3" borderId="3" xfId="0" applyNumberFormat="1" applyFont="1" applyFill="1" applyBorder="1" applyAlignment="1">
      <alignment horizontal="right" wrapText="1"/>
    </xf>
    <xf numFmtId="6" fontId="7" fillId="3" borderId="4" xfId="0" applyNumberFormat="1" applyFont="1" applyFill="1" applyBorder="1" applyAlignment="1">
      <alignment horizontal="right" wrapText="1"/>
    </xf>
    <xf numFmtId="6" fontId="0" fillId="0" borderId="0" xfId="0" applyNumberFormat="1"/>
    <xf numFmtId="0" fontId="5" fillId="0" borderId="0" xfId="0" applyFont="1"/>
    <xf numFmtId="6" fontId="5" fillId="3" borderId="5" xfId="0" applyNumberFormat="1" applyFont="1" applyFill="1" applyBorder="1"/>
    <xf numFmtId="165" fontId="1" fillId="0" borderId="0" xfId="1" applyNumberFormat="1"/>
    <xf numFmtId="44" fontId="1" fillId="0" borderId="0" xfId="2"/>
    <xf numFmtId="173" fontId="5" fillId="3" borderId="5" xfId="2" applyNumberFormat="1" applyFont="1" applyFill="1" applyBorder="1"/>
    <xf numFmtId="173" fontId="5" fillId="3" borderId="5" xfId="0" applyNumberFormat="1" applyFont="1" applyFill="1" applyBorder="1"/>
    <xf numFmtId="0" fontId="5" fillId="0" borderId="0" xfId="0" applyFont="1" applyFill="1" applyBorder="1"/>
    <xf numFmtId="0" fontId="0" fillId="0" borderId="0" xfId="0" applyFill="1" applyBorder="1"/>
    <xf numFmtId="0" fontId="0" fillId="0" borderId="6" xfId="0" applyFill="1" applyBorder="1"/>
    <xf numFmtId="9" fontId="5" fillId="0" borderId="0" xfId="0" applyNumberFormat="1" applyFont="1"/>
    <xf numFmtId="0" fontId="0" fillId="0" borderId="0" xfId="0" applyFill="1"/>
    <xf numFmtId="0" fontId="0" fillId="4" borderId="0" xfId="0" applyFill="1"/>
    <xf numFmtId="0" fontId="0" fillId="5" borderId="0" xfId="0" applyFill="1"/>
    <xf numFmtId="9" fontId="0" fillId="5" borderId="0" xfId="0" applyNumberFormat="1" applyFill="1"/>
    <xf numFmtId="0" fontId="0" fillId="0" borderId="0" xfId="0" applyBorder="1"/>
    <xf numFmtId="0" fontId="0" fillId="0" borderId="6" xfId="0" applyBorder="1"/>
    <xf numFmtId="0" fontId="0" fillId="0" borderId="7" xfId="0" applyBorder="1"/>
    <xf numFmtId="179" fontId="5" fillId="0" borderId="0" xfId="0" applyNumberFormat="1" applyFont="1"/>
    <xf numFmtId="0" fontId="0" fillId="0" borderId="0" xfId="0" quotePrefix="1"/>
    <xf numFmtId="4" fontId="5" fillId="0" borderId="0" xfId="0" applyNumberFormat="1" applyFont="1"/>
    <xf numFmtId="0" fontId="4" fillId="0" borderId="0" xfId="0" applyFont="1"/>
    <xf numFmtId="181" fontId="0" fillId="0" borderId="0" xfId="0" applyNumberFormat="1"/>
    <xf numFmtId="185" fontId="0" fillId="0" borderId="0" xfId="0" applyNumberFormat="1"/>
    <xf numFmtId="10" fontId="5" fillId="0" borderId="0" xfId="0" applyNumberFormat="1" applyFont="1"/>
    <xf numFmtId="0" fontId="0" fillId="0" borderId="0" xfId="0" applyAlignment="1">
      <alignment horizontal="left" wrapText="1"/>
    </xf>
    <xf numFmtId="9" fontId="0" fillId="0" borderId="0" xfId="0" applyNumberFormat="1" applyFill="1"/>
    <xf numFmtId="166" fontId="0" fillId="5" borderId="0" xfId="0" applyNumberFormat="1" applyFill="1"/>
    <xf numFmtId="2" fontId="0" fillId="0" borderId="7" xfId="0" applyNumberFormat="1" applyBorder="1"/>
    <xf numFmtId="0" fontId="0" fillId="0" borderId="8" xfId="0" applyBorder="1"/>
    <xf numFmtId="44" fontId="5" fillId="0" borderId="0" xfId="2" applyFont="1"/>
    <xf numFmtId="0" fontId="9" fillId="0" borderId="0" xfId="0" applyFont="1"/>
    <xf numFmtId="0" fontId="0" fillId="0" borderId="0" xfId="0" applyAlignment="1">
      <alignment horizontal="left" wrapText="1"/>
    </xf>
    <xf numFmtId="0" fontId="0" fillId="0" borderId="0" xfId="0" applyAlignment="1">
      <alignment wrapText="1"/>
    </xf>
    <xf numFmtId="0" fontId="5" fillId="0" borderId="6" xfId="0" applyFont="1" applyBorder="1" applyAlignment="1">
      <alignment horizontal="center"/>
    </xf>
    <xf numFmtId="0" fontId="8" fillId="2" borderId="0" xfId="0" applyFont="1" applyFill="1" applyAlignment="1">
      <alignment wrapText="1"/>
    </xf>
    <xf numFmtId="0" fontId="8" fillId="5" borderId="0" xfId="0" applyFont="1" applyFill="1"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148741223699555E-2"/>
          <c:y val="8.1083562648125537E-2"/>
          <c:w val="0.69057665697121529"/>
          <c:h val="0.84032055835330111"/>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'Q1 a-b, graph'!$A$7:$A$107</c:f>
              <c:numCache>
                <c:formatCode>0%</c:formatCode>
                <c:ptCount val="101"/>
                <c:pt idx="0">
                  <c:v>-0.1</c:v>
                </c:pt>
                <c:pt idx="1">
                  <c:v>-0.09</c:v>
                </c:pt>
                <c:pt idx="2">
                  <c:v>-0.08</c:v>
                </c:pt>
                <c:pt idx="3">
                  <c:v>-7.0000000000000007E-2</c:v>
                </c:pt>
                <c:pt idx="4">
                  <c:v>-0.06</c:v>
                </c:pt>
                <c:pt idx="5">
                  <c:v>-0.05</c:v>
                </c:pt>
                <c:pt idx="6">
                  <c:v>-3.9999999999999897E-2</c:v>
                </c:pt>
                <c:pt idx="7">
                  <c:v>-2.9999999999999898E-2</c:v>
                </c:pt>
                <c:pt idx="8">
                  <c:v>-1.99999999999999E-2</c:v>
                </c:pt>
                <c:pt idx="9">
                  <c:v>-9.99999999999991E-3</c:v>
                </c:pt>
                <c:pt idx="10">
                  <c:v>0</c:v>
                </c:pt>
                <c:pt idx="11">
                  <c:v>0.01</c:v>
                </c:pt>
                <c:pt idx="12">
                  <c:v>0.02</c:v>
                </c:pt>
                <c:pt idx="13">
                  <c:v>0.03</c:v>
                </c:pt>
                <c:pt idx="14">
                  <c:v>0.04</c:v>
                </c:pt>
                <c:pt idx="15">
                  <c:v>0.05</c:v>
                </c:pt>
                <c:pt idx="16">
                  <c:v>0.06</c:v>
                </c:pt>
                <c:pt idx="17">
                  <c:v>7.0000000000000007E-2</c:v>
                </c:pt>
                <c:pt idx="18">
                  <c:v>0.08</c:v>
                </c:pt>
                <c:pt idx="19">
                  <c:v>0.09</c:v>
                </c:pt>
                <c:pt idx="20">
                  <c:v>0.1</c:v>
                </c:pt>
                <c:pt idx="21">
                  <c:v>0.11</c:v>
                </c:pt>
                <c:pt idx="22">
                  <c:v>0.12</c:v>
                </c:pt>
                <c:pt idx="23">
                  <c:v>0.13</c:v>
                </c:pt>
                <c:pt idx="24">
                  <c:v>0.14000000000000001</c:v>
                </c:pt>
                <c:pt idx="25">
                  <c:v>0.15</c:v>
                </c:pt>
                <c:pt idx="26">
                  <c:v>0.16</c:v>
                </c:pt>
                <c:pt idx="27">
                  <c:v>0.17</c:v>
                </c:pt>
                <c:pt idx="28">
                  <c:v>0.18</c:v>
                </c:pt>
                <c:pt idx="29">
                  <c:v>0.19</c:v>
                </c:pt>
                <c:pt idx="30">
                  <c:v>0.2</c:v>
                </c:pt>
                <c:pt idx="31">
                  <c:v>0.21</c:v>
                </c:pt>
                <c:pt idx="32">
                  <c:v>0.22</c:v>
                </c:pt>
                <c:pt idx="33">
                  <c:v>0.23</c:v>
                </c:pt>
                <c:pt idx="34">
                  <c:v>0.24</c:v>
                </c:pt>
                <c:pt idx="35">
                  <c:v>0.25</c:v>
                </c:pt>
                <c:pt idx="36">
                  <c:v>0.26</c:v>
                </c:pt>
                <c:pt idx="37">
                  <c:v>0.27</c:v>
                </c:pt>
                <c:pt idx="38">
                  <c:v>0.28000000000000003</c:v>
                </c:pt>
                <c:pt idx="39">
                  <c:v>0.28999999999999998</c:v>
                </c:pt>
                <c:pt idx="40">
                  <c:v>0.3</c:v>
                </c:pt>
              </c:numCache>
            </c:numRef>
          </c:xVal>
          <c:yVal>
            <c:numRef>
              <c:f>'Q1 a-b, graph'!$B$7:$B$107</c:f>
              <c:numCache>
                <c:formatCode>"$"#,##0.00</c:formatCode>
                <c:ptCount val="101"/>
                <c:pt idx="0">
                  <c:v>-20.253772290809309</c:v>
                </c:pt>
                <c:pt idx="1">
                  <c:v>-18.155601794655041</c:v>
                </c:pt>
                <c:pt idx="2">
                  <c:v>-16.207364181803243</c:v>
                </c:pt>
                <c:pt idx="3">
                  <c:v>-14.399507929936576</c:v>
                </c:pt>
                <c:pt idx="4">
                  <c:v>-12.723144197335827</c:v>
                </c:pt>
                <c:pt idx="5">
                  <c:v>-11.169995626184573</c:v>
                </c:pt>
                <c:pt idx="6">
                  <c:v>-9.7323495370370239</c:v>
                </c:pt>
                <c:pt idx="7">
                  <c:v>-8.4030150996030386</c:v>
                </c:pt>
                <c:pt idx="8">
                  <c:v>-7.1752841078122174</c:v>
                </c:pt>
                <c:pt idx="9">
                  <c:v>-6.0428950251417319</c:v>
                </c:pt>
                <c:pt idx="10">
                  <c:v>-5</c:v>
                </c:pt>
                <c:pt idx="11">
                  <c:v>-4.0411345810593104</c:v>
                </c:pt>
                <c:pt idx="12">
                  <c:v>-3.1611898892582815</c:v>
                </c:pt>
                <c:pt idx="13">
                  <c:v>-2.3553870271348671</c:v>
                </c:pt>
                <c:pt idx="14">
                  <c:v>-1.6192535275375661</c:v>
                </c:pt>
                <c:pt idx="15">
                  <c:v>-0.94860166288736991</c:v>
                </c:pt>
                <c:pt idx="16">
                  <c:v>-0.33950845328693902</c:v>
                </c:pt>
                <c:pt idx="17">
                  <c:v>0.2117027728822336</c:v>
                </c:pt>
                <c:pt idx="18">
                  <c:v>0.70847939846566987</c:v>
                </c:pt>
                <c:pt idx="19">
                  <c:v>1.1540552373730577</c:v>
                </c:pt>
                <c:pt idx="20">
                  <c:v>1.5514650638617553</c:v>
                </c:pt>
                <c:pt idx="21">
                  <c:v>1.9035580503805534</c:v>
                </c:pt>
                <c:pt idx="22">
                  <c:v>2.2130102040816269</c:v>
                </c:pt>
                <c:pt idx="23">
                  <c:v>2.482335883988938</c:v>
                </c:pt>
                <c:pt idx="24">
                  <c:v>2.7138984734844342</c:v>
                </c:pt>
                <c:pt idx="25">
                  <c:v>2.9099202761568108</c:v>
                </c:pt>
                <c:pt idx="26">
                  <c:v>3.0724916970765435</c:v>
                </c:pt>
                <c:pt idx="27">
                  <c:v>3.2035797661482519</c:v>
                </c:pt>
                <c:pt idx="28">
                  <c:v>3.3050360552929021</c:v>
                </c:pt>
                <c:pt idx="29">
                  <c:v>3.3786040367703976</c:v>
                </c:pt>
                <c:pt idx="30">
                  <c:v>3.425925925925938</c:v>
                </c:pt>
                <c:pt idx="31">
                  <c:v>3.4485490479864893</c:v>
                </c:pt>
                <c:pt idx="32">
                  <c:v>3.4479317652138093</c:v>
                </c:pt>
                <c:pt idx="33">
                  <c:v>3.4254489976983962</c:v>
                </c:pt>
                <c:pt idx="34">
                  <c:v>3.382397368332704</c:v>
                </c:pt>
                <c:pt idx="35">
                  <c:v>3.3200000000000074</c:v>
                </c:pt>
                <c:pt idx="36">
                  <c:v>3.2394109907337452</c:v>
                </c:pt>
                <c:pt idx="37">
                  <c:v>3.1417195905257955</c:v>
                </c:pt>
                <c:pt idx="38">
                  <c:v>3.0279541015625</c:v>
                </c:pt>
                <c:pt idx="39">
                  <c:v>2.8990855219363425</c:v>
                </c:pt>
                <c:pt idx="40">
                  <c:v>2.7560309512972054</c:v>
                </c:pt>
              </c:numCache>
            </c:numRef>
          </c:yVal>
          <c:smooth val="1"/>
          <c:extLst>
            <c:ext xmlns:c16="http://schemas.microsoft.com/office/drawing/2014/chart" uri="{C3380CC4-5D6E-409C-BE32-E72D297353CC}">
              <c16:uniqueId val="{00000000-2032-457B-B00C-884ABCA66863}"/>
            </c:ext>
          </c:extLst>
        </c:ser>
        <c:dLbls>
          <c:showLegendKey val="0"/>
          <c:showVal val="0"/>
          <c:showCatName val="0"/>
          <c:showSerName val="0"/>
          <c:showPercent val="0"/>
          <c:showBubbleSize val="0"/>
        </c:dLbls>
        <c:axId val="1554184992"/>
        <c:axId val="1"/>
      </c:scatterChart>
      <c:valAx>
        <c:axId val="1554184992"/>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quot;$&quot;#,##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54184992"/>
        <c:crosses val="autoZero"/>
        <c:crossBetween val="midCat"/>
      </c:valAx>
      <c:spPr>
        <a:solidFill>
          <a:srgbClr val="C0C0C0"/>
        </a:solidFill>
        <a:ln w="12700">
          <a:solidFill>
            <a:srgbClr val="808080"/>
          </a:solidFill>
          <a:prstDash val="solid"/>
        </a:ln>
      </c:spPr>
    </c:plotArea>
    <c:legend>
      <c:legendPos val="r"/>
      <c:layout>
        <c:manualLayout>
          <c:xMode val="edge"/>
          <c:yMode val="edge"/>
          <c:x val="0.81273054676565193"/>
          <c:y val="0.46930183229672662"/>
          <c:w val="0.17101544571221133"/>
          <c:h val="6.388401905609891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012815131208591"/>
          <c:y val="3.6947090774280912E-2"/>
        </c:manualLayout>
      </c:layout>
      <c:overlay val="0"/>
      <c:spPr>
        <a:noFill/>
        <a:ln w="25400">
          <a:noFill/>
        </a:ln>
      </c:spPr>
      <c:txPr>
        <a:bodyPr/>
        <a:lstStyle/>
        <a:p>
          <a:pPr>
            <a:defRPr sz="10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6.7853547612053644E-2"/>
          <c:y val="0.19458801141121282"/>
          <c:w val="0.7237711745285722"/>
          <c:h val="0.72662611856085801"/>
        </c:manualLayout>
      </c:layout>
      <c:scatterChart>
        <c:scatterStyle val="smoothMarker"/>
        <c:varyColors val="0"/>
        <c:ser>
          <c:idx val="0"/>
          <c:order val="0"/>
          <c:tx>
            <c:strRef>
              <c:f>'Q1 c-d, additional info'!$B$5</c:f>
              <c:strCache>
                <c:ptCount val="1"/>
                <c:pt idx="0">
                  <c:v>NPV</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'Q1 c-d, additional info'!$A$6:$A$106</c:f>
              <c:numCache>
                <c:formatCode>0%</c:formatCode>
                <c:ptCount val="101"/>
                <c:pt idx="0">
                  <c:v>-0.1</c:v>
                </c:pt>
                <c:pt idx="1">
                  <c:v>-0.09</c:v>
                </c:pt>
                <c:pt idx="2">
                  <c:v>-0.08</c:v>
                </c:pt>
                <c:pt idx="3">
                  <c:v>-7.0000000000000007E-2</c:v>
                </c:pt>
                <c:pt idx="4">
                  <c:v>-0.06</c:v>
                </c:pt>
                <c:pt idx="5">
                  <c:v>-0.05</c:v>
                </c:pt>
                <c:pt idx="6">
                  <c:v>-3.9999999999999897E-2</c:v>
                </c:pt>
                <c:pt idx="7">
                  <c:v>-2.9999999999999898E-2</c:v>
                </c:pt>
                <c:pt idx="8">
                  <c:v>-1.99999999999999E-2</c:v>
                </c:pt>
                <c:pt idx="9">
                  <c:v>-9.99999999999991E-3</c:v>
                </c:pt>
                <c:pt idx="10">
                  <c:v>0</c:v>
                </c:pt>
                <c:pt idx="11">
                  <c:v>0.01</c:v>
                </c:pt>
                <c:pt idx="12">
                  <c:v>0.02</c:v>
                </c:pt>
                <c:pt idx="13">
                  <c:v>0.03</c:v>
                </c:pt>
                <c:pt idx="14">
                  <c:v>0.04</c:v>
                </c:pt>
                <c:pt idx="15">
                  <c:v>0.05</c:v>
                </c:pt>
                <c:pt idx="16">
                  <c:v>0.06</c:v>
                </c:pt>
                <c:pt idx="17">
                  <c:v>7.0000000000000007E-2</c:v>
                </c:pt>
                <c:pt idx="18">
                  <c:v>0.08</c:v>
                </c:pt>
                <c:pt idx="19">
                  <c:v>0.09</c:v>
                </c:pt>
                <c:pt idx="20">
                  <c:v>0.1</c:v>
                </c:pt>
                <c:pt idx="21">
                  <c:v>0.11</c:v>
                </c:pt>
                <c:pt idx="22">
                  <c:v>0.12</c:v>
                </c:pt>
                <c:pt idx="23">
                  <c:v>0.13</c:v>
                </c:pt>
                <c:pt idx="24">
                  <c:v>0.14000000000000001</c:v>
                </c:pt>
                <c:pt idx="25">
                  <c:v>0.15</c:v>
                </c:pt>
                <c:pt idx="26">
                  <c:v>0.16</c:v>
                </c:pt>
                <c:pt idx="27">
                  <c:v>0.17</c:v>
                </c:pt>
                <c:pt idx="28">
                  <c:v>0.18</c:v>
                </c:pt>
                <c:pt idx="29">
                  <c:v>0.19</c:v>
                </c:pt>
                <c:pt idx="30">
                  <c:v>0.2</c:v>
                </c:pt>
                <c:pt idx="31">
                  <c:v>0.21</c:v>
                </c:pt>
                <c:pt idx="32">
                  <c:v>0.22</c:v>
                </c:pt>
                <c:pt idx="33">
                  <c:v>0.23</c:v>
                </c:pt>
                <c:pt idx="34">
                  <c:v>0.24</c:v>
                </c:pt>
                <c:pt idx="35">
                  <c:v>0.25</c:v>
                </c:pt>
                <c:pt idx="36">
                  <c:v>0.26</c:v>
                </c:pt>
                <c:pt idx="37">
                  <c:v>0.27</c:v>
                </c:pt>
                <c:pt idx="38">
                  <c:v>0.28000000000000003</c:v>
                </c:pt>
                <c:pt idx="39">
                  <c:v>0.28999999999999998</c:v>
                </c:pt>
                <c:pt idx="40">
                  <c:v>0.3</c:v>
                </c:pt>
                <c:pt idx="41">
                  <c:v>0.31</c:v>
                </c:pt>
                <c:pt idx="42">
                  <c:v>0.32</c:v>
                </c:pt>
                <c:pt idx="43">
                  <c:v>0.33</c:v>
                </c:pt>
                <c:pt idx="44">
                  <c:v>0.34</c:v>
                </c:pt>
                <c:pt idx="45">
                  <c:v>0.35</c:v>
                </c:pt>
                <c:pt idx="46">
                  <c:v>0.36</c:v>
                </c:pt>
                <c:pt idx="47">
                  <c:v>0.37</c:v>
                </c:pt>
                <c:pt idx="48">
                  <c:v>0.38</c:v>
                </c:pt>
                <c:pt idx="49">
                  <c:v>0.39</c:v>
                </c:pt>
                <c:pt idx="50">
                  <c:v>0.4</c:v>
                </c:pt>
                <c:pt idx="51">
                  <c:v>0.41</c:v>
                </c:pt>
                <c:pt idx="52">
                  <c:v>0.42</c:v>
                </c:pt>
                <c:pt idx="53">
                  <c:v>0.43</c:v>
                </c:pt>
                <c:pt idx="54">
                  <c:v>0.44</c:v>
                </c:pt>
                <c:pt idx="55">
                  <c:v>0.45</c:v>
                </c:pt>
                <c:pt idx="56">
                  <c:v>0.46</c:v>
                </c:pt>
                <c:pt idx="57">
                  <c:v>0.47</c:v>
                </c:pt>
                <c:pt idx="58">
                  <c:v>0.48</c:v>
                </c:pt>
                <c:pt idx="59">
                  <c:v>0.49</c:v>
                </c:pt>
                <c:pt idx="60">
                  <c:v>0.5</c:v>
                </c:pt>
                <c:pt idx="61">
                  <c:v>0.51</c:v>
                </c:pt>
                <c:pt idx="62">
                  <c:v>0.52</c:v>
                </c:pt>
                <c:pt idx="63">
                  <c:v>0.53</c:v>
                </c:pt>
                <c:pt idx="64">
                  <c:v>0.54</c:v>
                </c:pt>
                <c:pt idx="65">
                  <c:v>0.55000000000000004</c:v>
                </c:pt>
                <c:pt idx="66">
                  <c:v>0.56000000000000005</c:v>
                </c:pt>
                <c:pt idx="67">
                  <c:v>0.56999999999999995</c:v>
                </c:pt>
                <c:pt idx="68">
                  <c:v>0.57999999999999996</c:v>
                </c:pt>
                <c:pt idx="69">
                  <c:v>0.59</c:v>
                </c:pt>
                <c:pt idx="70">
                  <c:v>0.6</c:v>
                </c:pt>
                <c:pt idx="71">
                  <c:v>0.61</c:v>
                </c:pt>
                <c:pt idx="72">
                  <c:v>0.62</c:v>
                </c:pt>
                <c:pt idx="73">
                  <c:v>0.63</c:v>
                </c:pt>
                <c:pt idx="74">
                  <c:v>0.64</c:v>
                </c:pt>
                <c:pt idx="75">
                  <c:v>0.65</c:v>
                </c:pt>
                <c:pt idx="76">
                  <c:v>0.66</c:v>
                </c:pt>
                <c:pt idx="77">
                  <c:v>0.67</c:v>
                </c:pt>
                <c:pt idx="78">
                  <c:v>0.68</c:v>
                </c:pt>
                <c:pt idx="79">
                  <c:v>0.69</c:v>
                </c:pt>
                <c:pt idx="80">
                  <c:v>0.7</c:v>
                </c:pt>
                <c:pt idx="81">
                  <c:v>0.71</c:v>
                </c:pt>
                <c:pt idx="82">
                  <c:v>0.72</c:v>
                </c:pt>
                <c:pt idx="83">
                  <c:v>0.73</c:v>
                </c:pt>
                <c:pt idx="84">
                  <c:v>0.74</c:v>
                </c:pt>
                <c:pt idx="85">
                  <c:v>0.75</c:v>
                </c:pt>
                <c:pt idx="86">
                  <c:v>0.76</c:v>
                </c:pt>
                <c:pt idx="87">
                  <c:v>0.77</c:v>
                </c:pt>
                <c:pt idx="88">
                  <c:v>0.78</c:v>
                </c:pt>
                <c:pt idx="89">
                  <c:v>0.79</c:v>
                </c:pt>
                <c:pt idx="90">
                  <c:v>0.8</c:v>
                </c:pt>
                <c:pt idx="91">
                  <c:v>0.81</c:v>
                </c:pt>
                <c:pt idx="92">
                  <c:v>0.82</c:v>
                </c:pt>
                <c:pt idx="93">
                  <c:v>0.83</c:v>
                </c:pt>
                <c:pt idx="94">
                  <c:v>0.84</c:v>
                </c:pt>
                <c:pt idx="95">
                  <c:v>0.85</c:v>
                </c:pt>
                <c:pt idx="96">
                  <c:v>0.86000000000000099</c:v>
                </c:pt>
                <c:pt idx="97">
                  <c:v>0.87000000000000099</c:v>
                </c:pt>
                <c:pt idx="98">
                  <c:v>0.880000000000001</c:v>
                </c:pt>
                <c:pt idx="99">
                  <c:v>0.89000000000000101</c:v>
                </c:pt>
                <c:pt idx="100">
                  <c:v>0.90000000000000102</c:v>
                </c:pt>
              </c:numCache>
            </c:numRef>
          </c:xVal>
          <c:yVal>
            <c:numRef>
              <c:f>'Q1 c-d, additional info'!$B$6:$B$106</c:f>
              <c:numCache>
                <c:formatCode>"$"#,##0.00</c:formatCode>
                <c:ptCount val="101"/>
                <c:pt idx="0">
                  <c:v>-17.510288065843596</c:v>
                </c:pt>
                <c:pt idx="1">
                  <c:v>-15.501571849235148</c:v>
                </c:pt>
                <c:pt idx="2">
                  <c:v>-13.638941398865796</c:v>
                </c:pt>
                <c:pt idx="3">
                  <c:v>-11.913049802513086</c:v>
                </c:pt>
                <c:pt idx="4">
                  <c:v>-10.315199907534932</c:v>
                </c:pt>
                <c:pt idx="5">
                  <c:v>-8.8372940661904096</c:v>
                </c:pt>
                <c:pt idx="6">
                  <c:v>-7.4717881944444429</c:v>
                </c:pt>
                <c:pt idx="7">
                  <c:v>-6.2116497365430945</c:v>
                </c:pt>
                <c:pt idx="8">
                  <c:v>-5.0503191697336973</c:v>
                </c:pt>
                <c:pt idx="9">
                  <c:v>-3.9816747208849961</c:v>
                </c:pt>
                <c:pt idx="10">
                  <c:v>-3</c:v>
                </c:pt>
                <c:pt idx="11">
                  <c:v>-2.0999542852040207</c:v>
                </c:pt>
                <c:pt idx="12">
                  <c:v>-1.2765452201641949</c:v>
                </c:pt>
                <c:pt idx="13">
                  <c:v>-0.5251037084285457</c:v>
                </c:pt>
                <c:pt idx="14">
                  <c:v>0.15873918980426538</c:v>
                </c:pt>
                <c:pt idx="15">
                  <c:v>0.77907353417558056</c:v>
                </c:pt>
                <c:pt idx="16">
                  <c:v>1.3397301127776728</c:v>
                </c:pt>
                <c:pt idx="17">
                  <c:v>1.844298526663934</c:v>
                </c:pt>
                <c:pt idx="18">
                  <c:v>2.2961438805060084</c:v>
                </c:pt>
                <c:pt idx="19">
                  <c:v>2.6984221974951907</c:v>
                </c:pt>
                <c:pt idx="20">
                  <c:v>3.0540946656649197</c:v>
                </c:pt>
                <c:pt idx="21">
                  <c:v>3.3659408129824584</c:v>
                </c:pt>
                <c:pt idx="22">
                  <c:v>3.6365706997084573</c:v>
                </c:pt>
                <c:pt idx="23">
                  <c:v>3.868436208544324</c:v>
                </c:pt>
                <c:pt idx="24">
                  <c:v>4.0638415058884476</c:v>
                </c:pt>
                <c:pt idx="25">
                  <c:v>4.2249527410207861</c:v>
                </c:pt>
                <c:pt idx="26">
                  <c:v>4.3538070441592538</c:v>
                </c:pt>
                <c:pt idx="27">
                  <c:v>4.4523208790138398</c:v>
                </c:pt>
                <c:pt idx="28">
                  <c:v>4.5222978006514865</c:v>
                </c:pt>
                <c:pt idx="29">
                  <c:v>4.5654356651211998</c:v>
                </c:pt>
                <c:pt idx="30">
                  <c:v>4.5833333333333428</c:v>
                </c:pt>
                <c:pt idx="31">
                  <c:v>4.577496908094048</c:v>
                </c:pt>
                <c:pt idx="32">
                  <c:v>4.5493455399350466</c:v>
                </c:pt>
                <c:pt idx="33">
                  <c:v>4.5002168344110629</c:v>
                </c:pt>
                <c:pt idx="34">
                  <c:v>4.4313718908395003</c:v>
                </c:pt>
                <c:pt idx="35">
                  <c:v>4.3440000000000083</c:v>
                </c:pt>
                <c:pt idx="36">
                  <c:v>4.2392230260711017</c:v>
                </c:pt>
                <c:pt idx="37">
                  <c:v>4.1180994960415092</c:v>
                </c:pt>
                <c:pt idx="38">
                  <c:v>3.98162841796875</c:v>
                </c:pt>
                <c:pt idx="39">
                  <c:v>3.8307528477576369</c:v>
                </c:pt>
                <c:pt idx="40">
                  <c:v>3.666363222576237</c:v>
                </c:pt>
                <c:pt idx="41">
                  <c:v>3.4893004776052123</c:v>
                </c:pt>
                <c:pt idx="42">
                  <c:v>3.3003589615159825</c:v>
                </c:pt>
                <c:pt idx="43">
                  <c:v>3.1002891648817865</c:v>
                </c:pt>
                <c:pt idx="44">
                  <c:v>2.8898002746348368</c:v>
                </c:pt>
                <c:pt idx="45">
                  <c:v>2.6695625666819183</c:v>
                </c:pt>
                <c:pt idx="46">
                  <c:v>2.4402096478729902</c:v>
                </c:pt>
                <c:pt idx="47">
                  <c:v>2.2023405576752566</c:v>
                </c:pt>
                <c:pt idx="48">
                  <c:v>1.9565217391304373</c:v>
                </c:pt>
                <c:pt idx="49">
                  <c:v>1.7032888879621453</c:v>
                </c:pt>
                <c:pt idx="50">
                  <c:v>1.4431486880466622</c:v>
                </c:pt>
                <c:pt idx="51">
                  <c:v>1.1765804408571512</c:v>
                </c:pt>
                <c:pt idx="52">
                  <c:v>0.90403759593866084</c:v>
                </c:pt>
                <c:pt idx="53">
                  <c:v>0.62594918895959495</c:v>
                </c:pt>
                <c:pt idx="54">
                  <c:v>0.34272119341565599</c:v>
                </c:pt>
                <c:pt idx="55">
                  <c:v>5.4737791627374577E-2</c:v>
                </c:pt>
                <c:pt idx="56">
                  <c:v>-0.23763742972673185</c:v>
                </c:pt>
                <c:pt idx="57">
                  <c:v>-0.53406035467081381</c:v>
                </c:pt>
                <c:pt idx="58">
                  <c:v>-0.83420527905555275</c:v>
                </c:pt>
                <c:pt idx="59">
                  <c:v>-1.1377639135307049</c:v>
                </c:pt>
                <c:pt idx="60">
                  <c:v>-1.4444444444444429</c:v>
                </c:pt>
                <c:pt idx="61">
                  <c:v>-1.7539706490159261</c:v>
                </c:pt>
                <c:pt idx="62">
                  <c:v>-2.066081061379208</c:v>
                </c:pt>
                <c:pt idx="63">
                  <c:v>-2.3805281863268704</c:v>
                </c:pt>
                <c:pt idx="64">
                  <c:v>-2.697077757796265</c:v>
                </c:pt>
                <c:pt idx="65">
                  <c:v>-3.0155080393407445</c:v>
                </c:pt>
                <c:pt idx="66">
                  <c:v>-3.3356091640115437</c:v>
                </c:pt>
                <c:pt idx="67">
                  <c:v>-3.6571825112477256</c:v>
                </c:pt>
                <c:pt idx="68">
                  <c:v>-3.9800401185301979</c:v>
                </c:pt>
                <c:pt idx="69">
                  <c:v>-4.3040041257025621</c:v>
                </c:pt>
                <c:pt idx="70">
                  <c:v>-4.62890625</c:v>
                </c:pt>
                <c:pt idx="71">
                  <c:v>-4.9545872899524426</c:v>
                </c:pt>
                <c:pt idx="72">
                  <c:v>-5.2808966564491442</c:v>
                </c:pt>
                <c:pt idx="73">
                  <c:v>-5.6076919293599872</c:v>
                </c:pt>
                <c:pt idx="74">
                  <c:v>-5.9348384382118695</c:v>
                </c:pt>
                <c:pt idx="75">
                  <c:v>-6.2622088655146371</c:v>
                </c:pt>
                <c:pt idx="76">
                  <c:v>-6.5896828714189155</c:v>
                </c:pt>
                <c:pt idx="77">
                  <c:v>-6.9171467384711463</c:v>
                </c:pt>
                <c:pt idx="78">
                  <c:v>-7.2444930353093753</c:v>
                </c:pt>
                <c:pt idx="79">
                  <c:v>-7.5716202982135883</c:v>
                </c:pt>
                <c:pt idx="80">
                  <c:v>-7.8984327294931944</c:v>
                </c:pt>
                <c:pt idx="81">
                  <c:v>-8.2248399117557227</c:v>
                </c:pt>
                <c:pt idx="82">
                  <c:v>-8.5507565371602539</c:v>
                </c:pt>
                <c:pt idx="83">
                  <c:v>-8.8761021508127982</c:v>
                </c:pt>
                <c:pt idx="84">
                  <c:v>-9.200800907512928</c:v>
                </c:pt>
                <c:pt idx="85">
                  <c:v>-9.5247813411078823</c:v>
                </c:pt>
                <c:pt idx="86">
                  <c:v>-9.8479761457550694</c:v>
                </c:pt>
                <c:pt idx="87">
                  <c:v>-10.170321968436681</c:v>
                </c:pt>
                <c:pt idx="88">
                  <c:v>-10.491759212107212</c:v>
                </c:pt>
                <c:pt idx="89">
                  <c:v>-10.812231848893319</c:v>
                </c:pt>
                <c:pt idx="90">
                  <c:v>-11.13168724279835</c:v>
                </c:pt>
                <c:pt idx="91">
                  <c:v>-11.450075981396154</c:v>
                </c:pt>
                <c:pt idx="92">
                  <c:v>-11.76735171602941</c:v>
                </c:pt>
                <c:pt idx="93">
                  <c:v>-12.083471010055177</c:v>
                </c:pt>
                <c:pt idx="94">
                  <c:v>-12.398393194706998</c:v>
                </c:pt>
                <c:pt idx="95">
                  <c:v>-12.712080232167878</c:v>
                </c:pt>
                <c:pt idx="96">
                  <c:v>-13.024496585471397</c:v>
                </c:pt>
                <c:pt idx="97">
                  <c:v>-13.335609094869852</c:v>
                </c:pt>
                <c:pt idx="98">
                  <c:v>-13.645386860329637</c:v>
                </c:pt>
                <c:pt idx="99">
                  <c:v>-13.953801129832073</c:v>
                </c:pt>
                <c:pt idx="100">
                  <c:v>-14.260825193176885</c:v>
                </c:pt>
              </c:numCache>
            </c:numRef>
          </c:yVal>
          <c:smooth val="1"/>
          <c:extLst>
            <c:ext xmlns:c16="http://schemas.microsoft.com/office/drawing/2014/chart" uri="{C3380CC4-5D6E-409C-BE32-E72D297353CC}">
              <c16:uniqueId val="{00000000-D767-4DD9-8EFE-A2263056C03B}"/>
            </c:ext>
          </c:extLst>
        </c:ser>
        <c:dLbls>
          <c:showLegendKey val="0"/>
          <c:showVal val="0"/>
          <c:showCatName val="0"/>
          <c:showSerName val="0"/>
          <c:showPercent val="0"/>
          <c:showBubbleSize val="0"/>
        </c:dLbls>
        <c:axId val="1657849552"/>
        <c:axId val="1"/>
      </c:scatterChart>
      <c:valAx>
        <c:axId val="1657849552"/>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quot;$&quot;#,##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7849552"/>
        <c:crosses val="autoZero"/>
        <c:crossBetween val="midCat"/>
      </c:valAx>
      <c:spPr>
        <a:solidFill>
          <a:srgbClr val="C0C0C0"/>
        </a:solidFill>
        <a:ln w="12700">
          <a:solidFill>
            <a:srgbClr val="808080"/>
          </a:solidFill>
          <a:prstDash val="solid"/>
        </a:ln>
      </c:spPr>
    </c:plotArea>
    <c:legend>
      <c:legendPos val="r"/>
      <c:layout>
        <c:manualLayout>
          <c:xMode val="edge"/>
          <c:yMode val="edge"/>
          <c:x val="0.85140046646553014"/>
          <c:y val="0.52711182837974102"/>
          <c:w val="0.13247597390924759"/>
          <c:h val="6.40416240087535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579120</xdr:colOff>
      <xdr:row>6</xdr:row>
      <xdr:rowOff>7620</xdr:rowOff>
    </xdr:from>
    <xdr:to>
      <xdr:col>10</xdr:col>
      <xdr:colOff>381000</xdr:colOff>
      <xdr:row>24</xdr:row>
      <xdr:rowOff>91440</xdr:rowOff>
    </xdr:to>
    <xdr:graphicFrame macro="">
      <xdr:nvGraphicFramePr>
        <xdr:cNvPr id="1025" name="Chart 1">
          <a:extLst>
            <a:ext uri="{FF2B5EF4-FFF2-40B4-BE49-F238E27FC236}">
              <a16:creationId xmlns:a16="http://schemas.microsoft.com/office/drawing/2014/main" id="{607071AD-9390-9380-88C2-450C53E44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4</xdr:row>
      <xdr:rowOff>22860</xdr:rowOff>
    </xdr:from>
    <xdr:to>
      <xdr:col>10</xdr:col>
      <xdr:colOff>403860</xdr:colOff>
      <xdr:row>22</xdr:row>
      <xdr:rowOff>99060</xdr:rowOff>
    </xdr:to>
    <xdr:graphicFrame macro="">
      <xdr:nvGraphicFramePr>
        <xdr:cNvPr id="2049" name="Chart 1">
          <a:extLst>
            <a:ext uri="{FF2B5EF4-FFF2-40B4-BE49-F238E27FC236}">
              <a16:creationId xmlns:a16="http://schemas.microsoft.com/office/drawing/2014/main" id="{E21DC833-851B-729E-B6E4-3D73EB6BE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75" workbookViewId="0">
      <selection activeCell="F1" sqref="F1"/>
    </sheetView>
  </sheetViews>
  <sheetFormatPr defaultRowHeight="13.2" x14ac:dyDescent="0.25"/>
  <cols>
    <col min="1" max="1" width="14.44140625" customWidth="1"/>
    <col min="2" max="2" width="10.44140625" bestFit="1" customWidth="1"/>
    <col min="3" max="3" width="3.109375" customWidth="1"/>
  </cols>
  <sheetData>
    <row r="1" spans="1:10" x14ac:dyDescent="0.25">
      <c r="A1" t="s">
        <v>73</v>
      </c>
      <c r="D1">
        <v>0</v>
      </c>
      <c r="E1">
        <v>1</v>
      </c>
      <c r="F1">
        <v>2</v>
      </c>
      <c r="G1">
        <v>3</v>
      </c>
    </row>
    <row r="2" spans="1:10" x14ac:dyDescent="0.25">
      <c r="A2" t="s">
        <v>74</v>
      </c>
      <c r="D2">
        <v>-85</v>
      </c>
      <c r="E2">
        <v>120</v>
      </c>
      <c r="F2">
        <v>100</v>
      </c>
      <c r="G2">
        <v>-140</v>
      </c>
    </row>
    <row r="3" spans="1:10" x14ac:dyDescent="0.25">
      <c r="B3" s="23" t="s">
        <v>75</v>
      </c>
      <c r="D3" s="53" t="s">
        <v>138</v>
      </c>
      <c r="E3" s="53"/>
      <c r="F3" s="53"/>
    </row>
    <row r="4" spans="1:10" x14ac:dyDescent="0.25">
      <c r="A4" t="s">
        <v>76</v>
      </c>
      <c r="B4" s="52">
        <f t="shared" ref="B4:B44" si="0">SUM(D4:G4)</f>
        <v>-20.253772290809309</v>
      </c>
      <c r="D4">
        <f t="shared" ref="D4:D44" si="1">$D$2/(1+$J4)^$D$1</f>
        <v>-85</v>
      </c>
      <c r="E4">
        <f t="shared" ref="E4:E44" si="2">$E$2/(1+$J4)^$E$1</f>
        <v>133.33333333333334</v>
      </c>
      <c r="F4">
        <f t="shared" ref="F4:F44" si="3">$F$2/(1+$J4)^$F$1</f>
        <v>123.45679012345678</v>
      </c>
      <c r="G4">
        <f t="shared" ref="G4:G44" si="4">$G$2/(1+$J4)^$G$1</f>
        <v>-192.04389574759944</v>
      </c>
      <c r="I4" t="s">
        <v>77</v>
      </c>
      <c r="J4" s="10">
        <v>-0.1</v>
      </c>
    </row>
    <row r="5" spans="1:10" x14ac:dyDescent="0.25">
      <c r="B5" s="52">
        <f t="shared" si="0"/>
        <v>-18.155601794655041</v>
      </c>
      <c r="D5">
        <f t="shared" si="1"/>
        <v>-85</v>
      </c>
      <c r="E5">
        <f t="shared" si="2"/>
        <v>131.86813186813185</v>
      </c>
      <c r="F5">
        <f t="shared" si="3"/>
        <v>120.75836251660427</v>
      </c>
      <c r="G5">
        <f t="shared" si="4"/>
        <v>-185.78209617939117</v>
      </c>
      <c r="I5" t="s">
        <v>78</v>
      </c>
      <c r="J5" s="10">
        <v>-0.09</v>
      </c>
    </row>
    <row r="6" spans="1:10" x14ac:dyDescent="0.25">
      <c r="B6" s="52">
        <f t="shared" si="0"/>
        <v>-16.207364181803229</v>
      </c>
      <c r="D6">
        <f t="shared" si="1"/>
        <v>-85</v>
      </c>
      <c r="E6">
        <f t="shared" si="2"/>
        <v>130.43478260869566</v>
      </c>
      <c r="F6">
        <f t="shared" si="3"/>
        <v>118.14744801512286</v>
      </c>
      <c r="G6">
        <f t="shared" si="4"/>
        <v>-179.78959480562176</v>
      </c>
      <c r="J6" s="10">
        <v>-0.08</v>
      </c>
    </row>
    <row r="7" spans="1:10" x14ac:dyDescent="0.25">
      <c r="B7" s="52">
        <f t="shared" si="0"/>
        <v>-14.399507929936618</v>
      </c>
      <c r="D7">
        <f t="shared" si="1"/>
        <v>-85</v>
      </c>
      <c r="E7">
        <f t="shared" si="2"/>
        <v>129.03225806451613</v>
      </c>
      <c r="F7">
        <f t="shared" si="3"/>
        <v>115.62030292519368</v>
      </c>
      <c r="G7">
        <f t="shared" si="4"/>
        <v>-174.05206891964642</v>
      </c>
      <c r="J7" s="10">
        <v>-7.0000000000000007E-2</v>
      </c>
    </row>
    <row r="8" spans="1:10" x14ac:dyDescent="0.25">
      <c r="B8" s="52">
        <f t="shared" si="0"/>
        <v>-12.72314419733587</v>
      </c>
      <c r="D8">
        <f t="shared" si="1"/>
        <v>-85</v>
      </c>
      <c r="E8">
        <f t="shared" si="2"/>
        <v>127.65957446808511</v>
      </c>
      <c r="F8">
        <f t="shared" si="3"/>
        <v>113.17338162064283</v>
      </c>
      <c r="G8">
        <f t="shared" si="4"/>
        <v>-168.55610028606381</v>
      </c>
      <c r="J8" s="10">
        <v>-0.06</v>
      </c>
    </row>
    <row r="9" spans="1:10" x14ac:dyDescent="0.25">
      <c r="B9" s="52">
        <f t="shared" si="0"/>
        <v>-11.169995626184573</v>
      </c>
      <c r="D9">
        <f t="shared" si="1"/>
        <v>-85</v>
      </c>
      <c r="E9">
        <f t="shared" si="2"/>
        <v>126.31578947368422</v>
      </c>
      <c r="F9">
        <f t="shared" si="3"/>
        <v>110.803324099723</v>
      </c>
      <c r="G9">
        <f t="shared" si="4"/>
        <v>-163.28910919959179</v>
      </c>
      <c r="J9" s="10">
        <v>-0.05</v>
      </c>
    </row>
    <row r="10" spans="1:10" x14ac:dyDescent="0.25">
      <c r="B10" s="52">
        <f t="shared" si="0"/>
        <v>-9.7323495370370381</v>
      </c>
      <c r="D10">
        <f t="shared" si="1"/>
        <v>-85</v>
      </c>
      <c r="E10">
        <f t="shared" si="2"/>
        <v>124.99999999999999</v>
      </c>
      <c r="F10">
        <f t="shared" si="3"/>
        <v>108.50694444444441</v>
      </c>
      <c r="G10">
        <f t="shared" si="4"/>
        <v>-158.23929398148144</v>
      </c>
      <c r="J10" s="10">
        <v>-3.9999999999999897E-2</v>
      </c>
    </row>
    <row r="11" spans="1:10" x14ac:dyDescent="0.25">
      <c r="B11" s="52">
        <f t="shared" si="0"/>
        <v>-8.4030150996030386</v>
      </c>
      <c r="D11">
        <f t="shared" si="1"/>
        <v>-85</v>
      </c>
      <c r="E11">
        <f t="shared" si="2"/>
        <v>123.71134020618555</v>
      </c>
      <c r="F11">
        <f t="shared" si="3"/>
        <v>106.28122010840683</v>
      </c>
      <c r="G11">
        <f t="shared" si="4"/>
        <v>-153.39557541419541</v>
      </c>
      <c r="J11" s="10">
        <v>-2.9999999999999898E-2</v>
      </c>
    </row>
    <row r="12" spans="1:10" x14ac:dyDescent="0.25">
      <c r="B12" s="52">
        <f t="shared" si="0"/>
        <v>-7.1752841078122174</v>
      </c>
      <c r="D12">
        <f t="shared" si="1"/>
        <v>-85</v>
      </c>
      <c r="E12">
        <f t="shared" si="2"/>
        <v>122.44897959183672</v>
      </c>
      <c r="F12">
        <f t="shared" si="3"/>
        <v>104.12328196584755</v>
      </c>
      <c r="G12">
        <f t="shared" si="4"/>
        <v>-148.74754566549649</v>
      </c>
      <c r="J12" s="10">
        <v>-1.99999999999999E-2</v>
      </c>
    </row>
    <row r="13" spans="1:10" x14ac:dyDescent="0.25">
      <c r="B13" s="52">
        <f t="shared" si="0"/>
        <v>-6.0428950251417177</v>
      </c>
      <c r="D13">
        <f t="shared" si="1"/>
        <v>-85</v>
      </c>
      <c r="E13">
        <f t="shared" si="2"/>
        <v>121.2121212121212</v>
      </c>
      <c r="F13">
        <f t="shared" si="3"/>
        <v>102.03040506070808</v>
      </c>
      <c r="G13">
        <f t="shared" si="4"/>
        <v>-144.285421297971</v>
      </c>
      <c r="J13" s="10">
        <v>-9.99999999999991E-3</v>
      </c>
    </row>
    <row r="14" spans="1:10" x14ac:dyDescent="0.25">
      <c r="B14" s="52">
        <f t="shared" si="0"/>
        <v>-5</v>
      </c>
      <c r="D14">
        <f t="shared" si="1"/>
        <v>-85</v>
      </c>
      <c r="E14">
        <f t="shared" si="2"/>
        <v>120</v>
      </c>
      <c r="F14">
        <f t="shared" si="3"/>
        <v>100</v>
      </c>
      <c r="G14">
        <f t="shared" si="4"/>
        <v>-140</v>
      </c>
      <c r="J14" s="10">
        <v>0</v>
      </c>
    </row>
    <row r="15" spans="1:10" x14ac:dyDescent="0.25">
      <c r="B15" s="52">
        <f t="shared" si="0"/>
        <v>-4.0411345810593104</v>
      </c>
      <c r="D15">
        <f t="shared" si="1"/>
        <v>-85</v>
      </c>
      <c r="E15">
        <f t="shared" si="2"/>
        <v>118.81188118811882</v>
      </c>
      <c r="F15">
        <f t="shared" si="3"/>
        <v>98.029604940692082</v>
      </c>
      <c r="G15">
        <f t="shared" si="4"/>
        <v>-135.88262070987022</v>
      </c>
      <c r="J15" s="10">
        <v>0.01</v>
      </c>
    </row>
    <row r="16" spans="1:10" x14ac:dyDescent="0.25">
      <c r="B16" s="52">
        <f t="shared" si="0"/>
        <v>-3.1611898892582815</v>
      </c>
      <c r="D16">
        <f t="shared" si="1"/>
        <v>-85</v>
      </c>
      <c r="E16">
        <f t="shared" si="2"/>
        <v>117.64705882352941</v>
      </c>
      <c r="F16">
        <f t="shared" si="3"/>
        <v>96.116878123798543</v>
      </c>
      <c r="G16">
        <f t="shared" si="4"/>
        <v>-131.92512683658623</v>
      </c>
      <c r="J16" s="10">
        <v>0.02</v>
      </c>
    </row>
    <row r="17" spans="2:10" x14ac:dyDescent="0.25">
      <c r="B17" s="52">
        <f t="shared" si="0"/>
        <v>-2.3553870271348671</v>
      </c>
      <c r="D17">
        <f t="shared" si="1"/>
        <v>-85</v>
      </c>
      <c r="E17">
        <f t="shared" si="2"/>
        <v>116.50485436893203</v>
      </c>
      <c r="F17">
        <f t="shared" si="3"/>
        <v>94.259590913375433</v>
      </c>
      <c r="G17">
        <f t="shared" si="4"/>
        <v>-128.11983230944233</v>
      </c>
      <c r="J17" s="10">
        <v>0.03</v>
      </c>
    </row>
    <row r="18" spans="2:10" x14ac:dyDescent="0.25">
      <c r="B18" s="52">
        <f t="shared" si="0"/>
        <v>-1.6192535275375519</v>
      </c>
      <c r="D18">
        <f t="shared" si="1"/>
        <v>-85</v>
      </c>
      <c r="E18">
        <f t="shared" si="2"/>
        <v>115.38461538461539</v>
      </c>
      <c r="F18">
        <f t="shared" si="3"/>
        <v>92.455621301775139</v>
      </c>
      <c r="G18">
        <f t="shared" si="4"/>
        <v>-124.45949021392808</v>
      </c>
      <c r="J18" s="10">
        <v>0.04</v>
      </c>
    </row>
    <row r="19" spans="2:10" x14ac:dyDescent="0.25">
      <c r="B19" s="52">
        <f t="shared" si="0"/>
        <v>-0.94860166288736991</v>
      </c>
      <c r="D19">
        <f t="shared" si="1"/>
        <v>-85</v>
      </c>
      <c r="E19">
        <f t="shared" si="2"/>
        <v>114.28571428571428</v>
      </c>
      <c r="F19">
        <f t="shared" si="3"/>
        <v>90.702947845804985</v>
      </c>
      <c r="G19">
        <f t="shared" si="4"/>
        <v>-120.93726379440663</v>
      </c>
      <c r="J19" s="10">
        <v>0.05</v>
      </c>
    </row>
    <row r="20" spans="2:10" x14ac:dyDescent="0.25">
      <c r="B20" s="52">
        <f t="shared" si="0"/>
        <v>-0.33950845328692481</v>
      </c>
      <c r="D20">
        <f t="shared" si="1"/>
        <v>-85</v>
      </c>
      <c r="E20">
        <f t="shared" si="2"/>
        <v>113.20754716981132</v>
      </c>
      <c r="F20">
        <f t="shared" si="3"/>
        <v>88.999644001423988</v>
      </c>
      <c r="G20">
        <f t="shared" si="4"/>
        <v>-117.54669962452223</v>
      </c>
      <c r="J20" s="10">
        <v>0.06</v>
      </c>
    </row>
    <row r="21" spans="2:10" x14ac:dyDescent="0.25">
      <c r="B21" s="52">
        <f t="shared" si="0"/>
        <v>0.21170277288226202</v>
      </c>
      <c r="D21">
        <f t="shared" si="1"/>
        <v>-85</v>
      </c>
      <c r="E21">
        <f t="shared" si="2"/>
        <v>112.14953271028037</v>
      </c>
      <c r="F21">
        <f t="shared" si="3"/>
        <v>87.343872827321164</v>
      </c>
      <c r="G21">
        <f t="shared" si="4"/>
        <v>-114.28170276471927</v>
      </c>
      <c r="J21" s="10">
        <v>7.0000000000000007E-2</v>
      </c>
    </row>
    <row r="22" spans="2:10" x14ac:dyDescent="0.25">
      <c r="B22" s="52">
        <f t="shared" si="0"/>
        <v>0.70847939846568408</v>
      </c>
      <c r="D22">
        <f t="shared" si="1"/>
        <v>-85</v>
      </c>
      <c r="E22">
        <f t="shared" si="2"/>
        <v>111.1111111111111</v>
      </c>
      <c r="F22">
        <f t="shared" si="3"/>
        <v>85.733882030178322</v>
      </c>
      <c r="G22">
        <f t="shared" si="4"/>
        <v>-111.13651374282374</v>
      </c>
      <c r="J22" s="10">
        <v>0.08</v>
      </c>
    </row>
    <row r="23" spans="2:10" x14ac:dyDescent="0.25">
      <c r="B23" s="52">
        <f t="shared" si="0"/>
        <v>1.1540552373730435</v>
      </c>
      <c r="D23">
        <f t="shared" si="1"/>
        <v>-85</v>
      </c>
      <c r="E23">
        <f t="shared" si="2"/>
        <v>110.09174311926604</v>
      </c>
      <c r="F23">
        <f t="shared" si="3"/>
        <v>84.167999326655988</v>
      </c>
      <c r="G23">
        <f t="shared" si="4"/>
        <v>-108.10568720854899</v>
      </c>
      <c r="J23" s="10">
        <v>0.09</v>
      </c>
    </row>
    <row r="24" spans="2:10" x14ac:dyDescent="0.25">
      <c r="B24" s="52">
        <f t="shared" si="0"/>
        <v>1.5514650638617695</v>
      </c>
      <c r="D24">
        <f t="shared" si="1"/>
        <v>-85</v>
      </c>
      <c r="E24">
        <f t="shared" si="2"/>
        <v>109.09090909090908</v>
      </c>
      <c r="F24">
        <f t="shared" si="3"/>
        <v>82.644628099173545</v>
      </c>
      <c r="G24">
        <f t="shared" si="4"/>
        <v>-105.18407212622085</v>
      </c>
      <c r="J24" s="10">
        <v>0.1</v>
      </c>
    </row>
    <row r="25" spans="2:10" x14ac:dyDescent="0.25">
      <c r="B25" s="52">
        <f t="shared" si="0"/>
        <v>1.9035580503805534</v>
      </c>
      <c r="D25">
        <f t="shared" si="1"/>
        <v>-85</v>
      </c>
      <c r="E25">
        <f t="shared" si="2"/>
        <v>108.1081081081081</v>
      </c>
      <c r="F25">
        <f t="shared" si="3"/>
        <v>81.16224332440548</v>
      </c>
      <c r="G25">
        <f t="shared" si="4"/>
        <v>-102.36679338213303</v>
      </c>
      <c r="J25" s="10">
        <v>0.11</v>
      </c>
    </row>
    <row r="26" spans="2:10" x14ac:dyDescent="0.25">
      <c r="B26" s="52">
        <f t="shared" si="0"/>
        <v>2.2130102040816553</v>
      </c>
      <c r="D26">
        <f t="shared" si="1"/>
        <v>-85</v>
      </c>
      <c r="E26">
        <f t="shared" si="2"/>
        <v>107.14285714285714</v>
      </c>
      <c r="F26">
        <f t="shared" si="3"/>
        <v>79.719387755102034</v>
      </c>
      <c r="G26">
        <f t="shared" si="4"/>
        <v>-99.649234693877517</v>
      </c>
      <c r="J26" s="10">
        <v>0.12</v>
      </c>
    </row>
    <row r="27" spans="2:10" x14ac:dyDescent="0.25">
      <c r="B27" s="52">
        <f t="shared" si="0"/>
        <v>2.4823358839889522</v>
      </c>
      <c r="D27">
        <f t="shared" si="1"/>
        <v>-85</v>
      </c>
      <c r="E27">
        <f t="shared" si="2"/>
        <v>106.19469026548674</v>
      </c>
      <c r="F27">
        <f t="shared" si="3"/>
        <v>78.314668337379615</v>
      </c>
      <c r="G27">
        <f t="shared" si="4"/>
        <v>-97.027022718877404</v>
      </c>
      <c r="J27" s="10">
        <v>0.13</v>
      </c>
    </row>
    <row r="28" spans="2:10" x14ac:dyDescent="0.25">
      <c r="B28" s="52">
        <f t="shared" si="0"/>
        <v>2.71389847348442</v>
      </c>
      <c r="D28">
        <f t="shared" si="1"/>
        <v>-85</v>
      </c>
      <c r="E28">
        <f t="shared" si="2"/>
        <v>105.26315789473684</v>
      </c>
      <c r="F28">
        <f t="shared" si="3"/>
        <v>76.946752847029842</v>
      </c>
      <c r="G28">
        <f t="shared" si="4"/>
        <v>-94.496012268282257</v>
      </c>
      <c r="J28" s="10">
        <v>0.14000000000000001</v>
      </c>
    </row>
    <row r="29" spans="2:10" x14ac:dyDescent="0.25">
      <c r="B29" s="52">
        <f t="shared" si="0"/>
        <v>2.9099202761568108</v>
      </c>
      <c r="D29">
        <f t="shared" si="1"/>
        <v>-85</v>
      </c>
      <c r="E29">
        <f t="shared" si="2"/>
        <v>104.34782608695653</v>
      </c>
      <c r="F29">
        <f t="shared" si="3"/>
        <v>75.61436672967865</v>
      </c>
      <c r="G29">
        <f t="shared" si="4"/>
        <v>-92.05227254047837</v>
      </c>
      <c r="J29" s="10">
        <v>0.15</v>
      </c>
    </row>
    <row r="30" spans="2:10" x14ac:dyDescent="0.25">
      <c r="B30" s="52">
        <f t="shared" si="0"/>
        <v>3.0724916970765435</v>
      </c>
      <c r="D30">
        <f t="shared" si="1"/>
        <v>-85</v>
      </c>
      <c r="E30">
        <f t="shared" si="2"/>
        <v>103.44827586206897</v>
      </c>
      <c r="F30">
        <f t="shared" si="3"/>
        <v>74.316290130796673</v>
      </c>
      <c r="G30">
        <f t="shared" si="4"/>
        <v>-89.692074295789098</v>
      </c>
      <c r="J30" s="10">
        <v>0.16</v>
      </c>
    </row>
    <row r="31" spans="2:10" x14ac:dyDescent="0.25">
      <c r="B31" s="52">
        <f t="shared" si="0"/>
        <v>3.2035797661482519</v>
      </c>
      <c r="D31">
        <f t="shared" si="1"/>
        <v>-85</v>
      </c>
      <c r="E31">
        <f t="shared" si="2"/>
        <v>102.56410256410257</v>
      </c>
      <c r="F31">
        <f t="shared" si="3"/>
        <v>73.05135510263716</v>
      </c>
      <c r="G31">
        <f t="shared" si="4"/>
        <v>-87.411877900591477</v>
      </c>
      <c r="J31" s="10">
        <v>0.17</v>
      </c>
    </row>
    <row r="32" spans="2:10" x14ac:dyDescent="0.25">
      <c r="B32" s="52">
        <f t="shared" si="0"/>
        <v>3.3050360552929021</v>
      </c>
      <c r="D32">
        <f t="shared" si="1"/>
        <v>-85</v>
      </c>
      <c r="E32">
        <f t="shared" si="2"/>
        <v>101.69491525423729</v>
      </c>
      <c r="F32">
        <f t="shared" si="3"/>
        <v>71.818442976156291</v>
      </c>
      <c r="G32">
        <f t="shared" si="4"/>
        <v>-85.208322175100676</v>
      </c>
      <c r="J32" s="10">
        <v>0.18</v>
      </c>
    </row>
    <row r="33" spans="1:10" x14ac:dyDescent="0.25">
      <c r="B33" s="52">
        <f t="shared" si="0"/>
        <v>3.378604036770426</v>
      </c>
      <c r="D33">
        <f t="shared" si="1"/>
        <v>-85</v>
      </c>
      <c r="E33">
        <f t="shared" si="2"/>
        <v>100.84033613445379</v>
      </c>
      <c r="F33">
        <f t="shared" si="3"/>
        <v>70.616481886872407</v>
      </c>
      <c r="G33">
        <f t="shared" si="4"/>
        <v>-83.078213984555774</v>
      </c>
      <c r="J33" s="10">
        <v>0.19</v>
      </c>
    </row>
    <row r="34" spans="1:10" x14ac:dyDescent="0.25">
      <c r="B34" s="52">
        <f t="shared" si="0"/>
        <v>3.4259259259259238</v>
      </c>
      <c r="D34">
        <f t="shared" si="1"/>
        <v>-85</v>
      </c>
      <c r="E34">
        <f t="shared" si="2"/>
        <v>100</v>
      </c>
      <c r="F34">
        <f t="shared" si="3"/>
        <v>69.444444444444443</v>
      </c>
      <c r="G34">
        <f t="shared" si="4"/>
        <v>-81.018518518518519</v>
      </c>
      <c r="J34" s="10">
        <v>0.2</v>
      </c>
    </row>
    <row r="35" spans="1:10" x14ac:dyDescent="0.25">
      <c r="B35" s="52">
        <f t="shared" si="0"/>
        <v>3.4485490479864893</v>
      </c>
      <c r="D35">
        <f t="shared" si="1"/>
        <v>-85</v>
      </c>
      <c r="E35">
        <f t="shared" si="2"/>
        <v>99.173553719008268</v>
      </c>
      <c r="F35">
        <f t="shared" si="3"/>
        <v>68.301345536507071</v>
      </c>
      <c r="G35">
        <f t="shared" si="4"/>
        <v>-79.02635020752885</v>
      </c>
      <c r="J35" s="10">
        <v>0.21</v>
      </c>
    </row>
    <row r="36" spans="1:10" x14ac:dyDescent="0.25">
      <c r="B36" s="52">
        <f t="shared" si="0"/>
        <v>3.4479317652138235</v>
      </c>
      <c r="D36">
        <f t="shared" si="1"/>
        <v>-85</v>
      </c>
      <c r="E36">
        <f t="shared" si="2"/>
        <v>98.360655737704917</v>
      </c>
      <c r="F36">
        <f t="shared" si="3"/>
        <v>67.186240257995166</v>
      </c>
      <c r="G36">
        <f t="shared" si="4"/>
        <v>-77.09896423048626</v>
      </c>
      <c r="J36" s="10">
        <v>0.22</v>
      </c>
    </row>
    <row r="37" spans="1:10" x14ac:dyDescent="0.25">
      <c r="B37" s="52">
        <f t="shared" si="0"/>
        <v>3.425448997698382</v>
      </c>
      <c r="D37">
        <f t="shared" si="1"/>
        <v>-85</v>
      </c>
      <c r="E37">
        <f t="shared" si="2"/>
        <v>97.560975609756099</v>
      </c>
      <c r="F37">
        <f t="shared" si="3"/>
        <v>66.098221957829338</v>
      </c>
      <c r="G37">
        <f t="shared" si="4"/>
        <v>-75.233748569887055</v>
      </c>
      <c r="J37" s="10">
        <v>0.23</v>
      </c>
    </row>
    <row r="38" spans="1:10" x14ac:dyDescent="0.25">
      <c r="B38" s="52">
        <f t="shared" si="0"/>
        <v>3.3823973683327182</v>
      </c>
      <c r="D38">
        <f t="shared" si="1"/>
        <v>-85</v>
      </c>
      <c r="E38">
        <f t="shared" si="2"/>
        <v>96.774193548387103</v>
      </c>
      <c r="F38">
        <f t="shared" si="3"/>
        <v>65.03642039542143</v>
      </c>
      <c r="G38">
        <f t="shared" si="4"/>
        <v>-73.428216575475815</v>
      </c>
      <c r="J38" s="10">
        <v>0.24</v>
      </c>
    </row>
    <row r="39" spans="1:10" x14ac:dyDescent="0.25">
      <c r="B39" s="52">
        <f t="shared" si="0"/>
        <v>3.3199999999999932</v>
      </c>
      <c r="D39">
        <f t="shared" si="1"/>
        <v>-85</v>
      </c>
      <c r="E39">
        <f t="shared" si="2"/>
        <v>96</v>
      </c>
      <c r="F39">
        <f t="shared" si="3"/>
        <v>64</v>
      </c>
      <c r="G39">
        <f t="shared" si="4"/>
        <v>-71.680000000000007</v>
      </c>
      <c r="J39" s="10">
        <v>0.25</v>
      </c>
    </row>
    <row r="40" spans="1:10" x14ac:dyDescent="0.25">
      <c r="B40" s="52">
        <f t="shared" si="0"/>
        <v>3.2394109907337452</v>
      </c>
      <c r="D40">
        <f t="shared" si="1"/>
        <v>-85</v>
      </c>
      <c r="E40">
        <f t="shared" si="2"/>
        <v>95.238095238095241</v>
      </c>
      <c r="F40">
        <f t="shared" si="3"/>
        <v>62.988158226253461</v>
      </c>
      <c r="G40">
        <f t="shared" si="4"/>
        <v>-69.986842473614956</v>
      </c>
      <c r="J40" s="10">
        <v>0.26</v>
      </c>
    </row>
    <row r="41" spans="1:10" x14ac:dyDescent="0.25">
      <c r="B41" s="52">
        <f t="shared" si="0"/>
        <v>3.1417195905257955</v>
      </c>
      <c r="D41">
        <f t="shared" si="1"/>
        <v>-85</v>
      </c>
      <c r="E41">
        <f t="shared" si="2"/>
        <v>94.488188976377955</v>
      </c>
      <c r="F41">
        <f t="shared" si="3"/>
        <v>62.000124000248</v>
      </c>
      <c r="G41">
        <f t="shared" si="4"/>
        <v>-68.346593386100167</v>
      </c>
      <c r="J41" s="10">
        <v>0.27</v>
      </c>
    </row>
    <row r="42" spans="1:10" x14ac:dyDescent="0.25">
      <c r="B42" s="52">
        <f t="shared" si="0"/>
        <v>3.0279541015625142</v>
      </c>
      <c r="D42">
        <f t="shared" si="1"/>
        <v>-85</v>
      </c>
      <c r="E42">
        <f t="shared" si="2"/>
        <v>93.75</v>
      </c>
      <c r="F42">
        <f t="shared" si="3"/>
        <v>61.03515625</v>
      </c>
      <c r="G42">
        <f t="shared" si="4"/>
        <v>-66.757202148437486</v>
      </c>
      <c r="J42" s="10">
        <v>0.28000000000000003</v>
      </c>
    </row>
    <row r="43" spans="1:10" x14ac:dyDescent="0.25">
      <c r="B43" s="52">
        <f t="shared" si="0"/>
        <v>2.8990855219363425</v>
      </c>
      <c r="D43">
        <f t="shared" si="1"/>
        <v>-85</v>
      </c>
      <c r="E43">
        <f t="shared" si="2"/>
        <v>93.023255813953483</v>
      </c>
      <c r="F43">
        <f t="shared" si="3"/>
        <v>60.092542515473824</v>
      </c>
      <c r="G43">
        <f t="shared" si="4"/>
        <v>-65.216712807490964</v>
      </c>
      <c r="J43" s="10">
        <v>0.28999999999999998</v>
      </c>
    </row>
    <row r="44" spans="1:10" x14ac:dyDescent="0.25">
      <c r="B44" s="52">
        <f t="shared" si="0"/>
        <v>2.7560309512972267</v>
      </c>
      <c r="D44">
        <f t="shared" si="1"/>
        <v>-85</v>
      </c>
      <c r="E44">
        <f t="shared" si="2"/>
        <v>92.307692307692307</v>
      </c>
      <c r="F44">
        <f t="shared" si="3"/>
        <v>59.171597633136088</v>
      </c>
      <c r="G44">
        <f t="shared" si="4"/>
        <v>-63.723258989531168</v>
      </c>
      <c r="J44" s="10">
        <v>0.3</v>
      </c>
    </row>
    <row r="46" spans="1:10" x14ac:dyDescent="0.25">
      <c r="A46" t="s">
        <v>127</v>
      </c>
    </row>
    <row r="48" spans="1:10" x14ac:dyDescent="0.25">
      <c r="A48" t="s">
        <v>46</v>
      </c>
      <c r="D48" s="23" t="s">
        <v>79</v>
      </c>
      <c r="E48" s="32">
        <f>IRR(D2:G2)</f>
        <v>6.6037799406962527E-2</v>
      </c>
    </row>
    <row r="49" spans="1:8" x14ac:dyDescent="0.25">
      <c r="B49" t="s">
        <v>80</v>
      </c>
    </row>
    <row r="50" spans="1:8" x14ac:dyDescent="0.25">
      <c r="B50" t="s">
        <v>137</v>
      </c>
    </row>
    <row r="51" spans="1:8" x14ac:dyDescent="0.25">
      <c r="B51" t="s">
        <v>81</v>
      </c>
    </row>
    <row r="52" spans="1:8" x14ac:dyDescent="0.25">
      <c r="A52" t="s">
        <v>82</v>
      </c>
      <c r="B52" s="33"/>
      <c r="C52" s="33"/>
      <c r="D52" s="33"/>
      <c r="E52" s="33"/>
      <c r="F52" s="33"/>
      <c r="G52" s="33"/>
      <c r="H52" s="33"/>
    </row>
    <row r="53" spans="1:8" x14ac:dyDescent="0.25">
      <c r="A53" t="s">
        <v>48</v>
      </c>
      <c r="B53" t="s">
        <v>83</v>
      </c>
    </row>
    <row r="54" spans="1:8" x14ac:dyDescent="0.25">
      <c r="B54" t="s">
        <v>84</v>
      </c>
    </row>
    <row r="55" spans="1:8" x14ac:dyDescent="0.25">
      <c r="B55" t="s">
        <v>85</v>
      </c>
    </row>
  </sheetData>
  <phoneticPr fontId="0" type="noConversion"/>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election activeCell="G30" sqref="G30"/>
    </sheetView>
  </sheetViews>
  <sheetFormatPr defaultRowHeight="13.2" x14ac:dyDescent="0.25"/>
  <cols>
    <col min="2" max="2" width="12" customWidth="1"/>
  </cols>
  <sheetData>
    <row r="1" spans="1:5" x14ac:dyDescent="0.25">
      <c r="A1" s="10" t="s">
        <v>123</v>
      </c>
      <c r="B1" s="10"/>
    </row>
    <row r="2" spans="1:5" x14ac:dyDescent="0.25">
      <c r="A2" s="43" t="s">
        <v>73</v>
      </c>
      <c r="B2" s="43">
        <v>0</v>
      </c>
      <c r="C2" s="43">
        <v>1</v>
      </c>
      <c r="D2" s="43">
        <v>2</v>
      </c>
      <c r="E2" s="43">
        <v>3</v>
      </c>
    </row>
    <row r="3" spans="1:5" x14ac:dyDescent="0.25">
      <c r="A3" s="43" t="s">
        <v>124</v>
      </c>
      <c r="B3">
        <v>-85</v>
      </c>
      <c r="C3">
        <v>120</v>
      </c>
      <c r="D3">
        <v>100</v>
      </c>
      <c r="E3">
        <v>-140</v>
      </c>
    </row>
    <row r="6" spans="1:5" x14ac:dyDescent="0.25">
      <c r="A6" t="s">
        <v>125</v>
      </c>
      <c r="B6" t="s">
        <v>126</v>
      </c>
    </row>
    <row r="7" spans="1:5" x14ac:dyDescent="0.25">
      <c r="A7" s="10">
        <v>-0.1</v>
      </c>
      <c r="B7" s="44">
        <f t="shared" ref="B7:B47" si="0">NPV(A7,$C$3:$E$3)+$B$3</f>
        <v>-20.253772290809309</v>
      </c>
    </row>
    <row r="8" spans="1:5" x14ac:dyDescent="0.25">
      <c r="A8" s="10">
        <v>-0.09</v>
      </c>
      <c r="B8" s="44">
        <f t="shared" si="0"/>
        <v>-18.155601794655041</v>
      </c>
    </row>
    <row r="9" spans="1:5" x14ac:dyDescent="0.25">
      <c r="A9" s="10">
        <v>-0.08</v>
      </c>
      <c r="B9" s="44">
        <f t="shared" si="0"/>
        <v>-16.207364181803243</v>
      </c>
    </row>
    <row r="10" spans="1:5" x14ac:dyDescent="0.25">
      <c r="A10" s="10">
        <v>-7.0000000000000007E-2</v>
      </c>
      <c r="B10" s="44">
        <f t="shared" si="0"/>
        <v>-14.399507929936576</v>
      </c>
    </row>
    <row r="11" spans="1:5" x14ac:dyDescent="0.25">
      <c r="A11" s="10">
        <v>-0.06</v>
      </c>
      <c r="B11" s="44">
        <f t="shared" si="0"/>
        <v>-12.723144197335827</v>
      </c>
    </row>
    <row r="12" spans="1:5" x14ac:dyDescent="0.25">
      <c r="A12" s="10">
        <v>-0.05</v>
      </c>
      <c r="B12" s="44">
        <f t="shared" si="0"/>
        <v>-11.169995626184573</v>
      </c>
    </row>
    <row r="13" spans="1:5" x14ac:dyDescent="0.25">
      <c r="A13" s="10">
        <v>-3.9999999999999897E-2</v>
      </c>
      <c r="B13" s="44">
        <f t="shared" si="0"/>
        <v>-9.7323495370370239</v>
      </c>
    </row>
    <row r="14" spans="1:5" x14ac:dyDescent="0.25">
      <c r="A14" s="10">
        <v>-2.9999999999999898E-2</v>
      </c>
      <c r="B14" s="44">
        <f t="shared" si="0"/>
        <v>-8.4030150996030386</v>
      </c>
    </row>
    <row r="15" spans="1:5" x14ac:dyDescent="0.25">
      <c r="A15" s="10">
        <v>-1.99999999999999E-2</v>
      </c>
      <c r="B15" s="44">
        <f t="shared" si="0"/>
        <v>-7.1752841078122174</v>
      </c>
    </row>
    <row r="16" spans="1:5" x14ac:dyDescent="0.25">
      <c r="A16" s="10">
        <v>-9.99999999999991E-3</v>
      </c>
      <c r="B16" s="44">
        <f t="shared" si="0"/>
        <v>-6.0428950251417319</v>
      </c>
    </row>
    <row r="17" spans="1:4" x14ac:dyDescent="0.25">
      <c r="A17" s="10">
        <v>0</v>
      </c>
      <c r="B17" s="44">
        <f t="shared" si="0"/>
        <v>-5</v>
      </c>
    </row>
    <row r="18" spans="1:4" x14ac:dyDescent="0.25">
      <c r="A18" s="10">
        <v>0.01</v>
      </c>
      <c r="B18" s="44">
        <f t="shared" si="0"/>
        <v>-4.0411345810593104</v>
      </c>
    </row>
    <row r="19" spans="1:4" x14ac:dyDescent="0.25">
      <c r="A19" s="10">
        <v>0.02</v>
      </c>
      <c r="B19" s="44">
        <f t="shared" si="0"/>
        <v>-3.1611898892582815</v>
      </c>
    </row>
    <row r="20" spans="1:4" x14ac:dyDescent="0.25">
      <c r="A20" s="10">
        <v>0.03</v>
      </c>
      <c r="B20" s="44">
        <f t="shared" si="0"/>
        <v>-2.3553870271348671</v>
      </c>
    </row>
    <row r="21" spans="1:4" x14ac:dyDescent="0.25">
      <c r="A21" s="10">
        <v>0.04</v>
      </c>
      <c r="B21" s="44">
        <f t="shared" si="0"/>
        <v>-1.6192535275375661</v>
      </c>
    </row>
    <row r="22" spans="1:4" x14ac:dyDescent="0.25">
      <c r="A22" s="10">
        <v>0.05</v>
      </c>
      <c r="B22" s="44">
        <f t="shared" si="0"/>
        <v>-0.94860166288736991</v>
      </c>
    </row>
    <row r="23" spans="1:4" x14ac:dyDescent="0.25">
      <c r="A23" s="10">
        <v>0.06</v>
      </c>
      <c r="B23" s="44">
        <f t="shared" si="0"/>
        <v>-0.33950845328693902</v>
      </c>
    </row>
    <row r="24" spans="1:4" x14ac:dyDescent="0.25">
      <c r="A24" s="10">
        <v>7.0000000000000007E-2</v>
      </c>
      <c r="B24" s="44">
        <f t="shared" si="0"/>
        <v>0.2117027728822336</v>
      </c>
    </row>
    <row r="25" spans="1:4" x14ac:dyDescent="0.25">
      <c r="A25" s="10">
        <v>0.08</v>
      </c>
      <c r="B25" s="44">
        <f t="shared" si="0"/>
        <v>0.70847939846566987</v>
      </c>
    </row>
    <row r="26" spans="1:4" x14ac:dyDescent="0.25">
      <c r="A26" s="10">
        <v>0.09</v>
      </c>
      <c r="B26" s="44">
        <f t="shared" si="0"/>
        <v>1.1540552373730577</v>
      </c>
      <c r="D26" t="s">
        <v>42</v>
      </c>
    </row>
    <row r="27" spans="1:4" x14ac:dyDescent="0.25">
      <c r="A27" s="10">
        <v>0.1</v>
      </c>
      <c r="B27" s="44">
        <f t="shared" si="0"/>
        <v>1.5514650638617553</v>
      </c>
    </row>
    <row r="28" spans="1:4" x14ac:dyDescent="0.25">
      <c r="A28" s="10">
        <v>0.11</v>
      </c>
      <c r="B28" s="44">
        <f t="shared" si="0"/>
        <v>1.9035580503805534</v>
      </c>
    </row>
    <row r="29" spans="1:4" x14ac:dyDescent="0.25">
      <c r="A29" s="10">
        <v>0.12</v>
      </c>
      <c r="B29" s="44">
        <f t="shared" si="0"/>
        <v>2.2130102040816269</v>
      </c>
    </row>
    <row r="30" spans="1:4" x14ac:dyDescent="0.25">
      <c r="A30" s="10">
        <v>0.13</v>
      </c>
      <c r="B30" s="44">
        <f t="shared" si="0"/>
        <v>2.482335883988938</v>
      </c>
    </row>
    <row r="31" spans="1:4" x14ac:dyDescent="0.25">
      <c r="A31" s="10">
        <v>0.14000000000000001</v>
      </c>
      <c r="B31" s="44">
        <f t="shared" si="0"/>
        <v>2.7138984734844342</v>
      </c>
    </row>
    <row r="32" spans="1:4" x14ac:dyDescent="0.25">
      <c r="A32" s="10">
        <v>0.15</v>
      </c>
      <c r="B32" s="44">
        <f t="shared" si="0"/>
        <v>2.9099202761568108</v>
      </c>
    </row>
    <row r="33" spans="1:2" x14ac:dyDescent="0.25">
      <c r="A33" s="10">
        <v>0.16</v>
      </c>
      <c r="B33" s="44">
        <f t="shared" si="0"/>
        <v>3.0724916970765435</v>
      </c>
    </row>
    <row r="34" spans="1:2" x14ac:dyDescent="0.25">
      <c r="A34" s="10">
        <v>0.17</v>
      </c>
      <c r="B34" s="44">
        <f t="shared" si="0"/>
        <v>3.2035797661482519</v>
      </c>
    </row>
    <row r="35" spans="1:2" x14ac:dyDescent="0.25">
      <c r="A35" s="10">
        <v>0.18</v>
      </c>
      <c r="B35" s="44">
        <f t="shared" si="0"/>
        <v>3.3050360552929021</v>
      </c>
    </row>
    <row r="36" spans="1:2" x14ac:dyDescent="0.25">
      <c r="A36" s="10">
        <v>0.19</v>
      </c>
      <c r="B36" s="44">
        <f t="shared" si="0"/>
        <v>3.3786040367703976</v>
      </c>
    </row>
    <row r="37" spans="1:2" x14ac:dyDescent="0.25">
      <c r="A37" s="10">
        <v>0.2</v>
      </c>
      <c r="B37" s="44">
        <f t="shared" si="0"/>
        <v>3.425925925925938</v>
      </c>
    </row>
    <row r="38" spans="1:2" x14ac:dyDescent="0.25">
      <c r="A38" s="10">
        <v>0.21</v>
      </c>
      <c r="B38" s="44">
        <f t="shared" si="0"/>
        <v>3.4485490479864893</v>
      </c>
    </row>
    <row r="39" spans="1:2" x14ac:dyDescent="0.25">
      <c r="A39" s="10">
        <v>0.22</v>
      </c>
      <c r="B39" s="44">
        <f t="shared" si="0"/>
        <v>3.4479317652138093</v>
      </c>
    </row>
    <row r="40" spans="1:2" x14ac:dyDescent="0.25">
      <c r="A40" s="10">
        <v>0.23</v>
      </c>
      <c r="B40" s="44">
        <f t="shared" si="0"/>
        <v>3.4254489976983962</v>
      </c>
    </row>
    <row r="41" spans="1:2" x14ac:dyDescent="0.25">
      <c r="A41" s="10">
        <v>0.24</v>
      </c>
      <c r="B41" s="44">
        <f t="shared" si="0"/>
        <v>3.382397368332704</v>
      </c>
    </row>
    <row r="42" spans="1:2" x14ac:dyDescent="0.25">
      <c r="A42" s="10">
        <v>0.25</v>
      </c>
      <c r="B42" s="44">
        <f t="shared" si="0"/>
        <v>3.3200000000000074</v>
      </c>
    </row>
    <row r="43" spans="1:2" x14ac:dyDescent="0.25">
      <c r="A43" s="10">
        <v>0.26</v>
      </c>
      <c r="B43" s="44">
        <f t="shared" si="0"/>
        <v>3.2394109907337452</v>
      </c>
    </row>
    <row r="44" spans="1:2" x14ac:dyDescent="0.25">
      <c r="A44" s="10">
        <v>0.27</v>
      </c>
      <c r="B44" s="44">
        <f t="shared" si="0"/>
        <v>3.1417195905257955</v>
      </c>
    </row>
    <row r="45" spans="1:2" x14ac:dyDescent="0.25">
      <c r="A45" s="10">
        <v>0.28000000000000003</v>
      </c>
      <c r="B45" s="44">
        <f t="shared" si="0"/>
        <v>3.0279541015625</v>
      </c>
    </row>
    <row r="46" spans="1:2" x14ac:dyDescent="0.25">
      <c r="A46" s="10">
        <v>0.28999999999999998</v>
      </c>
      <c r="B46" s="44">
        <f t="shared" si="0"/>
        <v>2.8990855219363425</v>
      </c>
    </row>
    <row r="47" spans="1:2" x14ac:dyDescent="0.25">
      <c r="A47" s="10">
        <v>0.3</v>
      </c>
      <c r="B47" s="44">
        <f t="shared" si="0"/>
        <v>2.7560309512972054</v>
      </c>
    </row>
    <row r="48" spans="1:2" x14ac:dyDescent="0.25">
      <c r="A48" s="10"/>
      <c r="B48" s="44"/>
    </row>
    <row r="49" spans="1:2" x14ac:dyDescent="0.25">
      <c r="A49" s="10"/>
      <c r="B49" s="44"/>
    </row>
    <row r="50" spans="1:2" x14ac:dyDescent="0.25">
      <c r="A50" s="10"/>
      <c r="B50" s="44"/>
    </row>
    <row r="51" spans="1:2" x14ac:dyDescent="0.25">
      <c r="A51" s="10"/>
      <c r="B51" s="44"/>
    </row>
    <row r="52" spans="1:2" x14ac:dyDescent="0.25">
      <c r="A52" s="10"/>
      <c r="B52" s="44"/>
    </row>
    <row r="53" spans="1:2" x14ac:dyDescent="0.25">
      <c r="A53" s="10"/>
      <c r="B53" s="44"/>
    </row>
    <row r="54" spans="1:2" x14ac:dyDescent="0.25">
      <c r="A54" s="10"/>
      <c r="B54" s="44"/>
    </row>
    <row r="55" spans="1:2" x14ac:dyDescent="0.25">
      <c r="A55" s="10"/>
      <c r="B55" s="44"/>
    </row>
    <row r="56" spans="1:2" x14ac:dyDescent="0.25">
      <c r="A56" s="10"/>
      <c r="B56" s="44"/>
    </row>
    <row r="57" spans="1:2" x14ac:dyDescent="0.25">
      <c r="A57" s="10"/>
      <c r="B57" s="44"/>
    </row>
    <row r="58" spans="1:2" x14ac:dyDescent="0.25">
      <c r="A58" s="10"/>
      <c r="B58" s="44"/>
    </row>
    <row r="59" spans="1:2" x14ac:dyDescent="0.25">
      <c r="A59" s="10"/>
      <c r="B59" s="44"/>
    </row>
    <row r="60" spans="1:2" x14ac:dyDescent="0.25">
      <c r="A60" s="10"/>
      <c r="B60" s="44"/>
    </row>
    <row r="61" spans="1:2" x14ac:dyDescent="0.25">
      <c r="A61" s="10"/>
      <c r="B61" s="44"/>
    </row>
    <row r="62" spans="1:2" x14ac:dyDescent="0.25">
      <c r="A62" s="10"/>
      <c r="B62" s="44"/>
    </row>
    <row r="63" spans="1:2" x14ac:dyDescent="0.25">
      <c r="A63" s="10"/>
      <c r="B63" s="44"/>
    </row>
    <row r="64" spans="1:2" x14ac:dyDescent="0.25">
      <c r="A64" s="10"/>
      <c r="B64" s="44"/>
    </row>
    <row r="65" spans="1:2" x14ac:dyDescent="0.25">
      <c r="A65" s="10"/>
      <c r="B65" s="44"/>
    </row>
    <row r="66" spans="1:2" x14ac:dyDescent="0.25">
      <c r="A66" s="10"/>
      <c r="B66" s="44"/>
    </row>
    <row r="67" spans="1:2" x14ac:dyDescent="0.25">
      <c r="A67" s="10"/>
      <c r="B67" s="44"/>
    </row>
    <row r="68" spans="1:2" x14ac:dyDescent="0.25">
      <c r="A68" s="10"/>
      <c r="B68" s="44"/>
    </row>
    <row r="69" spans="1:2" x14ac:dyDescent="0.25">
      <c r="A69" s="10"/>
      <c r="B69" s="44"/>
    </row>
    <row r="70" spans="1:2" x14ac:dyDescent="0.25">
      <c r="A70" s="10"/>
      <c r="B70" s="44"/>
    </row>
    <row r="71" spans="1:2" x14ac:dyDescent="0.25">
      <c r="A71" s="10"/>
      <c r="B71" s="44"/>
    </row>
    <row r="72" spans="1:2" x14ac:dyDescent="0.25">
      <c r="A72" s="10"/>
      <c r="B72" s="44"/>
    </row>
    <row r="73" spans="1:2" x14ac:dyDescent="0.25">
      <c r="A73" s="10"/>
      <c r="B73" s="44"/>
    </row>
    <row r="74" spans="1:2" x14ac:dyDescent="0.25">
      <c r="A74" s="10"/>
      <c r="B74" s="44"/>
    </row>
    <row r="75" spans="1:2" x14ac:dyDescent="0.25">
      <c r="A75" s="10"/>
      <c r="B75" s="44"/>
    </row>
    <row r="76" spans="1:2" x14ac:dyDescent="0.25">
      <c r="A76" s="10"/>
      <c r="B76" s="44"/>
    </row>
    <row r="77" spans="1:2" x14ac:dyDescent="0.25">
      <c r="A77" s="10"/>
      <c r="B77" s="44"/>
    </row>
    <row r="78" spans="1:2" x14ac:dyDescent="0.25">
      <c r="A78" s="10"/>
      <c r="B78" s="44"/>
    </row>
    <row r="79" spans="1:2" x14ac:dyDescent="0.25">
      <c r="A79" s="10"/>
      <c r="B79" s="44"/>
    </row>
    <row r="80" spans="1:2" x14ac:dyDescent="0.25">
      <c r="A80" s="10"/>
      <c r="B80" s="44"/>
    </row>
    <row r="81" spans="1:2" x14ac:dyDescent="0.25">
      <c r="A81" s="10"/>
      <c r="B81" s="44"/>
    </row>
    <row r="82" spans="1:2" x14ac:dyDescent="0.25">
      <c r="A82" s="10"/>
      <c r="B82" s="44"/>
    </row>
    <row r="83" spans="1:2" x14ac:dyDescent="0.25">
      <c r="A83" s="10"/>
      <c r="B83" s="44"/>
    </row>
    <row r="84" spans="1:2" x14ac:dyDescent="0.25">
      <c r="A84" s="10"/>
      <c r="B84" s="44"/>
    </row>
    <row r="85" spans="1:2" x14ac:dyDescent="0.25">
      <c r="A85" s="10"/>
      <c r="B85" s="44"/>
    </row>
    <row r="86" spans="1:2" x14ac:dyDescent="0.25">
      <c r="A86" s="10"/>
      <c r="B86" s="44"/>
    </row>
    <row r="87" spans="1:2" x14ac:dyDescent="0.25">
      <c r="A87" s="10"/>
      <c r="B87" s="44"/>
    </row>
    <row r="88" spans="1:2" x14ac:dyDescent="0.25">
      <c r="A88" s="10"/>
      <c r="B88" s="44"/>
    </row>
    <row r="89" spans="1:2" x14ac:dyDescent="0.25">
      <c r="A89" s="10"/>
      <c r="B89" s="44"/>
    </row>
    <row r="90" spans="1:2" x14ac:dyDescent="0.25">
      <c r="A90" s="10"/>
      <c r="B90" s="44"/>
    </row>
    <row r="91" spans="1:2" x14ac:dyDescent="0.25">
      <c r="A91" s="10"/>
      <c r="B91" s="44"/>
    </row>
    <row r="92" spans="1:2" x14ac:dyDescent="0.25">
      <c r="A92" s="10"/>
      <c r="B92" s="44"/>
    </row>
    <row r="93" spans="1:2" x14ac:dyDescent="0.25">
      <c r="A93" s="10"/>
      <c r="B93" s="44"/>
    </row>
    <row r="94" spans="1:2" x14ac:dyDescent="0.25">
      <c r="A94" s="10"/>
      <c r="B94" s="44"/>
    </row>
    <row r="95" spans="1:2" x14ac:dyDescent="0.25">
      <c r="A95" s="10"/>
      <c r="B95" s="44"/>
    </row>
    <row r="96" spans="1:2" x14ac:dyDescent="0.25">
      <c r="A96" s="10"/>
      <c r="B96" s="44"/>
    </row>
    <row r="97" spans="1:2" x14ac:dyDescent="0.25">
      <c r="A97" s="10"/>
      <c r="B97" s="44"/>
    </row>
    <row r="98" spans="1:2" x14ac:dyDescent="0.25">
      <c r="A98" s="10"/>
      <c r="B98" s="44"/>
    </row>
    <row r="99" spans="1:2" x14ac:dyDescent="0.25">
      <c r="A99" s="10"/>
      <c r="B99" s="44"/>
    </row>
    <row r="100" spans="1:2" x14ac:dyDescent="0.25">
      <c r="A100" s="10"/>
      <c r="B100" s="44"/>
    </row>
    <row r="101" spans="1:2" x14ac:dyDescent="0.25">
      <c r="A101" s="10"/>
      <c r="B101" s="44"/>
    </row>
    <row r="102" spans="1:2" x14ac:dyDescent="0.25">
      <c r="A102" s="10"/>
      <c r="B102" s="44"/>
    </row>
    <row r="103" spans="1:2" x14ac:dyDescent="0.25">
      <c r="A103" s="10"/>
      <c r="B103" s="44"/>
    </row>
    <row r="104" spans="1:2" x14ac:dyDescent="0.25">
      <c r="A104" s="10"/>
      <c r="B104" s="44"/>
    </row>
    <row r="105" spans="1:2" x14ac:dyDescent="0.25">
      <c r="A105" s="10"/>
      <c r="B105" s="44"/>
    </row>
    <row r="106" spans="1:2" x14ac:dyDescent="0.25">
      <c r="A106" s="10"/>
      <c r="B106" s="44"/>
    </row>
    <row r="107" spans="1:2" x14ac:dyDescent="0.25">
      <c r="A107" s="10"/>
      <c r="B107" s="44"/>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06"/>
  <sheetViews>
    <sheetView topLeftCell="A15" workbookViewId="0">
      <selection activeCell="F26" sqref="F26"/>
    </sheetView>
  </sheetViews>
  <sheetFormatPr defaultRowHeight="13.2" x14ac:dyDescent="0.25"/>
  <cols>
    <col min="2" max="2" width="12" customWidth="1"/>
    <col min="7" max="7" width="9.44140625" customWidth="1"/>
  </cols>
  <sheetData>
    <row r="1" spans="1:7" x14ac:dyDescent="0.25">
      <c r="A1" s="43" t="s">
        <v>73</v>
      </c>
      <c r="B1">
        <v>0</v>
      </c>
      <c r="C1">
        <v>1</v>
      </c>
      <c r="D1">
        <v>2</v>
      </c>
      <c r="E1">
        <v>3</v>
      </c>
    </row>
    <row r="2" spans="1:7" x14ac:dyDescent="0.25">
      <c r="A2" s="43" t="s">
        <v>124</v>
      </c>
      <c r="B2">
        <v>-85</v>
      </c>
      <c r="C2">
        <v>120</v>
      </c>
      <c r="D2">
        <v>100</v>
      </c>
      <c r="E2">
        <v>-138</v>
      </c>
      <c r="G2" s="45"/>
    </row>
    <row r="5" spans="1:7" x14ac:dyDescent="0.25">
      <c r="A5" t="s">
        <v>125</v>
      </c>
      <c r="B5" t="s">
        <v>126</v>
      </c>
    </row>
    <row r="6" spans="1:7" x14ac:dyDescent="0.25">
      <c r="A6" s="10">
        <v>-0.1</v>
      </c>
      <c r="B6" s="44">
        <f t="shared" ref="B6:B37" si="0">NPV(A6,$C$2:$E$2)+$B$2</f>
        <v>-17.510288065843596</v>
      </c>
    </row>
    <row r="7" spans="1:7" x14ac:dyDescent="0.25">
      <c r="A7" s="10">
        <v>-0.09</v>
      </c>
      <c r="B7" s="44">
        <f t="shared" si="0"/>
        <v>-15.501571849235148</v>
      </c>
    </row>
    <row r="8" spans="1:7" x14ac:dyDescent="0.25">
      <c r="A8" s="10">
        <v>-0.08</v>
      </c>
      <c r="B8" s="44">
        <f t="shared" si="0"/>
        <v>-13.638941398865796</v>
      </c>
    </row>
    <row r="9" spans="1:7" x14ac:dyDescent="0.25">
      <c r="A9" s="10">
        <v>-7.0000000000000007E-2</v>
      </c>
      <c r="B9" s="44">
        <f t="shared" si="0"/>
        <v>-11.913049802513086</v>
      </c>
    </row>
    <row r="10" spans="1:7" x14ac:dyDescent="0.25">
      <c r="A10" s="10">
        <v>-0.06</v>
      </c>
      <c r="B10" s="44">
        <f t="shared" si="0"/>
        <v>-10.315199907534932</v>
      </c>
    </row>
    <row r="11" spans="1:7" x14ac:dyDescent="0.25">
      <c r="A11" s="10">
        <v>-0.05</v>
      </c>
      <c r="B11" s="44">
        <f t="shared" si="0"/>
        <v>-8.8372940661904096</v>
      </c>
    </row>
    <row r="12" spans="1:7" x14ac:dyDescent="0.25">
      <c r="A12" s="10">
        <v>-3.9999999999999897E-2</v>
      </c>
      <c r="B12" s="44">
        <f t="shared" si="0"/>
        <v>-7.4717881944444429</v>
      </c>
    </row>
    <row r="13" spans="1:7" x14ac:dyDescent="0.25">
      <c r="A13" s="10">
        <v>-2.9999999999999898E-2</v>
      </c>
      <c r="B13" s="44">
        <f t="shared" si="0"/>
        <v>-6.2116497365430945</v>
      </c>
    </row>
    <row r="14" spans="1:7" x14ac:dyDescent="0.25">
      <c r="A14" s="10">
        <v>-1.99999999999999E-2</v>
      </c>
      <c r="B14" s="44">
        <f t="shared" si="0"/>
        <v>-5.0503191697336973</v>
      </c>
    </row>
    <row r="15" spans="1:7" x14ac:dyDescent="0.25">
      <c r="A15" s="10">
        <v>-9.99999999999991E-3</v>
      </c>
      <c r="B15" s="44">
        <f t="shared" si="0"/>
        <v>-3.9816747208849961</v>
      </c>
    </row>
    <row r="16" spans="1:7" x14ac:dyDescent="0.25">
      <c r="A16" s="10">
        <v>0</v>
      </c>
      <c r="B16" s="44">
        <f t="shared" si="0"/>
        <v>-3</v>
      </c>
    </row>
    <row r="17" spans="1:13" x14ac:dyDescent="0.25">
      <c r="A17" s="10">
        <v>0.01</v>
      </c>
      <c r="B17" s="44">
        <f t="shared" si="0"/>
        <v>-2.0999542852040207</v>
      </c>
    </row>
    <row r="18" spans="1:13" x14ac:dyDescent="0.25">
      <c r="A18" s="10">
        <v>0.02</v>
      </c>
      <c r="B18" s="44">
        <f t="shared" si="0"/>
        <v>-1.2765452201641949</v>
      </c>
    </row>
    <row r="19" spans="1:13" x14ac:dyDescent="0.25">
      <c r="A19" s="10">
        <v>0.03</v>
      </c>
      <c r="B19" s="44">
        <f t="shared" si="0"/>
        <v>-0.5251037084285457</v>
      </c>
    </row>
    <row r="20" spans="1:13" x14ac:dyDescent="0.25">
      <c r="A20" s="10">
        <v>0.04</v>
      </c>
      <c r="B20" s="44">
        <f t="shared" si="0"/>
        <v>0.15873918980426538</v>
      </c>
    </row>
    <row r="21" spans="1:13" x14ac:dyDescent="0.25">
      <c r="A21" s="10">
        <v>0.05</v>
      </c>
      <c r="B21" s="44">
        <f t="shared" si="0"/>
        <v>0.77907353417558056</v>
      </c>
    </row>
    <row r="22" spans="1:13" x14ac:dyDescent="0.25">
      <c r="A22" s="10">
        <v>0.06</v>
      </c>
      <c r="B22" s="44">
        <f t="shared" si="0"/>
        <v>1.3397301127776728</v>
      </c>
    </row>
    <row r="23" spans="1:13" x14ac:dyDescent="0.25">
      <c r="A23" s="10">
        <v>7.0000000000000007E-2</v>
      </c>
      <c r="B23" s="44">
        <f t="shared" si="0"/>
        <v>1.844298526663934</v>
      </c>
    </row>
    <row r="24" spans="1:13" x14ac:dyDescent="0.25">
      <c r="A24" s="10">
        <v>0.08</v>
      </c>
      <c r="B24" s="44">
        <f t="shared" si="0"/>
        <v>2.2961438805060084</v>
      </c>
    </row>
    <row r="25" spans="1:13" x14ac:dyDescent="0.25">
      <c r="A25" s="10">
        <v>0.09</v>
      </c>
      <c r="B25" s="44">
        <f t="shared" si="0"/>
        <v>2.6984221974951907</v>
      </c>
    </row>
    <row r="26" spans="1:13" x14ac:dyDescent="0.25">
      <c r="A26" s="10">
        <v>0.1</v>
      </c>
      <c r="B26" s="44">
        <f t="shared" si="0"/>
        <v>3.0540946656649197</v>
      </c>
      <c r="D26" t="s">
        <v>9</v>
      </c>
      <c r="E26" s="23" t="s">
        <v>128</v>
      </c>
      <c r="F26" s="46">
        <f>IRR(B2:E2)</f>
        <v>3.7591622582114459E-2</v>
      </c>
      <c r="G26" s="46">
        <f>IRR(B2:E2,22%)</f>
        <v>0.45188329169692687</v>
      </c>
    </row>
    <row r="27" spans="1:13" x14ac:dyDescent="0.25">
      <c r="A27" s="10">
        <v>0.11</v>
      </c>
      <c r="B27" s="44">
        <f t="shared" si="0"/>
        <v>3.3659408129824584</v>
      </c>
    </row>
    <row r="28" spans="1:13" x14ac:dyDescent="0.25">
      <c r="A28" s="10">
        <v>0.12</v>
      </c>
      <c r="B28" s="44">
        <f t="shared" si="0"/>
        <v>3.6365706997084573</v>
      </c>
      <c r="D28" t="s">
        <v>11</v>
      </c>
      <c r="E28" s="55" t="s">
        <v>129</v>
      </c>
      <c r="F28" s="55"/>
      <c r="G28" s="55"/>
      <c r="H28" s="55"/>
      <c r="I28" s="55"/>
      <c r="J28" s="55"/>
      <c r="K28" s="55"/>
      <c r="L28" s="55"/>
    </row>
    <row r="29" spans="1:13" x14ac:dyDescent="0.25">
      <c r="A29" s="10">
        <v>0.13</v>
      </c>
      <c r="B29" s="44">
        <f t="shared" si="0"/>
        <v>3.868436208544324</v>
      </c>
      <c r="E29" s="55"/>
      <c r="F29" s="55"/>
      <c r="G29" s="55"/>
      <c r="H29" s="55"/>
      <c r="I29" s="55"/>
      <c r="J29" s="55"/>
      <c r="K29" s="55"/>
      <c r="L29" s="55"/>
      <c r="M29" s="47"/>
    </row>
    <row r="30" spans="1:13" x14ac:dyDescent="0.25">
      <c r="A30" s="10">
        <v>0.14000000000000001</v>
      </c>
      <c r="B30" s="44">
        <f t="shared" si="0"/>
        <v>4.0638415058884476</v>
      </c>
      <c r="E30" s="55"/>
      <c r="F30" s="55"/>
      <c r="G30" s="55"/>
      <c r="H30" s="55"/>
      <c r="I30" s="55"/>
      <c r="J30" s="55"/>
      <c r="K30" s="55"/>
      <c r="L30" s="55"/>
      <c r="M30" s="47"/>
    </row>
    <row r="31" spans="1:13" x14ac:dyDescent="0.25">
      <c r="A31" s="10">
        <v>0.15</v>
      </c>
      <c r="B31" s="44">
        <f t="shared" si="0"/>
        <v>4.2249527410207861</v>
      </c>
      <c r="E31" s="55"/>
      <c r="F31" s="55"/>
      <c r="G31" s="55"/>
      <c r="H31" s="55"/>
      <c r="I31" s="55"/>
      <c r="J31" s="55"/>
      <c r="K31" s="55"/>
      <c r="L31" s="55"/>
      <c r="M31" s="47"/>
    </row>
    <row r="32" spans="1:13" x14ac:dyDescent="0.25">
      <c r="A32" s="10">
        <v>0.16</v>
      </c>
      <c r="B32" s="44">
        <f t="shared" si="0"/>
        <v>4.3538070441592538</v>
      </c>
      <c r="M32" s="47"/>
    </row>
    <row r="33" spans="1:95" ht="12.75" customHeight="1" x14ac:dyDescent="0.25">
      <c r="A33" s="10">
        <v>0.17</v>
      </c>
      <c r="B33" s="44">
        <f t="shared" si="0"/>
        <v>4.4523208790138398</v>
      </c>
      <c r="E33" s="55" t="s">
        <v>130</v>
      </c>
      <c r="F33" s="55"/>
      <c r="G33" s="55"/>
      <c r="H33" s="55"/>
      <c r="I33" s="55"/>
      <c r="J33" s="55"/>
      <c r="K33" s="55"/>
      <c r="L33" s="55"/>
      <c r="M33" s="47"/>
    </row>
    <row r="34" spans="1:95" x14ac:dyDescent="0.25">
      <c r="A34" s="10">
        <v>0.18</v>
      </c>
      <c r="B34" s="44">
        <f t="shared" si="0"/>
        <v>4.5222978006514865</v>
      </c>
      <c r="E34" s="55"/>
      <c r="F34" s="55"/>
      <c r="G34" s="55"/>
      <c r="H34" s="55"/>
      <c r="I34" s="55"/>
      <c r="J34" s="55"/>
      <c r="K34" s="55"/>
      <c r="L34" s="55"/>
      <c r="M34" s="47"/>
    </row>
    <row r="35" spans="1:95" x14ac:dyDescent="0.25">
      <c r="A35" s="10">
        <v>0.19</v>
      </c>
      <c r="B35" s="44">
        <f t="shared" si="0"/>
        <v>4.5654356651211998</v>
      </c>
      <c r="E35" s="55"/>
      <c r="F35" s="55"/>
      <c r="G35" s="55"/>
      <c r="H35" s="55"/>
      <c r="I35" s="55"/>
      <c r="J35" s="55"/>
      <c r="K35" s="55"/>
      <c r="L35" s="55"/>
    </row>
    <row r="36" spans="1:95" ht="12.75" customHeight="1" x14ac:dyDescent="0.25">
      <c r="A36" s="10">
        <v>0.2</v>
      </c>
      <c r="B36" s="44">
        <f t="shared" si="0"/>
        <v>4.5833333333333428</v>
      </c>
      <c r="E36" s="55"/>
      <c r="F36" s="55"/>
      <c r="G36" s="55"/>
      <c r="H36" s="55"/>
      <c r="I36" s="55"/>
      <c r="J36" s="55"/>
      <c r="K36" s="55"/>
      <c r="L36" s="55"/>
    </row>
    <row r="37" spans="1:95" x14ac:dyDescent="0.25">
      <c r="A37" s="10">
        <v>0.21</v>
      </c>
      <c r="B37" s="44">
        <f t="shared" si="0"/>
        <v>4.577496908094048</v>
      </c>
      <c r="E37" s="55"/>
      <c r="F37" s="55"/>
      <c r="G37" s="55"/>
      <c r="H37" s="55"/>
      <c r="I37" s="55"/>
      <c r="J37" s="55"/>
      <c r="K37" s="55"/>
      <c r="L37" s="55"/>
      <c r="CJ37" s="54"/>
      <c r="CK37" s="54"/>
      <c r="CL37" s="54"/>
      <c r="CM37" s="54"/>
      <c r="CN37" s="54"/>
      <c r="CO37" s="54"/>
      <c r="CP37" s="54"/>
      <c r="CQ37" s="54"/>
    </row>
    <row r="38" spans="1:95" x14ac:dyDescent="0.25">
      <c r="A38" s="10">
        <v>0.22</v>
      </c>
      <c r="B38" s="44">
        <f t="shared" ref="B38:B69" si="1">NPV(A38,$C$2:$E$2)+$B$2</f>
        <v>4.5493455399350466</v>
      </c>
      <c r="E38" s="55"/>
      <c r="F38" s="55"/>
      <c r="G38" s="55"/>
      <c r="H38" s="55"/>
      <c r="I38" s="55"/>
      <c r="J38" s="55"/>
      <c r="K38" s="55"/>
      <c r="L38" s="55"/>
      <c r="CJ38" s="54"/>
      <c r="CK38" s="54"/>
      <c r="CL38" s="54"/>
      <c r="CM38" s="54"/>
      <c r="CN38" s="54"/>
      <c r="CO38" s="54"/>
      <c r="CP38" s="54"/>
      <c r="CQ38" s="54"/>
    </row>
    <row r="39" spans="1:95" x14ac:dyDescent="0.25">
      <c r="A39" s="10">
        <v>0.23</v>
      </c>
      <c r="B39" s="44">
        <f t="shared" si="1"/>
        <v>4.5002168344110629</v>
      </c>
      <c r="CJ39" s="54"/>
      <c r="CK39" s="54"/>
      <c r="CL39" s="54"/>
      <c r="CM39" s="54"/>
      <c r="CN39" s="54"/>
      <c r="CO39" s="54"/>
      <c r="CP39" s="54"/>
      <c r="CQ39" s="54"/>
    </row>
    <row r="40" spans="1:95" ht="12.75" customHeight="1" x14ac:dyDescent="0.25">
      <c r="A40" s="10">
        <v>0.24</v>
      </c>
      <c r="B40" s="44">
        <f t="shared" si="1"/>
        <v>4.4313718908395003</v>
      </c>
      <c r="E40" s="55" t="s">
        <v>131</v>
      </c>
      <c r="F40" s="55"/>
      <c r="G40" s="55"/>
      <c r="H40" s="55"/>
      <c r="I40" s="55"/>
      <c r="J40" s="55"/>
      <c r="K40" s="55"/>
      <c r="L40" s="55"/>
      <c r="CJ40" s="54"/>
      <c r="CK40" s="54"/>
      <c r="CL40" s="54"/>
      <c r="CM40" s="54"/>
      <c r="CN40" s="54"/>
      <c r="CO40" s="54"/>
      <c r="CP40" s="54"/>
      <c r="CQ40" s="54"/>
    </row>
    <row r="41" spans="1:95" x14ac:dyDescent="0.25">
      <c r="A41" s="10">
        <v>0.25</v>
      </c>
      <c r="B41" s="44">
        <f t="shared" si="1"/>
        <v>4.3440000000000083</v>
      </c>
      <c r="E41" s="55"/>
      <c r="F41" s="55"/>
      <c r="G41" s="55"/>
      <c r="H41" s="55"/>
      <c r="I41" s="55"/>
      <c r="J41" s="55"/>
      <c r="K41" s="55"/>
      <c r="L41" s="55"/>
      <c r="CJ41" s="54"/>
      <c r="CK41" s="54"/>
      <c r="CL41" s="54"/>
      <c r="CM41" s="54"/>
      <c r="CN41" s="54"/>
      <c r="CO41" s="54"/>
      <c r="CP41" s="54"/>
      <c r="CQ41" s="54"/>
    </row>
    <row r="42" spans="1:95" x14ac:dyDescent="0.25">
      <c r="A42" s="10">
        <v>0.26</v>
      </c>
      <c r="B42" s="44">
        <f t="shared" si="1"/>
        <v>4.2392230260711017</v>
      </c>
      <c r="E42" s="55"/>
      <c r="F42" s="55"/>
      <c r="G42" s="55"/>
      <c r="H42" s="55"/>
      <c r="I42" s="55"/>
      <c r="J42" s="55"/>
      <c r="K42" s="55"/>
      <c r="L42" s="55"/>
      <c r="CJ42" s="54"/>
      <c r="CK42" s="54"/>
      <c r="CL42" s="54"/>
      <c r="CM42" s="54"/>
      <c r="CN42" s="54"/>
      <c r="CO42" s="54"/>
      <c r="CP42" s="54"/>
      <c r="CQ42" s="54"/>
    </row>
    <row r="43" spans="1:95" x14ac:dyDescent="0.25">
      <c r="A43" s="10">
        <v>0.27</v>
      </c>
      <c r="B43" s="44">
        <f t="shared" si="1"/>
        <v>4.1180994960415092</v>
      </c>
      <c r="E43" s="55"/>
      <c r="F43" s="55"/>
      <c r="G43" s="55"/>
      <c r="H43" s="55"/>
      <c r="I43" s="55"/>
      <c r="J43" s="55"/>
      <c r="K43" s="55"/>
      <c r="L43" s="55"/>
    </row>
    <row r="44" spans="1:95" x14ac:dyDescent="0.25">
      <c r="A44" s="10">
        <v>0.28000000000000003</v>
      </c>
      <c r="B44" s="44">
        <f t="shared" si="1"/>
        <v>3.98162841796875</v>
      </c>
      <c r="E44" s="55"/>
      <c r="F44" s="55"/>
      <c r="G44" s="55"/>
      <c r="H44" s="55"/>
      <c r="I44" s="55"/>
      <c r="J44" s="55"/>
      <c r="K44" s="55"/>
      <c r="L44" s="55"/>
    </row>
    <row r="45" spans="1:95" x14ac:dyDescent="0.25">
      <c r="A45" s="10">
        <v>0.28999999999999998</v>
      </c>
      <c r="B45" s="44">
        <f t="shared" si="1"/>
        <v>3.8307528477576369</v>
      </c>
    </row>
    <row r="46" spans="1:95" x14ac:dyDescent="0.25">
      <c r="A46" s="10">
        <v>0.3</v>
      </c>
      <c r="B46" s="44">
        <f t="shared" si="1"/>
        <v>3.666363222576237</v>
      </c>
    </row>
    <row r="47" spans="1:95" x14ac:dyDescent="0.25">
      <c r="A47" s="10">
        <v>0.31</v>
      </c>
      <c r="B47" s="44">
        <f t="shared" si="1"/>
        <v>3.4893004776052123</v>
      </c>
    </row>
    <row r="48" spans="1:95" x14ac:dyDescent="0.25">
      <c r="A48" s="10">
        <v>0.32</v>
      </c>
      <c r="B48" s="44">
        <f t="shared" si="1"/>
        <v>3.3003589615159825</v>
      </c>
    </row>
    <row r="49" spans="1:2" x14ac:dyDescent="0.25">
      <c r="A49" s="10">
        <v>0.33</v>
      </c>
      <c r="B49" s="44">
        <f t="shared" si="1"/>
        <v>3.1002891648817865</v>
      </c>
    </row>
    <row r="50" spans="1:2" x14ac:dyDescent="0.25">
      <c r="A50" s="10">
        <v>0.34</v>
      </c>
      <c r="B50" s="44">
        <f t="shared" si="1"/>
        <v>2.8898002746348368</v>
      </c>
    </row>
    <row r="51" spans="1:2" x14ac:dyDescent="0.25">
      <c r="A51" s="10">
        <v>0.35</v>
      </c>
      <c r="B51" s="44">
        <f t="shared" si="1"/>
        <v>2.6695625666819183</v>
      </c>
    </row>
    <row r="52" spans="1:2" x14ac:dyDescent="0.25">
      <c r="A52" s="10">
        <v>0.36</v>
      </c>
      <c r="B52" s="44">
        <f t="shared" si="1"/>
        <v>2.4402096478729902</v>
      </c>
    </row>
    <row r="53" spans="1:2" x14ac:dyDescent="0.25">
      <c r="A53" s="10">
        <v>0.37</v>
      </c>
      <c r="B53" s="44">
        <f t="shared" si="1"/>
        <v>2.2023405576752566</v>
      </c>
    </row>
    <row r="54" spans="1:2" x14ac:dyDescent="0.25">
      <c r="A54" s="10">
        <v>0.38</v>
      </c>
      <c r="B54" s="44">
        <f t="shared" si="1"/>
        <v>1.9565217391304373</v>
      </c>
    </row>
    <row r="55" spans="1:2" x14ac:dyDescent="0.25">
      <c r="A55" s="10">
        <v>0.39</v>
      </c>
      <c r="B55" s="44">
        <f t="shared" si="1"/>
        <v>1.7032888879621453</v>
      </c>
    </row>
    <row r="56" spans="1:2" x14ac:dyDescent="0.25">
      <c r="A56" s="10">
        <v>0.4</v>
      </c>
      <c r="B56" s="44">
        <f t="shared" si="1"/>
        <v>1.4431486880466622</v>
      </c>
    </row>
    <row r="57" spans="1:2" x14ac:dyDescent="0.25">
      <c r="A57" s="10">
        <v>0.41</v>
      </c>
      <c r="B57" s="44">
        <f t="shared" si="1"/>
        <v>1.1765804408571512</v>
      </c>
    </row>
    <row r="58" spans="1:2" x14ac:dyDescent="0.25">
      <c r="A58" s="10">
        <v>0.42</v>
      </c>
      <c r="B58" s="44">
        <f t="shared" si="1"/>
        <v>0.90403759593866084</v>
      </c>
    </row>
    <row r="59" spans="1:2" x14ac:dyDescent="0.25">
      <c r="A59" s="10">
        <v>0.43</v>
      </c>
      <c r="B59" s="44">
        <f t="shared" si="1"/>
        <v>0.62594918895959495</v>
      </c>
    </row>
    <row r="60" spans="1:2" x14ac:dyDescent="0.25">
      <c r="A60" s="10">
        <v>0.44</v>
      </c>
      <c r="B60" s="44">
        <f t="shared" si="1"/>
        <v>0.34272119341565599</v>
      </c>
    </row>
    <row r="61" spans="1:2" x14ac:dyDescent="0.25">
      <c r="A61" s="10">
        <v>0.45</v>
      </c>
      <c r="B61" s="44">
        <f t="shared" si="1"/>
        <v>5.4737791627374577E-2</v>
      </c>
    </row>
    <row r="62" spans="1:2" x14ac:dyDescent="0.25">
      <c r="A62" s="10">
        <v>0.46</v>
      </c>
      <c r="B62" s="44">
        <f t="shared" si="1"/>
        <v>-0.23763742972673185</v>
      </c>
    </row>
    <row r="63" spans="1:2" x14ac:dyDescent="0.25">
      <c r="A63" s="10">
        <v>0.47</v>
      </c>
      <c r="B63" s="44">
        <f t="shared" si="1"/>
        <v>-0.53406035467081381</v>
      </c>
    </row>
    <row r="64" spans="1:2" x14ac:dyDescent="0.25">
      <c r="A64" s="10">
        <v>0.48</v>
      </c>
      <c r="B64" s="44">
        <f t="shared" si="1"/>
        <v>-0.83420527905555275</v>
      </c>
    </row>
    <row r="65" spans="1:2" x14ac:dyDescent="0.25">
      <c r="A65" s="10">
        <v>0.49</v>
      </c>
      <c r="B65" s="44">
        <f t="shared" si="1"/>
        <v>-1.1377639135307049</v>
      </c>
    </row>
    <row r="66" spans="1:2" x14ac:dyDescent="0.25">
      <c r="A66" s="10">
        <v>0.5</v>
      </c>
      <c r="B66" s="44">
        <f t="shared" si="1"/>
        <v>-1.4444444444444429</v>
      </c>
    </row>
    <row r="67" spans="1:2" x14ac:dyDescent="0.25">
      <c r="A67" s="10">
        <v>0.51</v>
      </c>
      <c r="B67" s="44">
        <f t="shared" si="1"/>
        <v>-1.7539706490159261</v>
      </c>
    </row>
    <row r="68" spans="1:2" x14ac:dyDescent="0.25">
      <c r="A68" s="10">
        <v>0.52</v>
      </c>
      <c r="B68" s="44">
        <f t="shared" si="1"/>
        <v>-2.066081061379208</v>
      </c>
    </row>
    <row r="69" spans="1:2" x14ac:dyDescent="0.25">
      <c r="A69" s="10">
        <v>0.53</v>
      </c>
      <c r="B69" s="44">
        <f t="shared" si="1"/>
        <v>-2.3805281863268704</v>
      </c>
    </row>
    <row r="70" spans="1:2" x14ac:dyDescent="0.25">
      <c r="A70" s="10">
        <v>0.54</v>
      </c>
      <c r="B70" s="44">
        <f t="shared" ref="B70:B101" si="2">NPV(A70,$C$2:$E$2)+$B$2</f>
        <v>-2.697077757796265</v>
      </c>
    </row>
    <row r="71" spans="1:2" x14ac:dyDescent="0.25">
      <c r="A71" s="10">
        <v>0.55000000000000004</v>
      </c>
      <c r="B71" s="44">
        <f t="shared" si="2"/>
        <v>-3.0155080393407445</v>
      </c>
    </row>
    <row r="72" spans="1:2" x14ac:dyDescent="0.25">
      <c r="A72" s="10">
        <v>0.56000000000000005</v>
      </c>
      <c r="B72" s="44">
        <f t="shared" si="2"/>
        <v>-3.3356091640115437</v>
      </c>
    </row>
    <row r="73" spans="1:2" x14ac:dyDescent="0.25">
      <c r="A73" s="10">
        <v>0.56999999999999995</v>
      </c>
      <c r="B73" s="44">
        <f t="shared" si="2"/>
        <v>-3.6571825112477256</v>
      </c>
    </row>
    <row r="74" spans="1:2" x14ac:dyDescent="0.25">
      <c r="A74" s="10">
        <v>0.57999999999999996</v>
      </c>
      <c r="B74" s="44">
        <f t="shared" si="2"/>
        <v>-3.9800401185301979</v>
      </c>
    </row>
    <row r="75" spans="1:2" x14ac:dyDescent="0.25">
      <c r="A75" s="10">
        <v>0.59</v>
      </c>
      <c r="B75" s="44">
        <f t="shared" si="2"/>
        <v>-4.3040041257025621</v>
      </c>
    </row>
    <row r="76" spans="1:2" x14ac:dyDescent="0.25">
      <c r="A76" s="10">
        <v>0.6</v>
      </c>
      <c r="B76" s="44">
        <f t="shared" si="2"/>
        <v>-4.62890625</v>
      </c>
    </row>
    <row r="77" spans="1:2" x14ac:dyDescent="0.25">
      <c r="A77" s="10">
        <v>0.61</v>
      </c>
      <c r="B77" s="44">
        <f t="shared" si="2"/>
        <v>-4.9545872899524426</v>
      </c>
    </row>
    <row r="78" spans="1:2" x14ac:dyDescent="0.25">
      <c r="A78" s="10">
        <v>0.62</v>
      </c>
      <c r="B78" s="44">
        <f t="shared" si="2"/>
        <v>-5.2808966564491442</v>
      </c>
    </row>
    <row r="79" spans="1:2" x14ac:dyDescent="0.25">
      <c r="A79" s="10">
        <v>0.63</v>
      </c>
      <c r="B79" s="44">
        <f t="shared" si="2"/>
        <v>-5.6076919293599872</v>
      </c>
    </row>
    <row r="80" spans="1:2" x14ac:dyDescent="0.25">
      <c r="A80" s="10">
        <v>0.64</v>
      </c>
      <c r="B80" s="44">
        <f t="shared" si="2"/>
        <v>-5.9348384382118695</v>
      </c>
    </row>
    <row r="81" spans="1:2" x14ac:dyDescent="0.25">
      <c r="A81" s="10">
        <v>0.65</v>
      </c>
      <c r="B81" s="44">
        <f t="shared" si="2"/>
        <v>-6.2622088655146371</v>
      </c>
    </row>
    <row r="82" spans="1:2" x14ac:dyDescent="0.25">
      <c r="A82" s="10">
        <v>0.66</v>
      </c>
      <c r="B82" s="44">
        <f t="shared" si="2"/>
        <v>-6.5896828714189155</v>
      </c>
    </row>
    <row r="83" spans="1:2" x14ac:dyDescent="0.25">
      <c r="A83" s="10">
        <v>0.67</v>
      </c>
      <c r="B83" s="44">
        <f t="shared" si="2"/>
        <v>-6.9171467384711463</v>
      </c>
    </row>
    <row r="84" spans="1:2" x14ac:dyDescent="0.25">
      <c r="A84" s="10">
        <v>0.68</v>
      </c>
      <c r="B84" s="44">
        <f t="shared" si="2"/>
        <v>-7.2444930353093753</v>
      </c>
    </row>
    <row r="85" spans="1:2" x14ac:dyDescent="0.25">
      <c r="A85" s="10">
        <v>0.69</v>
      </c>
      <c r="B85" s="44">
        <f t="shared" si="2"/>
        <v>-7.5716202982135883</v>
      </c>
    </row>
    <row r="86" spans="1:2" x14ac:dyDescent="0.25">
      <c r="A86" s="10">
        <v>0.7</v>
      </c>
      <c r="B86" s="44">
        <f t="shared" si="2"/>
        <v>-7.8984327294931944</v>
      </c>
    </row>
    <row r="87" spans="1:2" x14ac:dyDescent="0.25">
      <c r="A87" s="10">
        <v>0.71</v>
      </c>
      <c r="B87" s="44">
        <f t="shared" si="2"/>
        <v>-8.2248399117557227</v>
      </c>
    </row>
    <row r="88" spans="1:2" x14ac:dyDescent="0.25">
      <c r="A88" s="10">
        <v>0.72</v>
      </c>
      <c r="B88" s="44">
        <f t="shared" si="2"/>
        <v>-8.5507565371602539</v>
      </c>
    </row>
    <row r="89" spans="1:2" x14ac:dyDescent="0.25">
      <c r="A89" s="10">
        <v>0.73</v>
      </c>
      <c r="B89" s="44">
        <f t="shared" si="2"/>
        <v>-8.8761021508127982</v>
      </c>
    </row>
    <row r="90" spans="1:2" x14ac:dyDescent="0.25">
      <c r="A90" s="10">
        <v>0.74</v>
      </c>
      <c r="B90" s="44">
        <f t="shared" si="2"/>
        <v>-9.200800907512928</v>
      </c>
    </row>
    <row r="91" spans="1:2" x14ac:dyDescent="0.25">
      <c r="A91" s="10">
        <v>0.75</v>
      </c>
      <c r="B91" s="44">
        <f t="shared" si="2"/>
        <v>-9.5247813411078823</v>
      </c>
    </row>
    <row r="92" spans="1:2" x14ac:dyDescent="0.25">
      <c r="A92" s="10">
        <v>0.76</v>
      </c>
      <c r="B92" s="44">
        <f t="shared" si="2"/>
        <v>-9.8479761457550694</v>
      </c>
    </row>
    <row r="93" spans="1:2" x14ac:dyDescent="0.25">
      <c r="A93" s="10">
        <v>0.77</v>
      </c>
      <c r="B93" s="44">
        <f t="shared" si="2"/>
        <v>-10.170321968436681</v>
      </c>
    </row>
    <row r="94" spans="1:2" x14ac:dyDescent="0.25">
      <c r="A94" s="10">
        <v>0.78</v>
      </c>
      <c r="B94" s="44">
        <f t="shared" si="2"/>
        <v>-10.491759212107212</v>
      </c>
    </row>
    <row r="95" spans="1:2" x14ac:dyDescent="0.25">
      <c r="A95" s="10">
        <v>0.79</v>
      </c>
      <c r="B95" s="44">
        <f t="shared" si="2"/>
        <v>-10.812231848893319</v>
      </c>
    </row>
    <row r="96" spans="1:2" x14ac:dyDescent="0.25">
      <c r="A96" s="10">
        <v>0.8</v>
      </c>
      <c r="B96" s="44">
        <f t="shared" si="2"/>
        <v>-11.13168724279835</v>
      </c>
    </row>
    <row r="97" spans="1:2" x14ac:dyDescent="0.25">
      <c r="A97" s="10">
        <v>0.81</v>
      </c>
      <c r="B97" s="44">
        <f t="shared" si="2"/>
        <v>-11.450075981396154</v>
      </c>
    </row>
    <row r="98" spans="1:2" x14ac:dyDescent="0.25">
      <c r="A98" s="10">
        <v>0.82</v>
      </c>
      <c r="B98" s="44">
        <f t="shared" si="2"/>
        <v>-11.76735171602941</v>
      </c>
    </row>
    <row r="99" spans="1:2" x14ac:dyDescent="0.25">
      <c r="A99" s="10">
        <v>0.83</v>
      </c>
      <c r="B99" s="44">
        <f t="shared" si="2"/>
        <v>-12.083471010055177</v>
      </c>
    </row>
    <row r="100" spans="1:2" x14ac:dyDescent="0.25">
      <c r="A100" s="10">
        <v>0.84</v>
      </c>
      <c r="B100" s="44">
        <f t="shared" si="2"/>
        <v>-12.398393194706998</v>
      </c>
    </row>
    <row r="101" spans="1:2" x14ac:dyDescent="0.25">
      <c r="A101" s="10">
        <v>0.85</v>
      </c>
      <c r="B101" s="44">
        <f t="shared" si="2"/>
        <v>-12.712080232167878</v>
      </c>
    </row>
    <row r="102" spans="1:2" x14ac:dyDescent="0.25">
      <c r="A102" s="10">
        <v>0.86000000000000099</v>
      </c>
      <c r="B102" s="44">
        <f>NPV(A102,$C$2:$E$2)+$B$2</f>
        <v>-13.024496585471397</v>
      </c>
    </row>
    <row r="103" spans="1:2" x14ac:dyDescent="0.25">
      <c r="A103" s="10">
        <v>0.87000000000000099</v>
      </c>
      <c r="B103" s="44">
        <f>NPV(A103,$C$2:$E$2)+$B$2</f>
        <v>-13.335609094869852</v>
      </c>
    </row>
    <row r="104" spans="1:2" x14ac:dyDescent="0.25">
      <c r="A104" s="10">
        <v>0.880000000000001</v>
      </c>
      <c r="B104" s="44">
        <f>NPV(A104,$C$2:$E$2)+$B$2</f>
        <v>-13.645386860329637</v>
      </c>
    </row>
    <row r="105" spans="1:2" x14ac:dyDescent="0.25">
      <c r="A105" s="10">
        <v>0.89000000000000101</v>
      </c>
      <c r="B105" s="44">
        <f>NPV(A105,$C$2:$E$2)+$B$2</f>
        <v>-13.953801129832073</v>
      </c>
    </row>
    <row r="106" spans="1:2" x14ac:dyDescent="0.25">
      <c r="A106" s="10">
        <v>0.90000000000000102</v>
      </c>
      <c r="B106" s="44">
        <f>NPV(A106,$C$2:$E$2)+$B$2</f>
        <v>-14.260825193176885</v>
      </c>
    </row>
  </sheetData>
  <mergeCells count="4">
    <mergeCell ref="CJ37:CQ42"/>
    <mergeCell ref="E28:L31"/>
    <mergeCell ref="E40:L44"/>
    <mergeCell ref="E33:L38"/>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zoomScale="60" workbookViewId="0">
      <selection activeCell="C40" sqref="C40"/>
    </sheetView>
  </sheetViews>
  <sheetFormatPr defaultRowHeight="13.2" x14ac:dyDescent="0.25"/>
  <cols>
    <col min="2" max="2" width="42.6640625" customWidth="1"/>
    <col min="3" max="3" width="10.109375" customWidth="1"/>
  </cols>
  <sheetData>
    <row r="1" spans="1:10" x14ac:dyDescent="0.25">
      <c r="A1" s="23" t="s">
        <v>86</v>
      </c>
    </row>
    <row r="2" spans="1:10" x14ac:dyDescent="0.25">
      <c r="A2" s="23"/>
      <c r="B2" s="34" t="s">
        <v>87</v>
      </c>
    </row>
    <row r="3" spans="1:10" x14ac:dyDescent="0.25">
      <c r="B3" s="35" t="s">
        <v>88</v>
      </c>
      <c r="C3" s="36">
        <v>0.25</v>
      </c>
      <c r="D3" s="35"/>
      <c r="E3" s="35"/>
      <c r="F3" s="35"/>
    </row>
    <row r="4" spans="1:10" x14ac:dyDescent="0.25">
      <c r="B4" s="35" t="s">
        <v>57</v>
      </c>
      <c r="C4" s="36">
        <v>0.15</v>
      </c>
      <c r="D4" s="35" t="s">
        <v>89</v>
      </c>
      <c r="E4" s="35"/>
      <c r="F4" s="35"/>
      <c r="G4" t="s">
        <v>136</v>
      </c>
    </row>
    <row r="6" spans="1:10" x14ac:dyDescent="0.25">
      <c r="C6">
        <v>0</v>
      </c>
      <c r="D6">
        <v>1</v>
      </c>
      <c r="E6">
        <v>2</v>
      </c>
      <c r="F6">
        <v>3</v>
      </c>
      <c r="G6">
        <v>4</v>
      </c>
    </row>
    <row r="7" spans="1:10" x14ac:dyDescent="0.25">
      <c r="A7" t="s">
        <v>40</v>
      </c>
      <c r="B7" t="s">
        <v>90</v>
      </c>
      <c r="D7">
        <v>80</v>
      </c>
      <c r="E7">
        <v>80</v>
      </c>
      <c r="F7">
        <v>80</v>
      </c>
      <c r="G7">
        <v>80</v>
      </c>
    </row>
    <row r="8" spans="1:10" x14ac:dyDescent="0.25">
      <c r="A8" t="s">
        <v>44</v>
      </c>
      <c r="B8" t="s">
        <v>88</v>
      </c>
      <c r="C8" s="37"/>
      <c r="D8" s="37">
        <f>-D7*$C$3</f>
        <v>-20</v>
      </c>
      <c r="E8" s="37">
        <f>-E7*$C$3</f>
        <v>-20</v>
      </c>
      <c r="F8" s="37">
        <f>-F7*$C$3</f>
        <v>-20</v>
      </c>
      <c r="G8" s="37">
        <f>-G7*$C$3</f>
        <v>-20</v>
      </c>
    </row>
    <row r="9" spans="1:10" x14ac:dyDescent="0.25">
      <c r="B9" t="s">
        <v>91</v>
      </c>
      <c r="C9" s="38">
        <v>-200</v>
      </c>
      <c r="D9" s="38"/>
      <c r="E9" s="38"/>
      <c r="F9" s="38"/>
      <c r="G9" s="38"/>
    </row>
    <row r="10" spans="1:10" x14ac:dyDescent="0.25">
      <c r="B10" t="s">
        <v>92</v>
      </c>
      <c r="C10" s="38">
        <f>SUM(C7:C9)</f>
        <v>-200</v>
      </c>
      <c r="D10" s="38">
        <f>SUM(D7:D8)</f>
        <v>60</v>
      </c>
      <c r="E10" s="38">
        <f>SUM(E7:E8)</f>
        <v>60</v>
      </c>
      <c r="F10" s="38">
        <f>SUM(F7:F8)</f>
        <v>60</v>
      </c>
      <c r="G10" s="38">
        <f>SUM(G7:G8)</f>
        <v>60</v>
      </c>
    </row>
    <row r="11" spans="1:10" x14ac:dyDescent="0.25">
      <c r="B11" t="s">
        <v>93</v>
      </c>
      <c r="C11">
        <f>C10/(1+$C$4)^C6</f>
        <v>-200</v>
      </c>
      <c r="D11">
        <f>D10/(1+$C$4)^D6</f>
        <v>52.173913043478265</v>
      </c>
      <c r="E11">
        <f>E10/(1+$C$4)^E6</f>
        <v>45.36862003780719</v>
      </c>
      <c r="F11">
        <f>F10/(1+$C$4)^F6</f>
        <v>39.450973945919301</v>
      </c>
      <c r="G11">
        <f>G10/(1+$C$4)^G6</f>
        <v>34.305194735581999</v>
      </c>
    </row>
    <row r="12" spans="1:10" ht="13.8" thickBot="1" x14ac:dyDescent="0.3">
      <c r="A12" t="s">
        <v>94</v>
      </c>
      <c r="B12" t="s">
        <v>135</v>
      </c>
      <c r="C12" s="39">
        <f>SUM(C11:G11)</f>
        <v>-28.701298237213258</v>
      </c>
      <c r="J12" t="s">
        <v>42</v>
      </c>
    </row>
    <row r="13" spans="1:10" ht="13.8" thickTop="1" x14ac:dyDescent="0.25">
      <c r="C13" s="37"/>
    </row>
    <row r="14" spans="1:10" x14ac:dyDescent="0.25">
      <c r="C14" s="37"/>
    </row>
    <row r="16" spans="1:10" x14ac:dyDescent="0.25">
      <c r="B16" s="34" t="s">
        <v>96</v>
      </c>
    </row>
    <row r="17" spans="1:7" x14ac:dyDescent="0.25">
      <c r="B17" s="35" t="s">
        <v>97</v>
      </c>
      <c r="C17" s="35">
        <v>100</v>
      </c>
      <c r="D17" s="35"/>
      <c r="E17" s="35"/>
      <c r="F17" s="35"/>
    </row>
    <row r="18" spans="1:7" x14ac:dyDescent="0.25">
      <c r="B18" s="35" t="s">
        <v>98</v>
      </c>
      <c r="C18" s="36">
        <v>0.06</v>
      </c>
      <c r="D18" s="35"/>
      <c r="E18" s="35"/>
      <c r="F18" s="35"/>
    </row>
    <row r="19" spans="1:7" x14ac:dyDescent="0.25">
      <c r="B19" s="35" t="s">
        <v>57</v>
      </c>
      <c r="C19" s="36">
        <v>0.15</v>
      </c>
      <c r="D19" s="35" t="s">
        <v>89</v>
      </c>
      <c r="E19" s="35"/>
      <c r="F19" s="35"/>
      <c r="G19" t="s">
        <v>132</v>
      </c>
    </row>
    <row r="20" spans="1:7" x14ac:dyDescent="0.25">
      <c r="B20" s="35" t="s">
        <v>134</v>
      </c>
      <c r="C20" s="49">
        <f>(0.15-0.06*(0.5)*0.75)/0.5</f>
        <v>0.255</v>
      </c>
      <c r="D20" s="35"/>
      <c r="E20" s="35"/>
      <c r="F20" s="35"/>
    </row>
    <row r="21" spans="1:7" x14ac:dyDescent="0.25">
      <c r="B21" s="35"/>
      <c r="C21" s="36"/>
      <c r="D21" s="35"/>
      <c r="E21" s="35"/>
      <c r="F21" s="35"/>
    </row>
    <row r="22" spans="1:7" x14ac:dyDescent="0.25">
      <c r="C22">
        <v>0</v>
      </c>
      <c r="D22">
        <v>1</v>
      </c>
      <c r="E22">
        <v>2</v>
      </c>
      <c r="F22">
        <v>3</v>
      </c>
      <c r="G22">
        <v>4</v>
      </c>
    </row>
    <row r="23" spans="1:7" x14ac:dyDescent="0.25">
      <c r="A23" t="s">
        <v>40</v>
      </c>
      <c r="B23" t="s">
        <v>99</v>
      </c>
      <c r="D23">
        <v>80</v>
      </c>
      <c r="E23">
        <v>80</v>
      </c>
      <c r="F23">
        <v>80</v>
      </c>
      <c r="G23">
        <v>80</v>
      </c>
    </row>
    <row r="24" spans="1:7" x14ac:dyDescent="0.25">
      <c r="B24" t="s">
        <v>77</v>
      </c>
      <c r="C24" s="38"/>
      <c r="D24" s="38">
        <f>-$C$17*$C$18</f>
        <v>-6</v>
      </c>
      <c r="E24" s="38">
        <f>-$C$17*$C$18</f>
        <v>-6</v>
      </c>
      <c r="F24" s="38">
        <f>-$C$17*$C$18</f>
        <v>-6</v>
      </c>
      <c r="G24" s="38">
        <f>-$C$17*$C$18</f>
        <v>-6</v>
      </c>
    </row>
    <row r="25" spans="1:7" x14ac:dyDescent="0.25">
      <c r="A25" t="s">
        <v>46</v>
      </c>
      <c r="B25" t="s">
        <v>100</v>
      </c>
      <c r="D25">
        <f>D23+D24</f>
        <v>74</v>
      </c>
      <c r="E25">
        <f>E23+E24</f>
        <v>74</v>
      </c>
      <c r="F25">
        <f>F23+F24</f>
        <v>74</v>
      </c>
      <c r="G25">
        <f>G23+G24</f>
        <v>74</v>
      </c>
    </row>
    <row r="26" spans="1:7" x14ac:dyDescent="0.25">
      <c r="B26" t="s">
        <v>88</v>
      </c>
      <c r="C26" s="38"/>
      <c r="D26" s="38">
        <f>-D25*$C$3</f>
        <v>-18.5</v>
      </c>
      <c r="E26" s="38">
        <f>-E25*$C$3</f>
        <v>-18.5</v>
      </c>
      <c r="F26" s="38">
        <f>-F25*$C$3</f>
        <v>-18.5</v>
      </c>
      <c r="G26" s="38">
        <f>-G25*$C$3</f>
        <v>-18.5</v>
      </c>
    </row>
    <row r="27" spans="1:7" x14ac:dyDescent="0.25">
      <c r="B27" t="s">
        <v>101</v>
      </c>
      <c r="C27" t="s">
        <v>42</v>
      </c>
      <c r="D27">
        <f>SUM(D25:D26)</f>
        <v>55.5</v>
      </c>
      <c r="E27">
        <f>SUM(E25:E26)</f>
        <v>55.5</v>
      </c>
      <c r="F27">
        <f>SUM(F25:F26)</f>
        <v>55.5</v>
      </c>
      <c r="G27">
        <f>SUM(G25:G26)</f>
        <v>55.5</v>
      </c>
    </row>
    <row r="28" spans="1:7" x14ac:dyDescent="0.25">
      <c r="B28" t="s">
        <v>102</v>
      </c>
      <c r="C28">
        <v>-200</v>
      </c>
    </row>
    <row r="29" spans="1:7" x14ac:dyDescent="0.25">
      <c r="B29" t="s">
        <v>103</v>
      </c>
      <c r="C29" s="38">
        <v>100</v>
      </c>
      <c r="D29" s="38"/>
      <c r="E29" s="38"/>
      <c r="F29" s="38"/>
      <c r="G29" s="38">
        <v>-100</v>
      </c>
    </row>
    <row r="30" spans="1:7" x14ac:dyDescent="0.25">
      <c r="B30" t="s">
        <v>104</v>
      </c>
      <c r="C30" s="51">
        <f>SUM(C27:C29)</f>
        <v>-100</v>
      </c>
      <c r="D30" s="51">
        <f>SUM(D27:D29)</f>
        <v>55.5</v>
      </c>
      <c r="E30" s="51">
        <f>SUM(E27:E29)</f>
        <v>55.5</v>
      </c>
      <c r="F30" s="51">
        <f>SUM(F27:F29)</f>
        <v>55.5</v>
      </c>
      <c r="G30" s="51">
        <f>SUM(G27:G29)</f>
        <v>-44.5</v>
      </c>
    </row>
    <row r="31" spans="1:7" x14ac:dyDescent="0.25">
      <c r="B31" t="s">
        <v>133</v>
      </c>
      <c r="C31">
        <f>C30/(1+$C$19)^C22</f>
        <v>-100</v>
      </c>
      <c r="D31">
        <f>D30/(1+$C$20)^D22</f>
        <v>44.223107569721122</v>
      </c>
      <c r="E31">
        <f>E30/(1+$C$20)^E22</f>
        <v>35.237535912128386</v>
      </c>
      <c r="F31">
        <f>F30/(1+$C$20)^F22</f>
        <v>28.077717858269633</v>
      </c>
      <c r="G31">
        <f>G30/(1+$C$20)^G22</f>
        <v>-17.938457983460733</v>
      </c>
    </row>
    <row r="32" spans="1:7" ht="13.8" thickBot="1" x14ac:dyDescent="0.3">
      <c r="A32" t="s">
        <v>52</v>
      </c>
      <c r="B32" t="s">
        <v>105</v>
      </c>
      <c r="C32" s="50">
        <f>SUM(C31:G31)</f>
        <v>-10.400096643341591</v>
      </c>
    </row>
    <row r="33" spans="1:13" ht="13.8" thickTop="1" x14ac:dyDescent="0.25">
      <c r="B33" t="s">
        <v>42</v>
      </c>
    </row>
    <row r="35" spans="1:13" x14ac:dyDescent="0.25">
      <c r="A35" s="23" t="s">
        <v>106</v>
      </c>
    </row>
    <row r="36" spans="1:13" x14ac:dyDescent="0.25">
      <c r="A36" s="23"/>
      <c r="B36" s="34" t="s">
        <v>87</v>
      </c>
    </row>
    <row r="37" spans="1:13" x14ac:dyDescent="0.25">
      <c r="B37" s="35" t="s">
        <v>88</v>
      </c>
      <c r="C37" s="36">
        <v>0.25</v>
      </c>
      <c r="D37" s="35"/>
      <c r="E37" s="35"/>
      <c r="F37" s="35"/>
      <c r="G37" s="35"/>
      <c r="H37" s="35"/>
      <c r="I37" s="35"/>
      <c r="J37" s="35"/>
      <c r="K37" s="35"/>
      <c r="L37" s="35"/>
      <c r="M37" s="35"/>
    </row>
    <row r="38" spans="1:13" x14ac:dyDescent="0.25">
      <c r="B38" s="35" t="s">
        <v>107</v>
      </c>
      <c r="C38" s="35">
        <v>2</v>
      </c>
      <c r="D38" s="35" t="s">
        <v>108</v>
      </c>
      <c r="E38" s="35"/>
      <c r="F38" s="35"/>
      <c r="G38" s="35"/>
      <c r="H38" s="35"/>
      <c r="I38" s="35"/>
      <c r="J38" s="35"/>
      <c r="K38" s="35"/>
      <c r="L38" s="35"/>
      <c r="M38" s="35"/>
    </row>
    <row r="39" spans="1:13" x14ac:dyDescent="0.25">
      <c r="B39" s="35" t="s">
        <v>107</v>
      </c>
      <c r="C39" s="35">
        <f>C49/C38</f>
        <v>-100</v>
      </c>
      <c r="D39" s="35" t="s">
        <v>109</v>
      </c>
      <c r="E39" s="35"/>
      <c r="F39" s="35"/>
      <c r="G39" s="35"/>
      <c r="H39" s="35"/>
      <c r="I39" s="35"/>
      <c r="J39" s="35"/>
      <c r="K39" s="35"/>
      <c r="L39" s="35"/>
      <c r="M39" s="35"/>
    </row>
    <row r="40" spans="1:13" x14ac:dyDescent="0.25">
      <c r="B40" s="35" t="s">
        <v>57</v>
      </c>
      <c r="C40" s="36">
        <v>0.15</v>
      </c>
      <c r="D40" s="35" t="s">
        <v>89</v>
      </c>
      <c r="E40" s="35"/>
      <c r="F40" s="35"/>
      <c r="G40" s="35"/>
      <c r="H40" s="35"/>
      <c r="I40" s="35"/>
      <c r="J40" s="35"/>
      <c r="K40" s="35"/>
      <c r="L40" s="35"/>
      <c r="M40" s="35"/>
    </row>
    <row r="41" spans="1:13" x14ac:dyDescent="0.25">
      <c r="B41" s="35"/>
      <c r="C41" s="36"/>
      <c r="D41" s="35"/>
      <c r="E41" s="35"/>
      <c r="F41" s="35"/>
      <c r="G41" s="35"/>
      <c r="H41" s="35"/>
      <c r="I41" s="35"/>
      <c r="J41" s="35"/>
      <c r="K41" s="35"/>
      <c r="L41" s="35"/>
      <c r="M41" s="35"/>
    </row>
    <row r="42" spans="1:13" x14ac:dyDescent="0.25">
      <c r="C42">
        <v>0</v>
      </c>
      <c r="D42">
        <v>1</v>
      </c>
      <c r="E42">
        <v>2</v>
      </c>
      <c r="F42">
        <v>3</v>
      </c>
      <c r="G42">
        <v>4</v>
      </c>
    </row>
    <row r="43" spans="1:13" x14ac:dyDescent="0.25">
      <c r="A43" t="s">
        <v>40</v>
      </c>
      <c r="B43" t="s">
        <v>110</v>
      </c>
      <c r="D43">
        <v>80</v>
      </c>
      <c r="E43">
        <v>80</v>
      </c>
      <c r="F43">
        <v>80</v>
      </c>
      <c r="G43">
        <v>80</v>
      </c>
    </row>
    <row r="44" spans="1:13" x14ac:dyDescent="0.25">
      <c r="B44" s="33" t="s">
        <v>107</v>
      </c>
      <c r="C44" s="38"/>
      <c r="D44" s="38">
        <f>$C$39</f>
        <v>-100</v>
      </c>
      <c r="E44" s="38">
        <f>$C$39</f>
        <v>-100</v>
      </c>
      <c r="F44" s="38"/>
      <c r="G44" s="38"/>
    </row>
    <row r="45" spans="1:13" x14ac:dyDescent="0.25">
      <c r="B45" s="33" t="s">
        <v>111</v>
      </c>
      <c r="D45">
        <f>SUM(D43:D44)</f>
        <v>-20</v>
      </c>
      <c r="E45">
        <f>SUM(E43:E44)</f>
        <v>-20</v>
      </c>
      <c r="F45">
        <f>SUM(F43:F44)</f>
        <v>80</v>
      </c>
      <c r="G45">
        <f>SUM(G43:G44)</f>
        <v>80</v>
      </c>
    </row>
    <row r="46" spans="1:13" x14ac:dyDescent="0.25">
      <c r="B46" s="33" t="s">
        <v>112</v>
      </c>
      <c r="C46" s="38"/>
      <c r="D46" s="38" t="s">
        <v>42</v>
      </c>
      <c r="E46" s="38">
        <f>IF(D47=0,SUM(D45:D47),0)</f>
        <v>-20</v>
      </c>
      <c r="F46" s="38">
        <f>IF(E47=0,SUM(E45:E47),0)</f>
        <v>-40</v>
      </c>
      <c r="G46" s="38">
        <f>IF(F47=0,SUM(F45:F47),0)</f>
        <v>0</v>
      </c>
    </row>
    <row r="47" spans="1:13" x14ac:dyDescent="0.25">
      <c r="B47" s="33" t="s">
        <v>113</v>
      </c>
      <c r="D47">
        <f>IF(D45&lt;0,0,D45+D46)</f>
        <v>0</v>
      </c>
      <c r="E47">
        <f>IF(E45&lt;0,0,E45+E46)</f>
        <v>0</v>
      </c>
      <c r="F47">
        <f>IF(F45&lt;0,0,F45+F46)</f>
        <v>40</v>
      </c>
      <c r="G47">
        <f>IF(G45&lt;0,0,G45+G46)</f>
        <v>80</v>
      </c>
    </row>
    <row r="48" spans="1:13" x14ac:dyDescent="0.25">
      <c r="A48" t="s">
        <v>44</v>
      </c>
      <c r="B48" t="s">
        <v>88</v>
      </c>
      <c r="C48" s="37"/>
      <c r="D48" s="37">
        <f>-IF(D47&gt;0,D47*$C$37,0)</f>
        <v>0</v>
      </c>
      <c r="E48" s="37">
        <f>-IF(E47&gt;0,E47*$C$37,0)</f>
        <v>0</v>
      </c>
      <c r="F48" s="37">
        <f>-IF(F47&gt;0,F47*$C$37,0)</f>
        <v>-10</v>
      </c>
      <c r="G48" s="37">
        <f>-IF(G47&gt;0,G47*$C$37,0)</f>
        <v>-20</v>
      </c>
    </row>
    <row r="49" spans="1:13" x14ac:dyDescent="0.25">
      <c r="B49" t="s">
        <v>91</v>
      </c>
      <c r="C49" s="38">
        <v>-200</v>
      </c>
      <c r="D49" s="38"/>
      <c r="E49" s="38"/>
      <c r="F49" s="38"/>
      <c r="G49" s="38"/>
    </row>
    <row r="50" spans="1:13" x14ac:dyDescent="0.25">
      <c r="B50" t="s">
        <v>92</v>
      </c>
      <c r="C50" s="38">
        <f>C49+C48+C43</f>
        <v>-200</v>
      </c>
      <c r="D50" s="38">
        <f>D49+D48+D43</f>
        <v>80</v>
      </c>
      <c r="E50" s="38">
        <f>E49+E48+E43</f>
        <v>80</v>
      </c>
      <c r="F50" s="38">
        <f>F49+F48+F43</f>
        <v>70</v>
      </c>
      <c r="G50" s="38">
        <f>G49+G48+G43</f>
        <v>60</v>
      </c>
    </row>
    <row r="51" spans="1:13" x14ac:dyDescent="0.25">
      <c r="B51" t="s">
        <v>93</v>
      </c>
      <c r="C51">
        <f>C50/(1+$C$40)^C42</f>
        <v>-200</v>
      </c>
      <c r="D51">
        <f>D50/(1+$C$40)^D42</f>
        <v>69.565217391304358</v>
      </c>
      <c r="E51">
        <f>E50/(1+$C$40)^E42</f>
        <v>60.49149338374292</v>
      </c>
      <c r="F51">
        <f>F50/(1+$C$40)^F42</f>
        <v>46.026136270239185</v>
      </c>
      <c r="G51">
        <f>G50/(1+$C$40)^G42</f>
        <v>34.305194735581999</v>
      </c>
    </row>
    <row r="52" spans="1:13" ht="13.8" thickBot="1" x14ac:dyDescent="0.3">
      <c r="A52" t="s">
        <v>94</v>
      </c>
      <c r="B52" t="s">
        <v>95</v>
      </c>
      <c r="C52" s="39">
        <f>SUM(C51:G51)</f>
        <v>10.388041780868477</v>
      </c>
    </row>
    <row r="53" spans="1:13" ht="13.8" thickTop="1" x14ac:dyDescent="0.25"/>
    <row r="56" spans="1:13" x14ac:dyDescent="0.25">
      <c r="B56" s="34" t="s">
        <v>96</v>
      </c>
    </row>
    <row r="57" spans="1:13" x14ac:dyDescent="0.25">
      <c r="B57" s="35" t="s">
        <v>88</v>
      </c>
      <c r="C57" s="36">
        <v>0.25</v>
      </c>
      <c r="D57" s="35"/>
      <c r="E57" s="35"/>
      <c r="F57" s="35"/>
    </row>
    <row r="58" spans="1:13" x14ac:dyDescent="0.25">
      <c r="B58" s="35" t="s">
        <v>97</v>
      </c>
      <c r="C58" s="35">
        <v>100</v>
      </c>
      <c r="D58" s="35"/>
      <c r="E58" s="35"/>
      <c r="F58" s="35"/>
    </row>
    <row r="59" spans="1:13" x14ac:dyDescent="0.25">
      <c r="B59" s="35" t="s">
        <v>107</v>
      </c>
      <c r="C59" s="35">
        <v>2</v>
      </c>
      <c r="D59" s="35" t="s">
        <v>108</v>
      </c>
      <c r="E59" s="35"/>
      <c r="F59" s="35"/>
      <c r="G59" s="35"/>
      <c r="H59" s="35"/>
      <c r="I59" s="35"/>
      <c r="J59" s="35"/>
      <c r="K59" s="35"/>
      <c r="L59" s="35"/>
      <c r="M59" s="35"/>
    </row>
    <row r="60" spans="1:13" x14ac:dyDescent="0.25">
      <c r="B60" s="35" t="s">
        <v>107</v>
      </c>
      <c r="C60" s="35">
        <f>C74/C59</f>
        <v>-100</v>
      </c>
      <c r="D60" s="35" t="s">
        <v>109</v>
      </c>
      <c r="E60" s="35"/>
      <c r="F60" s="35"/>
      <c r="G60" s="35"/>
      <c r="H60" s="35"/>
      <c r="I60" s="35"/>
      <c r="J60" s="35"/>
      <c r="K60" s="35"/>
      <c r="L60" s="35"/>
      <c r="M60" s="35"/>
    </row>
    <row r="61" spans="1:13" x14ac:dyDescent="0.25">
      <c r="B61" s="35" t="s">
        <v>98</v>
      </c>
      <c r="C61" s="36">
        <v>0.06</v>
      </c>
      <c r="D61" s="35"/>
      <c r="E61" s="35"/>
      <c r="F61" s="35"/>
    </row>
    <row r="62" spans="1:13" x14ac:dyDescent="0.25">
      <c r="B62" s="35" t="s">
        <v>132</v>
      </c>
      <c r="C62" s="36">
        <v>0.15</v>
      </c>
      <c r="D62" s="35" t="s">
        <v>89</v>
      </c>
      <c r="E62" s="35"/>
      <c r="F62" s="35"/>
    </row>
    <row r="63" spans="1:13" x14ac:dyDescent="0.25">
      <c r="B63" s="35" t="s">
        <v>134</v>
      </c>
      <c r="C63" s="49">
        <f>(0.15-0.06*(0.5)*0.75)/0.5</f>
        <v>0.255</v>
      </c>
      <c r="D63" s="35"/>
      <c r="E63" s="35"/>
      <c r="F63" s="35"/>
    </row>
    <row r="64" spans="1:13" x14ac:dyDescent="0.25">
      <c r="B64" s="33"/>
      <c r="C64" s="48"/>
      <c r="D64" s="33"/>
      <c r="E64" s="33"/>
      <c r="F64" s="33"/>
      <c r="G64" s="33"/>
    </row>
    <row r="65" spans="1:7" x14ac:dyDescent="0.25">
      <c r="C65">
        <v>0</v>
      </c>
      <c r="D65">
        <v>1</v>
      </c>
      <c r="E65">
        <v>2</v>
      </c>
      <c r="F65">
        <v>3</v>
      </c>
      <c r="G65">
        <v>4</v>
      </c>
    </row>
    <row r="66" spans="1:7" x14ac:dyDescent="0.25">
      <c r="A66" t="s">
        <v>40</v>
      </c>
      <c r="B66" t="s">
        <v>99</v>
      </c>
      <c r="D66">
        <v>80</v>
      </c>
      <c r="E66">
        <v>80</v>
      </c>
      <c r="F66">
        <v>80</v>
      </c>
      <c r="G66">
        <v>80</v>
      </c>
    </row>
    <row r="67" spans="1:7" x14ac:dyDescent="0.25">
      <c r="B67" t="s">
        <v>77</v>
      </c>
      <c r="C67" s="37"/>
      <c r="D67" s="37">
        <f>-$C$17*$C$18</f>
        <v>-6</v>
      </c>
      <c r="E67" s="37">
        <f>-$C$17*$C$18</f>
        <v>-6</v>
      </c>
      <c r="F67" s="37">
        <f>-$C$17*$C$18</f>
        <v>-6</v>
      </c>
      <c r="G67" s="37">
        <f>-$C$17*$C$18</f>
        <v>-6</v>
      </c>
    </row>
    <row r="68" spans="1:7" x14ac:dyDescent="0.25">
      <c r="B68" t="s">
        <v>107</v>
      </c>
      <c r="C68" s="38"/>
      <c r="D68" s="38">
        <f>$C$60</f>
        <v>-100</v>
      </c>
      <c r="E68" s="38">
        <f>$C$60</f>
        <v>-100</v>
      </c>
      <c r="F68" s="38"/>
      <c r="G68" s="38"/>
    </row>
    <row r="69" spans="1:7" x14ac:dyDescent="0.25">
      <c r="A69" t="s">
        <v>46</v>
      </c>
      <c r="B69" t="s">
        <v>111</v>
      </c>
      <c r="D69">
        <f>SUM(D66:D68)</f>
        <v>-26</v>
      </c>
      <c r="E69">
        <f>SUM(E66:E68)</f>
        <v>-26</v>
      </c>
      <c r="F69">
        <f>SUM(F66:F68)</f>
        <v>74</v>
      </c>
      <c r="G69">
        <f>SUM(G66:G68)</f>
        <v>74</v>
      </c>
    </row>
    <row r="70" spans="1:7" x14ac:dyDescent="0.25">
      <c r="B70" s="33" t="s">
        <v>112</v>
      </c>
      <c r="C70" s="38"/>
      <c r="D70" s="38" t="s">
        <v>42</v>
      </c>
      <c r="E70" s="38">
        <f>IF(D71=0,SUM(D69:D71),0)</f>
        <v>-26</v>
      </c>
      <c r="F70" s="38">
        <f>IF(E71=0,SUM(E69:E71),0)</f>
        <v>-52</v>
      </c>
      <c r="G70" s="38">
        <f>IF(F71=0,SUM(F69:F71),0)</f>
        <v>0</v>
      </c>
    </row>
    <row r="71" spans="1:7" x14ac:dyDescent="0.25">
      <c r="B71" s="33" t="s">
        <v>113</v>
      </c>
      <c r="D71">
        <f>IF(D69&lt;0,0,D69+D70)</f>
        <v>0</v>
      </c>
      <c r="E71">
        <f>IF(E69&lt;0,0,E69+E70)</f>
        <v>0</v>
      </c>
      <c r="F71">
        <f>IF(F69&lt;0,0,F69+F70)</f>
        <v>22</v>
      </c>
      <c r="G71">
        <f>IF(G69&lt;0,0,G69+G70)</f>
        <v>74</v>
      </c>
    </row>
    <row r="72" spans="1:7" x14ac:dyDescent="0.25">
      <c r="B72" t="s">
        <v>88</v>
      </c>
      <c r="C72" s="38"/>
      <c r="D72" s="38">
        <f>-D71*$C$57</f>
        <v>0</v>
      </c>
      <c r="E72" s="38">
        <f>-E71*$C$57</f>
        <v>0</v>
      </c>
      <c r="F72" s="38">
        <f>-F71*$C$57</f>
        <v>-5.5</v>
      </c>
      <c r="G72" s="38">
        <f>-G71*$C$57</f>
        <v>-18.5</v>
      </c>
    </row>
    <row r="73" spans="1:7" x14ac:dyDescent="0.25">
      <c r="B73" t="s">
        <v>101</v>
      </c>
      <c r="C73" t="s">
        <v>42</v>
      </c>
      <c r="D73">
        <f>D66+D67+D72</f>
        <v>74</v>
      </c>
      <c r="E73">
        <f>E66+E67+E72</f>
        <v>74</v>
      </c>
      <c r="F73">
        <f>F66+F67+F72</f>
        <v>68.5</v>
      </c>
      <c r="G73">
        <f>G66+G67+G72</f>
        <v>55.5</v>
      </c>
    </row>
    <row r="74" spans="1:7" x14ac:dyDescent="0.25">
      <c r="B74" t="s">
        <v>102</v>
      </c>
      <c r="C74">
        <v>-200</v>
      </c>
    </row>
    <row r="75" spans="1:7" x14ac:dyDescent="0.25">
      <c r="B75" t="s">
        <v>103</v>
      </c>
      <c r="C75" s="38">
        <v>100</v>
      </c>
      <c r="D75" s="38"/>
      <c r="E75" s="38"/>
      <c r="F75" s="38"/>
      <c r="G75" s="38">
        <v>-100</v>
      </c>
    </row>
    <row r="76" spans="1:7" x14ac:dyDescent="0.25">
      <c r="B76" t="s">
        <v>104</v>
      </c>
      <c r="C76">
        <f>SUM(C73:C75)</f>
        <v>-100</v>
      </c>
      <c r="D76">
        <f>SUM(D73:D75)</f>
        <v>74</v>
      </c>
      <c r="E76">
        <f>SUM(E73:E75)</f>
        <v>74</v>
      </c>
      <c r="F76">
        <f>SUM(F73:F75)</f>
        <v>68.5</v>
      </c>
      <c r="G76">
        <f>SUM(G73:G75)</f>
        <v>-44.5</v>
      </c>
    </row>
    <row r="77" spans="1:7" x14ac:dyDescent="0.25">
      <c r="B77" t="s">
        <v>133</v>
      </c>
      <c r="C77">
        <f>C76/(1+$C$19)^C65</f>
        <v>-100</v>
      </c>
      <c r="D77">
        <f>D76/(1+$C$63)^D65</f>
        <v>58.964143426294825</v>
      </c>
      <c r="E77">
        <f>E76/(1+$C$63)^E65</f>
        <v>46.983381216171182</v>
      </c>
      <c r="F77">
        <f>F76/(1+$C$63)^F65</f>
        <v>34.654480599846302</v>
      </c>
      <c r="G77">
        <f>G76/(1+$C$63)^G65</f>
        <v>-17.938457983460733</v>
      </c>
    </row>
    <row r="78" spans="1:7" ht="13.8" thickBot="1" x14ac:dyDescent="0.3">
      <c r="A78" t="s">
        <v>52</v>
      </c>
      <c r="B78" t="s">
        <v>105</v>
      </c>
      <c r="C78" s="50">
        <f>SUM(C77:G77)</f>
        <v>22.663547258851576</v>
      </c>
    </row>
    <row r="79" spans="1:7" ht="13.8" thickTop="1" x14ac:dyDescent="0.25"/>
  </sheetData>
  <phoneticPr fontId="0" type="noConversion"/>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D38" sqref="D38"/>
    </sheetView>
  </sheetViews>
  <sheetFormatPr defaultRowHeight="13.2" x14ac:dyDescent="0.25"/>
  <cols>
    <col min="1" max="1" width="4.88671875" style="11" bestFit="1" customWidth="1"/>
    <col min="2" max="2" width="29.88671875" customWidth="1"/>
    <col min="3" max="3" width="16.44140625" bestFit="1" customWidth="1"/>
    <col min="4" max="4" width="22.33203125" customWidth="1"/>
    <col min="5" max="5" width="16.44140625" bestFit="1" customWidth="1"/>
    <col min="6" max="6" width="14.44140625" bestFit="1" customWidth="1"/>
  </cols>
  <sheetData>
    <row r="1" spans="2:5" x14ac:dyDescent="0.25">
      <c r="B1" s="56" t="s">
        <v>27</v>
      </c>
      <c r="C1" s="56"/>
      <c r="D1" s="56"/>
      <c r="E1" s="56"/>
    </row>
    <row r="2" spans="2:5" x14ac:dyDescent="0.25">
      <c r="B2" s="12" t="s">
        <v>28</v>
      </c>
      <c r="C2" s="13">
        <v>37256</v>
      </c>
      <c r="D2" s="13">
        <v>36891</v>
      </c>
      <c r="E2" s="13">
        <v>36525</v>
      </c>
    </row>
    <row r="3" spans="2:5" x14ac:dyDescent="0.25">
      <c r="B3" s="12" t="s">
        <v>29</v>
      </c>
      <c r="C3" s="14">
        <v>162412000000</v>
      </c>
      <c r="D3" s="14">
        <v>170064000000</v>
      </c>
      <c r="E3" s="14">
        <v>162558000000</v>
      </c>
    </row>
    <row r="4" spans="2:5" x14ac:dyDescent="0.25">
      <c r="B4" s="15" t="s">
        <v>30</v>
      </c>
      <c r="C4" s="16">
        <v>129159000000</v>
      </c>
      <c r="D4" s="16">
        <v>126120000000</v>
      </c>
      <c r="E4" s="16">
        <v>119046000000</v>
      </c>
    </row>
    <row r="5" spans="2:5" x14ac:dyDescent="0.25">
      <c r="B5" s="15" t="s">
        <v>31</v>
      </c>
      <c r="C5" s="16">
        <v>33253000000</v>
      </c>
      <c r="D5" s="16">
        <v>43944000000</v>
      </c>
      <c r="E5" s="16">
        <v>43512000000</v>
      </c>
    </row>
    <row r="6" spans="2:5" x14ac:dyDescent="0.25">
      <c r="B6" s="58"/>
      <c r="C6" s="58"/>
      <c r="D6" s="58"/>
      <c r="E6" s="58"/>
    </row>
    <row r="7" spans="2:5" x14ac:dyDescent="0.25">
      <c r="B7" s="57" t="s">
        <v>32</v>
      </c>
      <c r="C7" s="57"/>
      <c r="D7" s="57"/>
      <c r="E7" s="57"/>
    </row>
    <row r="8" spans="2:5" x14ac:dyDescent="0.25">
      <c r="B8" s="17" t="s">
        <v>61</v>
      </c>
      <c r="C8" s="18" t="s">
        <v>33</v>
      </c>
      <c r="D8" s="18" t="s">
        <v>33</v>
      </c>
      <c r="E8" s="18" t="s">
        <v>33</v>
      </c>
    </row>
    <row r="9" spans="2:5" ht="24" x14ac:dyDescent="0.25">
      <c r="B9" s="17" t="s">
        <v>62</v>
      </c>
      <c r="C9" s="16">
        <v>15670000000</v>
      </c>
      <c r="D9" s="16">
        <v>14855000000</v>
      </c>
      <c r="E9" s="16">
        <v>14201000000</v>
      </c>
    </row>
    <row r="10" spans="2:5" x14ac:dyDescent="0.25">
      <c r="B10" s="17" t="s">
        <v>63</v>
      </c>
      <c r="C10" s="18" t="s">
        <v>33</v>
      </c>
      <c r="D10" s="18" t="s">
        <v>33</v>
      </c>
      <c r="E10" s="18" t="s">
        <v>33</v>
      </c>
    </row>
    <row r="11" spans="2:5" x14ac:dyDescent="0.25">
      <c r="B11" s="17" t="s">
        <v>64</v>
      </c>
      <c r="C11" s="16">
        <v>14229000000</v>
      </c>
      <c r="D11" s="16">
        <v>11371000000</v>
      </c>
      <c r="E11" s="16">
        <v>10719000000</v>
      </c>
    </row>
    <row r="12" spans="2:5" x14ac:dyDescent="0.25">
      <c r="B12" s="58"/>
      <c r="C12" s="58"/>
      <c r="D12" s="58"/>
      <c r="E12" s="58"/>
    </row>
    <row r="13" spans="2:5" x14ac:dyDescent="0.25">
      <c r="B13" s="15" t="s">
        <v>34</v>
      </c>
      <c r="C13" s="16">
        <v>3354000000</v>
      </c>
      <c r="D13" s="16">
        <v>17718000000</v>
      </c>
      <c r="E13" s="16">
        <v>18592000000</v>
      </c>
    </row>
    <row r="14" spans="2:5" x14ac:dyDescent="0.25">
      <c r="B14" s="15" t="s">
        <v>35</v>
      </c>
      <c r="C14" s="16">
        <v>-90000000</v>
      </c>
      <c r="D14" s="16">
        <v>1418000000</v>
      </c>
      <c r="E14" s="16">
        <v>1510000000</v>
      </c>
    </row>
    <row r="15" spans="2:5" x14ac:dyDescent="0.25">
      <c r="B15" s="15" t="s">
        <v>36</v>
      </c>
      <c r="C15" s="16">
        <v>3264000000</v>
      </c>
      <c r="D15" s="16">
        <v>19136000000</v>
      </c>
      <c r="E15" s="16">
        <v>20102000000</v>
      </c>
    </row>
    <row r="16" spans="2:5" x14ac:dyDescent="0.25">
      <c r="B16" s="15" t="s">
        <v>19</v>
      </c>
      <c r="C16" s="16">
        <v>10848000000</v>
      </c>
      <c r="D16" s="16">
        <v>10902000000</v>
      </c>
      <c r="E16" s="16">
        <v>9076000000</v>
      </c>
    </row>
    <row r="17" spans="1:6" x14ac:dyDescent="0.25">
      <c r="B17" s="15" t="s">
        <v>37</v>
      </c>
      <c r="C17" s="16">
        <v>-7584000000</v>
      </c>
      <c r="D17" s="16">
        <v>8234000000</v>
      </c>
      <c r="E17" s="16">
        <v>11026000000</v>
      </c>
    </row>
    <row r="18" spans="1:6" x14ac:dyDescent="0.25">
      <c r="B18" s="17" t="s">
        <v>65</v>
      </c>
      <c r="C18" s="16">
        <v>-2151000000</v>
      </c>
      <c r="D18" s="16">
        <v>2705000000</v>
      </c>
      <c r="E18" s="16">
        <v>3670000000</v>
      </c>
    </row>
    <row r="19" spans="1:6" ht="24" x14ac:dyDescent="0.25">
      <c r="B19" s="17" t="s">
        <v>66</v>
      </c>
      <c r="C19" s="18" t="s">
        <v>33</v>
      </c>
      <c r="D19" s="18" t="s">
        <v>33</v>
      </c>
      <c r="E19" s="18" t="s">
        <v>33</v>
      </c>
    </row>
    <row r="20" spans="1:6" x14ac:dyDescent="0.25">
      <c r="B20" s="17" t="s">
        <v>67</v>
      </c>
      <c r="C20" s="16">
        <v>-20000000</v>
      </c>
      <c r="D20" s="16">
        <v>-119000000</v>
      </c>
      <c r="E20" s="16">
        <v>-119000000</v>
      </c>
    </row>
    <row r="21" spans="1:6" x14ac:dyDescent="0.25">
      <c r="B21" s="15" t="s">
        <v>38</v>
      </c>
      <c r="C21" s="16">
        <v>-5453000000</v>
      </c>
      <c r="D21" s="16">
        <v>5410000000</v>
      </c>
      <c r="E21" s="16">
        <v>7237000000</v>
      </c>
    </row>
    <row r="22" spans="1:6" x14ac:dyDescent="0.25">
      <c r="B22" s="58"/>
      <c r="C22" s="58"/>
      <c r="D22" s="58"/>
      <c r="E22" s="58"/>
    </row>
    <row r="23" spans="1:6" x14ac:dyDescent="0.25">
      <c r="B23" s="57" t="s">
        <v>39</v>
      </c>
      <c r="C23" s="57"/>
      <c r="D23" s="57"/>
      <c r="E23" s="57"/>
    </row>
    <row r="24" spans="1:6" x14ac:dyDescent="0.25">
      <c r="B24" s="17" t="s">
        <v>68</v>
      </c>
      <c r="C24" s="18" t="s">
        <v>33</v>
      </c>
      <c r="D24" s="16">
        <v>-1943000000</v>
      </c>
      <c r="E24" s="18" t="s">
        <v>33</v>
      </c>
    </row>
    <row r="25" spans="1:6" x14ac:dyDescent="0.25">
      <c r="B25" s="17" t="s">
        <v>69</v>
      </c>
      <c r="C25" s="18" t="s">
        <v>33</v>
      </c>
      <c r="D25" s="18" t="s">
        <v>33</v>
      </c>
      <c r="E25" s="18" t="s">
        <v>33</v>
      </c>
    </row>
    <row r="26" spans="1:6" x14ac:dyDescent="0.25">
      <c r="B26" s="17" t="s">
        <v>70</v>
      </c>
      <c r="C26" s="18" t="s">
        <v>33</v>
      </c>
      <c r="D26" s="18" t="s">
        <v>33</v>
      </c>
      <c r="E26" s="18" t="s">
        <v>33</v>
      </c>
    </row>
    <row r="27" spans="1:6" ht="13.8" thickBot="1" x14ac:dyDescent="0.3">
      <c r="B27" s="17" t="s">
        <v>71</v>
      </c>
      <c r="C27" s="18" t="s">
        <v>33</v>
      </c>
      <c r="D27" s="18" t="s">
        <v>33</v>
      </c>
      <c r="E27" s="18" t="s">
        <v>33</v>
      </c>
    </row>
    <row r="28" spans="1:6" ht="13.8" thickBot="1" x14ac:dyDescent="0.3">
      <c r="A28" s="11" t="s">
        <v>40</v>
      </c>
      <c r="B28" s="19" t="s">
        <v>41</v>
      </c>
      <c r="C28" s="20">
        <v>-5453000000</v>
      </c>
      <c r="D28" s="20">
        <v>3467000000</v>
      </c>
      <c r="E28" s="21">
        <v>7237000000</v>
      </c>
      <c r="F28" s="22" t="s">
        <v>42</v>
      </c>
    </row>
    <row r="29" spans="1:6" x14ac:dyDescent="0.25">
      <c r="B29" s="17" t="s">
        <v>72</v>
      </c>
      <c r="C29" s="18" t="s">
        <v>33</v>
      </c>
      <c r="D29" s="18" t="s">
        <v>33</v>
      </c>
      <c r="E29" s="16">
        <v>-15000000</v>
      </c>
    </row>
    <row r="30" spans="1:6" x14ac:dyDescent="0.25">
      <c r="B30" s="58"/>
      <c r="C30" s="58"/>
      <c r="D30" s="58"/>
      <c r="E30" s="58"/>
    </row>
    <row r="31" spans="1:6" ht="21" x14ac:dyDescent="0.25">
      <c r="B31" s="12" t="s">
        <v>43</v>
      </c>
      <c r="C31" s="14">
        <v>-5453000000</v>
      </c>
      <c r="D31" s="14">
        <v>3467000000</v>
      </c>
      <c r="E31" s="14">
        <v>7222000000</v>
      </c>
    </row>
    <row r="33" spans="1:8" ht="13.8" thickBot="1" x14ac:dyDescent="0.3"/>
    <row r="34" spans="1:8" ht="13.8" thickBot="1" x14ac:dyDescent="0.3">
      <c r="A34" s="11" t="s">
        <v>44</v>
      </c>
      <c r="B34" s="23" t="s">
        <v>45</v>
      </c>
      <c r="C34" s="24">
        <f>AVERAGE(C28:E28)</f>
        <v>1750333333.3333333</v>
      </c>
    </row>
    <row r="36" spans="1:8" ht="13.8" thickBot="1" x14ac:dyDescent="0.3"/>
    <row r="37" spans="1:8" ht="13.8" thickBot="1" x14ac:dyDescent="0.3">
      <c r="A37" s="11" t="s">
        <v>46</v>
      </c>
      <c r="B37" s="23" t="s">
        <v>47</v>
      </c>
      <c r="C37" s="24">
        <f>C34/0.09</f>
        <v>19448148148.148148</v>
      </c>
      <c r="D37" t="s">
        <v>42</v>
      </c>
    </row>
    <row r="38" spans="1:8" x14ac:dyDescent="0.25">
      <c r="B38" s="23"/>
    </row>
    <row r="39" spans="1:8" x14ac:dyDescent="0.25">
      <c r="A39" s="11" t="s">
        <v>48</v>
      </c>
      <c r="B39" s="23" t="s">
        <v>49</v>
      </c>
      <c r="C39" s="25">
        <v>1735756535</v>
      </c>
      <c r="D39" t="s">
        <v>42</v>
      </c>
    </row>
    <row r="40" spans="1:8" ht="13.8" thickBot="1" x14ac:dyDescent="0.3">
      <c r="B40" s="23" t="s">
        <v>50</v>
      </c>
      <c r="C40" s="26">
        <v>15.55</v>
      </c>
    </row>
    <row r="41" spans="1:8" ht="13.8" thickBot="1" x14ac:dyDescent="0.3">
      <c r="B41" s="23" t="s">
        <v>51</v>
      </c>
      <c r="C41" s="27">
        <f>C39*C40</f>
        <v>26991014119.25</v>
      </c>
      <c r="E41" t="s">
        <v>42</v>
      </c>
      <c r="F41" t="s">
        <v>42</v>
      </c>
      <c r="G41" t="s">
        <v>42</v>
      </c>
      <c r="H41" t="s">
        <v>42</v>
      </c>
    </row>
    <row r="42" spans="1:8" ht="13.8" thickBot="1" x14ac:dyDescent="0.3">
      <c r="B42" s="23"/>
    </row>
    <row r="43" spans="1:8" ht="13.8" thickBot="1" x14ac:dyDescent="0.3">
      <c r="A43" s="11" t="s">
        <v>52</v>
      </c>
      <c r="B43" s="23" t="s">
        <v>53</v>
      </c>
      <c r="C43" s="28">
        <f>C41-C37</f>
        <v>7542865971.1018524</v>
      </c>
      <c r="H43" t="s">
        <v>42</v>
      </c>
    </row>
    <row r="44" spans="1:8" x14ac:dyDescent="0.25">
      <c r="B44" s="23"/>
    </row>
    <row r="45" spans="1:8" x14ac:dyDescent="0.25">
      <c r="A45" s="11" t="s">
        <v>54</v>
      </c>
      <c r="B45" s="29" t="s">
        <v>55</v>
      </c>
      <c r="C45" s="30"/>
      <c r="D45" s="30"/>
      <c r="E45" s="30">
        <f>1/(1-C43/C41)</f>
        <v>1.3878449461431157</v>
      </c>
    </row>
    <row r="46" spans="1:8" x14ac:dyDescent="0.25">
      <c r="B46" s="29" t="s">
        <v>56</v>
      </c>
      <c r="C46" s="30">
        <f>C41/C34</f>
        <v>15.420499401590174</v>
      </c>
      <c r="D46" s="30"/>
      <c r="E46" s="30"/>
    </row>
    <row r="47" spans="1:8" x14ac:dyDescent="0.25">
      <c r="B47" s="29" t="s">
        <v>57</v>
      </c>
      <c r="C47" s="31">
        <f>0.09</f>
        <v>0.09</v>
      </c>
      <c r="D47" s="30"/>
      <c r="E47" s="30"/>
    </row>
    <row r="48" spans="1:8" x14ac:dyDescent="0.25">
      <c r="B48" s="29" t="s">
        <v>58</v>
      </c>
      <c r="C48" s="30">
        <f>C46/C47</f>
        <v>171.33888223989084</v>
      </c>
      <c r="D48" s="30"/>
      <c r="E48" s="30"/>
    </row>
    <row r="49" spans="1:3" x14ac:dyDescent="0.25">
      <c r="B49" s="23"/>
    </row>
    <row r="50" spans="1:3" ht="13.8" thickBot="1" x14ac:dyDescent="0.3">
      <c r="B50" s="23"/>
    </row>
    <row r="51" spans="1:3" ht="13.8" thickBot="1" x14ac:dyDescent="0.3">
      <c r="A51" s="11" t="s">
        <v>59</v>
      </c>
      <c r="B51" s="23" t="s">
        <v>60</v>
      </c>
      <c r="C51" s="24">
        <f>C34/0.11</f>
        <v>15912121212.121212</v>
      </c>
    </row>
    <row r="52" spans="1:3" ht="13.8" thickBot="1" x14ac:dyDescent="0.3"/>
    <row r="53" spans="1:3" ht="13.8" thickBot="1" x14ac:dyDescent="0.3">
      <c r="B53" s="23" t="s">
        <v>53</v>
      </c>
      <c r="C53" s="28">
        <f>C41-C51</f>
        <v>11078892907.128788</v>
      </c>
    </row>
  </sheetData>
  <mergeCells count="7">
    <mergeCell ref="B1:E1"/>
    <mergeCell ref="B23:E23"/>
    <mergeCell ref="B30:E30"/>
    <mergeCell ref="B6:E6"/>
    <mergeCell ref="B7:E7"/>
    <mergeCell ref="B12:E12"/>
    <mergeCell ref="B22:E22"/>
  </mergeCells>
  <phoneticPr fontId="0" type="noConversion"/>
  <pageMargins left="0.75" right="0.75" top="1" bottom="1" header="0.5" footer="0.5"/>
  <pageSetup orientation="portrait" horizontalDpi="4294967294"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30" sqref="C30"/>
    </sheetView>
  </sheetViews>
  <sheetFormatPr defaultRowHeight="13.2" x14ac:dyDescent="0.25"/>
  <cols>
    <col min="1" max="1" width="4.109375" customWidth="1"/>
    <col min="2" max="2" width="3.44140625" customWidth="1"/>
    <col min="3" max="3" width="40.5546875" customWidth="1"/>
    <col min="4" max="4" width="16.5546875" bestFit="1" customWidth="1"/>
    <col min="5" max="5" width="14" bestFit="1" customWidth="1"/>
  </cols>
  <sheetData>
    <row r="1" spans="1:5" ht="21" x14ac:dyDescent="0.4">
      <c r="A1" s="1" t="s">
        <v>0</v>
      </c>
    </row>
    <row r="3" spans="1:5" x14ac:dyDescent="0.25">
      <c r="B3" t="s">
        <v>2</v>
      </c>
    </row>
    <row r="4" spans="1:5" x14ac:dyDescent="0.25">
      <c r="B4" t="s">
        <v>1</v>
      </c>
    </row>
    <row r="5" spans="1:5" x14ac:dyDescent="0.25">
      <c r="B5" t="s">
        <v>4</v>
      </c>
    </row>
    <row r="6" spans="1:5" x14ac:dyDescent="0.25">
      <c r="B6" t="s">
        <v>3</v>
      </c>
      <c r="C6" t="s">
        <v>5</v>
      </c>
      <c r="D6" s="2">
        <v>1691000000</v>
      </c>
      <c r="E6" t="s">
        <v>6</v>
      </c>
    </row>
    <row r="7" spans="1:5" x14ac:dyDescent="0.25">
      <c r="B7" t="s">
        <v>7</v>
      </c>
      <c r="C7" t="s">
        <v>8</v>
      </c>
      <c r="D7" s="2">
        <v>5670000000</v>
      </c>
    </row>
    <row r="8" spans="1:5" x14ac:dyDescent="0.25">
      <c r="B8" t="s">
        <v>9</v>
      </c>
      <c r="C8" t="s">
        <v>10</v>
      </c>
      <c r="D8" s="3">
        <f>D6/D7</f>
        <v>0.29823633156966489</v>
      </c>
    </row>
    <row r="9" spans="1:5" x14ac:dyDescent="0.25">
      <c r="B9" t="s">
        <v>11</v>
      </c>
      <c r="C9" t="s">
        <v>12</v>
      </c>
      <c r="D9" s="2">
        <v>803000000</v>
      </c>
      <c r="E9" t="s">
        <v>24</v>
      </c>
    </row>
    <row r="10" spans="1:5" x14ac:dyDescent="0.25">
      <c r="C10" t="s">
        <v>13</v>
      </c>
      <c r="D10" s="4">
        <f>D7-D9</f>
        <v>4867000000</v>
      </c>
    </row>
    <row r="11" spans="1:5" x14ac:dyDescent="0.25">
      <c r="C11" s="5" t="s">
        <v>14</v>
      </c>
      <c r="D11" s="6">
        <f>D10*D8</f>
        <v>1451516225.7495589</v>
      </c>
      <c r="E11" t="s">
        <v>25</v>
      </c>
    </row>
    <row r="12" spans="1:5" x14ac:dyDescent="0.25">
      <c r="C12" s="6" t="s">
        <v>15</v>
      </c>
      <c r="D12" s="6">
        <f>D6</f>
        <v>1691000000</v>
      </c>
    </row>
    <row r="13" spans="1:5" x14ac:dyDescent="0.25">
      <c r="C13" s="7" t="s">
        <v>16</v>
      </c>
      <c r="D13" s="6">
        <f>D12-D11</f>
        <v>239483774.25044107</v>
      </c>
    </row>
    <row r="14" spans="1:5" x14ac:dyDescent="0.25">
      <c r="C14" s="8" t="s">
        <v>17</v>
      </c>
      <c r="D14" s="9">
        <f>D9*D8</f>
        <v>239483774.2504409</v>
      </c>
    </row>
    <row r="16" spans="1:5" x14ac:dyDescent="0.25">
      <c r="B16" t="s">
        <v>18</v>
      </c>
      <c r="C16" t="s">
        <v>19</v>
      </c>
      <c r="D16" s="2">
        <v>289000000</v>
      </c>
      <c r="E16" t="s">
        <v>23</v>
      </c>
    </row>
    <row r="17" spans="3:6" x14ac:dyDescent="0.25">
      <c r="C17" t="s">
        <v>20</v>
      </c>
      <c r="D17" s="4">
        <f>5959000000</f>
        <v>5959000000</v>
      </c>
      <c r="E17" s="4"/>
    </row>
    <row r="18" spans="3:6" x14ac:dyDescent="0.25">
      <c r="C18" t="str">
        <f>C7</f>
        <v>Income Before Taxes (After Interest)</v>
      </c>
      <c r="D18" s="4">
        <f>D7</f>
        <v>5670000000</v>
      </c>
      <c r="E18" s="4"/>
    </row>
    <row r="19" spans="3:6" x14ac:dyDescent="0.25">
      <c r="C19" s="5" t="s">
        <v>21</v>
      </c>
      <c r="D19" s="6">
        <f>D18*D8</f>
        <v>1691000000</v>
      </c>
      <c r="E19" t="s">
        <v>25</v>
      </c>
    </row>
    <row r="20" spans="3:6" x14ac:dyDescent="0.25">
      <c r="C20" s="6" t="s">
        <v>22</v>
      </c>
      <c r="D20" s="6">
        <f>D17*D8</f>
        <v>1777190299.8236332</v>
      </c>
    </row>
    <row r="21" spans="3:6" x14ac:dyDescent="0.25">
      <c r="C21" s="7" t="s">
        <v>16</v>
      </c>
      <c r="D21" s="6">
        <f>D20-D19</f>
        <v>86190299.823633194</v>
      </c>
    </row>
    <row r="22" spans="3:6" x14ac:dyDescent="0.25">
      <c r="C22" s="8" t="s">
        <v>26</v>
      </c>
      <c r="D22" s="9"/>
    </row>
    <row r="26" spans="3:6" x14ac:dyDescent="0.25">
      <c r="D26" s="10"/>
    </row>
    <row r="28" spans="3:6" x14ac:dyDescent="0.25">
      <c r="E28" s="10"/>
      <c r="F28" s="10"/>
    </row>
  </sheetData>
  <phoneticPr fontId="0" type="noConversion"/>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B12" sqref="B12"/>
    </sheetView>
  </sheetViews>
  <sheetFormatPr defaultRowHeight="13.2" x14ac:dyDescent="0.25"/>
  <cols>
    <col min="1" max="1" width="29" bestFit="1" customWidth="1"/>
  </cols>
  <sheetData>
    <row r="1" spans="1:3" x14ac:dyDescent="0.25">
      <c r="A1" s="23" t="s">
        <v>114</v>
      </c>
    </row>
    <row r="3" spans="1:3" s="23" customFormat="1" x14ac:dyDescent="0.25">
      <c r="A3" s="23" t="s">
        <v>115</v>
      </c>
      <c r="B3" s="23" t="s">
        <v>56</v>
      </c>
      <c r="C3" s="23" t="s">
        <v>116</v>
      </c>
    </row>
    <row r="4" spans="1:3" x14ac:dyDescent="0.25">
      <c r="A4" t="s">
        <v>117</v>
      </c>
      <c r="B4" s="40">
        <f>1/(10%-5%)</f>
        <v>20</v>
      </c>
      <c r="C4" s="41" t="s">
        <v>118</v>
      </c>
    </row>
    <row r="5" spans="1:3" x14ac:dyDescent="0.25">
      <c r="A5" t="s">
        <v>119</v>
      </c>
      <c r="B5" s="40">
        <f>1/(10%-2%)</f>
        <v>12.5</v>
      </c>
    </row>
    <row r="6" spans="1:3" x14ac:dyDescent="0.25">
      <c r="B6" s="40"/>
    </row>
    <row r="7" spans="1:3" s="23" customFormat="1" x14ac:dyDescent="0.25">
      <c r="A7" s="23" t="s">
        <v>120</v>
      </c>
      <c r="B7" s="40" t="s">
        <v>121</v>
      </c>
      <c r="C7" s="23" t="s">
        <v>116</v>
      </c>
    </row>
    <row r="8" spans="1:3" x14ac:dyDescent="0.25">
      <c r="A8" t="s">
        <v>117</v>
      </c>
      <c r="B8" s="42">
        <f>(10%-5%)</f>
        <v>0.05</v>
      </c>
      <c r="C8" s="41" t="s">
        <v>122</v>
      </c>
    </row>
    <row r="9" spans="1:3" x14ac:dyDescent="0.25">
      <c r="A9" t="s">
        <v>119</v>
      </c>
      <c r="B9" s="42">
        <f>(10%-2%)</f>
        <v>0.08</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vt:lpstr>
      <vt:lpstr>Q1 a-b, graph</vt:lpstr>
      <vt:lpstr>Q1 c-d, additional info</vt:lpstr>
      <vt:lpstr>Q2</vt:lpstr>
      <vt:lpstr>Q3</vt:lpstr>
      <vt:lpstr>Q4</vt:lpstr>
      <vt:lpstr>Q5</vt:lpstr>
    </vt:vector>
  </TitlesOfParts>
  <Company>Yale School of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 Sayegh</dc:creator>
  <cp:lastModifiedBy>Aniket Gupta</cp:lastModifiedBy>
  <dcterms:created xsi:type="dcterms:W3CDTF">2002-10-09T03:17:37Z</dcterms:created>
  <dcterms:modified xsi:type="dcterms:W3CDTF">2024-02-03T22:20:27Z</dcterms:modified>
</cp:coreProperties>
</file>