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CD0F12F-DFD4-4573-8668-6D77185BF18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F5" i="1"/>
  <c r="C6" i="1"/>
  <c r="D6" i="1"/>
  <c r="E6" i="1"/>
  <c r="C7" i="1"/>
  <c r="D7" i="1"/>
  <c r="C8" i="1"/>
  <c r="D8" i="1"/>
  <c r="E8" i="1"/>
  <c r="C9" i="1"/>
  <c r="D9" i="1"/>
  <c r="F9" i="1"/>
  <c r="C10" i="1"/>
  <c r="D10" i="1"/>
  <c r="E10" i="1"/>
  <c r="C11" i="1"/>
  <c r="D11" i="1"/>
  <c r="B12" i="1"/>
  <c r="C12" i="1"/>
  <c r="D12" i="1"/>
  <c r="B13" i="1"/>
  <c r="B16" i="1" s="1"/>
  <c r="C13" i="1"/>
  <c r="D13" i="1"/>
  <c r="F13" i="1" s="1"/>
  <c r="B14" i="1"/>
  <c r="C14" i="1"/>
  <c r="D14" i="1"/>
  <c r="B15" i="1"/>
  <c r="F7" i="1" s="1"/>
  <c r="C15" i="1"/>
  <c r="D15" i="1"/>
  <c r="E15" i="1"/>
  <c r="C16" i="1"/>
  <c r="D16" i="1" s="1"/>
  <c r="E16" i="1" s="1"/>
  <c r="B17" i="1"/>
  <c r="C17" i="1"/>
  <c r="D17" i="1" s="1"/>
  <c r="B18" i="1"/>
  <c r="C18" i="1"/>
  <c r="D18" i="1" s="1"/>
  <c r="E18" i="1"/>
  <c r="F18" i="1"/>
  <c r="B19" i="1"/>
  <c r="C19" i="1"/>
  <c r="D19" i="1"/>
  <c r="F19" i="1"/>
  <c r="B20" i="1"/>
  <c r="C20" i="1"/>
  <c r="D20" i="1" s="1"/>
  <c r="B21" i="1"/>
  <c r="B27" i="1" s="1"/>
  <c r="C21" i="1"/>
  <c r="D21" i="1"/>
  <c r="F21" i="1" s="1"/>
  <c r="B22" i="1"/>
  <c r="B25" i="1" s="1"/>
  <c r="C22" i="1"/>
  <c r="D22" i="1"/>
  <c r="C23" i="1"/>
  <c r="D23" i="1"/>
  <c r="E23" i="1"/>
  <c r="C24" i="1"/>
  <c r="D24" i="1" s="1"/>
  <c r="E24" i="1"/>
  <c r="C25" i="1"/>
  <c r="D25" i="1" s="1"/>
  <c r="C26" i="1"/>
  <c r="D26" i="1" s="1"/>
  <c r="E26" i="1"/>
  <c r="F26" i="1"/>
  <c r="C27" i="1"/>
  <c r="D27" i="1"/>
  <c r="F27" i="1"/>
  <c r="C28" i="1"/>
  <c r="D28" i="1" s="1"/>
  <c r="C29" i="1"/>
  <c r="D29" i="1"/>
  <c r="F29" i="1" s="1"/>
  <c r="C30" i="1"/>
  <c r="D30" i="1"/>
  <c r="C31" i="1"/>
  <c r="D31" i="1"/>
  <c r="E31" i="1"/>
  <c r="C32" i="1"/>
  <c r="D32" i="1" s="1"/>
  <c r="E32" i="1"/>
  <c r="F32" i="1"/>
  <c r="C33" i="1"/>
  <c r="D33" i="1" s="1"/>
  <c r="F33" i="1"/>
  <c r="C34" i="1"/>
  <c r="D34" i="1"/>
  <c r="E34" i="1"/>
  <c r="F34" i="1"/>
  <c r="C35" i="1"/>
  <c r="D35" i="1"/>
  <c r="F35" i="1"/>
  <c r="C36" i="1"/>
  <c r="D36" i="1"/>
  <c r="E36" i="1"/>
  <c r="C37" i="1"/>
  <c r="D37" i="1"/>
  <c r="F37" i="1"/>
  <c r="C38" i="1"/>
  <c r="D38" i="1"/>
  <c r="E38" i="1"/>
  <c r="C39" i="1"/>
  <c r="D39" i="1"/>
  <c r="F39" i="1"/>
  <c r="C40" i="1"/>
  <c r="D40" i="1"/>
  <c r="E40" i="1"/>
  <c r="C41" i="1"/>
  <c r="D41" i="1"/>
  <c r="F41" i="1"/>
  <c r="C42" i="1"/>
  <c r="D42" i="1"/>
  <c r="E42" i="1"/>
  <c r="C43" i="1"/>
  <c r="D43" i="1"/>
  <c r="F43" i="1"/>
  <c r="C44" i="1"/>
  <c r="D44" i="1"/>
  <c r="E44" i="1"/>
  <c r="C45" i="1"/>
  <c r="D45" i="1"/>
  <c r="F45" i="1"/>
  <c r="C46" i="1"/>
  <c r="D46" i="1"/>
  <c r="E46" i="1"/>
  <c r="C47" i="1"/>
  <c r="D47" i="1"/>
  <c r="F47" i="1"/>
  <c r="C48" i="1"/>
  <c r="D48" i="1"/>
  <c r="E48" i="1"/>
  <c r="C49" i="1"/>
  <c r="D49" i="1"/>
  <c r="F49" i="1"/>
  <c r="C50" i="1"/>
  <c r="D50" i="1"/>
  <c r="E50" i="1"/>
  <c r="C51" i="1"/>
  <c r="D51" i="1"/>
  <c r="F51" i="1"/>
  <c r="C52" i="1"/>
  <c r="D52" i="1"/>
  <c r="E52" i="1"/>
  <c r="C53" i="1"/>
  <c r="D53" i="1"/>
  <c r="F53" i="1"/>
  <c r="C54" i="1"/>
  <c r="D54" i="1"/>
  <c r="E54" i="1" s="1"/>
  <c r="G54" i="1" l="1"/>
  <c r="L37" i="1"/>
  <c r="G46" i="1"/>
  <c r="B23" i="1"/>
  <c r="H14" i="1" s="1"/>
  <c r="H22" i="1"/>
  <c r="L26" i="1"/>
  <c r="H29" i="1"/>
  <c r="L33" i="1"/>
  <c r="L5" i="1"/>
  <c r="H15" i="1"/>
  <c r="L19" i="1"/>
  <c r="H12" i="1"/>
  <c r="H7" i="1"/>
  <c r="G18" i="1"/>
  <c r="F11" i="1"/>
  <c r="G40" i="1"/>
  <c r="E13" i="1"/>
  <c r="F16" i="1"/>
  <c r="L16" i="1" s="1"/>
  <c r="E21" i="1"/>
  <c r="F24" i="1"/>
  <c r="E29" i="1"/>
  <c r="F4" i="1"/>
  <c r="H4" i="1" s="1"/>
  <c r="F6" i="1"/>
  <c r="F8" i="1"/>
  <c r="L8" i="1" s="1"/>
  <c r="F10" i="1"/>
  <c r="E12" i="1"/>
  <c r="F15" i="1"/>
  <c r="E20" i="1"/>
  <c r="F23" i="1"/>
  <c r="E28" i="1"/>
  <c r="F31" i="1"/>
  <c r="F36" i="1"/>
  <c r="L36" i="1" s="1"/>
  <c r="F38" i="1"/>
  <c r="F40" i="1"/>
  <c r="F42" i="1"/>
  <c r="F44" i="1"/>
  <c r="F46" i="1"/>
  <c r="F48" i="1"/>
  <c r="L48" i="1" s="1"/>
  <c r="F50" i="1"/>
  <c r="F52" i="1"/>
  <c r="L52" i="1" s="1"/>
  <c r="F54" i="1"/>
  <c r="F12" i="1"/>
  <c r="E17" i="1"/>
  <c r="F20" i="1"/>
  <c r="E25" i="1"/>
  <c r="F28" i="1"/>
  <c r="L28" i="1" s="1"/>
  <c r="E33" i="1"/>
  <c r="E14" i="1"/>
  <c r="G14" i="1" s="1"/>
  <c r="F17" i="1"/>
  <c r="E22" i="1"/>
  <c r="F25" i="1"/>
  <c r="E30" i="1"/>
  <c r="E5" i="1"/>
  <c r="E7" i="1"/>
  <c r="G7" i="1" s="1"/>
  <c r="E9" i="1"/>
  <c r="E11" i="1"/>
  <c r="G11" i="1" s="1"/>
  <c r="F14" i="1"/>
  <c r="E19" i="1"/>
  <c r="F22" i="1"/>
  <c r="L22" i="1" s="1"/>
  <c r="E27" i="1"/>
  <c r="F30" i="1"/>
  <c r="H30" i="1" s="1"/>
  <c r="E35" i="1"/>
  <c r="G35" i="1" s="1"/>
  <c r="E37" i="1"/>
  <c r="E39" i="1"/>
  <c r="G39" i="1" s="1"/>
  <c r="E41" i="1"/>
  <c r="E43" i="1"/>
  <c r="E45" i="1"/>
  <c r="E47" i="1"/>
  <c r="E49" i="1"/>
  <c r="E51" i="1"/>
  <c r="G51" i="1" s="1"/>
  <c r="E53" i="1"/>
  <c r="L13" i="1"/>
  <c r="H5" i="1"/>
  <c r="B26" i="1"/>
  <c r="B24" i="1"/>
  <c r="L29" i="1" s="1"/>
  <c r="G49" i="1" l="1"/>
  <c r="G25" i="1"/>
  <c r="L23" i="1"/>
  <c r="L4" i="1"/>
  <c r="L24" i="1"/>
  <c r="L45" i="1"/>
  <c r="G47" i="1"/>
  <c r="G30" i="1"/>
  <c r="L44" i="1"/>
  <c r="G42" i="1"/>
  <c r="L11" i="1"/>
  <c r="L30" i="1"/>
  <c r="L18" i="1"/>
  <c r="G52" i="1"/>
  <c r="L53" i="1"/>
  <c r="G45" i="1"/>
  <c r="G17" i="1"/>
  <c r="L42" i="1"/>
  <c r="L15" i="1"/>
  <c r="G21" i="1"/>
  <c r="G50" i="1"/>
  <c r="H10" i="1"/>
  <c r="H26" i="1"/>
  <c r="H21" i="1"/>
  <c r="L39" i="1"/>
  <c r="J39" i="1"/>
  <c r="J35" i="1"/>
  <c r="G48" i="1"/>
  <c r="H28" i="1"/>
  <c r="L34" i="1"/>
  <c r="B31" i="1"/>
  <c r="G24" i="1"/>
  <c r="G32" i="1"/>
  <c r="G5" i="1"/>
  <c r="L46" i="1"/>
  <c r="G29" i="1"/>
  <c r="G38" i="1"/>
  <c r="G23" i="1"/>
  <c r="G27" i="1"/>
  <c r="L20" i="1"/>
  <c r="G20" i="1"/>
  <c r="H20" i="1"/>
  <c r="L25" i="1"/>
  <c r="G4" i="1"/>
  <c r="G43" i="1"/>
  <c r="G19" i="1"/>
  <c r="G22" i="1"/>
  <c r="L40" i="1"/>
  <c r="G12" i="1"/>
  <c r="G6" i="1"/>
  <c r="L9" i="1"/>
  <c r="L17" i="1"/>
  <c r="K4" i="1"/>
  <c r="K6" i="1"/>
  <c r="K8" i="1"/>
  <c r="K10" i="1"/>
  <c r="K15" i="1"/>
  <c r="K23" i="1"/>
  <c r="K14" i="1"/>
  <c r="K22" i="1"/>
  <c r="K30" i="1"/>
  <c r="K37" i="1"/>
  <c r="K43" i="1"/>
  <c r="K45" i="1"/>
  <c r="K47" i="1"/>
  <c r="K5" i="1"/>
  <c r="K7" i="1"/>
  <c r="K9" i="1"/>
  <c r="K11" i="1"/>
  <c r="K19" i="1"/>
  <c r="K27" i="1"/>
  <c r="K35" i="1"/>
  <c r="K39" i="1"/>
  <c r="K41" i="1"/>
  <c r="K49" i="1"/>
  <c r="K16" i="1"/>
  <c r="K24" i="1"/>
  <c r="K13" i="1"/>
  <c r="K21" i="1"/>
  <c r="K29" i="1"/>
  <c r="H9" i="1"/>
  <c r="H17" i="1"/>
  <c r="K26" i="1"/>
  <c r="K31" i="1"/>
  <c r="K32" i="1"/>
  <c r="K34" i="1"/>
  <c r="H35" i="1"/>
  <c r="I35" i="1" s="1"/>
  <c r="H37" i="1"/>
  <c r="H39" i="1"/>
  <c r="I39" i="1" s="1"/>
  <c r="H41" i="1"/>
  <c r="H43" i="1"/>
  <c r="H45" i="1"/>
  <c r="H47" i="1"/>
  <c r="H49" i="1"/>
  <c r="H51" i="1"/>
  <c r="J51" i="1" s="1"/>
  <c r="H52" i="1"/>
  <c r="K33" i="1"/>
  <c r="K36" i="1"/>
  <c r="K38" i="1"/>
  <c r="K40" i="1"/>
  <c r="K42" i="1"/>
  <c r="K44" i="1"/>
  <c r="K46" i="1"/>
  <c r="K48" i="1"/>
  <c r="K50" i="1"/>
  <c r="H53" i="1"/>
  <c r="H40" i="1"/>
  <c r="K17" i="1"/>
  <c r="H25" i="1"/>
  <c r="K51" i="1"/>
  <c r="K52" i="1"/>
  <c r="H54" i="1"/>
  <c r="I54" i="1" s="1"/>
  <c r="H27" i="1"/>
  <c r="H31" i="1"/>
  <c r="K18" i="1"/>
  <c r="H42" i="1"/>
  <c r="H48" i="1"/>
  <c r="K12" i="1"/>
  <c r="K53" i="1"/>
  <c r="K20" i="1"/>
  <c r="H24" i="1"/>
  <c r="H33" i="1"/>
  <c r="H32" i="1"/>
  <c r="H16" i="1"/>
  <c r="K25" i="1"/>
  <c r="K28" i="1"/>
  <c r="B30" i="1"/>
  <c r="K54" i="1"/>
  <c r="H19" i="1"/>
  <c r="H36" i="1"/>
  <c r="H38" i="1"/>
  <c r="H44" i="1"/>
  <c r="H46" i="1"/>
  <c r="H50" i="1"/>
  <c r="L47" i="1"/>
  <c r="L41" i="1"/>
  <c r="I11" i="1"/>
  <c r="J7" i="1"/>
  <c r="I7" i="1"/>
  <c r="G28" i="1"/>
  <c r="G36" i="1"/>
  <c r="I46" i="1"/>
  <c r="J46" i="1"/>
  <c r="G8" i="1"/>
  <c r="G41" i="1"/>
  <c r="L54" i="1"/>
  <c r="L38" i="1"/>
  <c r="L10" i="1"/>
  <c r="G13" i="1"/>
  <c r="G15" i="1"/>
  <c r="H11" i="1"/>
  <c r="J11" i="1" s="1"/>
  <c r="B29" i="1"/>
  <c r="H8" i="1"/>
  <c r="H18" i="1"/>
  <c r="H13" i="1"/>
  <c r="G10" i="1"/>
  <c r="L21" i="1"/>
  <c r="L35" i="1"/>
  <c r="I14" i="1"/>
  <c r="J14" i="1"/>
  <c r="I40" i="1"/>
  <c r="J40" i="1"/>
  <c r="I18" i="1"/>
  <c r="J18" i="1"/>
  <c r="L12" i="1"/>
  <c r="L27" i="1"/>
  <c r="L7" i="1"/>
  <c r="L14" i="1"/>
  <c r="G31" i="1"/>
  <c r="L49" i="1"/>
  <c r="L43" i="1"/>
  <c r="G53" i="1"/>
  <c r="G37" i="1"/>
  <c r="G9" i="1"/>
  <c r="G33" i="1"/>
  <c r="L50" i="1"/>
  <c r="L31" i="1"/>
  <c r="L6" i="1"/>
  <c r="G44" i="1"/>
  <c r="G26" i="1"/>
  <c r="L32" i="1"/>
  <c r="H23" i="1"/>
  <c r="H6" i="1"/>
  <c r="H34" i="1"/>
  <c r="B28" i="1"/>
  <c r="G34" i="1"/>
  <c r="G16" i="1"/>
  <c r="L51" i="1"/>
  <c r="I8" i="1" l="1"/>
  <c r="J8" i="1"/>
  <c r="N50" i="1"/>
  <c r="M50" i="1"/>
  <c r="M33" i="1"/>
  <c r="N33" i="1"/>
  <c r="M39" i="1"/>
  <c r="N39" i="1"/>
  <c r="M47" i="1"/>
  <c r="N47" i="1"/>
  <c r="N15" i="1"/>
  <c r="M15" i="1"/>
  <c r="J12" i="1"/>
  <c r="I12" i="1"/>
  <c r="J20" i="1"/>
  <c r="I20" i="1"/>
  <c r="I32" i="1"/>
  <c r="J32" i="1"/>
  <c r="B32" i="1"/>
  <c r="B34" i="1" s="1"/>
  <c r="B35" i="1" s="1"/>
  <c r="B33" i="1"/>
  <c r="I31" i="1"/>
  <c r="J31" i="1"/>
  <c r="N36" i="1"/>
  <c r="M36" i="1"/>
  <c r="I6" i="1"/>
  <c r="J6" i="1"/>
  <c r="J33" i="1"/>
  <c r="I33" i="1"/>
  <c r="N54" i="1"/>
  <c r="M54" i="1"/>
  <c r="I25" i="1"/>
  <c r="J25" i="1"/>
  <c r="J9" i="1"/>
  <c r="I9" i="1"/>
  <c r="I15" i="1"/>
  <c r="J15" i="1"/>
  <c r="M53" i="1"/>
  <c r="N53" i="1"/>
  <c r="N52" i="1"/>
  <c r="M52" i="1"/>
  <c r="N46" i="1"/>
  <c r="M46" i="1"/>
  <c r="M21" i="1"/>
  <c r="N21" i="1"/>
  <c r="M27" i="1"/>
  <c r="N27" i="1"/>
  <c r="M43" i="1"/>
  <c r="N43" i="1"/>
  <c r="N8" i="1"/>
  <c r="M8" i="1"/>
  <c r="I22" i="1"/>
  <c r="J22" i="1"/>
  <c r="J27" i="1"/>
  <c r="I27" i="1"/>
  <c r="I17" i="1"/>
  <c r="J17" i="1"/>
  <c r="J49" i="1"/>
  <c r="I49" i="1"/>
  <c r="N23" i="1"/>
  <c r="M23" i="1"/>
  <c r="J37" i="1"/>
  <c r="I37" i="1"/>
  <c r="I13" i="1"/>
  <c r="J13" i="1"/>
  <c r="I36" i="1"/>
  <c r="J36" i="1"/>
  <c r="M28" i="1"/>
  <c r="N28" i="1"/>
  <c r="M12" i="1"/>
  <c r="N12" i="1"/>
  <c r="M51" i="1"/>
  <c r="N51" i="1"/>
  <c r="N44" i="1"/>
  <c r="M44" i="1"/>
  <c r="M34" i="1"/>
  <c r="N34" i="1"/>
  <c r="M13" i="1"/>
  <c r="N13" i="1"/>
  <c r="M19" i="1"/>
  <c r="N19" i="1"/>
  <c r="M37" i="1"/>
  <c r="N37" i="1"/>
  <c r="N6" i="1"/>
  <c r="M6" i="1"/>
  <c r="J19" i="1"/>
  <c r="I19" i="1"/>
  <c r="I23" i="1"/>
  <c r="J23" i="1"/>
  <c r="J45" i="1"/>
  <c r="I45" i="1"/>
  <c r="I30" i="1"/>
  <c r="J30" i="1"/>
  <c r="J54" i="1"/>
  <c r="J41" i="1"/>
  <c r="I41" i="1"/>
  <c r="M41" i="1"/>
  <c r="N41" i="1"/>
  <c r="M35" i="1"/>
  <c r="N35" i="1"/>
  <c r="J53" i="1"/>
  <c r="I53" i="1"/>
  <c r="N24" i="1"/>
  <c r="M24" i="1"/>
  <c r="M11" i="1"/>
  <c r="N11" i="1"/>
  <c r="N4" i="1"/>
  <c r="M4" i="1"/>
  <c r="I38" i="1"/>
  <c r="J38" i="1"/>
  <c r="J47" i="1"/>
  <c r="I47" i="1"/>
  <c r="I21" i="1"/>
  <c r="J21" i="1"/>
  <c r="M20" i="1"/>
  <c r="N20" i="1"/>
  <c r="M29" i="1"/>
  <c r="N29" i="1"/>
  <c r="N10" i="1"/>
  <c r="M10" i="1"/>
  <c r="I24" i="1"/>
  <c r="J24" i="1"/>
  <c r="J28" i="1"/>
  <c r="I28" i="1"/>
  <c r="M25" i="1"/>
  <c r="N25" i="1"/>
  <c r="M32" i="1"/>
  <c r="N32" i="1"/>
  <c r="M30" i="1"/>
  <c r="N30" i="1"/>
  <c r="I16" i="1"/>
  <c r="J16" i="1"/>
  <c r="I44" i="1"/>
  <c r="J44" i="1"/>
  <c r="M17" i="1"/>
  <c r="N17" i="1"/>
  <c r="N40" i="1"/>
  <c r="M40" i="1"/>
  <c r="N31" i="1"/>
  <c r="M31" i="1"/>
  <c r="N16" i="1"/>
  <c r="M16" i="1"/>
  <c r="M9" i="1"/>
  <c r="N9" i="1"/>
  <c r="M22" i="1"/>
  <c r="N22" i="1"/>
  <c r="I4" i="1"/>
  <c r="J4" i="1"/>
  <c r="I29" i="1"/>
  <c r="J29" i="1"/>
  <c r="I48" i="1"/>
  <c r="J48" i="1"/>
  <c r="I52" i="1"/>
  <c r="J52" i="1"/>
  <c r="I51" i="1"/>
  <c r="M5" i="1"/>
  <c r="N5" i="1"/>
  <c r="J5" i="1"/>
  <c r="I5" i="1"/>
  <c r="N48" i="1"/>
  <c r="M48" i="1"/>
  <c r="M45" i="1"/>
  <c r="N45" i="1"/>
  <c r="I42" i="1"/>
  <c r="J42" i="1"/>
  <c r="I26" i="1"/>
  <c r="J26" i="1"/>
  <c r="I10" i="1"/>
  <c r="J10" i="1"/>
  <c r="N42" i="1"/>
  <c r="M42" i="1"/>
  <c r="J43" i="1"/>
  <c r="I43" i="1"/>
  <c r="J34" i="1"/>
  <c r="I34" i="1"/>
  <c r="M18" i="1"/>
  <c r="N18" i="1"/>
  <c r="N38" i="1"/>
  <c r="M38" i="1"/>
  <c r="M26" i="1"/>
  <c r="N26" i="1"/>
  <c r="M49" i="1"/>
  <c r="N49" i="1"/>
  <c r="M7" i="1"/>
  <c r="N7" i="1"/>
  <c r="M14" i="1"/>
  <c r="N14" i="1"/>
  <c r="I50" i="1"/>
  <c r="J50" i="1"/>
</calcChain>
</file>

<file path=xl/sharedStrings.xml><?xml version="1.0" encoding="utf-8"?>
<sst xmlns="http://schemas.openxmlformats.org/spreadsheetml/2006/main" count="44" uniqueCount="44">
  <si>
    <t>Relative permittivity =</t>
  </si>
  <si>
    <t>Load S (MVA) =</t>
  </si>
  <si>
    <t>Load pf (pu, lagging) =</t>
  </si>
  <si>
    <t>Increment (km)</t>
  </si>
  <si>
    <t>d - km</t>
  </si>
  <si>
    <t>Frequency (Hz)</t>
  </si>
  <si>
    <t>C (F/m) =</t>
  </si>
  <si>
    <t>L (H/m) =</t>
  </si>
  <si>
    <t>1/sqrt(LC) =</t>
  </si>
  <si>
    <t>1/sqrt(mu*eps) =</t>
  </si>
  <si>
    <t>P (MW) =</t>
  </si>
  <si>
    <t>Q (MVAr) =</t>
  </si>
  <si>
    <t>Z0 (ohms) =</t>
  </si>
  <si>
    <t>Wavelength (km) =</t>
  </si>
  <si>
    <t>sin(beta * d)</t>
  </si>
  <si>
    <t>cos(beta * d)</t>
  </si>
  <si>
    <t>Beta (rad/m) =</t>
  </si>
  <si>
    <t>Real(VS)</t>
  </si>
  <si>
    <t>Imag(VS)</t>
  </si>
  <si>
    <t>VS angle (degrees)</t>
  </si>
  <si>
    <t>VS mag (kV rms)</t>
  </si>
  <si>
    <t>Real(IS)</t>
  </si>
  <si>
    <t>Imag(IS)</t>
  </si>
  <si>
    <t>IS mag (A rms)</t>
  </si>
  <si>
    <t>IS angle (degrees)</t>
  </si>
  <si>
    <t>VR (kV rms) =</t>
  </si>
  <si>
    <t>IR mag (A rms)</t>
  </si>
  <si>
    <t>IR angle (degrees)</t>
  </si>
  <si>
    <t>Real (IR) (A rms)</t>
  </si>
  <si>
    <t>Imag (IR) (A rms)</t>
  </si>
  <si>
    <t>Real (ZL) (ohms)</t>
  </si>
  <si>
    <t>Imag (ZL) (ohms)</t>
  </si>
  <si>
    <t>Real (A) (kV rms)</t>
  </si>
  <si>
    <t>Imag (A) (kV rms)</t>
  </si>
  <si>
    <t>Real (B) (kV rms)</t>
  </si>
  <si>
    <t>Imag (B) (kV rms)</t>
  </si>
  <si>
    <t>Imag (RhoV)</t>
  </si>
  <si>
    <t>Real (RhoV)</t>
  </si>
  <si>
    <t>VSWR</t>
  </si>
  <si>
    <t>Mag (RhoV)</t>
  </si>
  <si>
    <t>z - km</t>
  </si>
  <si>
    <t>Mag (ZL) (ohms)</t>
  </si>
  <si>
    <t>Outer rad. / inner rad.</t>
  </si>
  <si>
    <t>EE394, Spring 1999, Homework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</si>
</sst>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E+00"/>
    <numFmt numFmtId="165" formatCode="0.000E+00"/>
    <numFmt numFmtId="166" formatCode="0.000"/>
    <numFmt numFmtId="167" formatCode="0.0"/>
    <numFmt numFmtId="168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7" xfId="0" applyNumberFormat="1" applyBorder="1"/>
    <xf numFmtId="165" fontId="0" fillId="0" borderId="8" xfId="0" applyNumberFormat="1" applyBorder="1"/>
    <xf numFmtId="167" fontId="0" fillId="0" borderId="8" xfId="0" applyNumberFormat="1" applyBorder="1"/>
    <xf numFmtId="164" fontId="0" fillId="0" borderId="8" xfId="0" applyNumberFormat="1" applyBorder="1"/>
    <xf numFmtId="166" fontId="0" fillId="0" borderId="8" xfId="0" applyNumberFormat="1" applyBorder="1"/>
    <xf numFmtId="2" fontId="0" fillId="0" borderId="8" xfId="0" applyNumberFormat="1" applyBorder="1"/>
    <xf numFmtId="168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EE394, Spring 1999, Homework #2</a:t>
            </a:r>
          </a:p>
        </c:rich>
      </c:tx>
      <c:layout>
        <c:manualLayout>
          <c:xMode val="edge"/>
          <c:yMode val="edge"/>
          <c:x val="0.28550266102205879"/>
          <c:y val="4.5700464364112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865152542925271E-2"/>
          <c:y val="0.22850232182056288"/>
          <c:w val="0.79632093560747186"/>
          <c:h val="0.54034078454038981"/>
        </c:manualLayout>
      </c:layout>
      <c:lineChart>
        <c:grouping val="stacke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VS mag (kV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Sheet1!$I$4:$I$54</c:f>
              <c:numCache>
                <c:formatCode>0.00</c:formatCode>
                <c:ptCount val="51"/>
                <c:pt idx="0">
                  <c:v>100</c:v>
                </c:pt>
                <c:pt idx="1">
                  <c:v>99.669770463687485</c:v>
                </c:pt>
                <c:pt idx="2">
                  <c:v>98.356458151458824</c:v>
                </c:pt>
                <c:pt idx="3">
                  <c:v>96.073078892950505</c:v>
                </c:pt>
                <c:pt idx="4">
                  <c:v>92.842268844813447</c:v>
                </c:pt>
                <c:pt idx="5">
                  <c:v>88.696071864311591</c:v>
                </c:pt>
                <c:pt idx="6">
                  <c:v>83.675642296878081</c:v>
                </c:pt>
                <c:pt idx="7">
                  <c:v>77.83087181979441</c:v>
                </c:pt>
                <c:pt idx="8">
                  <c:v>71.219955632603885</c:v>
                </c:pt>
                <c:pt idx="9">
                  <c:v>63.908927219143983</c:v>
                </c:pt>
                <c:pt idx="10">
                  <c:v>55.9712243740546</c:v>
                </c:pt>
                <c:pt idx="11">
                  <c:v>47.487441356997905</c:v>
                </c:pt>
                <c:pt idx="12">
                  <c:v>38.54571954104054</c:v>
                </c:pt>
                <c:pt idx="13">
                  <c:v>29.244412897685741</c:v>
                </c:pt>
                <c:pt idx="14">
                  <c:v>19.705105797086929</c:v>
                </c:pt>
                <c:pt idx="15">
                  <c:v>10.165513263840968</c:v>
                </c:pt>
                <c:pt idx="16">
                  <c:v>3.4062996509970316</c:v>
                </c:pt>
                <c:pt idx="17">
                  <c:v>10.802842154684001</c:v>
                </c:pt>
                <c:pt idx="18">
                  <c:v>20.359079331226962</c:v>
                </c:pt>
                <c:pt idx="19">
                  <c:v>29.887144507830669</c:v>
                </c:pt>
                <c:pt idx="20">
                  <c:v>39.167403685920469</c:v>
                </c:pt>
                <c:pt idx="21">
                  <c:v>48.080908473778329</c:v>
                </c:pt>
                <c:pt idx="22">
                  <c:v>56.530200122738187</c:v>
                </c:pt>
                <c:pt idx="23">
                  <c:v>64.427692894573696</c:v>
                </c:pt>
                <c:pt idx="24">
                  <c:v>71.693280811676075</c:v>
                </c:pt>
                <c:pt idx="25">
                  <c:v>78.254019078927641</c:v>
                </c:pt>
                <c:pt idx="26">
                  <c:v>84.044393479917503</c:v>
                </c:pt>
                <c:pt idx="27">
                  <c:v>89.006759785160497</c:v>
                </c:pt>
                <c:pt idx="28">
                  <c:v>93.091808281310577</c:v>
                </c:pt>
                <c:pt idx="29">
                  <c:v>96.258994155092324</c:v>
                </c:pt>
                <c:pt idx="30">
                  <c:v>98.47690586143942</c:v>
                </c:pt>
                <c:pt idx="31">
                  <c:v>99.723556796114877</c:v>
                </c:pt>
                <c:pt idx="32">
                  <c:v>99.98659194819318</c:v>
                </c:pt>
                <c:pt idx="33">
                  <c:v>99.263404775281927</c:v>
                </c:pt>
                <c:pt idx="34">
                  <c:v>97.561161923011127</c:v>
                </c:pt>
                <c:pt idx="35">
                  <c:v>94.896735310279482</c:v>
                </c:pt>
                <c:pt idx="36">
                  <c:v>91.296542914807887</c:v>
                </c:pt>
                <c:pt idx="37">
                  <c:v>86.796301656833023</c:v>
                </c:pt>
                <c:pt idx="38">
                  <c:v>81.440698589561421</c:v>
                </c:pt>
                <c:pt idx="39">
                  <c:v>75.282991182167905</c:v>
                </c:pt>
                <c:pt idx="40">
                  <c:v>68.384556260471712</c:v>
                </c:pt>
                <c:pt idx="41">
                  <c:v>60.814426620043903</c:v>
                </c:pt>
                <c:pt idx="42">
                  <c:v>52.64890360352387</c:v>
                </c:pt>
                <c:pt idx="43">
                  <c:v>43.971477934809897</c:v>
                </c:pt>
                <c:pt idx="44">
                  <c:v>34.87379227696988</c:v>
                </c:pt>
                <c:pt idx="45">
                  <c:v>25.460600309887287</c:v>
                </c:pt>
                <c:pt idx="46">
                  <c:v>15.87612250435596</c:v>
                </c:pt>
                <c:pt idx="47">
                  <c:v>6.5741518533677308</c:v>
                </c:pt>
                <c:pt idx="48">
                  <c:v>5.4749630145397106</c:v>
                </c:pt>
                <c:pt idx="49">
                  <c:v>14.589049341151554</c:v>
                </c:pt>
                <c:pt idx="50">
                  <c:v>24.178701502167261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6-4143-95D7-9FC06D18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19920"/>
        <c:axId val="1"/>
      </c:lineChart>
      <c:catAx>
        <c:axId val="11928199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2717061695500788"/>
              <c:y val="0.876373610747099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VS mag (kV rms)</a:t>
                </a:r>
              </a:p>
            </c:rich>
          </c:tx>
          <c:layout>
            <c:manualLayout>
              <c:xMode val="edge"/>
              <c:yMode val="edge"/>
              <c:x val="0.92904109154205061"/>
              <c:y val="0.311838462719826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9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EE394, Spring 1999, Homework #2</a:t>
            </a:r>
          </a:p>
        </c:rich>
      </c:tx>
      <c:layout>
        <c:manualLayout>
          <c:xMode val="edge"/>
          <c:yMode val="edge"/>
          <c:x val="0.29784872203922885"/>
          <c:y val="3.7434460908780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7778637288632745E-2"/>
          <c:y val="0.20588953499829393"/>
          <c:w val="0.78243161696315555"/>
          <c:h val="0.55884302356679783"/>
        </c:manualLayout>
      </c:layout>
      <c:lineChart>
        <c:grouping val="stack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IS mag (A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Sheet1!$M$4:$M$54</c:f>
              <c:numCache>
                <c:formatCode>0.00</c:formatCode>
                <c:ptCount val="51"/>
                <c:pt idx="0">
                  <c:v>100</c:v>
                </c:pt>
                <c:pt idx="1">
                  <c:v>237.64909141394037</c:v>
                </c:pt>
                <c:pt idx="2">
                  <c:v>489.68718435073549</c:v>
                </c:pt>
                <c:pt idx="3">
                  <c:v>743.45562937083082</c:v>
                </c:pt>
                <c:pt idx="4">
                  <c:v>991.4358559372115</c:v>
                </c:pt>
                <c:pt idx="5">
                  <c:v>1230.2431971422175</c:v>
                </c:pt>
                <c:pt idx="6">
                  <c:v>1457.2169061594159</c:v>
                </c:pt>
                <c:pt idx="7">
                  <c:v>1669.9876517612245</c:v>
                </c:pt>
                <c:pt idx="8">
                  <c:v>1866.390612782815</c:v>
                </c:pt>
                <c:pt idx="9">
                  <c:v>2044.4509286676525</c:v>
                </c:pt>
                <c:pt idx="10">
                  <c:v>2202.3890347033812</c:v>
                </c:pt>
                <c:pt idx="11">
                  <c:v>2338.6318555186294</c:v>
                </c:pt>
                <c:pt idx="12">
                  <c:v>2451.8251724115912</c:v>
                </c:pt>
                <c:pt idx="13">
                  <c:v>2540.8453062022609</c:v>
                </c:pt>
                <c:pt idx="14">
                  <c:v>2604.8092641050989</c:v>
                </c:pt>
                <c:pt idx="15">
                  <c:v>2643.0829110221443</c:v>
                </c:pt>
                <c:pt idx="16">
                  <c:v>2655.2869185854006</c:v>
                </c:pt>
                <c:pt idx="17">
                  <c:v>2641.3003501546586</c:v>
                </c:pt>
                <c:pt idx="18">
                  <c:v>2601.2618074681354</c:v>
                </c:pt>
                <c:pt idx="19">
                  <c:v>2535.5681166455129</c:v>
                </c:pt>
                <c:pt idx="20">
                  <c:v>2444.870579154333</c:v>
                </c:pt>
                <c:pt idx="21">
                  <c:v>2330.0688659821872</c:v>
                </c:pt>
                <c:pt idx="22">
                  <c:v>2192.3027024124135</c:v>
                </c:pt>
                <c:pt idx="23">
                  <c:v>2032.9415995631814</c:v>
                </c:pt>
                <c:pt idx="24">
                  <c:v>1853.5730910947418</c:v>
                </c:pt>
                <c:pt idx="25">
                  <c:v>1655.9903694039754</c:v>
                </c:pt>
                <c:pt idx="26">
                  <c:v>1442.1812908635227</c:v>
                </c:pt>
                <c:pt idx="27">
                  <c:v>1214.323768396735</c:v>
                </c:pt>
                <c:pt idx="28">
                  <c:v>974.80277660963816</c:v>
                </c:pt>
                <c:pt idx="29">
                  <c:v>726.30696635154254</c:v>
                </c:pt>
                <c:pt idx="30">
                  <c:v>472.31591753310119</c:v>
                </c:pt>
                <c:pt idx="31">
                  <c:v>221.17320697661111</c:v>
                </c:pt>
                <c:pt idx="32">
                  <c:v>109.04158501554616</c:v>
                </c:pt>
                <c:pt idx="33">
                  <c:v>336.83635630647836</c:v>
                </c:pt>
                <c:pt idx="34">
                  <c:v>591.28804318124457</c:v>
                </c:pt>
                <c:pt idx="35">
                  <c:v>843.25155832738301</c:v>
                </c:pt>
                <c:pt idx="36">
                  <c:v>1087.9207986258828</c:v>
                </c:pt>
                <c:pt idx="37">
                  <c:v>1322.3083953995681</c:v>
                </c:pt>
                <c:pt idx="38">
                  <c:v>1543.8903065048037</c:v>
                </c:pt>
                <c:pt idx="39">
                  <c:v>1750.3830363796483</c:v>
                </c:pt>
                <c:pt idx="40">
                  <c:v>1939.6976287623252</c:v>
                </c:pt>
                <c:pt idx="41">
                  <c:v>2109.9359710152344</c:v>
                </c:pt>
                <c:pt idx="42">
                  <c:v>2259.399370881772</c:v>
                </c:pt>
                <c:pt idx="43">
                  <c:v>2386.6005546102497</c:v>
                </c:pt>
                <c:pt idx="44">
                  <c:v>2490.2759068622381</c:v>
                </c:pt>
                <c:pt idx="45">
                  <c:v>2569.3966126758255</c:v>
                </c:pt>
                <c:pt idx="46">
                  <c:v>2623.1780555459618</c:v>
                </c:pt>
                <c:pt idx="47">
                  <c:v>2651.0871250468272</c:v>
                </c:pt>
                <c:pt idx="48">
                  <c:v>2652.8472358755139</c:v>
                </c:pt>
                <c:pt idx="49">
                  <c:v>2628.4409463243819</c:v>
                </c:pt>
                <c:pt idx="50">
                  <c:v>2578.1101237093335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3-42AD-A87B-A91CE9DF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31440"/>
        <c:axId val="1"/>
      </c:lineChart>
      <c:catAx>
        <c:axId val="11928314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6367813564984"/>
              <c:y val="0.87168816116160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IS mag (A rms)</a:t>
                </a:r>
              </a:p>
            </c:rich>
          </c:tx>
          <c:layout>
            <c:manualLayout>
              <c:xMode val="edge"/>
              <c:yMode val="edge"/>
              <c:x val="0.9259545762877579"/>
              <c:y val="0.320866807789548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1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EE394, Spring 1999, Homework #2</a:t>
            </a:r>
          </a:p>
        </c:rich>
      </c:tx>
      <c:layout>
        <c:manualLayout>
          <c:xMode val="edge"/>
          <c:yMode val="edge"/>
          <c:x val="0.28000885851593005"/>
          <c:y val="3.7235206584557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7693183809267809E-2"/>
          <c:y val="0.21011295144143044"/>
          <c:w val="0.77540914665949867"/>
          <c:h val="0.54522981070244614"/>
        </c:manualLayout>
      </c:layout>
      <c:lineChart>
        <c:grouping val="stack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VS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Sheet1!$J$4:$J$54</c:f>
              <c:numCache>
                <c:formatCode>0.00</c:formatCode>
                <c:ptCount val="51"/>
                <c:pt idx="0">
                  <c:v>0</c:v>
                </c:pt>
                <c:pt idx="1">
                  <c:v>0.19340931213949017</c:v>
                </c:pt>
                <c:pt idx="2">
                  <c:v>0.39005051715309824</c:v>
                </c:pt>
                <c:pt idx="3">
                  <c:v>0.59405341711269166</c:v>
                </c:pt>
                <c:pt idx="4">
                  <c:v>0.81017273569289416</c:v>
                </c:pt>
                <c:pt idx="5">
                  <c:v>1.0442671712030849</c:v>
                </c:pt>
                <c:pt idx="6">
                  <c:v>1.3040067070381609</c:v>
                </c:pt>
                <c:pt idx="7">
                  <c:v>1.6000062194038296</c:v>
                </c:pt>
                <c:pt idx="8">
                  <c:v>1.9477737938660349</c:v>
                </c:pt>
                <c:pt idx="9">
                  <c:v>2.3713004432115747</c:v>
                </c:pt>
                <c:pt idx="10">
                  <c:v>2.9102152084633639</c:v>
                </c:pt>
                <c:pt idx="11">
                  <c:v>3.6354991047910392</c:v>
                </c:pt>
                <c:pt idx="12">
                  <c:v>4.6886959360042271</c:v>
                </c:pt>
                <c:pt idx="13">
                  <c:v>6.3990477447944931</c:v>
                </c:pt>
                <c:pt idx="14">
                  <c:v>9.7461222216735095</c:v>
                </c:pt>
                <c:pt idx="15">
                  <c:v>19.415429664401799</c:v>
                </c:pt>
                <c:pt idx="16">
                  <c:v>95.737342949990861</c:v>
                </c:pt>
                <c:pt idx="17">
                  <c:v>161.84617285374665</c:v>
                </c:pt>
                <c:pt idx="18">
                  <c:v>170.64555998934401</c:v>
                </c:pt>
                <c:pt idx="19">
                  <c:v>173.81526615582231</c:v>
                </c:pt>
                <c:pt idx="20">
                  <c:v>175.46225484664515</c:v>
                </c:pt>
                <c:pt idx="21">
                  <c:v>176.48593826948022</c:v>
                </c:pt>
                <c:pt idx="22">
                  <c:v>177.19518593862864</c:v>
                </c:pt>
                <c:pt idx="23">
                  <c:v>177.72447520617882</c:v>
                </c:pt>
                <c:pt idx="24">
                  <c:v>178.14181790411979</c:v>
                </c:pt>
                <c:pt idx="25">
                  <c:v>178.48542134957057</c:v>
                </c:pt>
                <c:pt idx="26">
                  <c:v>178.77852856436414</c:v>
                </c:pt>
                <c:pt idx="27">
                  <c:v>179.03622578783043</c:v>
                </c:pt>
                <c:pt idx="28">
                  <c:v>179.26887776595643</c:v>
                </c:pt>
                <c:pt idx="29">
                  <c:v>179.48400146074309</c:v>
                </c:pt>
                <c:pt idx="30">
                  <c:v>179.68736131015501</c:v>
                </c:pt>
                <c:pt idx="31">
                  <c:v>179.88365607117908</c:v>
                </c:pt>
                <c:pt idx="32">
                  <c:v>-179.92301301121987</c:v>
                </c:pt>
                <c:pt idx="33">
                  <c:v>-179.72878587257333</c:v>
                </c:pt>
                <c:pt idx="34">
                  <c:v>-179.52973010953539</c:v>
                </c:pt>
                <c:pt idx="35">
                  <c:v>-179.32151476411931</c:v>
                </c:pt>
                <c:pt idx="36">
                  <c:v>-179.09901195374934</c:v>
                </c:pt>
                <c:pt idx="37">
                  <c:v>-178.85574351642265</c:v>
                </c:pt>
                <c:pt idx="38">
                  <c:v>-178.58303484813734</c:v>
                </c:pt>
                <c:pt idx="39">
                  <c:v>-178.26861942850681</c:v>
                </c:pt>
                <c:pt idx="40">
                  <c:v>-177.89417428210396</c:v>
                </c:pt>
                <c:pt idx="41">
                  <c:v>-177.43064187601522</c:v>
                </c:pt>
                <c:pt idx="42">
                  <c:v>-176.82856484637043</c:v>
                </c:pt>
                <c:pt idx="43">
                  <c:v>-175.99585268355708</c:v>
                </c:pt>
                <c:pt idx="44">
                  <c:v>-174.73865195402607</c:v>
                </c:pt>
                <c:pt idx="45">
                  <c:v>-172.5670702163068</c:v>
                </c:pt>
                <c:pt idx="46">
                  <c:v>-167.79255064389565</c:v>
                </c:pt>
                <c:pt idx="47">
                  <c:v>-148.98719942176822</c:v>
                </c:pt>
                <c:pt idx="48">
                  <c:v>-38.175334944606121</c:v>
                </c:pt>
                <c:pt idx="49">
                  <c:v>-13.263686618428849</c:v>
                </c:pt>
                <c:pt idx="50">
                  <c:v>-7.79049387495433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A-42F0-933D-AC943A30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20880"/>
        <c:axId val="1"/>
      </c:lineChart>
      <c:catAx>
        <c:axId val="11928208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0308651169031986"/>
              <c:y val="0.869708039510731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80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VS angle (degrees)</a:t>
                </a:r>
              </a:p>
            </c:rich>
          </c:tx>
          <c:layout>
            <c:manualLayout>
              <c:xMode val="edge"/>
              <c:yMode val="edge"/>
              <c:x val="0.92464463718721956"/>
              <c:y val="0.252667473252353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0880"/>
        <c:crosses val="autoZero"/>
        <c:crossBetween val="between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EE394, Spring 1999, Homework #2</a:t>
            </a:r>
          </a:p>
        </c:rich>
      </c:tx>
      <c:layout>
        <c:manualLayout>
          <c:xMode val="edge"/>
          <c:yMode val="edge"/>
          <c:x val="0.28000885851593005"/>
          <c:y val="3.713646042868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7693183809267809E-2"/>
          <c:y val="0.20955574099044727"/>
          <c:w val="0.77540914665949867"/>
          <c:h val="0.54643648916496379"/>
        </c:manualLayout>
      </c:layout>
      <c:lineChart>
        <c:grouping val="stacke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IS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Sheet1!$N$4:$N$54</c:f>
              <c:numCache>
                <c:formatCode>0.00</c:formatCode>
                <c:ptCount val="51"/>
                <c:pt idx="0">
                  <c:v>-25.841932763167126</c:v>
                </c:pt>
                <c:pt idx="1">
                  <c:v>67.861932598488721</c:v>
                </c:pt>
                <c:pt idx="2">
                  <c:v>79.620342644507375</c:v>
                </c:pt>
                <c:pt idx="3">
                  <c:v>83.355290518251181</c:v>
                </c:pt>
                <c:pt idx="4">
                  <c:v>85.199057343784219</c:v>
                </c:pt>
                <c:pt idx="5">
                  <c:v>86.313153020239255</c:v>
                </c:pt>
                <c:pt idx="6">
                  <c:v>87.071116374067216</c:v>
                </c:pt>
                <c:pt idx="7">
                  <c:v>87.629483868861826</c:v>
                </c:pt>
                <c:pt idx="8">
                  <c:v>88.065436300000798</c:v>
                </c:pt>
                <c:pt idx="9">
                  <c:v>88.42153818967958</c:v>
                </c:pt>
                <c:pt idx="10">
                  <c:v>88.723312312061964</c:v>
                </c:pt>
                <c:pt idx="11">
                  <c:v>88.987125408930737</c:v>
                </c:pt>
                <c:pt idx="12">
                  <c:v>89.224099350554823</c:v>
                </c:pt>
                <c:pt idx="13">
                  <c:v>89.442213600158524</c:v>
                </c:pt>
                <c:pt idx="14">
                  <c:v>89.647517638248047</c:v>
                </c:pt>
                <c:pt idx="15">
                  <c:v>89.844880238815847</c:v>
                </c:pt>
                <c:pt idx="16">
                  <c:v>90.038490913602828</c:v>
                </c:pt>
                <c:pt idx="17">
                  <c:v>90.232232252866254</c:v>
                </c:pt>
                <c:pt idx="18">
                  <c:v>90.429997384927518</c:v>
                </c:pt>
                <c:pt idx="19">
                  <c:v>90.636009283184165</c:v>
                </c:pt>
                <c:pt idx="20">
                  <c:v>90.855199223068013</c:v>
                </c:pt>
                <c:pt idx="21">
                  <c:v>91.093720616507071</c:v>
                </c:pt>
                <c:pt idx="22">
                  <c:v>91.359721450762692</c:v>
                </c:pt>
                <c:pt idx="23">
                  <c:v>91.664600332064111</c:v>
                </c:pt>
                <c:pt idx="24">
                  <c:v>92.025194719610568</c:v>
                </c:pt>
                <c:pt idx="25">
                  <c:v>92.467872284957338</c:v>
                </c:pt>
                <c:pt idx="26">
                  <c:v>93.036830258707866</c:v>
                </c:pt>
                <c:pt idx="27">
                  <c:v>93.812737198105665</c:v>
                </c:pt>
                <c:pt idx="28">
                  <c:v>94.960701857935462</c:v>
                </c:pt>
                <c:pt idx="29">
                  <c:v>96.880232246803075</c:v>
                </c:pt>
                <c:pt idx="30">
                  <c:v>100.84433092822238</c:v>
                </c:pt>
                <c:pt idx="31">
                  <c:v>113.96598596621891</c:v>
                </c:pt>
                <c:pt idx="32">
                  <c:v>-145.56059135668565</c:v>
                </c:pt>
                <c:pt idx="33">
                  <c:v>-105.34395376345721</c:v>
                </c:pt>
                <c:pt idx="34">
                  <c:v>-98.505399708835313</c:v>
                </c:pt>
                <c:pt idx="35">
                  <c:v>-95.779195715343732</c:v>
                </c:pt>
                <c:pt idx="36">
                  <c:v>-94.297890114003948</c:v>
                </c:pt>
                <c:pt idx="37">
                  <c:v>-93.353306618564432</c:v>
                </c:pt>
                <c:pt idx="38">
                  <c:v>-92.687709723817107</c:v>
                </c:pt>
                <c:pt idx="39">
                  <c:v>-92.184896428186789</c:v>
                </c:pt>
                <c:pt idx="40">
                  <c:v>-91.784687184265266</c:v>
                </c:pt>
                <c:pt idx="41">
                  <c:v>-91.452678201455711</c:v>
                </c:pt>
                <c:pt idx="42">
                  <c:v>-91.167648428850526</c:v>
                </c:pt>
                <c:pt idx="43">
                  <c:v>-90.915660710548281</c:v>
                </c:pt>
                <c:pt idx="44">
                  <c:v>-90.68703521323701</c:v>
                </c:pt>
                <c:pt idx="45">
                  <c:v>-90.474675028246295</c:v>
                </c:pt>
                <c:pt idx="46">
                  <c:v>-90.273074023099156</c:v>
                </c:pt>
                <c:pt idx="47">
                  <c:v>-90.077685169225845</c:v>
                </c:pt>
                <c:pt idx="48">
                  <c:v>-89.884481533241413</c:v>
                </c:pt>
                <c:pt idx="49">
                  <c:v>-89.68961328277328</c:v>
                </c:pt>
                <c:pt idx="50">
                  <c:v>-89.489095952857269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46CF-B8C8-895B3342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21360"/>
        <c:axId val="1"/>
      </c:lineChart>
      <c:catAx>
        <c:axId val="11928213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0308651169031986"/>
              <c:y val="0.87005421575780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80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IS angle (degrees)</a:t>
                </a:r>
              </a:p>
            </c:rich>
          </c:tx>
          <c:layout>
            <c:manualLayout>
              <c:xMode val="edge"/>
              <c:yMode val="edge"/>
              <c:x val="0.92464463718721956"/>
              <c:y val="0.26526043163347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1360"/>
        <c:crosses val="autoZero"/>
        <c:crossBetween val="between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7620</xdr:rowOff>
    </xdr:from>
    <xdr:to>
      <xdr:col>2</xdr:col>
      <xdr:colOff>5143500</xdr:colOff>
      <xdr:row>16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5E0E85C-0D0F-1CA3-7CAD-2D216B3D1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16</xdr:row>
      <xdr:rowOff>144780</xdr:rowOff>
    </xdr:from>
    <xdr:to>
      <xdr:col>2</xdr:col>
      <xdr:colOff>5143500</xdr:colOff>
      <xdr:row>33</xdr:row>
      <xdr:rowOff>144780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4B227A0-6524-BF02-3C9E-B7A5353C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36</xdr:row>
      <xdr:rowOff>7620</xdr:rowOff>
    </xdr:from>
    <xdr:to>
      <xdr:col>2</xdr:col>
      <xdr:colOff>5158740</xdr:colOff>
      <xdr:row>53</xdr:row>
      <xdr:rowOff>22860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7989F5B-1FB8-5FE3-1D5C-7846AA07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220980</xdr:colOff>
      <xdr:row>55</xdr:row>
      <xdr:rowOff>0</xdr:rowOff>
    </xdr:from>
    <xdr:to>
      <xdr:col>2</xdr:col>
      <xdr:colOff>5173980</xdr:colOff>
      <xdr:row>72</xdr:row>
      <xdr:rowOff>22860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9CFF122-D533-FFB3-BE06-122B103D8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/>
  </sheetViews>
  <sheetFormatPr defaultRowHeight="13.2" x14ac:dyDescent="0.25"/>
  <cols>
    <col min="1" max="1" width="21.5546875" customWidth="1"/>
    <col min="2" max="2" width="12.44140625" bestFit="1" customWidth="1"/>
    <col min="3" max="3" width="85.44140625" customWidth="1"/>
    <col min="4" max="4" width="10.5546875" customWidth="1"/>
    <col min="5" max="6" width="15" customWidth="1"/>
    <col min="7" max="8" width="11.6640625" customWidth="1"/>
    <col min="9" max="10" width="16.6640625" customWidth="1"/>
    <col min="11" max="12" width="11.6640625" customWidth="1"/>
    <col min="13" max="14" width="16.6640625" customWidth="1"/>
  </cols>
  <sheetData>
    <row r="1" spans="1:14" x14ac:dyDescent="0.25">
      <c r="A1" t="s">
        <v>43</v>
      </c>
    </row>
    <row r="2" spans="1:14" ht="13.8" thickBot="1" x14ac:dyDescent="0.3"/>
    <row r="3" spans="1:14" x14ac:dyDescent="0.25">
      <c r="A3" s="9"/>
      <c r="B3" s="2"/>
      <c r="C3" s="8" t="s">
        <v>40</v>
      </c>
      <c r="D3" s="1" t="s">
        <v>4</v>
      </c>
      <c r="E3" s="1" t="s">
        <v>15</v>
      </c>
      <c r="F3" s="1" t="s">
        <v>14</v>
      </c>
      <c r="G3" s="1" t="s">
        <v>17</v>
      </c>
      <c r="H3" s="1" t="s">
        <v>18</v>
      </c>
      <c r="I3" s="1" t="s">
        <v>20</v>
      </c>
      <c r="J3" s="1" t="s">
        <v>19</v>
      </c>
      <c r="K3" s="1" t="s">
        <v>21</v>
      </c>
      <c r="L3" s="1" t="s">
        <v>22</v>
      </c>
      <c r="M3" s="1" t="s">
        <v>23</v>
      </c>
      <c r="N3" s="1" t="s">
        <v>24</v>
      </c>
    </row>
    <row r="4" spans="1:14" x14ac:dyDescent="0.25">
      <c r="A4" s="10" t="s">
        <v>42</v>
      </c>
      <c r="B4" s="3">
        <v>2.7</v>
      </c>
      <c r="C4">
        <f>-(ROW()-4) *$B$10</f>
        <v>0</v>
      </c>
      <c r="D4">
        <f>-C4</f>
        <v>0</v>
      </c>
      <c r="E4" s="6">
        <f>COS($B$15*D4*1000)</f>
        <v>1</v>
      </c>
      <c r="F4" s="6">
        <f>SIN($B$15*D4*1000)</f>
        <v>0</v>
      </c>
      <c r="G4" s="7">
        <f>($B$6*1000*E4-$B$14*$B$24*F4)/1000</f>
        <v>100</v>
      </c>
      <c r="H4" s="7">
        <f>$B$14*$B$23*F4/1000</f>
        <v>0</v>
      </c>
      <c r="I4" s="7">
        <f>SQRT(G4*G4+H4*H4)</f>
        <v>100</v>
      </c>
      <c r="J4" s="7">
        <f>ATAN2(G4,H4)*180/PI()</f>
        <v>0</v>
      </c>
      <c r="K4" s="7">
        <f>$B$23*E4</f>
        <v>90</v>
      </c>
      <c r="L4" s="7">
        <f>$B$6*1000/$B$14*F4+$B$24*E4</f>
        <v>-43.588989435406731</v>
      </c>
      <c r="M4" s="7">
        <f>SQRT(K4*K4+L4*L4)</f>
        <v>100</v>
      </c>
      <c r="N4" s="7">
        <f>ATAN2(K4,L4)*180/PI()</f>
        <v>-25.841932763167126</v>
      </c>
    </row>
    <row r="5" spans="1:14" x14ac:dyDescent="0.25">
      <c r="A5" s="10" t="s">
        <v>0</v>
      </c>
      <c r="B5" s="3">
        <v>2.5</v>
      </c>
      <c r="C5">
        <f t="shared" ref="C5:C54" si="0">-(ROW()-4) *$B$10</f>
        <v>-50</v>
      </c>
      <c r="D5">
        <f t="shared" ref="D5:D54" si="1">-C5</f>
        <v>50</v>
      </c>
      <c r="E5" s="6">
        <f t="shared" ref="E5:E54" si="2">COS($B$15*D5*1000)</f>
        <v>0.99506253612270046</v>
      </c>
      <c r="F5" s="6">
        <f t="shared" ref="F5:F54" si="3">SIN($B$15*D5*1000)</f>
        <v>9.9249933022946976E-2</v>
      </c>
      <c r="G5" s="7">
        <f t="shared" ref="G5:G54" si="4">($B$6*1000*E5-$B$14*$B$24*F5)/1000</f>
        <v>99.669202602029713</v>
      </c>
      <c r="H5" s="7">
        <f t="shared" ref="H5:H54" si="5">$B$14*$B$23*F5/1000</f>
        <v>0.33644755862264469</v>
      </c>
      <c r="I5" s="7">
        <f t="shared" ref="I5:I13" si="6">SQRT(G5*G5+H5*H5)</f>
        <v>99.669770463687485</v>
      </c>
      <c r="J5" s="7">
        <f t="shared" ref="J5:J13" si="7">ATAN2(G5,H5)*180/PI()</f>
        <v>0.19340931213949017</v>
      </c>
      <c r="K5" s="7">
        <f t="shared" ref="K5:K13" si="8">$B$23*E5</f>
        <v>89.555628251043046</v>
      </c>
      <c r="L5" s="7">
        <f t="shared" ref="L5:L13" si="9">$B$6*1000/$B$14*F5+$B$24*E5</f>
        <v>220.12923499261149</v>
      </c>
      <c r="M5" s="7">
        <f t="shared" ref="M5:M13" si="10">SQRT(K5*K5+L5*L5)</f>
        <v>237.64909141394037</v>
      </c>
      <c r="N5" s="7">
        <f t="shared" ref="N5:N13" si="11">ATAN2(K5,L5)*180/PI()</f>
        <v>67.861932598488721</v>
      </c>
    </row>
    <row r="6" spans="1:14" x14ac:dyDescent="0.25">
      <c r="A6" s="10" t="s">
        <v>25</v>
      </c>
      <c r="B6" s="3">
        <v>100</v>
      </c>
      <c r="C6">
        <f t="shared" si="0"/>
        <v>-100</v>
      </c>
      <c r="D6">
        <f t="shared" si="1"/>
        <v>100</v>
      </c>
      <c r="E6" s="6">
        <f t="shared" si="2"/>
        <v>0.98029890158988109</v>
      </c>
      <c r="F6" s="6">
        <f t="shared" si="3"/>
        <v>0.19751978012764357</v>
      </c>
      <c r="G6" s="7">
        <f t="shared" si="4"/>
        <v>98.354179029005905</v>
      </c>
      <c r="H6" s="7">
        <f t="shared" si="5"/>
        <v>0.66957272191067951</v>
      </c>
      <c r="I6" s="7">
        <f t="shared" si="6"/>
        <v>98.356458151458824</v>
      </c>
      <c r="J6" s="7">
        <f t="shared" si="7"/>
        <v>0.39005051715309824</v>
      </c>
      <c r="K6" s="7">
        <f t="shared" si="8"/>
        <v>88.226901143089293</v>
      </c>
      <c r="L6" s="7">
        <f t="shared" si="9"/>
        <v>481.67369912840246</v>
      </c>
      <c r="M6" s="7">
        <f t="shared" si="10"/>
        <v>489.68718435073549</v>
      </c>
      <c r="N6" s="7">
        <f t="shared" si="11"/>
        <v>79.620342644507375</v>
      </c>
    </row>
    <row r="7" spans="1:14" x14ac:dyDescent="0.25">
      <c r="A7" s="10" t="s">
        <v>1</v>
      </c>
      <c r="B7" s="3">
        <v>10</v>
      </c>
      <c r="C7">
        <f t="shared" si="0"/>
        <v>-150</v>
      </c>
      <c r="D7">
        <f t="shared" si="1"/>
        <v>150</v>
      </c>
      <c r="E7" s="6">
        <f t="shared" si="2"/>
        <v>0.95585488622594883</v>
      </c>
      <c r="F7" s="6">
        <f t="shared" si="3"/>
        <v>0.29383913367347536</v>
      </c>
      <c r="G7" s="7">
        <f t="shared" si="4"/>
        <v>96.067915043707742</v>
      </c>
      <c r="H7" s="7">
        <f t="shared" si="5"/>
        <v>0.99608590294339616</v>
      </c>
      <c r="I7" s="7">
        <f t="shared" si="6"/>
        <v>96.073078892950505</v>
      </c>
      <c r="J7" s="7">
        <f t="shared" si="7"/>
        <v>0.59405341711269166</v>
      </c>
      <c r="K7" s="7">
        <f t="shared" si="8"/>
        <v>86.026939760335395</v>
      </c>
      <c r="L7" s="7">
        <f t="shared" si="9"/>
        <v>738.46167028400998</v>
      </c>
      <c r="M7" s="7">
        <f t="shared" si="10"/>
        <v>743.45562937083082</v>
      </c>
      <c r="N7" s="7">
        <f t="shared" si="11"/>
        <v>83.355290518251181</v>
      </c>
    </row>
    <row r="8" spans="1:14" x14ac:dyDescent="0.25">
      <c r="A8" s="10" t="s">
        <v>2</v>
      </c>
      <c r="B8" s="3">
        <v>0.9</v>
      </c>
      <c r="C8">
        <f t="shared" si="0"/>
        <v>-200</v>
      </c>
      <c r="D8">
        <f t="shared" si="1"/>
        <v>200</v>
      </c>
      <c r="E8" s="6">
        <f t="shared" si="2"/>
        <v>0.92197187291665472</v>
      </c>
      <c r="F8" s="6">
        <f t="shared" si="3"/>
        <v>0.3872568470028076</v>
      </c>
      <c r="G8" s="7">
        <f t="shared" si="4"/>
        <v>92.832987337817997</v>
      </c>
      <c r="H8" s="7">
        <f t="shared" si="5"/>
        <v>1.3127628076471722</v>
      </c>
      <c r="I8" s="7">
        <f t="shared" si="6"/>
        <v>92.842268844813447</v>
      </c>
      <c r="J8" s="7">
        <f t="shared" si="7"/>
        <v>0.81017273569289416</v>
      </c>
      <c r="K8" s="7">
        <f t="shared" si="8"/>
        <v>82.977468562498927</v>
      </c>
      <c r="L8" s="7">
        <f t="shared" si="9"/>
        <v>987.95738579602244</v>
      </c>
      <c r="M8" s="7">
        <f t="shared" si="10"/>
        <v>991.4358559372115</v>
      </c>
      <c r="N8" s="7">
        <f t="shared" si="11"/>
        <v>85.199057343784219</v>
      </c>
    </row>
    <row r="9" spans="1:14" x14ac:dyDescent="0.25">
      <c r="A9" s="10" t="s">
        <v>5</v>
      </c>
      <c r="B9" s="4">
        <v>60</v>
      </c>
      <c r="C9">
        <f t="shared" si="0"/>
        <v>-250</v>
      </c>
      <c r="D9">
        <f t="shared" si="1"/>
        <v>250</v>
      </c>
      <c r="E9" s="6">
        <f t="shared" si="2"/>
        <v>0.87898445397053626</v>
      </c>
      <c r="F9" s="6">
        <f t="shared" si="3"/>
        <v>0.47685042694551327</v>
      </c>
      <c r="G9" s="7">
        <f t="shared" si="4"/>
        <v>88.6813405887237</v>
      </c>
      <c r="H9" s="7">
        <f t="shared" si="5"/>
        <v>1.6164762744665078</v>
      </c>
      <c r="I9" s="7">
        <f t="shared" si="6"/>
        <v>88.696071864311591</v>
      </c>
      <c r="J9" s="7">
        <f t="shared" si="7"/>
        <v>1.0442671712030849</v>
      </c>
      <c r="K9" s="7">
        <f t="shared" si="8"/>
        <v>79.108600857348264</v>
      </c>
      <c r="L9" s="7">
        <f t="shared" si="9"/>
        <v>1227.6970934986764</v>
      </c>
      <c r="M9" s="7">
        <f t="shared" si="10"/>
        <v>1230.2431971422175</v>
      </c>
      <c r="N9" s="7">
        <f t="shared" si="11"/>
        <v>86.313153020239255</v>
      </c>
    </row>
    <row r="10" spans="1:14" ht="13.8" thickBot="1" x14ac:dyDescent="0.3">
      <c r="A10" s="11" t="s">
        <v>3</v>
      </c>
      <c r="B10" s="5">
        <v>50</v>
      </c>
      <c r="C10">
        <f t="shared" si="0"/>
        <v>-300</v>
      </c>
      <c r="D10">
        <f t="shared" si="1"/>
        <v>300</v>
      </c>
      <c r="E10" s="6">
        <f t="shared" si="2"/>
        <v>0.82731712704404303</v>
      </c>
      <c r="F10" s="6">
        <f t="shared" si="3"/>
        <v>0.56173514337238228</v>
      </c>
      <c r="G10" s="7">
        <f t="shared" si="4"/>
        <v>83.653972008134744</v>
      </c>
      <c r="H10" s="7">
        <f t="shared" si="5"/>
        <v>1.9042271548584628</v>
      </c>
      <c r="I10" s="7">
        <f t="shared" si="6"/>
        <v>83.675642296878081</v>
      </c>
      <c r="J10" s="7">
        <f t="shared" si="7"/>
        <v>1.3040067070381609</v>
      </c>
      <c r="K10" s="7">
        <f t="shared" si="8"/>
        <v>74.458541433963873</v>
      </c>
      <c r="L10" s="7">
        <f t="shared" si="9"/>
        <v>1455.3133810984996</v>
      </c>
      <c r="M10" s="7">
        <f t="shared" si="10"/>
        <v>1457.2169061594159</v>
      </c>
      <c r="N10" s="7">
        <f t="shared" si="11"/>
        <v>87.071116374067216</v>
      </c>
    </row>
    <row r="11" spans="1:14" x14ac:dyDescent="0.25">
      <c r="C11">
        <f t="shared" si="0"/>
        <v>-350</v>
      </c>
      <c r="D11">
        <f t="shared" si="1"/>
        <v>350</v>
      </c>
      <c r="E11" s="6">
        <f t="shared" si="2"/>
        <v>0.76748010325784732</v>
      </c>
      <c r="F11" s="6">
        <f t="shared" si="3"/>
        <v>0.64107276584122963</v>
      </c>
      <c r="G11" s="7">
        <f t="shared" si="4"/>
        <v>77.800526497580208</v>
      </c>
      <c r="H11" s="7">
        <f t="shared" si="5"/>
        <v>2.1731739296678447</v>
      </c>
      <c r="I11" s="7">
        <f t="shared" si="6"/>
        <v>77.83087181979441</v>
      </c>
      <c r="J11" s="7">
        <f t="shared" si="7"/>
        <v>1.6000062194038296</v>
      </c>
      <c r="K11" s="7">
        <f t="shared" si="8"/>
        <v>69.073209293206261</v>
      </c>
      <c r="L11" s="7">
        <f t="shared" si="9"/>
        <v>1668.5585541996738</v>
      </c>
      <c r="M11" s="7">
        <f t="shared" si="10"/>
        <v>1669.9876517612245</v>
      </c>
      <c r="N11" s="7">
        <f t="shared" si="11"/>
        <v>87.629483868861826</v>
      </c>
    </row>
    <row r="12" spans="1:14" x14ac:dyDescent="0.25">
      <c r="A12" s="12" t="s">
        <v>6</v>
      </c>
      <c r="B12" s="15">
        <f>2*PI()*(8.854*(0.000000000001))*B5/LN(B4)</f>
        <v>1.4002321521451763E-10</v>
      </c>
      <c r="C12">
        <f t="shared" si="0"/>
        <v>-400</v>
      </c>
      <c r="D12">
        <f t="shared" si="1"/>
        <v>400</v>
      </c>
      <c r="E12" s="6">
        <f t="shared" si="2"/>
        <v>0.70006426889888818</v>
      </c>
      <c r="F12" s="6">
        <f t="shared" si="3"/>
        <v>0.71407984106195388</v>
      </c>
      <c r="G12" s="7">
        <f t="shared" si="4"/>
        <v>71.178806408592294</v>
      </c>
      <c r="H12" s="7">
        <f t="shared" si="5"/>
        <v>2.4206607689235788</v>
      </c>
      <c r="I12" s="7">
        <f t="shared" si="6"/>
        <v>71.219955632603885</v>
      </c>
      <c r="J12" s="7">
        <f t="shared" si="7"/>
        <v>1.9477737938660349</v>
      </c>
      <c r="K12" s="7">
        <f t="shared" si="8"/>
        <v>63.005784200899939</v>
      </c>
      <c r="L12" s="7">
        <f t="shared" si="9"/>
        <v>1865.3268321238081</v>
      </c>
      <c r="M12" s="7">
        <f t="shared" si="10"/>
        <v>1866.390612782815</v>
      </c>
      <c r="N12" s="7">
        <f t="shared" si="11"/>
        <v>88.065436300000798</v>
      </c>
    </row>
    <row r="13" spans="1:14" x14ac:dyDescent="0.25">
      <c r="A13" s="13" t="s">
        <v>7</v>
      </c>
      <c r="B13" s="16">
        <f>2*(0.0000001)*LN(B4)</f>
        <v>1.9865035460205668E-7</v>
      </c>
      <c r="C13">
        <f t="shared" si="0"/>
        <v>-450</v>
      </c>
      <c r="D13">
        <f t="shared" si="1"/>
        <v>450</v>
      </c>
      <c r="E13" s="6">
        <f t="shared" si="2"/>
        <v>0.62573535046097617</v>
      </c>
      <c r="F13" s="6">
        <f t="shared" si="3"/>
        <v>0.78003542944117565</v>
      </c>
      <c r="G13" s="7">
        <f t="shared" si="4"/>
        <v>63.854200748660936</v>
      </c>
      <c r="H13" s="7">
        <f t="shared" si="5"/>
        <v>2.6442437579678004</v>
      </c>
      <c r="I13" s="7">
        <f t="shared" si="6"/>
        <v>63.908927219143983</v>
      </c>
      <c r="J13" s="7">
        <f t="shared" si="7"/>
        <v>2.3713004432115747</v>
      </c>
      <c r="K13" s="7">
        <f t="shared" si="8"/>
        <v>56.316181541487857</v>
      </c>
      <c r="L13" s="7">
        <f t="shared" si="9"/>
        <v>2043.6751423420046</v>
      </c>
      <c r="M13" s="7">
        <f t="shared" si="10"/>
        <v>2044.4509286676525</v>
      </c>
      <c r="N13" s="7">
        <f t="shared" si="11"/>
        <v>88.42153818967958</v>
      </c>
    </row>
    <row r="14" spans="1:14" x14ac:dyDescent="0.25">
      <c r="A14" s="13" t="s">
        <v>12</v>
      </c>
      <c r="B14" s="17">
        <f>SQRT(B13/B12)</f>
        <v>37.665579140027866</v>
      </c>
      <c r="C14">
        <f t="shared" si="0"/>
        <v>-500</v>
      </c>
      <c r="D14">
        <f t="shared" si="1"/>
        <v>500</v>
      </c>
      <c r="E14" s="6">
        <f t="shared" si="2"/>
        <v>0.54522734064376344</v>
      </c>
      <c r="F14" s="6">
        <f t="shared" si="3"/>
        <v>0.83828822430863814</v>
      </c>
      <c r="G14" s="7">
        <f t="shared" si="4"/>
        <v>55.899039469508892</v>
      </c>
      <c r="H14" s="7">
        <f t="shared" si="5"/>
        <v>2.8417150309365398</v>
      </c>
      <c r="I14" s="7">
        <f t="shared" ref="I14:I54" si="12">SQRT(G14*G14+H14*H14)</f>
        <v>55.9712243740546</v>
      </c>
      <c r="J14" s="7">
        <f t="shared" ref="J14:J54" si="13">ATAN2(G14,H14)*180/PI()</f>
        <v>2.9102152084633639</v>
      </c>
      <c r="K14" s="7">
        <f t="shared" ref="K14:K54" si="14">$B$23*E14</f>
        <v>49.07046065793871</v>
      </c>
      <c r="L14" s="7">
        <f t="shared" ref="L14:L54" si="15">$B$6*1000/$B$14*F14+$B$24*E14</f>
        <v>2201.8423081757032</v>
      </c>
      <c r="M14" s="7">
        <f t="shared" ref="M14:M54" si="16">SQRT(K14*K14+L14*L14)</f>
        <v>2202.3890347033812</v>
      </c>
      <c r="N14" s="7">
        <f t="shared" ref="N14:N54" si="17">ATAN2(K14,L14)*180/PI()</f>
        <v>88.723312312061964</v>
      </c>
    </row>
    <row r="15" spans="1:14" x14ac:dyDescent="0.25">
      <c r="A15" s="13" t="s">
        <v>16</v>
      </c>
      <c r="B15" s="18">
        <f>2*PI()*B9*SQRT(B13*B12)</f>
        <v>1.988272079388078E-6</v>
      </c>
      <c r="C15">
        <f t="shared" si="0"/>
        <v>-550</v>
      </c>
      <c r="D15">
        <f t="shared" si="1"/>
        <v>550</v>
      </c>
      <c r="E15" s="6">
        <f t="shared" si="2"/>
        <v>0.4593352502278612</v>
      </c>
      <c r="F15" s="6">
        <f t="shared" si="3"/>
        <v>0.88826298352352162</v>
      </c>
      <c r="G15" s="7">
        <f t="shared" si="4"/>
        <v>47.391879214043946</v>
      </c>
      <c r="H15" s="7">
        <f t="shared" si="5"/>
        <v>3.0111245732756222</v>
      </c>
      <c r="I15" s="7">
        <f t="shared" si="12"/>
        <v>47.487441356997905</v>
      </c>
      <c r="J15" s="7">
        <f t="shared" si="13"/>
        <v>3.6354991047910392</v>
      </c>
      <c r="K15" s="7">
        <f t="shared" si="14"/>
        <v>41.340172520507508</v>
      </c>
      <c r="L15" s="7">
        <f t="shared" si="15"/>
        <v>2338.2664402891478</v>
      </c>
      <c r="M15" s="7">
        <f t="shared" si="16"/>
        <v>2338.6318555186294</v>
      </c>
      <c r="N15" s="7">
        <f t="shared" si="17"/>
        <v>88.987125408930737</v>
      </c>
    </row>
    <row r="16" spans="1:14" x14ac:dyDescent="0.25">
      <c r="A16" s="13" t="s">
        <v>13</v>
      </c>
      <c r="B16" s="17">
        <f>1/B9/SQRT(B13*B12)/1000</f>
        <v>3160.1234923106372</v>
      </c>
      <c r="C16">
        <f t="shared" si="0"/>
        <v>-600</v>
      </c>
      <c r="D16">
        <f t="shared" si="1"/>
        <v>600</v>
      </c>
      <c r="E16" s="6">
        <f t="shared" si="2"/>
        <v>0.36890725740081831</v>
      </c>
      <c r="F16" s="6">
        <f t="shared" si="3"/>
        <v>0.92946620994902573</v>
      </c>
      <c r="G16" s="7">
        <f t="shared" si="4"/>
        <v>38.416727575185661</v>
      </c>
      <c r="H16" s="7">
        <f t="shared" si="5"/>
        <v>3.1507994779935107</v>
      </c>
      <c r="I16" s="7">
        <f t="shared" si="12"/>
        <v>38.54571954104054</v>
      </c>
      <c r="J16" s="7">
        <f t="shared" si="13"/>
        <v>4.6886959360042271</v>
      </c>
      <c r="K16" s="7">
        <f t="shared" si="14"/>
        <v>33.201653166073648</v>
      </c>
      <c r="L16" s="7">
        <f t="shared" si="15"/>
        <v>2451.6003602337328</v>
      </c>
      <c r="M16" s="7">
        <f t="shared" si="16"/>
        <v>2451.8251724115912</v>
      </c>
      <c r="N16" s="7">
        <f t="shared" si="17"/>
        <v>89.224099350554823</v>
      </c>
    </row>
    <row r="17" spans="1:14" x14ac:dyDescent="0.25">
      <c r="A17" s="13" t="s">
        <v>8</v>
      </c>
      <c r="B17" s="16">
        <f>1/SQRT(B12*B13)</f>
        <v>189607409.5386382</v>
      </c>
      <c r="C17">
        <f t="shared" si="0"/>
        <v>-650</v>
      </c>
      <c r="D17">
        <f t="shared" si="1"/>
        <v>650</v>
      </c>
      <c r="E17" s="6">
        <f t="shared" si="2"/>
        <v>0.27483633205879482</v>
      </c>
      <c r="F17" s="6">
        <f t="shared" si="3"/>
        <v>0.96149102470094217</v>
      </c>
      <c r="G17" s="7">
        <f t="shared" si="4"/>
        <v>29.062213526954267</v>
      </c>
      <c r="H17" s="7">
        <f t="shared" si="5"/>
        <v>3.2593604654969841</v>
      </c>
      <c r="I17" s="7">
        <f t="shared" si="12"/>
        <v>29.244412897685741</v>
      </c>
      <c r="J17" s="7">
        <f t="shared" si="13"/>
        <v>6.3990477447944931</v>
      </c>
      <c r="K17" s="7">
        <f t="shared" si="14"/>
        <v>24.735269885291533</v>
      </c>
      <c r="L17" s="7">
        <f t="shared" si="15"/>
        <v>2540.724903737861</v>
      </c>
      <c r="M17" s="7">
        <f t="shared" si="16"/>
        <v>2540.8453062022609</v>
      </c>
      <c r="N17" s="7">
        <f t="shared" si="17"/>
        <v>89.442213600158524</v>
      </c>
    </row>
    <row r="18" spans="1:14" x14ac:dyDescent="0.25">
      <c r="A18" s="13" t="s">
        <v>9</v>
      </c>
      <c r="B18" s="16">
        <f>1/SQRT(4*PI()*(0.0000001)*8.854*(0.000000000001)*B5)</f>
        <v>189607409.5386382</v>
      </c>
      <c r="C18">
        <f t="shared" si="0"/>
        <v>-700</v>
      </c>
      <c r="D18">
        <f t="shared" si="1"/>
        <v>700</v>
      </c>
      <c r="E18" s="6">
        <f t="shared" si="2"/>
        <v>0.17805141779335193</v>
      </c>
      <c r="F18" s="6">
        <f t="shared" si="3"/>
        <v>0.98402118504724134</v>
      </c>
      <c r="G18" s="7">
        <f t="shared" si="4"/>
        <v>19.42071221975549</v>
      </c>
      <c r="H18" s="7">
        <f t="shared" si="5"/>
        <v>3.3357355038774785</v>
      </c>
      <c r="I18" s="7">
        <f t="shared" si="12"/>
        <v>19.705105797086929</v>
      </c>
      <c r="J18" s="7">
        <f t="shared" si="13"/>
        <v>9.7461222216735095</v>
      </c>
      <c r="K18" s="7">
        <f t="shared" si="14"/>
        <v>16.024627601401672</v>
      </c>
      <c r="L18" s="7">
        <f t="shared" si="15"/>
        <v>2604.7599723732669</v>
      </c>
      <c r="M18" s="7">
        <f t="shared" si="16"/>
        <v>2604.8092641050989</v>
      </c>
      <c r="N18" s="7">
        <f t="shared" si="17"/>
        <v>89.647517638248047</v>
      </c>
    </row>
    <row r="19" spans="1:14" x14ac:dyDescent="0.25">
      <c r="A19" s="13" t="s">
        <v>10</v>
      </c>
      <c r="B19" s="19">
        <f>B7*ABS(B8)</f>
        <v>9</v>
      </c>
      <c r="C19">
        <f t="shared" si="0"/>
        <v>-750</v>
      </c>
      <c r="D19">
        <f t="shared" si="1"/>
        <v>750</v>
      </c>
      <c r="E19" s="6">
        <f t="shared" si="2"/>
        <v>7.9508258640595547E-2</v>
      </c>
      <c r="F19" s="6">
        <f t="shared" si="3"/>
        <v>0.99683420728220407</v>
      </c>
      <c r="G19" s="7">
        <f t="shared" si="4"/>
        <v>9.5874327824437451</v>
      </c>
      <c r="H19" s="7">
        <f t="shared" si="5"/>
        <v>3.3791703951487322</v>
      </c>
      <c r="I19" s="7">
        <f t="shared" si="12"/>
        <v>10.165513263840968</v>
      </c>
      <c r="J19" s="7">
        <f t="shared" si="13"/>
        <v>19.415429664401799</v>
      </c>
      <c r="K19" s="7">
        <f t="shared" si="14"/>
        <v>7.155743277653599</v>
      </c>
      <c r="L19" s="7">
        <f t="shared" si="15"/>
        <v>2643.0732244634155</v>
      </c>
      <c r="M19" s="7">
        <f t="shared" si="16"/>
        <v>2643.0829110221443</v>
      </c>
      <c r="N19" s="7">
        <f t="shared" si="17"/>
        <v>89.844880238815847</v>
      </c>
    </row>
    <row r="20" spans="1:14" x14ac:dyDescent="0.25">
      <c r="A20" s="13" t="s">
        <v>11</v>
      </c>
      <c r="B20" s="19">
        <f>IF(B8&gt;0,SQRT(B7*B7-B19*B19),-SQRT(B7*B7-B19*B19))</f>
        <v>4.358898943540674</v>
      </c>
      <c r="C20">
        <f t="shared" si="0"/>
        <v>-800</v>
      </c>
      <c r="D20">
        <f t="shared" si="1"/>
        <v>800</v>
      </c>
      <c r="E20" s="6">
        <f t="shared" si="2"/>
        <v>-1.9820038822130476E-2</v>
      </c>
      <c r="F20" s="6">
        <f t="shared" si="3"/>
        <v>0.9998035637369419</v>
      </c>
      <c r="G20" s="7">
        <f t="shared" si="4"/>
        <v>-0.34052186094668035</v>
      </c>
      <c r="H20" s="7">
        <f t="shared" si="5"/>
        <v>3.3892362228974111</v>
      </c>
      <c r="I20" s="7">
        <f t="shared" si="12"/>
        <v>3.4062996509970316</v>
      </c>
      <c r="J20" s="7">
        <f t="shared" si="13"/>
        <v>95.737342949990861</v>
      </c>
      <c r="K20" s="7">
        <f t="shared" si="14"/>
        <v>-1.7838034939917429</v>
      </c>
      <c r="L20" s="7">
        <f t="shared" si="15"/>
        <v>2655.2863194118722</v>
      </c>
      <c r="M20" s="7">
        <f t="shared" si="16"/>
        <v>2655.2869185854006</v>
      </c>
      <c r="N20" s="7">
        <f t="shared" si="17"/>
        <v>90.038490913602828</v>
      </c>
    </row>
    <row r="21" spans="1:14" x14ac:dyDescent="0.25">
      <c r="A21" s="13" t="s">
        <v>26</v>
      </c>
      <c r="B21" s="20">
        <f>B7*1000/B6</f>
        <v>100</v>
      </c>
      <c r="C21">
        <f t="shared" si="0"/>
        <v>-850</v>
      </c>
      <c r="D21">
        <f t="shared" si="1"/>
        <v>850</v>
      </c>
      <c r="E21" s="6">
        <f t="shared" si="2"/>
        <v>-0.11895261483339484</v>
      </c>
      <c r="F21" s="6">
        <f t="shared" si="3"/>
        <v>0.99289993223098671</v>
      </c>
      <c r="G21" s="7">
        <f t="shared" si="4"/>
        <v>-10.265113875561418</v>
      </c>
      <c r="H21" s="7">
        <f t="shared" si="5"/>
        <v>3.3658335878017085</v>
      </c>
      <c r="I21" s="7">
        <f t="shared" si="12"/>
        <v>10.802842154684001</v>
      </c>
      <c r="J21" s="7">
        <f t="shared" si="13"/>
        <v>161.84617285374665</v>
      </c>
      <c r="K21" s="7">
        <f t="shared" si="14"/>
        <v>-10.705735335005535</v>
      </c>
      <c r="L21" s="7">
        <f t="shared" si="15"/>
        <v>2641.2786537883612</v>
      </c>
      <c r="M21" s="7">
        <f t="shared" si="16"/>
        <v>2641.3003501546586</v>
      </c>
      <c r="N21" s="7">
        <f t="shared" si="17"/>
        <v>90.232232252866254</v>
      </c>
    </row>
    <row r="22" spans="1:14" x14ac:dyDescent="0.25">
      <c r="A22" s="13" t="s">
        <v>27</v>
      </c>
      <c r="B22" s="20">
        <f>-ACOS(B8)*180/PI()</f>
        <v>-25.841932763167126</v>
      </c>
      <c r="C22">
        <f t="shared" si="0"/>
        <v>-900</v>
      </c>
      <c r="D22">
        <f t="shared" si="1"/>
        <v>900</v>
      </c>
      <c r="E22" s="6">
        <f t="shared" si="2"/>
        <v>-0.21691054236695878</v>
      </c>
      <c r="F22" s="6">
        <f t="shared" si="3"/>
        <v>0.97619148562670421</v>
      </c>
      <c r="G22" s="7">
        <f t="shared" si="4"/>
        <v>-20.088338632262261</v>
      </c>
      <c r="H22" s="7">
        <f t="shared" si="5"/>
        <v>3.3091935891924602</v>
      </c>
      <c r="I22" s="7">
        <f t="shared" si="12"/>
        <v>20.359079331226962</v>
      </c>
      <c r="J22" s="7">
        <f t="shared" si="13"/>
        <v>170.64555998934401</v>
      </c>
      <c r="K22" s="7">
        <f t="shared" si="14"/>
        <v>-19.521948813026292</v>
      </c>
      <c r="L22" s="7">
        <f t="shared" si="15"/>
        <v>2601.1885522789257</v>
      </c>
      <c r="M22" s="7">
        <f t="shared" si="16"/>
        <v>2601.2618074681354</v>
      </c>
      <c r="N22" s="7">
        <f t="shared" si="17"/>
        <v>90.429997384927518</v>
      </c>
    </row>
    <row r="23" spans="1:14" x14ac:dyDescent="0.25">
      <c r="A23" s="13" t="s">
        <v>28</v>
      </c>
      <c r="B23" s="20">
        <f>B21*COS(B22*PI()/180)</f>
        <v>90</v>
      </c>
      <c r="C23">
        <f t="shared" si="0"/>
        <v>-950</v>
      </c>
      <c r="D23">
        <f t="shared" si="1"/>
        <v>950</v>
      </c>
      <c r="E23" s="6">
        <f t="shared" si="2"/>
        <v>-0.31272649396543789</v>
      </c>
      <c r="F23" s="6">
        <f t="shared" si="3"/>
        <v>0.94984321862720322</v>
      </c>
      <c r="G23" s="7">
        <f t="shared" si="4"/>
        <v>-29.713192496259563</v>
      </c>
      <c r="H23" s="7">
        <f t="shared" si="5"/>
        <v>3.2198755429639543</v>
      </c>
      <c r="I23" s="7">
        <f t="shared" si="12"/>
        <v>29.887144507830669</v>
      </c>
      <c r="J23" s="7">
        <f t="shared" si="13"/>
        <v>173.81526615582231</v>
      </c>
      <c r="K23" s="7">
        <f t="shared" si="14"/>
        <v>-28.14538445688941</v>
      </c>
      <c r="L23" s="7">
        <f t="shared" si="15"/>
        <v>2535.4119017396456</v>
      </c>
      <c r="M23" s="7">
        <f t="shared" si="16"/>
        <v>2535.5681166455129</v>
      </c>
      <c r="N23" s="7">
        <f t="shared" si="17"/>
        <v>90.636009283184165</v>
      </c>
    </row>
    <row r="24" spans="1:14" x14ac:dyDescent="0.25">
      <c r="A24" s="13" t="s">
        <v>29</v>
      </c>
      <c r="B24" s="20">
        <f>B21*SIN(B22*PI()/180)</f>
        <v>-43.588989435406731</v>
      </c>
      <c r="C24">
        <f t="shared" si="0"/>
        <v>-1000</v>
      </c>
      <c r="D24">
        <f t="shared" si="1"/>
        <v>1000</v>
      </c>
      <c r="E24" s="6">
        <f t="shared" si="2"/>
        <v>-0.40545429402905919</v>
      </c>
      <c r="F24" s="6">
        <f t="shared" si="3"/>
        <v>0.91411531846556271</v>
      </c>
      <c r="G24" s="7">
        <f t="shared" si="4"/>
        <v>-39.044630730997802</v>
      </c>
      <c r="H24" s="7">
        <f t="shared" si="5"/>
        <v>3.0987614583698786</v>
      </c>
      <c r="I24" s="7">
        <f t="shared" si="12"/>
        <v>39.167403685920469</v>
      </c>
      <c r="J24" s="7">
        <f t="shared" si="13"/>
        <v>175.46225484664515</v>
      </c>
      <c r="K24" s="7">
        <f t="shared" si="14"/>
        <v>-36.490886462615329</v>
      </c>
      <c r="L24" s="7">
        <f t="shared" si="15"/>
        <v>2444.5982418425356</v>
      </c>
      <c r="M24" s="7">
        <f t="shared" si="16"/>
        <v>2444.870579154333</v>
      </c>
      <c r="N24" s="7">
        <f t="shared" si="17"/>
        <v>90.855199223068013</v>
      </c>
    </row>
    <row r="25" spans="1:14" x14ac:dyDescent="0.25">
      <c r="A25" s="13" t="s">
        <v>30</v>
      </c>
      <c r="B25" s="13">
        <f>B6*1000/B21*COS(B22*PI()/180)</f>
        <v>900</v>
      </c>
      <c r="C25">
        <f t="shared" si="0"/>
        <v>-1050</v>
      </c>
      <c r="D25">
        <f t="shared" si="1"/>
        <v>1050</v>
      </c>
      <c r="E25" s="6">
        <f t="shared" si="2"/>
        <v>-0.49417826223135158</v>
      </c>
      <c r="F25" s="6">
        <f t="shared" si="3"/>
        <v>0.86936059557470258</v>
      </c>
      <c r="G25" s="7">
        <f t="shared" si="4"/>
        <v>-47.990506058062451</v>
      </c>
      <c r="H25" s="7">
        <f t="shared" si="5"/>
        <v>2.9470473282456648</v>
      </c>
      <c r="I25" s="7">
        <f t="shared" si="12"/>
        <v>48.080908473778329</v>
      </c>
      <c r="J25" s="7">
        <f t="shared" si="13"/>
        <v>176.48593826948022</v>
      </c>
      <c r="K25" s="7">
        <f t="shared" si="14"/>
        <v>-44.47604360082164</v>
      </c>
      <c r="L25" s="7">
        <f t="shared" si="15"/>
        <v>2329.6443509182113</v>
      </c>
      <c r="M25" s="7">
        <f t="shared" si="16"/>
        <v>2330.0688659821872</v>
      </c>
      <c r="N25" s="7">
        <f t="shared" si="17"/>
        <v>91.093720616507071</v>
      </c>
    </row>
    <row r="26" spans="1:14" x14ac:dyDescent="0.25">
      <c r="A26" s="13" t="s">
        <v>31</v>
      </c>
      <c r="B26" s="20">
        <f>B6*1000/B21*SIN(B22*PI()/180)</f>
        <v>-435.88989435406728</v>
      </c>
      <c r="C26">
        <f t="shared" si="0"/>
        <v>-1100</v>
      </c>
      <c r="D26">
        <f t="shared" si="1"/>
        <v>1100</v>
      </c>
      <c r="E26" s="6">
        <f t="shared" si="2"/>
        <v>-0.57802225579621624</v>
      </c>
      <c r="F26" s="6">
        <f t="shared" si="3"/>
        <v>0.81602099960984675</v>
      </c>
      <c r="G26" s="7">
        <f t="shared" si="4"/>
        <v>-56.462478604897093</v>
      </c>
      <c r="H26" s="7">
        <f t="shared" si="5"/>
        <v>2.7662313186656395</v>
      </c>
      <c r="I26" s="7">
        <f t="shared" si="12"/>
        <v>56.530200122738187</v>
      </c>
      <c r="J26" s="7">
        <f t="shared" si="13"/>
        <v>177.19518593862864</v>
      </c>
      <c r="K26" s="7">
        <f t="shared" si="14"/>
        <v>-52.022003021659465</v>
      </c>
      <c r="L26" s="7">
        <f t="shared" si="15"/>
        <v>2191.6853903346587</v>
      </c>
      <c r="M26" s="7">
        <f t="shared" si="16"/>
        <v>2192.3027024124135</v>
      </c>
      <c r="N26" s="7">
        <f t="shared" si="17"/>
        <v>91.359721450762692</v>
      </c>
    </row>
    <row r="27" spans="1:14" x14ac:dyDescent="0.25">
      <c r="A27" s="13" t="s">
        <v>41</v>
      </c>
      <c r="B27" s="20">
        <f>B6*1000/B21</f>
        <v>1000</v>
      </c>
      <c r="C27">
        <f t="shared" si="0"/>
        <v>-1150</v>
      </c>
      <c r="D27">
        <f t="shared" si="1"/>
        <v>1150</v>
      </c>
      <c r="E27" s="6">
        <f t="shared" si="2"/>
        <v>-0.65615832134454288</v>
      </c>
      <c r="F27" s="6">
        <f t="shared" si="3"/>
        <v>0.75462325522760798</v>
      </c>
      <c r="G27" s="7">
        <f t="shared" si="4"/>
        <v>-64.376888254662788</v>
      </c>
      <c r="H27" s="7">
        <f t="shared" si="5"/>
        <v>2.5580989746612821</v>
      </c>
      <c r="I27" s="7">
        <f t="shared" si="12"/>
        <v>64.427692894573696</v>
      </c>
      <c r="J27" s="7">
        <f t="shared" si="13"/>
        <v>177.72447520617882</v>
      </c>
      <c r="K27" s="7">
        <f t="shared" si="14"/>
        <v>-59.054248921008856</v>
      </c>
      <c r="L27" s="7">
        <f t="shared" si="15"/>
        <v>2032.0836948607412</v>
      </c>
      <c r="M27" s="7">
        <f t="shared" si="16"/>
        <v>2032.9415995631814</v>
      </c>
      <c r="N27" s="7">
        <f t="shared" si="17"/>
        <v>91.664600332064111</v>
      </c>
    </row>
    <row r="28" spans="1:14" x14ac:dyDescent="0.25">
      <c r="A28" s="13" t="s">
        <v>32</v>
      </c>
      <c r="B28" s="20">
        <f>(B6-B14*B23/1000)/2</f>
        <v>48.305048938698746</v>
      </c>
      <c r="C28">
        <f t="shared" si="0"/>
        <v>-1200</v>
      </c>
      <c r="D28">
        <f t="shared" si="1"/>
        <v>1200</v>
      </c>
      <c r="E28" s="6">
        <f t="shared" si="2"/>
        <v>-0.72781487087401275</v>
      </c>
      <c r="F28" s="6">
        <f t="shared" si="3"/>
        <v>0.68577366071805657</v>
      </c>
      <c r="G28" s="7">
        <f t="shared" si="4"/>
        <v>-71.655580783847739</v>
      </c>
      <c r="H28" s="7">
        <f t="shared" si="5"/>
        <v>2.3247055880930318</v>
      </c>
      <c r="I28" s="7">
        <f t="shared" si="12"/>
        <v>71.693280811676075</v>
      </c>
      <c r="J28" s="7">
        <f t="shared" si="13"/>
        <v>178.14181790411979</v>
      </c>
      <c r="K28" s="7">
        <f t="shared" si="14"/>
        <v>-65.503338378661141</v>
      </c>
      <c r="L28" s="7">
        <f t="shared" si="15"/>
        <v>1852.415319708776</v>
      </c>
      <c r="M28" s="7">
        <f t="shared" si="16"/>
        <v>1853.5730910947418</v>
      </c>
      <c r="N28" s="7">
        <f t="shared" si="17"/>
        <v>92.025194719610568</v>
      </c>
    </row>
    <row r="29" spans="1:14" x14ac:dyDescent="0.25">
      <c r="A29" s="13" t="s">
        <v>33</v>
      </c>
      <c r="B29" s="20">
        <f>-B14*B24/1000/2</f>
        <v>0.82090226560657542</v>
      </c>
      <c r="C29">
        <f t="shared" si="0"/>
        <v>-1250</v>
      </c>
      <c r="D29">
        <f t="shared" si="1"/>
        <v>1250</v>
      </c>
      <c r="E29" s="6">
        <f t="shared" si="2"/>
        <v>-0.79228430113487924</v>
      </c>
      <c r="F29" s="6">
        <f t="shared" si="3"/>
        <v>0.61015210085290694</v>
      </c>
      <c r="G29" s="7">
        <f t="shared" si="4"/>
        <v>-78.226679629578399</v>
      </c>
      <c r="H29" s="7">
        <f t="shared" si="5"/>
        <v>2.0683559017916489</v>
      </c>
      <c r="I29" s="7">
        <f t="shared" si="12"/>
        <v>78.254019078927641</v>
      </c>
      <c r="J29" s="7">
        <f t="shared" si="13"/>
        <v>178.48542134957057</v>
      </c>
      <c r="K29" s="7">
        <f t="shared" si="14"/>
        <v>-71.305587102139128</v>
      </c>
      <c r="L29" s="7">
        <f t="shared" si="15"/>
        <v>1654.4544771031731</v>
      </c>
      <c r="M29" s="7">
        <f t="shared" si="16"/>
        <v>1655.9903694039754</v>
      </c>
      <c r="N29" s="7">
        <f t="shared" si="17"/>
        <v>92.467872284957338</v>
      </c>
    </row>
    <row r="30" spans="1:14" x14ac:dyDescent="0.25">
      <c r="A30" s="13" t="s">
        <v>34</v>
      </c>
      <c r="B30" s="20">
        <f>(B6+B14*B23/1000)/2</f>
        <v>51.694951061301254</v>
      </c>
      <c r="C30">
        <f t="shared" si="0"/>
        <v>-1300</v>
      </c>
      <c r="D30">
        <f t="shared" si="1"/>
        <v>1300</v>
      </c>
      <c r="E30" s="6">
        <f t="shared" si="2"/>
        <v>-0.84892998116093576</v>
      </c>
      <c r="F30" s="6">
        <f t="shared" si="3"/>
        <v>0.52850533307251812</v>
      </c>
      <c r="G30" s="7">
        <f t="shared" si="4"/>
        <v>-84.025295665484791</v>
      </c>
      <c r="H30" s="7">
        <f t="shared" si="5"/>
        <v>1.7915813503892746</v>
      </c>
      <c r="I30" s="7">
        <f t="shared" si="12"/>
        <v>84.044393479917503</v>
      </c>
      <c r="J30" s="7">
        <f t="shared" si="13"/>
        <v>178.77852856436414</v>
      </c>
      <c r="K30" s="7">
        <f t="shared" si="14"/>
        <v>-76.403698304484223</v>
      </c>
      <c r="L30" s="7">
        <f t="shared" si="15"/>
        <v>1440.1560160629035</v>
      </c>
      <c r="M30" s="7">
        <f t="shared" si="16"/>
        <v>1442.1812908635227</v>
      </c>
      <c r="N30" s="7">
        <f t="shared" si="17"/>
        <v>93.036830258707866</v>
      </c>
    </row>
    <row r="31" spans="1:14" x14ac:dyDescent="0.25">
      <c r="A31" s="13" t="s">
        <v>35</v>
      </c>
      <c r="B31" s="20">
        <f>B14*B24/1000/2</f>
        <v>-0.82090226560657542</v>
      </c>
      <c r="C31">
        <f t="shared" si="0"/>
        <v>-1350</v>
      </c>
      <c r="D31">
        <f t="shared" si="1"/>
        <v>1350</v>
      </c>
      <c r="E31" s="6">
        <f t="shared" si="2"/>
        <v>-0.89719253895431461</v>
      </c>
      <c r="F31" s="6">
        <f t="shared" si="3"/>
        <v>0.44163961331011814</v>
      </c>
      <c r="G31" s="7">
        <f t="shared" si="4"/>
        <v>-88.994167977135689</v>
      </c>
      <c r="H31" s="7">
        <f t="shared" si="5"/>
        <v>1.4971150625853205</v>
      </c>
      <c r="I31" s="7">
        <f t="shared" si="12"/>
        <v>89.006759785160497</v>
      </c>
      <c r="J31" s="7">
        <f t="shared" si="13"/>
        <v>179.03622578783043</v>
      </c>
      <c r="K31" s="7">
        <f t="shared" si="14"/>
        <v>-80.747328505888319</v>
      </c>
      <c r="L31" s="7">
        <f t="shared" si="15"/>
        <v>1211.636118408662</v>
      </c>
      <c r="M31" s="7">
        <f t="shared" si="16"/>
        <v>1214.323768396735</v>
      </c>
      <c r="N31" s="7">
        <f t="shared" si="17"/>
        <v>93.812737198105665</v>
      </c>
    </row>
    <row r="32" spans="1:14" x14ac:dyDescent="0.25">
      <c r="A32" s="13" t="s">
        <v>37</v>
      </c>
      <c r="B32" s="21">
        <f>SQRT((B28*B28+B29*B29)/(B30*B30+B31*B31))*COS(ATAN2(B28,B29)-ATAN2(B30,B31))</f>
        <v>0.93393721625795001</v>
      </c>
      <c r="C32">
        <f t="shared" si="0"/>
        <v>-1400</v>
      </c>
      <c r="D32">
        <f t="shared" si="1"/>
        <v>1400</v>
      </c>
      <c r="E32" s="6">
        <f t="shared" si="2"/>
        <v>-0.93659538524355446</v>
      </c>
      <c r="F32" s="6">
        <f t="shared" si="3"/>
        <v>0.3504127342727113</v>
      </c>
      <c r="G32" s="7">
        <f t="shared" si="4"/>
        <v>-93.084229309431734</v>
      </c>
      <c r="H32" s="7">
        <f t="shared" si="5"/>
        <v>1.1878648716980127</v>
      </c>
      <c r="I32" s="7">
        <f t="shared" si="12"/>
        <v>93.091808281310577</v>
      </c>
      <c r="J32" s="7">
        <f t="shared" si="13"/>
        <v>179.26887776595643</v>
      </c>
      <c r="K32" s="7">
        <f t="shared" si="14"/>
        <v>-84.293584671919902</v>
      </c>
      <c r="L32" s="7">
        <f t="shared" si="15"/>
        <v>971.1514016202716</v>
      </c>
      <c r="M32" s="7">
        <f t="shared" si="16"/>
        <v>974.80277660963816</v>
      </c>
      <c r="N32" s="7">
        <f t="shared" si="17"/>
        <v>94.960701857935462</v>
      </c>
    </row>
    <row r="33" spans="1:14" x14ac:dyDescent="0.25">
      <c r="A33" s="13" t="s">
        <v>36</v>
      </c>
      <c r="B33" s="21">
        <f>SQRT((B28*B28+B29*B29)/(B30*B30+B31*B31))*SIN(ATAN2(B28,B29)-ATAN2(B30,B31))</f>
        <v>3.0710415809939311E-2</v>
      </c>
      <c r="C33">
        <f t="shared" si="0"/>
        <v>-1450</v>
      </c>
      <c r="D33">
        <f t="shared" si="1"/>
        <v>1450</v>
      </c>
      <c r="E33" s="6">
        <f t="shared" si="2"/>
        <v>-0.96674941976822326</v>
      </c>
      <c r="F33" s="6">
        <f t="shared" si="3"/>
        <v>0.25572555480006992</v>
      </c>
      <c r="G33" s="7">
        <f t="shared" si="4"/>
        <v>-96.255090602204575</v>
      </c>
      <c r="H33" s="7">
        <f t="shared" si="5"/>
        <v>0.86688460102046094</v>
      </c>
      <c r="I33" s="7">
        <f t="shared" si="12"/>
        <v>96.258994155092324</v>
      </c>
      <c r="J33" s="7">
        <f t="shared" si="13"/>
        <v>179.48400146074309</v>
      </c>
      <c r="K33" s="7">
        <f t="shared" si="14"/>
        <v>-87.007447779140094</v>
      </c>
      <c r="L33" s="7">
        <f t="shared" si="15"/>
        <v>721.07663490210314</v>
      </c>
      <c r="M33" s="7">
        <f t="shared" si="16"/>
        <v>726.30696635154254</v>
      </c>
      <c r="N33" s="7">
        <f t="shared" si="17"/>
        <v>96.880232246803075</v>
      </c>
    </row>
    <row r="34" spans="1:14" x14ac:dyDescent="0.25">
      <c r="A34" s="13" t="s">
        <v>39</v>
      </c>
      <c r="B34" s="21">
        <f>SQRT(B32*B32+B33*B33)</f>
        <v>0.93444200117014664</v>
      </c>
      <c r="C34">
        <f t="shared" si="0"/>
        <v>-1500</v>
      </c>
      <c r="D34">
        <f t="shared" si="1"/>
        <v>1500</v>
      </c>
      <c r="E34" s="6">
        <f t="shared" si="2"/>
        <v>-0.98735687361588031</v>
      </c>
      <c r="F34" s="6">
        <f t="shared" si="3"/>
        <v>0.15851310394877305</v>
      </c>
      <c r="G34" s="7">
        <f t="shared" si="4"/>
        <v>-98.475439829268268</v>
      </c>
      <c r="H34" s="7">
        <f t="shared" si="5"/>
        <v>0.53734390753625771</v>
      </c>
      <c r="I34" s="7">
        <f t="shared" si="12"/>
        <v>98.47690586143942</v>
      </c>
      <c r="J34" s="7">
        <f t="shared" si="13"/>
        <v>179.68736131015501</v>
      </c>
      <c r="K34" s="7">
        <f t="shared" si="14"/>
        <v>-88.862118625429233</v>
      </c>
      <c r="L34" s="7">
        <f t="shared" si="15"/>
        <v>463.88128850874699</v>
      </c>
      <c r="M34" s="7">
        <f t="shared" si="16"/>
        <v>472.31591753310119</v>
      </c>
      <c r="N34" s="7">
        <f t="shared" si="17"/>
        <v>100.84433092822238</v>
      </c>
    </row>
    <row r="35" spans="1:14" x14ac:dyDescent="0.25">
      <c r="A35" s="14" t="s">
        <v>38</v>
      </c>
      <c r="B35" s="22">
        <f>(1+B34)/(1-B34)</f>
        <v>29.507337559078351</v>
      </c>
      <c r="C35">
        <f t="shared" si="0"/>
        <v>-1550</v>
      </c>
      <c r="D35">
        <f t="shared" si="1"/>
        <v>1550</v>
      </c>
      <c r="E35" s="6">
        <f t="shared" si="2"/>
        <v>-0.99821424966857364</v>
      </c>
      <c r="F35" s="6">
        <f t="shared" si="3"/>
        <v>5.9735347647825218E-2</v>
      </c>
      <c r="G35" s="7">
        <f t="shared" si="4"/>
        <v>-99.723351202415557</v>
      </c>
      <c r="H35" s="7">
        <f t="shared" si="5"/>
        <v>0.20249698178576145</v>
      </c>
      <c r="I35" s="7">
        <f t="shared" si="12"/>
        <v>99.723556796114877</v>
      </c>
      <c r="J35" s="7">
        <f t="shared" si="13"/>
        <v>179.88365607117908</v>
      </c>
      <c r="K35" s="7">
        <f t="shared" si="14"/>
        <v>-89.839282470171625</v>
      </c>
      <c r="L35" s="7">
        <f t="shared" si="15"/>
        <v>202.10514790465771</v>
      </c>
      <c r="M35" s="7">
        <f t="shared" si="16"/>
        <v>221.17320697661111</v>
      </c>
      <c r="N35" s="7">
        <f t="shared" si="17"/>
        <v>113.96598596621891</v>
      </c>
    </row>
    <row r="36" spans="1:14" x14ac:dyDescent="0.25">
      <c r="C36">
        <f t="shared" si="0"/>
        <v>-1600</v>
      </c>
      <c r="D36">
        <f t="shared" si="1"/>
        <v>1600</v>
      </c>
      <c r="E36" s="6">
        <f t="shared" si="2"/>
        <v>-0.99921433212217847</v>
      </c>
      <c r="F36" s="6">
        <f t="shared" si="3"/>
        <v>-3.9632290895541183E-2</v>
      </c>
      <c r="G36" s="7">
        <f t="shared" si="4"/>
        <v>-99.986501686992497</v>
      </c>
      <c r="H36" s="7">
        <f t="shared" si="5"/>
        <v>-0.1343495870303951</v>
      </c>
      <c r="I36" s="7">
        <f t="shared" si="12"/>
        <v>99.98659194819318</v>
      </c>
      <c r="J36" s="7">
        <f t="shared" si="13"/>
        <v>-179.92301301121987</v>
      </c>
      <c r="K36" s="7">
        <f t="shared" si="14"/>
        <v>-89.92928989099606</v>
      </c>
      <c r="L36" s="7">
        <f t="shared" si="15"/>
        <v>-61.666766433823781</v>
      </c>
      <c r="M36" s="7">
        <f t="shared" si="16"/>
        <v>109.04158501554616</v>
      </c>
      <c r="N36" s="7">
        <f t="shared" si="17"/>
        <v>-145.56059135668565</v>
      </c>
    </row>
    <row r="37" spans="1:14" x14ac:dyDescent="0.25">
      <c r="C37">
        <f t="shared" si="0"/>
        <v>-1650</v>
      </c>
      <c r="D37">
        <f t="shared" si="1"/>
        <v>1650</v>
      </c>
      <c r="E37" s="6">
        <f t="shared" si="2"/>
        <v>-0.99034724523471684</v>
      </c>
      <c r="F37" s="6">
        <f t="shared" si="3"/>
        <v>-0.13860856342956485</v>
      </c>
      <c r="G37" s="7">
        <f t="shared" si="4"/>
        <v>-99.262292690975286</v>
      </c>
      <c r="H37" s="7">
        <f t="shared" si="5"/>
        <v>-0.46986946338076618</v>
      </c>
      <c r="I37" s="7">
        <f t="shared" si="12"/>
        <v>99.263404775281927</v>
      </c>
      <c r="J37" s="7">
        <f t="shared" si="13"/>
        <v>-179.72878587257333</v>
      </c>
      <c r="K37" s="7">
        <f t="shared" si="14"/>
        <v>-89.131252071124521</v>
      </c>
      <c r="L37" s="7">
        <f t="shared" si="15"/>
        <v>-324.82972590891143</v>
      </c>
      <c r="M37" s="7">
        <f t="shared" si="16"/>
        <v>336.83635630647836</v>
      </c>
      <c r="N37" s="7">
        <f t="shared" si="17"/>
        <v>-105.34395376345721</v>
      </c>
    </row>
    <row r="38" spans="1:14" x14ac:dyDescent="0.25">
      <c r="C38">
        <f t="shared" si="0"/>
        <v>-1700</v>
      </c>
      <c r="D38">
        <f t="shared" si="1"/>
        <v>1700</v>
      </c>
      <c r="E38" s="6">
        <f t="shared" si="2"/>
        <v>-0.97170055084859608</v>
      </c>
      <c r="F38" s="6">
        <f t="shared" si="3"/>
        <v>-0.23621608641355279</v>
      </c>
      <c r="G38" s="7">
        <f t="shared" si="4"/>
        <v>-97.557875725878816</v>
      </c>
      <c r="H38" s="7">
        <f t="shared" si="5"/>
        <v>-0.80074941272616007</v>
      </c>
      <c r="I38" s="7">
        <f t="shared" si="12"/>
        <v>97.561161923011127</v>
      </c>
      <c r="J38" s="7">
        <f t="shared" si="13"/>
        <v>-179.52973010953539</v>
      </c>
      <c r="K38" s="7">
        <f t="shared" si="14"/>
        <v>-87.453049576373644</v>
      </c>
      <c r="L38" s="7">
        <f t="shared" si="15"/>
        <v>-584.78501530810252</v>
      </c>
      <c r="M38" s="7">
        <f t="shared" si="16"/>
        <v>591.28804318124457</v>
      </c>
      <c r="N38" s="7">
        <f t="shared" si="17"/>
        <v>-98.505399708835313</v>
      </c>
    </row>
    <row r="39" spans="1:14" x14ac:dyDescent="0.25">
      <c r="C39">
        <f t="shared" si="0"/>
        <v>-1750</v>
      </c>
      <c r="D39">
        <f t="shared" si="1"/>
        <v>1750</v>
      </c>
      <c r="E39" s="6">
        <f t="shared" si="2"/>
        <v>-0.94345838372374125</v>
      </c>
      <c r="F39" s="6">
        <f t="shared" si="3"/>
        <v>-0.33149099260973275</v>
      </c>
      <c r="G39" s="7">
        <f t="shared" si="4"/>
        <v>-94.890081786097127</v>
      </c>
      <c r="H39" s="7">
        <f t="shared" si="5"/>
        <v>-1.1237220194713453</v>
      </c>
      <c r="I39" s="7">
        <f t="shared" si="12"/>
        <v>94.896735310279482</v>
      </c>
      <c r="J39" s="7">
        <f t="shared" si="13"/>
        <v>-179.32151476411931</v>
      </c>
      <c r="K39" s="7">
        <f t="shared" si="14"/>
        <v>-84.911254535136706</v>
      </c>
      <c r="L39" s="7">
        <f t="shared" si="15"/>
        <v>-838.96559492915378</v>
      </c>
      <c r="M39" s="7">
        <f t="shared" si="16"/>
        <v>843.25155832738301</v>
      </c>
      <c r="N39" s="7">
        <f t="shared" si="17"/>
        <v>-95.779195715343732</v>
      </c>
    </row>
    <row r="40" spans="1:14" x14ac:dyDescent="0.25">
      <c r="C40">
        <f t="shared" si="0"/>
        <v>-1800</v>
      </c>
      <c r="D40">
        <f t="shared" si="1"/>
        <v>1800</v>
      </c>
      <c r="E40" s="6">
        <f t="shared" si="2"/>
        <v>-0.90589963322014355</v>
      </c>
      <c r="F40" s="6">
        <f t="shared" si="3"/>
        <v>-0.42349244920259127</v>
      </c>
      <c r="G40" s="7">
        <f t="shared" si="4"/>
        <v>-91.285255144049728</v>
      </c>
      <c r="H40" s="7">
        <f t="shared" si="5"/>
        <v>-1.4355979524579989</v>
      </c>
      <c r="I40" s="7">
        <f t="shared" si="12"/>
        <v>91.296542914807887</v>
      </c>
      <c r="J40" s="7">
        <f t="shared" si="13"/>
        <v>-179.09901195374934</v>
      </c>
      <c r="K40" s="7">
        <f t="shared" si="14"/>
        <v>-81.530966989812924</v>
      </c>
      <c r="L40" s="7">
        <f t="shared" si="15"/>
        <v>-1084.8614499116854</v>
      </c>
      <c r="M40" s="7">
        <f t="shared" si="16"/>
        <v>1087.9207986258828</v>
      </c>
      <c r="N40" s="7">
        <f t="shared" si="17"/>
        <v>-94.297890114003948</v>
      </c>
    </row>
    <row r="41" spans="1:14" x14ac:dyDescent="0.25">
      <c r="C41">
        <f t="shared" si="0"/>
        <v>-1850</v>
      </c>
      <c r="D41">
        <f t="shared" si="1"/>
        <v>1850</v>
      </c>
      <c r="E41" s="6">
        <f t="shared" si="2"/>
        <v>-0.85939518928557912</v>
      </c>
      <c r="F41" s="6">
        <f t="shared" si="3"/>
        <v>-0.51131194845495598</v>
      </c>
      <c r="G41" s="7">
        <f t="shared" si="4"/>
        <v>-86.778993202394688</v>
      </c>
      <c r="H41" s="7">
        <f t="shared" si="5"/>
        <v>-1.7332974593794792</v>
      </c>
      <c r="I41" s="7">
        <f t="shared" si="12"/>
        <v>86.796301656833023</v>
      </c>
      <c r="J41" s="7">
        <f t="shared" si="13"/>
        <v>-178.85574351642265</v>
      </c>
      <c r="K41" s="7">
        <f t="shared" si="14"/>
        <v>-77.345567035702118</v>
      </c>
      <c r="L41" s="7">
        <f t="shared" si="15"/>
        <v>-1320.0443764525896</v>
      </c>
      <c r="M41" s="7">
        <f t="shared" si="16"/>
        <v>1322.3083953995681</v>
      </c>
      <c r="N41" s="7">
        <f t="shared" si="17"/>
        <v>-93.353306618564432</v>
      </c>
    </row>
    <row r="42" spans="1:14" x14ac:dyDescent="0.25">
      <c r="C42">
        <f t="shared" si="0"/>
        <v>-1900</v>
      </c>
      <c r="D42">
        <f t="shared" si="1"/>
        <v>1900</v>
      </c>
      <c r="E42" s="6">
        <f t="shared" si="2"/>
        <v>-0.80440427994416985</v>
      </c>
      <c r="F42" s="6">
        <f t="shared" si="3"/>
        <v>-0.59408227915626433</v>
      </c>
      <c r="G42" s="7">
        <f t="shared" si="4"/>
        <v>-81.415794972249174</v>
      </c>
      <c r="H42" s="7">
        <f t="shared" si="5"/>
        <v>-2.0138807791123563</v>
      </c>
      <c r="I42" s="7">
        <f t="shared" si="12"/>
        <v>81.440698589561421</v>
      </c>
      <c r="J42" s="7">
        <f t="shared" si="13"/>
        <v>-178.58303484813734</v>
      </c>
      <c r="K42" s="7">
        <f t="shared" si="14"/>
        <v>-72.396385194975281</v>
      </c>
      <c r="L42" s="7">
        <f t="shared" si="15"/>
        <v>-1542.1919601431587</v>
      </c>
      <c r="M42" s="7">
        <f t="shared" si="16"/>
        <v>1543.8903065048037</v>
      </c>
      <c r="N42" s="7">
        <f t="shared" si="17"/>
        <v>-92.687709723817107</v>
      </c>
    </row>
    <row r="43" spans="1:14" x14ac:dyDescent="0.25">
      <c r="C43">
        <f t="shared" si="0"/>
        <v>-1950</v>
      </c>
      <c r="D43">
        <f t="shared" si="1"/>
        <v>1950</v>
      </c>
      <c r="E43" s="6">
        <f t="shared" si="2"/>
        <v>-0.74146993645282144</v>
      </c>
      <c r="F43" s="6">
        <f t="shared" si="3"/>
        <v>-0.67098609027061729</v>
      </c>
      <c r="G43" s="7">
        <f t="shared" si="4"/>
        <v>-75.248621648669427</v>
      </c>
      <c r="H43" s="7">
        <f t="shared" si="5"/>
        <v>-2.2745771716451237</v>
      </c>
      <c r="I43" s="7">
        <f t="shared" si="12"/>
        <v>75.282991182167905</v>
      </c>
      <c r="J43" s="7">
        <f t="shared" si="13"/>
        <v>-178.26861942850681</v>
      </c>
      <c r="K43" s="7">
        <f t="shared" si="14"/>
        <v>-66.732294280753933</v>
      </c>
      <c r="L43" s="7">
        <f t="shared" si="15"/>
        <v>-1749.1105096435913</v>
      </c>
      <c r="M43" s="7">
        <f t="shared" si="16"/>
        <v>1750.3830363796483</v>
      </c>
      <c r="N43" s="7">
        <f t="shared" si="17"/>
        <v>-92.184896428186789</v>
      </c>
    </row>
    <row r="44" spans="1:14" x14ac:dyDescent="0.25">
      <c r="C44">
        <f t="shared" si="0"/>
        <v>-2000</v>
      </c>
      <c r="D44">
        <f t="shared" si="1"/>
        <v>2000</v>
      </c>
      <c r="E44" s="6">
        <f t="shared" si="2"/>
        <v>-0.67121363090679442</v>
      </c>
      <c r="F44" s="6">
        <f t="shared" si="3"/>
        <v>-0.74126396221920676</v>
      </c>
      <c r="G44" s="7">
        <f t="shared" si="4"/>
        <v>-68.338373622675945</v>
      </c>
      <c r="H44" s="7">
        <f t="shared" si="5"/>
        <v>-2.5128122789356344</v>
      </c>
      <c r="I44" s="7">
        <f t="shared" si="12"/>
        <v>68.384556260471712</v>
      </c>
      <c r="J44" s="7">
        <f t="shared" si="13"/>
        <v>-177.89417428210396</v>
      </c>
      <c r="K44" s="7">
        <f t="shared" si="14"/>
        <v>-60.409226781611501</v>
      </c>
      <c r="L44" s="7">
        <f t="shared" si="15"/>
        <v>-1938.7567192264828</v>
      </c>
      <c r="M44" s="7">
        <f t="shared" si="16"/>
        <v>1939.6976287623252</v>
      </c>
      <c r="N44" s="7">
        <f t="shared" si="17"/>
        <v>-91.784687184265266</v>
      </c>
    </row>
    <row r="45" spans="1:14" x14ac:dyDescent="0.25">
      <c r="C45">
        <f t="shared" si="0"/>
        <v>-2050</v>
      </c>
      <c r="D45">
        <f t="shared" si="1"/>
        <v>2050</v>
      </c>
      <c r="E45" s="6">
        <f t="shared" si="2"/>
        <v>-0.5943291392476604</v>
      </c>
      <c r="F45" s="6">
        <f t="shared" si="3"/>
        <v>-0.80422190609379396</v>
      </c>
      <c r="G45" s="7">
        <f t="shared" si="4"/>
        <v>-60.753289094291709</v>
      </c>
      <c r="H45" s="7">
        <f t="shared" si="5"/>
        <v>-2.726233546510787</v>
      </c>
      <c r="I45" s="7">
        <f t="shared" si="12"/>
        <v>60.814426620043903</v>
      </c>
      <c r="J45" s="7">
        <f t="shared" si="13"/>
        <v>-177.43064187601522</v>
      </c>
      <c r="K45" s="7">
        <f t="shared" si="14"/>
        <v>-53.489622532289438</v>
      </c>
      <c r="L45" s="7">
        <f t="shared" si="15"/>
        <v>-2109.2578462732699</v>
      </c>
      <c r="M45" s="7">
        <f t="shared" si="16"/>
        <v>2109.9359710152344</v>
      </c>
      <c r="N45" s="7">
        <f t="shared" si="17"/>
        <v>-91.452678201455711</v>
      </c>
    </row>
    <row r="46" spans="1:14" x14ac:dyDescent="0.25">
      <c r="C46">
        <f t="shared" si="0"/>
        <v>-2100</v>
      </c>
      <c r="D46">
        <f t="shared" si="1"/>
        <v>2100</v>
      </c>
      <c r="E46" s="6">
        <f t="shared" si="2"/>
        <v>-0.51157569027600303</v>
      </c>
      <c r="F46" s="6">
        <f t="shared" si="3"/>
        <v>-0.85923821674703871</v>
      </c>
      <c r="G46" s="7">
        <f t="shared" si="4"/>
        <v>-52.568270225247097</v>
      </c>
      <c r="H46" s="7">
        <f t="shared" si="5"/>
        <v>-2.9127334547719803</v>
      </c>
      <c r="I46" s="7">
        <f t="shared" si="12"/>
        <v>52.64890360352387</v>
      </c>
      <c r="J46" s="7">
        <f t="shared" si="13"/>
        <v>-176.82856484637043</v>
      </c>
      <c r="K46" s="7">
        <f t="shared" si="14"/>
        <v>-46.04181212484027</v>
      </c>
      <c r="L46" s="7">
        <f t="shared" si="15"/>
        <v>-2258.9302044722867</v>
      </c>
      <c r="M46" s="7">
        <f t="shared" si="16"/>
        <v>2259.399370881772</v>
      </c>
      <c r="N46" s="7">
        <f t="shared" si="17"/>
        <v>-91.167648428850526</v>
      </c>
    </row>
    <row r="47" spans="1:14" x14ac:dyDescent="0.25">
      <c r="C47">
        <f t="shared" si="0"/>
        <v>-2150</v>
      </c>
      <c r="D47">
        <f t="shared" si="1"/>
        <v>2150</v>
      </c>
      <c r="E47" s="6">
        <f t="shared" si="2"/>
        <v>-0.42377046832186094</v>
      </c>
      <c r="F47" s="6">
        <f t="shared" si="3"/>
        <v>-0.90576961208591589</v>
      </c>
      <c r="G47" s="7">
        <f t="shared" si="4"/>
        <v>-43.864143485543927</v>
      </c>
      <c r="H47" s="7">
        <f t="shared" si="5"/>
        <v>-3.0704703305988965</v>
      </c>
      <c r="I47" s="7">
        <f t="shared" si="12"/>
        <v>43.971477934809897</v>
      </c>
      <c r="J47" s="7">
        <f t="shared" si="13"/>
        <v>-175.99585268355708</v>
      </c>
      <c r="K47" s="7">
        <f t="shared" si="14"/>
        <v>-38.139342148967486</v>
      </c>
      <c r="L47" s="7">
        <f t="shared" si="15"/>
        <v>-2386.2957900994575</v>
      </c>
      <c r="M47" s="7">
        <f t="shared" si="16"/>
        <v>2386.6005546102497</v>
      </c>
      <c r="N47" s="7">
        <f t="shared" si="17"/>
        <v>-90.915660710548281</v>
      </c>
    </row>
    <row r="48" spans="1:14" x14ac:dyDescent="0.25">
      <c r="C48">
        <f t="shared" si="0"/>
        <v>-2200</v>
      </c>
      <c r="D48">
        <f t="shared" si="1"/>
        <v>2200</v>
      </c>
      <c r="E48" s="6">
        <f t="shared" si="2"/>
        <v>-0.33178054360850712</v>
      </c>
      <c r="F48" s="6">
        <f t="shared" si="3"/>
        <v>-0.94335659794313387</v>
      </c>
      <c r="G48" s="7">
        <f t="shared" si="4"/>
        <v>-34.726861497903577</v>
      </c>
      <c r="H48" s="7">
        <f t="shared" si="5"/>
        <v>-3.1978865337385098</v>
      </c>
      <c r="I48" s="7">
        <f t="shared" si="12"/>
        <v>34.87379227696988</v>
      </c>
      <c r="J48" s="7">
        <f t="shared" si="13"/>
        <v>-174.73865195402607</v>
      </c>
      <c r="K48" s="7">
        <f t="shared" si="14"/>
        <v>-29.860248924765642</v>
      </c>
      <c r="L48" s="7">
        <f t="shared" si="15"/>
        <v>-2490.0968771982934</v>
      </c>
      <c r="M48" s="7">
        <f t="shared" si="16"/>
        <v>2490.2759068622381</v>
      </c>
      <c r="N48" s="7">
        <f t="shared" si="17"/>
        <v>-90.68703521323701</v>
      </c>
    </row>
    <row r="49" spans="3:14" x14ac:dyDescent="0.25">
      <c r="C49">
        <f t="shared" si="0"/>
        <v>-2250</v>
      </c>
      <c r="D49">
        <f t="shared" si="1"/>
        <v>2250</v>
      </c>
      <c r="E49" s="6">
        <f t="shared" si="2"/>
        <v>-0.23651430999663844</v>
      </c>
      <c r="F49" s="6">
        <f t="shared" si="3"/>
        <v>-0.97162800554883866</v>
      </c>
      <c r="G49" s="7">
        <f t="shared" si="4"/>
        <v>-25.246654261827523</v>
      </c>
      <c r="H49" s="7">
        <f t="shared" si="5"/>
        <v>-3.2937238383900493</v>
      </c>
      <c r="I49" s="7">
        <f t="shared" si="12"/>
        <v>25.460600309887287</v>
      </c>
      <c r="J49" s="7">
        <f t="shared" si="13"/>
        <v>-172.5670702163068</v>
      </c>
      <c r="K49" s="7">
        <f t="shared" si="14"/>
        <v>-21.286287899697459</v>
      </c>
      <c r="L49" s="7">
        <f t="shared" si="15"/>
        <v>-2569.3084375328426</v>
      </c>
      <c r="M49" s="7">
        <f t="shared" si="16"/>
        <v>2569.3966126758255</v>
      </c>
      <c r="N49" s="7">
        <f t="shared" si="17"/>
        <v>-90.474675028246295</v>
      </c>
    </row>
    <row r="50" spans="3:14" x14ac:dyDescent="0.25">
      <c r="C50">
        <f t="shared" si="0"/>
        <v>-2300</v>
      </c>
      <c r="D50">
        <f t="shared" si="1"/>
        <v>2300</v>
      </c>
      <c r="E50" s="6">
        <f t="shared" si="2"/>
        <v>-0.13891251466062327</v>
      </c>
      <c r="F50" s="6">
        <f t="shared" si="3"/>
        <v>-0.99030465679540358</v>
      </c>
      <c r="G50" s="7">
        <f t="shared" si="4"/>
        <v>-15.517138138870505</v>
      </c>
      <c r="H50" s="7">
        <f t="shared" si="5"/>
        <v>-3.3570358580938868</v>
      </c>
      <c r="I50" s="7">
        <f t="shared" si="12"/>
        <v>15.87612250435596</v>
      </c>
      <c r="J50" s="7">
        <f t="shared" si="13"/>
        <v>-167.79255064389565</v>
      </c>
      <c r="K50" s="7">
        <f t="shared" si="14"/>
        <v>-12.502126319456094</v>
      </c>
      <c r="L50" s="7">
        <f t="shared" si="15"/>
        <v>-2623.1482626674738</v>
      </c>
      <c r="M50" s="7">
        <f t="shared" si="16"/>
        <v>2623.1780555459618</v>
      </c>
      <c r="N50" s="7">
        <f t="shared" si="17"/>
        <v>-90.273074023099156</v>
      </c>
    </row>
    <row r="51" spans="3:14" x14ac:dyDescent="0.25">
      <c r="C51">
        <f t="shared" si="0"/>
        <v>-2350</v>
      </c>
      <c r="D51">
        <f t="shared" si="1"/>
        <v>2350</v>
      </c>
      <c r="E51" s="6">
        <f t="shared" si="2"/>
        <v>-3.9938968278125604E-2</v>
      </c>
      <c r="F51" s="6">
        <f t="shared" si="3"/>
        <v>-0.99920212110107076</v>
      </c>
      <c r="G51" s="7">
        <f t="shared" si="4"/>
        <v>-5.63439139783409</v>
      </c>
      <c r="H51" s="7">
        <f t="shared" si="5"/>
        <v>-3.387197391229448</v>
      </c>
      <c r="I51" s="7">
        <f t="shared" si="12"/>
        <v>6.5741518533677308</v>
      </c>
      <c r="J51" s="7">
        <f t="shared" si="13"/>
        <v>-148.98719942176822</v>
      </c>
      <c r="K51" s="7">
        <f t="shared" si="14"/>
        <v>-3.5945071450313044</v>
      </c>
      <c r="L51" s="7">
        <f t="shared" si="15"/>
        <v>-2651.0846882186611</v>
      </c>
      <c r="M51" s="7">
        <f t="shared" si="16"/>
        <v>2651.0871250468272</v>
      </c>
      <c r="N51" s="7">
        <f t="shared" si="17"/>
        <v>-90.077685169225845</v>
      </c>
    </row>
    <row r="52" spans="3:14" x14ac:dyDescent="0.25">
      <c r="C52">
        <f t="shared" si="0"/>
        <v>-2400</v>
      </c>
      <c r="D52">
        <f t="shared" si="1"/>
        <v>2400</v>
      </c>
      <c r="E52" s="6">
        <f t="shared" si="2"/>
        <v>5.9428972530711763E-2</v>
      </c>
      <c r="F52" s="6">
        <f t="shared" si="3"/>
        <v>-0.99823253664862277</v>
      </c>
      <c r="G52" s="7">
        <f t="shared" si="4"/>
        <v>4.3039945511970696</v>
      </c>
      <c r="H52" s="7">
        <f t="shared" si="5"/>
        <v>-3.3839105948360522</v>
      </c>
      <c r="I52" s="7">
        <f t="shared" si="12"/>
        <v>5.4749630145397106</v>
      </c>
      <c r="J52" s="7">
        <f t="shared" si="13"/>
        <v>-38.175334944606121</v>
      </c>
      <c r="K52" s="7">
        <f t="shared" si="14"/>
        <v>5.3486075277640586</v>
      </c>
      <c r="L52" s="7">
        <f t="shared" si="15"/>
        <v>-2652.8418440023652</v>
      </c>
      <c r="M52" s="7">
        <f t="shared" si="16"/>
        <v>2652.8472358755139</v>
      </c>
      <c r="N52" s="7">
        <f t="shared" si="17"/>
        <v>-89.884481533241413</v>
      </c>
    </row>
    <row r="53" spans="3:14" x14ac:dyDescent="0.25">
      <c r="C53">
        <f t="shared" si="0"/>
        <v>-2450</v>
      </c>
      <c r="D53">
        <f t="shared" si="1"/>
        <v>2450</v>
      </c>
      <c r="E53" s="6">
        <f t="shared" si="2"/>
        <v>0.15821005652927919</v>
      </c>
      <c r="F53" s="6">
        <f t="shared" si="3"/>
        <v>-0.98740547801447931</v>
      </c>
      <c r="G53" s="7">
        <f t="shared" si="4"/>
        <v>14.199878864979061</v>
      </c>
      <c r="H53" s="7">
        <f t="shared" si="5"/>
        <v>-3.3472079257906278</v>
      </c>
      <c r="I53" s="7">
        <f t="shared" si="12"/>
        <v>14.589049341151554</v>
      </c>
      <c r="J53" s="7">
        <f t="shared" si="13"/>
        <v>-13.263686618428849</v>
      </c>
      <c r="K53" s="7">
        <f t="shared" si="14"/>
        <v>14.238905087635127</v>
      </c>
      <c r="L53" s="7">
        <f t="shared" si="15"/>
        <v>-2628.4023782321683</v>
      </c>
      <c r="M53" s="7">
        <f t="shared" si="16"/>
        <v>2628.4409463243819</v>
      </c>
      <c r="N53" s="7">
        <f t="shared" si="17"/>
        <v>-89.68961328277328</v>
      </c>
    </row>
    <row r="54" spans="3:14" x14ac:dyDescent="0.25">
      <c r="C54">
        <f t="shared" si="0"/>
        <v>-2500</v>
      </c>
      <c r="D54">
        <f t="shared" si="1"/>
        <v>2500</v>
      </c>
      <c r="E54" s="6">
        <f t="shared" si="2"/>
        <v>0.25542882764956804</v>
      </c>
      <c r="F54" s="6">
        <f t="shared" si="3"/>
        <v>-0.96682786162044754</v>
      </c>
      <c r="G54" s="7">
        <f t="shared" si="4"/>
        <v>23.95554040084523</v>
      </c>
      <c r="H54" s="7">
        <f t="shared" si="5"/>
        <v>-3.2774518202983991</v>
      </c>
      <c r="I54" s="7">
        <f t="shared" si="12"/>
        <v>24.178701502167261</v>
      </c>
      <c r="J54" s="7">
        <f t="shared" si="13"/>
        <v>-7.79049387495433</v>
      </c>
      <c r="K54" s="7">
        <f t="shared" si="14"/>
        <v>22.988594488461125</v>
      </c>
      <c r="L54" s="7">
        <f t="shared" si="15"/>
        <v>-2578.0076288669125</v>
      </c>
      <c r="M54" s="7">
        <f t="shared" si="16"/>
        <v>2578.1101237093335</v>
      </c>
      <c r="N54" s="7">
        <f t="shared" si="17"/>
        <v>-89.489095952857269</v>
      </c>
    </row>
  </sheetData>
  <pageMargins left="0.75" right="0.75" top="1" bottom="1" header="0.5" footer="0.5"/>
  <pageSetup scale="85" orientation="landscape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U. T.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Grady</dc:creator>
  <cp:lastModifiedBy>Aniket Gupta</cp:lastModifiedBy>
  <cp:lastPrinted>1999-01-29T08:56:51Z</cp:lastPrinted>
  <dcterms:created xsi:type="dcterms:W3CDTF">1999-01-27T07:12:47Z</dcterms:created>
  <dcterms:modified xsi:type="dcterms:W3CDTF">2024-02-03T22:21:43Z</dcterms:modified>
</cp:coreProperties>
</file>