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26F242AB-3D97-4953-9135-6A50171B6012}" xr6:coauthVersionLast="47" xr6:coauthVersionMax="47" xr10:uidLastSave="{00000000-0000-0000-0000-000000000000}"/>
  <bookViews>
    <workbookView xWindow="3348" yWindow="3348" windowWidth="17280" windowHeight="8880"/>
  </bookViews>
  <sheets>
    <sheet name="Johnson - Base" sheetId="1" r:id="rId1"/>
    <sheet name="Johnson - More Efficient" sheetId="2" r:id="rId2"/>
    <sheet name="Your Home - Base" sheetId="3" r:id="rId3"/>
    <sheet name="Your Home - More Efficient" sheetId="4" r:id="rId4"/>
  </sheets>
  <definedNames>
    <definedName name="_xlnm.Print_Area" localSheetId="0">'Johnson - Base'!$A$1:$G$104</definedName>
    <definedName name="_xlnm.Print_Area" localSheetId="1">'Johnson - More Efficient'!$A$1:$G$103</definedName>
    <definedName name="_xlnm.Print_Area" localSheetId="2">'Your Home - Base'!$A$1:$G$103</definedName>
    <definedName name="_xlnm.Print_Area" localSheetId="3">'Your Home - More Efficient'!$A$1:$G$103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20" i="1"/>
  <c r="E20" i="1"/>
  <c r="C21" i="1"/>
  <c r="E21" i="1"/>
  <c r="C22" i="1"/>
  <c r="E22" i="1" s="1"/>
  <c r="E23" i="1"/>
  <c r="C24" i="1"/>
  <c r="E24" i="1"/>
  <c r="E26" i="1"/>
  <c r="F39" i="1"/>
  <c r="F40" i="1" s="1"/>
  <c r="C46" i="1"/>
  <c r="C47" i="1"/>
  <c r="C52" i="1"/>
  <c r="C54" i="1"/>
  <c r="C55" i="1" s="1"/>
  <c r="C59" i="1"/>
  <c r="C60" i="1"/>
  <c r="F65" i="1"/>
  <c r="E66" i="1"/>
  <c r="F66" i="1"/>
  <c r="E67" i="1"/>
  <c r="F67" i="1"/>
  <c r="E68" i="1"/>
  <c r="F68" i="1"/>
  <c r="E69" i="1"/>
  <c r="E80" i="1" s="1"/>
  <c r="C87" i="1" s="1"/>
  <c r="E70" i="1"/>
  <c r="F70" i="1"/>
  <c r="E71" i="1"/>
  <c r="F71" i="1"/>
  <c r="E72" i="1"/>
  <c r="F72" i="1"/>
  <c r="E73" i="1"/>
  <c r="F73" i="1" s="1"/>
  <c r="E74" i="1"/>
  <c r="F74" i="1"/>
  <c r="E75" i="1"/>
  <c r="F75" i="1"/>
  <c r="E76" i="1"/>
  <c r="F76" i="1"/>
  <c r="E77" i="1"/>
  <c r="F77" i="1" s="1"/>
  <c r="E78" i="1"/>
  <c r="F78" i="1"/>
  <c r="E79" i="1"/>
  <c r="F79" i="1"/>
  <c r="C85" i="1"/>
  <c r="E85" i="1" s="1"/>
  <c r="C101" i="1"/>
  <c r="C8" i="2"/>
  <c r="E25" i="2" s="1"/>
  <c r="C19" i="2"/>
  <c r="E19" i="2"/>
  <c r="C20" i="2"/>
  <c r="E20" i="2"/>
  <c r="C21" i="2"/>
  <c r="E21" i="2"/>
  <c r="E22" i="2"/>
  <c r="C23" i="2"/>
  <c r="E23" i="2"/>
  <c r="F38" i="2"/>
  <c r="F39" i="2"/>
  <c r="C45" i="2"/>
  <c r="C46" i="2"/>
  <c r="C51" i="2"/>
  <c r="C53" i="2" s="1"/>
  <c r="C54" i="2" s="1"/>
  <c r="C58" i="2"/>
  <c r="C59" i="2"/>
  <c r="F64" i="2"/>
  <c r="E65" i="2"/>
  <c r="F65" i="2"/>
  <c r="E66" i="2"/>
  <c r="F66" i="2" s="1"/>
  <c r="E67" i="2"/>
  <c r="F67" i="2" s="1"/>
  <c r="E68" i="2"/>
  <c r="E79" i="2" s="1"/>
  <c r="C86" i="2" s="1"/>
  <c r="F68" i="2"/>
  <c r="E69" i="2"/>
  <c r="F69" i="2"/>
  <c r="E70" i="2"/>
  <c r="F70" i="2" s="1"/>
  <c r="E71" i="2"/>
  <c r="F71" i="2" s="1"/>
  <c r="E72" i="2"/>
  <c r="F72" i="2"/>
  <c r="E73" i="2"/>
  <c r="F73" i="2"/>
  <c r="E74" i="2"/>
  <c r="F74" i="2" s="1"/>
  <c r="E75" i="2"/>
  <c r="F75" i="2" s="1"/>
  <c r="E76" i="2"/>
  <c r="F76" i="2"/>
  <c r="E77" i="2"/>
  <c r="F77" i="2"/>
  <c r="E78" i="2"/>
  <c r="F78" i="2" s="1"/>
  <c r="C84" i="2"/>
  <c r="E98" i="2" s="1"/>
  <c r="E84" i="2"/>
  <c r="C100" i="2"/>
  <c r="C8" i="3"/>
  <c r="C19" i="3"/>
  <c r="E19" i="3" s="1"/>
  <c r="C20" i="3"/>
  <c r="E20" i="3" s="1"/>
  <c r="C21" i="3"/>
  <c r="E21" i="3" s="1"/>
  <c r="E22" i="3"/>
  <c r="C23" i="3"/>
  <c r="E23" i="3" s="1"/>
  <c r="E25" i="3"/>
  <c r="F38" i="3"/>
  <c r="F39" i="3"/>
  <c r="C45" i="3"/>
  <c r="C46" i="3" s="1"/>
  <c r="C51" i="3"/>
  <c r="C53" i="3"/>
  <c r="C54" i="3" s="1"/>
  <c r="C58" i="3"/>
  <c r="C59" i="3" s="1"/>
  <c r="F64" i="3"/>
  <c r="E65" i="3"/>
  <c r="F65" i="3" s="1"/>
  <c r="E66" i="3"/>
  <c r="F66" i="3"/>
  <c r="E67" i="3"/>
  <c r="F67" i="3"/>
  <c r="E68" i="3"/>
  <c r="F68" i="3"/>
  <c r="E69" i="3"/>
  <c r="F69" i="3" s="1"/>
  <c r="E70" i="3"/>
  <c r="F70" i="3"/>
  <c r="E71" i="3"/>
  <c r="F71" i="3"/>
  <c r="E72" i="3"/>
  <c r="F72" i="3"/>
  <c r="E73" i="3"/>
  <c r="F73" i="3" s="1"/>
  <c r="E74" i="3"/>
  <c r="F74" i="3"/>
  <c r="E75" i="3"/>
  <c r="F75" i="3"/>
  <c r="E76" i="3"/>
  <c r="F76" i="3"/>
  <c r="E77" i="3"/>
  <c r="F77" i="3" s="1"/>
  <c r="E78" i="3"/>
  <c r="F78" i="3"/>
  <c r="C84" i="3"/>
  <c r="E98" i="3" s="1"/>
  <c r="E84" i="3"/>
  <c r="C100" i="3"/>
  <c r="C8" i="4"/>
  <c r="E25" i="4" s="1"/>
  <c r="C19" i="4"/>
  <c r="E19" i="4"/>
  <c r="E26" i="4" s="1"/>
  <c r="C20" i="4"/>
  <c r="E20" i="4"/>
  <c r="C21" i="4"/>
  <c r="E21" i="4"/>
  <c r="E22" i="4"/>
  <c r="C23" i="4"/>
  <c r="E23" i="4"/>
  <c r="F38" i="4"/>
  <c r="F39" i="4"/>
  <c r="C45" i="4"/>
  <c r="C46" i="4"/>
  <c r="C51" i="4"/>
  <c r="C53" i="4"/>
  <c r="C54" i="4"/>
  <c r="C58" i="4"/>
  <c r="C59" i="4"/>
  <c r="F64" i="4"/>
  <c r="E65" i="4"/>
  <c r="E79" i="4" s="1"/>
  <c r="C86" i="4" s="1"/>
  <c r="F65" i="4"/>
  <c r="E66" i="4"/>
  <c r="F66" i="4"/>
  <c r="E67" i="4"/>
  <c r="F67" i="4" s="1"/>
  <c r="E68" i="4"/>
  <c r="F68" i="4"/>
  <c r="E69" i="4"/>
  <c r="F69" i="4"/>
  <c r="E70" i="4"/>
  <c r="F70" i="4"/>
  <c r="E71" i="4"/>
  <c r="F71" i="4" s="1"/>
  <c r="E72" i="4"/>
  <c r="F72" i="4"/>
  <c r="E73" i="4"/>
  <c r="F73" i="4"/>
  <c r="E74" i="4"/>
  <c r="F74" i="4"/>
  <c r="E75" i="4"/>
  <c r="F75" i="4" s="1"/>
  <c r="E76" i="4"/>
  <c r="F76" i="4"/>
  <c r="E77" i="4"/>
  <c r="F77" i="4"/>
  <c r="E78" i="4"/>
  <c r="F78" i="4"/>
  <c r="C84" i="4"/>
  <c r="E98" i="4" s="1"/>
  <c r="E84" i="4"/>
  <c r="C100" i="4"/>
  <c r="F25" i="4" l="1"/>
  <c r="E26" i="3"/>
  <c r="F21" i="3" s="1"/>
  <c r="E101" i="1"/>
  <c r="E87" i="1"/>
  <c r="E26" i="2"/>
  <c r="F21" i="4"/>
  <c r="F79" i="2"/>
  <c r="F25" i="2"/>
  <c r="E86" i="4"/>
  <c r="E100" i="4"/>
  <c r="F79" i="3"/>
  <c r="F20" i="4"/>
  <c r="F23" i="3"/>
  <c r="F79" i="4"/>
  <c r="E100" i="2"/>
  <c r="E86" i="2"/>
  <c r="F21" i="2"/>
  <c r="F22" i="4"/>
  <c r="E27" i="4"/>
  <c r="F19" i="4"/>
  <c r="F23" i="4"/>
  <c r="F20" i="3"/>
  <c r="F26" i="1"/>
  <c r="E79" i="3"/>
  <c r="C86" i="3" s="1"/>
  <c r="E99" i="1"/>
  <c r="E27" i="1"/>
  <c r="E28" i="1" s="1"/>
  <c r="F69" i="1"/>
  <c r="F80" i="1" s="1"/>
  <c r="F22" i="1" l="1"/>
  <c r="E100" i="3"/>
  <c r="E86" i="3"/>
  <c r="F25" i="3"/>
  <c r="F22" i="2"/>
  <c r="F19" i="2"/>
  <c r="E27" i="2"/>
  <c r="F20" i="2"/>
  <c r="F23" i="2"/>
  <c r="F21" i="1"/>
  <c r="F24" i="1"/>
  <c r="F23" i="1"/>
  <c r="F20" i="1"/>
  <c r="E27" i="3"/>
  <c r="F22" i="3"/>
  <c r="F19" i="3"/>
  <c r="D30" i="1"/>
  <c r="C35" i="1" s="1"/>
  <c r="D35" i="1" s="1"/>
  <c r="D37" i="1"/>
  <c r="D38" i="1" s="1"/>
  <c r="D39" i="1" s="1"/>
  <c r="D29" i="4"/>
  <c r="C34" i="4" s="1"/>
  <c r="D34" i="4" s="1"/>
  <c r="D36" i="4" s="1"/>
  <c r="D37" i="4" s="1"/>
  <c r="D38" i="4" s="1"/>
  <c r="D39" i="4" l="1"/>
  <c r="C85" i="4"/>
  <c r="C86" i="1"/>
  <c r="D40" i="1"/>
  <c r="D29" i="2"/>
  <c r="C34" i="2" s="1"/>
  <c r="D34" i="2" s="1"/>
  <c r="D36" i="2" s="1"/>
  <c r="D37" i="2" s="1"/>
  <c r="D38" i="2" s="1"/>
  <c r="D29" i="3"/>
  <c r="C34" i="3" s="1"/>
  <c r="D34" i="3" s="1"/>
  <c r="D36" i="3" s="1"/>
  <c r="D37" i="3" s="1"/>
  <c r="D38" i="3" s="1"/>
  <c r="D39" i="3" l="1"/>
  <c r="C85" i="3"/>
  <c r="C85" i="2"/>
  <c r="D39" i="2"/>
  <c r="E86" i="1"/>
  <c r="E88" i="1" s="1"/>
  <c r="E100" i="1"/>
  <c r="E102" i="1" s="1"/>
  <c r="E104" i="1" s="1"/>
  <c r="E85" i="4"/>
  <c r="E87" i="4" s="1"/>
  <c r="E99" i="4"/>
  <c r="E101" i="4" s="1"/>
  <c r="E103" i="4" s="1"/>
  <c r="E85" i="2" l="1"/>
  <c r="E87" i="2" s="1"/>
  <c r="E99" i="2"/>
  <c r="E101" i="2" s="1"/>
  <c r="E103" i="2" s="1"/>
  <c r="E85" i="3"/>
  <c r="E87" i="3" s="1"/>
  <c r="E99" i="3"/>
  <c r="E101" i="3" s="1"/>
  <c r="E103" i="3" s="1"/>
</calcChain>
</file>

<file path=xl/sharedStrings.xml><?xml version="1.0" encoding="utf-8"?>
<sst xmlns="http://schemas.openxmlformats.org/spreadsheetml/2006/main" count="633" uniqueCount="137">
  <si>
    <t>HOUSE HEATING</t>
  </si>
  <si>
    <t>Component</t>
  </si>
  <si>
    <t>ceiling</t>
  </si>
  <si>
    <t>south windows</t>
  </si>
  <si>
    <t>non-south windows</t>
  </si>
  <si>
    <t>walls</t>
  </si>
  <si>
    <t>floor</t>
  </si>
  <si>
    <t>R-Value</t>
  </si>
  <si>
    <t>ft</t>
  </si>
  <si>
    <t>ft^3</t>
  </si>
  <si>
    <t>$/therm</t>
  </si>
  <si>
    <t>F</t>
  </si>
  <si>
    <t>Btu/hr</t>
  </si>
  <si>
    <t>TOTAL (UA)</t>
  </si>
  <si>
    <t>therms/year</t>
  </si>
  <si>
    <t>GAS RANGE</t>
  </si>
  <si>
    <t>therms/month</t>
  </si>
  <si>
    <t>therms/hr</t>
  </si>
  <si>
    <t>burners*hours/month</t>
  </si>
  <si>
    <t>therm/month</t>
  </si>
  <si>
    <t>$/month</t>
  </si>
  <si>
    <t>WATER HEATING</t>
  </si>
  <si>
    <t>gallons/day</t>
  </si>
  <si>
    <t>(estimated)</t>
  </si>
  <si>
    <t>CLOTHES DRYER (gas)</t>
  </si>
  <si>
    <t>therms/load</t>
  </si>
  <si>
    <t>loads/month</t>
  </si>
  <si>
    <t>$/kWh</t>
  </si>
  <si>
    <t>Dishwasher</t>
  </si>
  <si>
    <t>Microwave oven</t>
  </si>
  <si>
    <t>Toaster</t>
  </si>
  <si>
    <t>Vacuum cleaner</t>
  </si>
  <si>
    <t>Hair dryer</t>
  </si>
  <si>
    <t>AUTOMOBILES</t>
  </si>
  <si>
    <t>mpg</t>
  </si>
  <si>
    <t>gasoline</t>
  </si>
  <si>
    <t>$/gallon</t>
  </si>
  <si>
    <t>TOTAL GASOLINE</t>
  </si>
  <si>
    <t>gallons</t>
  </si>
  <si>
    <t>TOTAL NATURAL GAS</t>
  </si>
  <si>
    <t>TOTAL ELECTRICITY</t>
  </si>
  <si>
    <t>kWh/year</t>
  </si>
  <si>
    <t>Gasoline</t>
  </si>
  <si>
    <t>lbs CO2/gallon</t>
  </si>
  <si>
    <t>Natural Gas</t>
  </si>
  <si>
    <t>lbs CO2/therm</t>
  </si>
  <si>
    <t>lbs CO2/YEAR</t>
  </si>
  <si>
    <t>coal</t>
  </si>
  <si>
    <t>oil</t>
  </si>
  <si>
    <t>natural gas</t>
  </si>
  <si>
    <t>nuclear</t>
  </si>
  <si>
    <t>hydroelectric/renewable</t>
  </si>
  <si>
    <t>lbs CO2/year</t>
  </si>
  <si>
    <t>lbs CO2/kWh</t>
  </si>
  <si>
    <t>lbs C02/kWh</t>
  </si>
  <si>
    <t>miles/year</t>
  </si>
  <si>
    <t>Refrigerator</t>
  </si>
  <si>
    <t>Color TV</t>
  </si>
  <si>
    <t>Computer</t>
  </si>
  <si>
    <t>Lights - indoor</t>
  </si>
  <si>
    <t>Lights - outdoor</t>
  </si>
  <si>
    <t>Washing machine</t>
  </si>
  <si>
    <t>Room air conditioner</t>
  </si>
  <si>
    <t>Furnace fan</t>
  </si>
  <si>
    <t>DD@Tbal</t>
  </si>
  <si>
    <t>Btu/yr</t>
  </si>
  <si>
    <t>per year</t>
  </si>
  <si>
    <t>Therms/year</t>
  </si>
  <si>
    <t>BASIC HOUSE INFORMATION</t>
  </si>
  <si>
    <t>TOTAL ANNUAL ENERGY BILL</t>
  </si>
  <si>
    <t>TOTAL ANNUAL ENVIRONMENTAL IMPACT</t>
  </si>
  <si>
    <t>one tree</t>
  </si>
  <si>
    <t>length</t>
  </si>
  <si>
    <t>width</t>
  </si>
  <si>
    <t>height</t>
  </si>
  <si>
    <t>VOLUME</t>
  </si>
  <si>
    <t>price of electricity</t>
  </si>
  <si>
    <t>furnace efficiency</t>
  </si>
  <si>
    <t>desired indoor temp</t>
  </si>
  <si>
    <t>internal gains</t>
  </si>
  <si>
    <t>UA VALUE</t>
  </si>
  <si>
    <t>% OF LOSS</t>
  </si>
  <si>
    <t>AREA (ft^2)</t>
  </si>
  <si>
    <t>ANNUAL ENERGY DELIVERED</t>
  </si>
  <si>
    <t>ANNUAL FUEL NEEDED</t>
  </si>
  <si>
    <t>pilot lights</t>
  </si>
  <si>
    <t>one burner or oven</t>
  </si>
  <si>
    <t>hours cooking/month</t>
  </si>
  <si>
    <t>THERMS FOR RANGE</t>
  </si>
  <si>
    <t>GAS ENERGY COST</t>
  </si>
  <si>
    <t>hot water use</t>
  </si>
  <si>
    <t>standby losses</t>
  </si>
  <si>
    <t>THERM FOR HEATER</t>
  </si>
  <si>
    <t>loads per month</t>
  </si>
  <si>
    <t>THERMS FOR DRYER</t>
  </si>
  <si>
    <t>kWh/MONTH</t>
  </si>
  <si>
    <t>$/MONTH</t>
  </si>
  <si>
    <t>watts</t>
  </si>
  <si>
    <t>hours/day</t>
  </si>
  <si>
    <t>percent of US electricity (%)</t>
  </si>
  <si>
    <t>UA NON-SOUTH</t>
  </si>
  <si>
    <t>infiltration rate</t>
  </si>
  <si>
    <t>air change/hour (ach)</t>
  </si>
  <si>
    <t>BALANCE POINT TEMP</t>
  </si>
  <si>
    <t>price of natural gas</t>
  </si>
  <si>
    <t>ENERGY TO HEAT H2O</t>
  </si>
  <si>
    <t>ELECTRICITY GEN (AVG)</t>
  </si>
  <si>
    <t>ELECTRICITY GENERATION CO2 EMISSIONS</t>
  </si>
  <si>
    <t>HiFi Stereo</t>
  </si>
  <si>
    <t>INFILTRATION</t>
  </si>
  <si>
    <t>Connecticut</t>
  </si>
  <si>
    <t>base temp</t>
  </si>
  <si>
    <t>degree days</t>
  </si>
  <si>
    <t>Location</t>
  </si>
  <si>
    <t>heater efficiency</t>
  </si>
  <si>
    <t>JOHNSON HOUSE CO2 EMISSIONS</t>
  </si>
  <si>
    <t>Battery chargers, night lights</t>
  </si>
  <si>
    <t>n/a</t>
  </si>
  <si>
    <t>trees required</t>
  </si>
  <si>
    <t>watt</t>
  </si>
  <si>
    <t>btu/hr</t>
  </si>
  <si>
    <t>kw-hr</t>
  </si>
  <si>
    <t>btu</t>
  </si>
  <si>
    <t>CONVERSIONS</t>
  </si>
  <si>
    <t>Electric Baseboard</t>
  </si>
  <si>
    <t>(no CO2 but…)</t>
  </si>
  <si>
    <t>MONTHLY ELECTRICITY USE</t>
  </si>
  <si>
    <t>MONTHLY TOTAL ELECTRICITY</t>
  </si>
  <si>
    <t>if efficiency =</t>
  </si>
  <si>
    <t>/year</t>
  </si>
  <si>
    <t>/YEAR</t>
  </si>
  <si>
    <t>/month</t>
  </si>
  <si>
    <t>ANNUAL HEATING FUEL BILL</t>
  </si>
  <si>
    <t>Berkeley</t>
  </si>
  <si>
    <t>ARCH 140: Energy and Environment</t>
  </si>
  <si>
    <t>Homework #4</t>
  </si>
  <si>
    <t>Part I: Building Energy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</si>
</sst>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  <numFmt numFmtId="171" formatCode="&quot;$&quot;#,##0.00"/>
  </numFmts>
  <fonts count="8">
    <font>
      <sz val="9"/>
      <name val="Geneva"/>
    </font>
    <font>
      <sz val="9"/>
      <name val="Geneva"/>
    </font>
    <font>
      <b/>
      <sz val="10"/>
      <name val="Geneva"/>
    </font>
    <font>
      <u/>
      <sz val="10"/>
      <name val="Geneva"/>
    </font>
    <font>
      <sz val="10"/>
      <name val="Geneva"/>
    </font>
    <font>
      <b/>
      <sz val="12"/>
      <name val="Times New Roman"/>
      <family val="1"/>
    </font>
    <font>
      <sz val="10"/>
      <color indexed="10"/>
      <name val="Geneva"/>
    </font>
    <font>
      <b/>
      <sz val="10"/>
      <color indexed="10"/>
      <name val="Genev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4" fillId="0" borderId="0" xfId="0" applyFont="1"/>
    <xf numFmtId="168" fontId="4" fillId="0" borderId="0" xfId="0" applyNumberFormat="1" applyFont="1"/>
    <xf numFmtId="2" fontId="4" fillId="0" borderId="0" xfId="0" applyNumberFormat="1" applyFont="1"/>
    <xf numFmtId="1" fontId="4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0" applyFont="1" applyBorder="1"/>
    <xf numFmtId="0" fontId="4" fillId="0" borderId="0" xfId="0" applyFont="1" applyAlignment="1">
      <alignment horizontal="left"/>
    </xf>
    <xf numFmtId="0" fontId="3" fillId="0" borderId="0" xfId="0" applyFont="1" applyBorder="1" applyAlignment="1">
      <alignment horizontal="right"/>
    </xf>
    <xf numFmtId="3" fontId="4" fillId="0" borderId="0" xfId="0" applyNumberFormat="1" applyFont="1"/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2" fillId="2" borderId="3" xfId="0" applyFont="1" applyFill="1" applyBorder="1"/>
    <xf numFmtId="0" fontId="4" fillId="2" borderId="4" xfId="0" applyFont="1" applyFill="1" applyBorder="1"/>
    <xf numFmtId="0" fontId="2" fillId="2" borderId="0" xfId="0" applyFont="1" applyFill="1"/>
    <xf numFmtId="0" fontId="4" fillId="2" borderId="0" xfId="0" applyFont="1" applyFill="1"/>
    <xf numFmtId="0" fontId="4" fillId="0" borderId="5" xfId="0" applyFont="1" applyBorder="1"/>
    <xf numFmtId="0" fontId="4" fillId="0" borderId="6" xfId="0" applyFont="1" applyBorder="1"/>
    <xf numFmtId="0" fontId="4" fillId="3" borderId="0" xfId="0" applyFont="1" applyFill="1"/>
    <xf numFmtId="0" fontId="4" fillId="0" borderId="1" xfId="0" applyFont="1" applyBorder="1"/>
    <xf numFmtId="0" fontId="4" fillId="0" borderId="2" xfId="0" applyFont="1" applyBorder="1"/>
    <xf numFmtId="0" fontId="4" fillId="0" borderId="0" xfId="0" applyNumberFormat="1" applyFont="1"/>
    <xf numFmtId="168" fontId="4" fillId="0" borderId="0" xfId="0" applyNumberFormat="1" applyFont="1" applyAlignment="1">
      <alignment horizontal="right"/>
    </xf>
    <xf numFmtId="3" fontId="4" fillId="0" borderId="0" xfId="1" applyNumberFormat="1" applyFont="1"/>
    <xf numFmtId="168" fontId="4" fillId="3" borderId="0" xfId="0" applyNumberFormat="1" applyFont="1" applyFill="1"/>
    <xf numFmtId="5" fontId="4" fillId="0" borderId="0" xfId="2" applyNumberFormat="1" applyFont="1"/>
    <xf numFmtId="0" fontId="4" fillId="0" borderId="0" xfId="0" applyFont="1" applyFill="1"/>
    <xf numFmtId="1" fontId="4" fillId="3" borderId="0" xfId="0" applyNumberFormat="1" applyFont="1" applyFill="1"/>
    <xf numFmtId="5" fontId="4" fillId="0" borderId="5" xfId="2" applyNumberFormat="1" applyFont="1" applyBorder="1"/>
    <xf numFmtId="0" fontId="4" fillId="4" borderId="3" xfId="0" applyFont="1" applyFill="1" applyBorder="1"/>
    <xf numFmtId="0" fontId="4" fillId="4" borderId="4" xfId="0" applyFont="1" applyFill="1" applyBorder="1" applyAlignment="1">
      <alignment horizontal="right"/>
    </xf>
    <xf numFmtId="2" fontId="4" fillId="3" borderId="0" xfId="0" applyNumberFormat="1" applyFont="1" applyFill="1"/>
    <xf numFmtId="0" fontId="4" fillId="4" borderId="2" xfId="0" applyFont="1" applyFill="1" applyBorder="1"/>
    <xf numFmtId="0" fontId="4" fillId="4" borderId="0" xfId="0" applyFont="1" applyFill="1"/>
    <xf numFmtId="0" fontId="4" fillId="4" borderId="0" xfId="0" applyFont="1" applyFill="1" applyAlignment="1">
      <alignment horizontal="right"/>
    </xf>
    <xf numFmtId="168" fontId="4" fillId="4" borderId="0" xfId="0" applyNumberFormat="1" applyFont="1" applyFill="1"/>
    <xf numFmtId="2" fontId="4" fillId="4" borderId="0" xfId="0" applyNumberFormat="1" applyFont="1" applyFill="1"/>
    <xf numFmtId="0" fontId="4" fillId="0" borderId="0" xfId="0" applyFont="1" applyFill="1" applyAlignment="1">
      <alignment horizontal="right"/>
    </xf>
    <xf numFmtId="7" fontId="4" fillId="0" borderId="0" xfId="2" applyNumberFormat="1" applyFont="1"/>
    <xf numFmtId="7" fontId="4" fillId="0" borderId="0" xfId="2" applyNumberFormat="1" applyFont="1" applyFill="1"/>
    <xf numFmtId="171" fontId="4" fillId="0" borderId="0" xfId="2" applyNumberFormat="1" applyFont="1" applyAlignment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1" fontId="4" fillId="4" borderId="1" xfId="0" applyNumberFormat="1" applyFont="1" applyFill="1" applyBorder="1"/>
    <xf numFmtId="1" fontId="4" fillId="4" borderId="0" xfId="0" applyNumberFormat="1" applyFont="1" applyFill="1"/>
    <xf numFmtId="1" fontId="4" fillId="5" borderId="0" xfId="0" applyNumberFormat="1" applyFont="1" applyFill="1"/>
    <xf numFmtId="0" fontId="4" fillId="5" borderId="0" xfId="0" applyFont="1" applyFill="1"/>
    <xf numFmtId="0" fontId="5" fillId="0" borderId="0" xfId="0" applyFont="1"/>
    <xf numFmtId="0" fontId="6" fillId="0" borderId="0" xfId="0" applyFont="1" applyFill="1"/>
    <xf numFmtId="0" fontId="6" fillId="0" borderId="0" xfId="0" applyFont="1"/>
    <xf numFmtId="171" fontId="7" fillId="2" borderId="0" xfId="2" applyNumberFormat="1" applyFont="1" applyFill="1" applyAlignment="1"/>
    <xf numFmtId="0" fontId="7" fillId="2" borderId="0" xfId="0" applyFont="1" applyFill="1"/>
    <xf numFmtId="1" fontId="7" fillId="2" borderId="0" xfId="0" applyNumberFormat="1" applyFont="1" applyFill="1"/>
    <xf numFmtId="1" fontId="6" fillId="2" borderId="0" xfId="0" applyNumberFormat="1" applyFont="1" applyFill="1"/>
    <xf numFmtId="0" fontId="6" fillId="2" borderId="0" xfId="0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zoomScaleNormal="100" workbookViewId="0"/>
  </sheetViews>
  <sheetFormatPr defaultColWidth="11.375" defaultRowHeight="13.2"/>
  <cols>
    <col min="1" max="1" width="16.75" style="2" customWidth="1"/>
    <col min="2" max="2" width="25.75" style="2" customWidth="1"/>
    <col min="3" max="3" width="11.75" style="2" customWidth="1"/>
    <col min="4" max="4" width="16.75" style="2" customWidth="1"/>
    <col min="5" max="5" width="13.75" style="2" customWidth="1"/>
    <col min="6" max="6" width="12.75" style="2" customWidth="1"/>
    <col min="7" max="7" width="9.75" style="2" customWidth="1"/>
    <col min="8" max="16384" width="11.375" style="2"/>
  </cols>
  <sheetData>
    <row r="1" spans="1:6" ht="15.6">
      <c r="A1" s="48" t="s">
        <v>134</v>
      </c>
    </row>
    <row r="2" spans="1:6" ht="15.6">
      <c r="A2" s="48" t="s">
        <v>135</v>
      </c>
    </row>
    <row r="3" spans="1:6" ht="15.6">
      <c r="A3" s="48" t="s">
        <v>136</v>
      </c>
    </row>
    <row r="4" spans="1:6" ht="13.8" thickBot="1"/>
    <row r="5" spans="1:6">
      <c r="A5" s="15" t="s">
        <v>68</v>
      </c>
      <c r="B5" s="16"/>
      <c r="E5" s="13" t="s">
        <v>123</v>
      </c>
      <c r="F5" s="14"/>
    </row>
    <row r="6" spans="1:6">
      <c r="B6" s="2" t="s">
        <v>72</v>
      </c>
      <c r="C6" s="2">
        <v>30</v>
      </c>
      <c r="D6" s="2" t="s">
        <v>8</v>
      </c>
      <c r="E6" s="11" t="s">
        <v>119</v>
      </c>
      <c r="F6" s="12" t="s">
        <v>120</v>
      </c>
    </row>
    <row r="7" spans="1:6">
      <c r="B7" s="2" t="s">
        <v>73</v>
      </c>
      <c r="C7" s="2">
        <v>50</v>
      </c>
      <c r="D7" s="2" t="s">
        <v>8</v>
      </c>
      <c r="E7" s="11">
        <v>1</v>
      </c>
      <c r="F7" s="12">
        <v>3.4140000000000001</v>
      </c>
    </row>
    <row r="8" spans="1:6">
      <c r="B8" s="2" t="s">
        <v>74</v>
      </c>
      <c r="C8" s="2">
        <v>10</v>
      </c>
      <c r="D8" s="2" t="s">
        <v>8</v>
      </c>
      <c r="E8" s="20"/>
      <c r="F8" s="21"/>
    </row>
    <row r="9" spans="1:6">
      <c r="B9" s="2" t="s">
        <v>75</v>
      </c>
      <c r="C9" s="2">
        <f>C6*C7*C8</f>
        <v>15000</v>
      </c>
      <c r="D9" s="2" t="s">
        <v>9</v>
      </c>
      <c r="E9" s="11" t="s">
        <v>121</v>
      </c>
      <c r="F9" s="12" t="s">
        <v>122</v>
      </c>
    </row>
    <row r="10" spans="1:6">
      <c r="B10" s="1" t="s">
        <v>104</v>
      </c>
      <c r="C10" s="1">
        <v>0.7</v>
      </c>
      <c r="D10" s="1" t="s">
        <v>10</v>
      </c>
      <c r="E10" s="11">
        <v>1</v>
      </c>
      <c r="F10" s="12">
        <v>3414</v>
      </c>
    </row>
    <row r="11" spans="1:6" ht="13.8" thickBot="1">
      <c r="B11" s="1" t="s">
        <v>76</v>
      </c>
      <c r="C11" s="1">
        <v>0.12</v>
      </c>
      <c r="D11" s="1" t="s">
        <v>27</v>
      </c>
      <c r="E11" s="17"/>
      <c r="F11" s="18"/>
    </row>
    <row r="12" spans="1:6">
      <c r="A12" s="1"/>
      <c r="B12" s="1"/>
      <c r="C12" s="1"/>
    </row>
    <row r="13" spans="1:6">
      <c r="A13" s="15" t="s">
        <v>0</v>
      </c>
      <c r="B13" s="15"/>
      <c r="C13" s="15"/>
      <c r="D13" s="16"/>
      <c r="E13" s="16"/>
      <c r="F13" s="16"/>
    </row>
    <row r="14" spans="1:6">
      <c r="A14" s="1"/>
      <c r="B14" s="2" t="s">
        <v>77</v>
      </c>
      <c r="C14" s="2">
        <v>0.6</v>
      </c>
    </row>
    <row r="15" spans="1:6">
      <c r="B15" s="2" t="s">
        <v>101</v>
      </c>
      <c r="C15" s="2">
        <v>1</v>
      </c>
      <c r="D15" s="2" t="s">
        <v>102</v>
      </c>
    </row>
    <row r="16" spans="1:6">
      <c r="B16" s="2" t="s">
        <v>78</v>
      </c>
      <c r="C16" s="2">
        <v>70</v>
      </c>
      <c r="D16" s="2" t="s">
        <v>11</v>
      </c>
    </row>
    <row r="17" spans="2:6">
      <c r="B17" s="2" t="s">
        <v>79</v>
      </c>
      <c r="C17" s="2">
        <v>3000</v>
      </c>
      <c r="D17" s="2" t="s">
        <v>12</v>
      </c>
    </row>
    <row r="19" spans="2:6">
      <c r="B19" s="7" t="s">
        <v>1</v>
      </c>
      <c r="C19" s="7" t="s">
        <v>82</v>
      </c>
      <c r="D19" s="7" t="s">
        <v>7</v>
      </c>
      <c r="E19" s="7" t="s">
        <v>80</v>
      </c>
      <c r="F19" s="9" t="s">
        <v>81</v>
      </c>
    </row>
    <row r="20" spans="2:6">
      <c r="B20" s="2" t="s">
        <v>2</v>
      </c>
      <c r="C20" s="2">
        <f>C6*C7</f>
        <v>1500</v>
      </c>
      <c r="D20" s="2">
        <v>10</v>
      </c>
      <c r="E20" s="2">
        <f>C20/D20</f>
        <v>150</v>
      </c>
      <c r="F20" s="3">
        <f>100*(E20/$E$27)</f>
        <v>7.1464393179538623</v>
      </c>
    </row>
    <row r="21" spans="2:6">
      <c r="B21" s="2" t="s">
        <v>3</v>
      </c>
      <c r="C21" s="2">
        <f>C6*C8</f>
        <v>300</v>
      </c>
      <c r="D21" s="2">
        <v>1</v>
      </c>
      <c r="E21" s="2">
        <f>C21/D21</f>
        <v>300</v>
      </c>
      <c r="F21" s="3">
        <f>100*(E21/$E$27)</f>
        <v>14.292878635907725</v>
      </c>
    </row>
    <row r="22" spans="2:6">
      <c r="B22" s="2" t="s">
        <v>4</v>
      </c>
      <c r="C22" s="2">
        <f>(C7+C7+C6)*C8</f>
        <v>1300</v>
      </c>
      <c r="D22" s="2">
        <v>1</v>
      </c>
      <c r="E22" s="2">
        <f>C22/D22</f>
        <v>1300</v>
      </c>
      <c r="F22" s="3">
        <f>100*(E22/$E$27)</f>
        <v>61.935807422266805</v>
      </c>
    </row>
    <row r="23" spans="2:6">
      <c r="B23" s="2" t="s">
        <v>5</v>
      </c>
      <c r="C23" s="2">
        <v>0</v>
      </c>
      <c r="D23" s="2">
        <v>11</v>
      </c>
      <c r="E23" s="2">
        <f>C23/D23</f>
        <v>0</v>
      </c>
      <c r="F23" s="3">
        <f>100*(E23/$E$27)</f>
        <v>0</v>
      </c>
    </row>
    <row r="24" spans="2:6">
      <c r="B24" s="2" t="s">
        <v>6</v>
      </c>
      <c r="C24" s="2">
        <f>C6*C7</f>
        <v>1500</v>
      </c>
      <c r="D24" s="2">
        <v>19</v>
      </c>
      <c r="E24" s="3">
        <f>C24/D24</f>
        <v>78.94736842105263</v>
      </c>
      <c r="F24" s="3">
        <f>100*(E24/$E$27)</f>
        <v>3.7612838515546643</v>
      </c>
    </row>
    <row r="26" spans="2:6">
      <c r="B26" s="2" t="s">
        <v>109</v>
      </c>
      <c r="E26" s="2">
        <f>0.018*C9*C15</f>
        <v>270</v>
      </c>
      <c r="F26" s="3">
        <f>100*(E26/$E$27)</f>
        <v>12.863590772316952</v>
      </c>
    </row>
    <row r="27" spans="2:6">
      <c r="D27" s="2" t="s">
        <v>13</v>
      </c>
      <c r="E27" s="3">
        <f>SUM(E20:E26)</f>
        <v>2098.9473684210525</v>
      </c>
    </row>
    <row r="28" spans="2:6">
      <c r="D28" s="2" t="s">
        <v>100</v>
      </c>
      <c r="E28" s="3">
        <f>E27-E21</f>
        <v>1798.9473684210525</v>
      </c>
    </row>
    <row r="30" spans="2:6">
      <c r="B30" s="2" t="s">
        <v>103</v>
      </c>
      <c r="C30" s="6"/>
      <c r="D30" s="3">
        <f>C16-(C17/E28)</f>
        <v>68.33235810415448</v>
      </c>
    </row>
    <row r="31" spans="2:6">
      <c r="C31" s="6"/>
      <c r="D31" s="22"/>
    </row>
    <row r="32" spans="2:6">
      <c r="B32" s="2" t="s">
        <v>113</v>
      </c>
      <c r="C32" s="8" t="s">
        <v>111</v>
      </c>
      <c r="D32" s="22" t="s">
        <v>112</v>
      </c>
    </row>
    <row r="33" spans="1:7" ht="13.8" thickBot="1">
      <c r="B33" s="2" t="s">
        <v>110</v>
      </c>
      <c r="C33" s="6">
        <v>65</v>
      </c>
      <c r="D33" s="22">
        <v>5537</v>
      </c>
    </row>
    <row r="34" spans="1:7">
      <c r="C34" s="6">
        <v>55</v>
      </c>
      <c r="D34" s="22">
        <v>3134</v>
      </c>
      <c r="F34" s="30"/>
      <c r="G34" s="31" t="s">
        <v>124</v>
      </c>
    </row>
    <row r="35" spans="1:7">
      <c r="B35" s="2" t="s">
        <v>64</v>
      </c>
      <c r="C35" s="23">
        <f>D30</f>
        <v>68.33235810415448</v>
      </c>
      <c r="D35" s="5">
        <f>D34+((C35-C34)*(D33-D34)/10)</f>
        <v>6337.7656524283211</v>
      </c>
      <c r="F35" s="11" t="s">
        <v>128</v>
      </c>
      <c r="G35" s="21">
        <v>1</v>
      </c>
    </row>
    <row r="36" spans="1:7">
      <c r="C36" s="6"/>
      <c r="D36" s="22"/>
      <c r="F36" s="20"/>
      <c r="G36" s="21"/>
    </row>
    <row r="37" spans="1:7">
      <c r="B37" s="2" t="s">
        <v>83</v>
      </c>
      <c r="C37" s="6"/>
      <c r="D37" s="24">
        <f>24*E28*D35</f>
        <v>273631364.21052629</v>
      </c>
      <c r="E37" s="2" t="s">
        <v>65</v>
      </c>
      <c r="F37" s="20"/>
      <c r="G37" s="21"/>
    </row>
    <row r="38" spans="1:7">
      <c r="B38" s="27" t="s">
        <v>84</v>
      </c>
      <c r="C38" s="38"/>
      <c r="D38" s="10">
        <f>D37/(C14)</f>
        <v>456052273.68421048</v>
      </c>
      <c r="E38" s="2" t="s">
        <v>65</v>
      </c>
      <c r="F38" s="20"/>
      <c r="G38" s="21"/>
    </row>
    <row r="39" spans="1:7">
      <c r="D39" s="25">
        <f>IF(C14&lt;1,D38/100000,0)</f>
        <v>4560.5227368421047</v>
      </c>
      <c r="E39" s="19" t="s">
        <v>67</v>
      </c>
      <c r="F39" s="44">
        <f>IF(C14=G35,D38/F10,0)</f>
        <v>0</v>
      </c>
      <c r="G39" s="33" t="s">
        <v>41</v>
      </c>
    </row>
    <row r="40" spans="1:7" ht="13.8" thickBot="1">
      <c r="B40" s="2" t="s">
        <v>132</v>
      </c>
      <c r="C40" s="6"/>
      <c r="D40" s="26">
        <f>D39*C10</f>
        <v>3192.3659157894731</v>
      </c>
      <c r="E40" s="2" t="s">
        <v>66</v>
      </c>
      <c r="F40" s="29">
        <f>F39*C11</f>
        <v>0</v>
      </c>
      <c r="G40" s="18" t="s">
        <v>66</v>
      </c>
    </row>
    <row r="42" spans="1:7">
      <c r="A42" s="15" t="s">
        <v>15</v>
      </c>
      <c r="B42" s="16"/>
      <c r="C42" s="27"/>
      <c r="D42" s="27"/>
    </row>
    <row r="43" spans="1:7">
      <c r="B43" s="2" t="s">
        <v>85</v>
      </c>
      <c r="C43" s="2">
        <v>6</v>
      </c>
      <c r="D43" s="2" t="s">
        <v>16</v>
      </c>
    </row>
    <row r="44" spans="1:7">
      <c r="B44" s="2" t="s">
        <v>86</v>
      </c>
      <c r="C44" s="2">
        <v>7.0000000000000007E-2</v>
      </c>
      <c r="D44" s="2" t="s">
        <v>17</v>
      </c>
    </row>
    <row r="45" spans="1:7">
      <c r="B45" s="2" t="s">
        <v>87</v>
      </c>
      <c r="C45" s="2">
        <v>60</v>
      </c>
      <c r="D45" s="2" t="s">
        <v>18</v>
      </c>
    </row>
    <row r="46" spans="1:7">
      <c r="B46" s="19" t="s">
        <v>88</v>
      </c>
      <c r="C46" s="19">
        <f xml:space="preserve"> C43+(C44*C45)</f>
        <v>10.199999999999999</v>
      </c>
      <c r="D46" s="19" t="s">
        <v>19</v>
      </c>
    </row>
    <row r="47" spans="1:7">
      <c r="B47" s="2" t="s">
        <v>89</v>
      </c>
      <c r="C47" s="2">
        <f xml:space="preserve"> C46*C10</f>
        <v>7.1399999999999988</v>
      </c>
      <c r="D47" s="2" t="s">
        <v>20</v>
      </c>
    </row>
    <row r="49" spans="1:6">
      <c r="A49" s="15" t="s">
        <v>21</v>
      </c>
      <c r="B49" s="16"/>
      <c r="C49" s="27"/>
      <c r="D49" s="27"/>
    </row>
    <row r="50" spans="1:6">
      <c r="B50" s="2" t="s">
        <v>90</v>
      </c>
      <c r="C50" s="2">
        <v>80</v>
      </c>
      <c r="D50" s="2" t="s">
        <v>22</v>
      </c>
    </row>
    <row r="51" spans="1:6">
      <c r="B51" s="2" t="s">
        <v>114</v>
      </c>
      <c r="C51" s="2">
        <v>0.6</v>
      </c>
    </row>
    <row r="52" spans="1:6">
      <c r="B52" s="2" t="s">
        <v>105</v>
      </c>
      <c r="C52" s="4">
        <f>(C50*30*8.34*70)/(C51*100000)</f>
        <v>23.352</v>
      </c>
      <c r="D52" s="2" t="s">
        <v>16</v>
      </c>
    </row>
    <row r="53" spans="1:6">
      <c r="B53" s="2" t="s">
        <v>91</v>
      </c>
      <c r="C53" s="2">
        <v>6</v>
      </c>
      <c r="D53" s="2" t="s">
        <v>16</v>
      </c>
      <c r="E53" s="2" t="s">
        <v>23</v>
      </c>
    </row>
    <row r="54" spans="1:6">
      <c r="B54" s="19" t="s">
        <v>92</v>
      </c>
      <c r="C54" s="32">
        <f>C52+C53</f>
        <v>29.352</v>
      </c>
      <c r="D54" s="19" t="s">
        <v>16</v>
      </c>
    </row>
    <row r="55" spans="1:6">
      <c r="B55" s="2" t="s">
        <v>89</v>
      </c>
      <c r="C55" s="4">
        <f xml:space="preserve"> (C54)*C10</f>
        <v>20.546399999999998</v>
      </c>
      <c r="D55" s="2" t="s">
        <v>20</v>
      </c>
    </row>
    <row r="57" spans="1:6">
      <c r="A57" s="15" t="s">
        <v>24</v>
      </c>
      <c r="B57" s="16"/>
      <c r="C57" s="27">
        <v>0.15</v>
      </c>
      <c r="D57" s="27" t="s">
        <v>25</v>
      </c>
    </row>
    <row r="58" spans="1:6">
      <c r="B58" s="2" t="s">
        <v>93</v>
      </c>
      <c r="C58" s="2">
        <v>20</v>
      </c>
      <c r="D58" s="2" t="s">
        <v>26</v>
      </c>
    </row>
    <row r="59" spans="1:6">
      <c r="B59" s="19" t="s">
        <v>94</v>
      </c>
      <c r="C59" s="25">
        <f>C57*C58</f>
        <v>3</v>
      </c>
      <c r="D59" s="19" t="s">
        <v>16</v>
      </c>
    </row>
    <row r="60" spans="1:6">
      <c r="B60" s="2" t="s">
        <v>89</v>
      </c>
      <c r="C60" s="4">
        <f>C59*C10</f>
        <v>2.0999999999999996</v>
      </c>
      <c r="D60" s="2" t="s">
        <v>20</v>
      </c>
    </row>
    <row r="64" spans="1:6">
      <c r="A64" s="15" t="s">
        <v>126</v>
      </c>
      <c r="B64" s="16"/>
      <c r="C64" s="42" t="s">
        <v>97</v>
      </c>
      <c r="D64" s="42" t="s">
        <v>98</v>
      </c>
      <c r="E64" s="42" t="s">
        <v>95</v>
      </c>
      <c r="F64" s="43" t="s">
        <v>96</v>
      </c>
    </row>
    <row r="65" spans="2:7">
      <c r="B65" s="2" t="s">
        <v>56</v>
      </c>
      <c r="C65" s="2" t="s">
        <v>117</v>
      </c>
      <c r="D65" s="2" t="s">
        <v>117</v>
      </c>
      <c r="E65" s="3">
        <v>150</v>
      </c>
      <c r="F65" s="39">
        <f>E65*C11</f>
        <v>18</v>
      </c>
    </row>
    <row r="66" spans="2:7">
      <c r="B66" s="2" t="s">
        <v>57</v>
      </c>
      <c r="C66" s="2">
        <v>230</v>
      </c>
      <c r="D66" s="2">
        <v>5</v>
      </c>
      <c r="E66" s="3">
        <f t="shared" ref="E66:E79" si="0">C66*D66*30/1000</f>
        <v>34.5</v>
      </c>
      <c r="F66" s="39">
        <f>E66*C11</f>
        <v>4.1399999999999997</v>
      </c>
    </row>
    <row r="67" spans="2:7">
      <c r="B67" s="2" t="s">
        <v>108</v>
      </c>
      <c r="C67" s="2">
        <v>60</v>
      </c>
      <c r="D67" s="2">
        <v>6</v>
      </c>
      <c r="E67" s="3">
        <f t="shared" si="0"/>
        <v>10.8</v>
      </c>
      <c r="F67" s="39">
        <f>E67*C11</f>
        <v>1.296</v>
      </c>
    </row>
    <row r="68" spans="2:7">
      <c r="B68" s="2" t="s">
        <v>58</v>
      </c>
      <c r="C68" s="2">
        <v>120</v>
      </c>
      <c r="D68" s="2">
        <v>5</v>
      </c>
      <c r="E68" s="3">
        <f t="shared" si="0"/>
        <v>18</v>
      </c>
      <c r="F68" s="39">
        <f>E68*C11</f>
        <v>2.16</v>
      </c>
    </row>
    <row r="69" spans="2:7">
      <c r="B69" s="2" t="s">
        <v>59</v>
      </c>
      <c r="C69" s="2">
        <v>1000</v>
      </c>
      <c r="D69" s="2">
        <v>5</v>
      </c>
      <c r="E69" s="3">
        <f t="shared" si="0"/>
        <v>150</v>
      </c>
      <c r="F69" s="39">
        <f>E69*C11</f>
        <v>18</v>
      </c>
    </row>
    <row r="70" spans="2:7">
      <c r="B70" s="2" t="s">
        <v>60</v>
      </c>
      <c r="C70" s="2">
        <v>200</v>
      </c>
      <c r="D70" s="2">
        <v>12</v>
      </c>
      <c r="E70" s="3">
        <f t="shared" si="0"/>
        <v>72</v>
      </c>
      <c r="F70" s="39">
        <f>E70*C11</f>
        <v>8.64</v>
      </c>
    </row>
    <row r="71" spans="2:7">
      <c r="B71" s="2" t="s">
        <v>61</v>
      </c>
      <c r="C71" s="2">
        <v>500</v>
      </c>
      <c r="D71" s="2">
        <v>0.3</v>
      </c>
      <c r="E71" s="3">
        <f t="shared" si="0"/>
        <v>4.5</v>
      </c>
      <c r="F71" s="39">
        <f>E71*C11</f>
        <v>0.54</v>
      </c>
    </row>
    <row r="72" spans="2:7">
      <c r="B72" s="2" t="s">
        <v>62</v>
      </c>
      <c r="C72" s="2">
        <v>1400</v>
      </c>
      <c r="D72" s="2">
        <v>2</v>
      </c>
      <c r="E72" s="3">
        <f t="shared" si="0"/>
        <v>84</v>
      </c>
      <c r="F72" s="39">
        <f>E72*C11</f>
        <v>10.08</v>
      </c>
    </row>
    <row r="73" spans="2:7">
      <c r="B73" s="2" t="s">
        <v>63</v>
      </c>
      <c r="C73" s="2">
        <v>280</v>
      </c>
      <c r="D73" s="2">
        <v>4</v>
      </c>
      <c r="E73" s="3">
        <f t="shared" si="0"/>
        <v>33.6</v>
      </c>
      <c r="F73" s="39">
        <f>E73*C11</f>
        <v>4.032</v>
      </c>
    </row>
    <row r="74" spans="2:7">
      <c r="B74" s="2" t="s">
        <v>116</v>
      </c>
      <c r="C74" s="2">
        <v>50</v>
      </c>
      <c r="D74" s="2">
        <v>24</v>
      </c>
      <c r="E74" s="3">
        <f t="shared" si="0"/>
        <v>36</v>
      </c>
      <c r="F74" s="39">
        <f>E74*C11</f>
        <v>4.32</v>
      </c>
    </row>
    <row r="75" spans="2:7">
      <c r="B75" s="2" t="s">
        <v>28</v>
      </c>
      <c r="C75" s="2">
        <v>1300</v>
      </c>
      <c r="D75" s="2">
        <v>1</v>
      </c>
      <c r="E75" s="3">
        <f t="shared" si="0"/>
        <v>39</v>
      </c>
      <c r="F75" s="39">
        <f>E75*C11</f>
        <v>4.68</v>
      </c>
    </row>
    <row r="76" spans="2:7">
      <c r="B76" s="2" t="s">
        <v>29</v>
      </c>
      <c r="C76" s="2">
        <v>1500</v>
      </c>
      <c r="D76" s="2">
        <v>0.5</v>
      </c>
      <c r="E76" s="3">
        <f t="shared" si="0"/>
        <v>22.5</v>
      </c>
      <c r="F76" s="39">
        <f>E76*C11</f>
        <v>2.6999999999999997</v>
      </c>
    </row>
    <row r="77" spans="2:7">
      <c r="B77" s="2" t="s">
        <v>30</v>
      </c>
      <c r="C77" s="2">
        <v>1200</v>
      </c>
      <c r="D77" s="2">
        <v>0.2</v>
      </c>
      <c r="E77" s="3">
        <f t="shared" si="0"/>
        <v>7.2</v>
      </c>
      <c r="F77" s="39">
        <f>E77*C11</f>
        <v>0.86399999999999999</v>
      </c>
    </row>
    <row r="78" spans="2:7">
      <c r="B78" s="2" t="s">
        <v>31</v>
      </c>
      <c r="C78" s="2">
        <v>750</v>
      </c>
      <c r="D78" s="2">
        <v>0.2</v>
      </c>
      <c r="E78" s="3">
        <f t="shared" si="0"/>
        <v>4.5</v>
      </c>
      <c r="F78" s="39">
        <f>E78*C11</f>
        <v>0.54</v>
      </c>
    </row>
    <row r="79" spans="2:7">
      <c r="B79" s="2" t="s">
        <v>32</v>
      </c>
      <c r="C79" s="2">
        <v>1400</v>
      </c>
      <c r="D79" s="2">
        <v>0.5</v>
      </c>
      <c r="E79" s="3">
        <f t="shared" si="0"/>
        <v>21</v>
      </c>
      <c r="F79" s="39">
        <f>E79*C11</f>
        <v>2.52</v>
      </c>
    </row>
    <row r="80" spans="2:7">
      <c r="C80" s="34"/>
      <c r="D80" s="35" t="s">
        <v>127</v>
      </c>
      <c r="E80" s="36">
        <f>SUM(E65:E79)</f>
        <v>687.6</v>
      </c>
      <c r="F80" s="40">
        <f>SUM(F65:F79)</f>
        <v>82.512000000000015</v>
      </c>
      <c r="G80" s="2" t="s">
        <v>131</v>
      </c>
    </row>
    <row r="82" spans="1:7">
      <c r="A82" s="15" t="s">
        <v>33</v>
      </c>
      <c r="B82" s="16"/>
      <c r="C82" s="27">
        <v>10000</v>
      </c>
      <c r="D82" s="27" t="s">
        <v>55</v>
      </c>
      <c r="E82" s="27">
        <v>19</v>
      </c>
      <c r="F82" s="27" t="s">
        <v>34</v>
      </c>
      <c r="G82" s="27"/>
    </row>
    <row r="83" spans="1:7">
      <c r="B83" s="2" t="s">
        <v>35</v>
      </c>
      <c r="C83" s="2">
        <v>1.6</v>
      </c>
      <c r="D83" s="2" t="s">
        <v>36</v>
      </c>
    </row>
    <row r="85" spans="1:7">
      <c r="A85" s="2" t="s">
        <v>37</v>
      </c>
      <c r="C85" s="46">
        <f>C82/E82</f>
        <v>526.31578947368416</v>
      </c>
      <c r="D85" s="47" t="s">
        <v>38</v>
      </c>
      <c r="E85" s="41">
        <f>C83*C85</f>
        <v>842.10526315789468</v>
      </c>
      <c r="F85" s="2" t="s">
        <v>129</v>
      </c>
    </row>
    <row r="86" spans="1:7">
      <c r="A86" s="2" t="s">
        <v>39</v>
      </c>
      <c r="C86" s="28">
        <f>D39+(C46+C54+C59)*12</f>
        <v>5071.1467368421045</v>
      </c>
      <c r="D86" s="19" t="s">
        <v>14</v>
      </c>
      <c r="E86" s="41">
        <f>C86*C10</f>
        <v>3549.802715789473</v>
      </c>
      <c r="F86" s="2" t="s">
        <v>129</v>
      </c>
    </row>
    <row r="87" spans="1:7">
      <c r="A87" s="2" t="s">
        <v>40</v>
      </c>
      <c r="C87" s="45">
        <f>(E80*12)+F39</f>
        <v>8251.2000000000007</v>
      </c>
      <c r="D87" s="34" t="s">
        <v>41</v>
      </c>
      <c r="E87" s="41">
        <f>C87*C11</f>
        <v>990.14400000000001</v>
      </c>
      <c r="F87" s="2" t="s">
        <v>129</v>
      </c>
    </row>
    <row r="88" spans="1:7">
      <c r="A88" s="15" t="s">
        <v>69</v>
      </c>
      <c r="B88" s="16"/>
      <c r="C88" s="15"/>
      <c r="D88" s="15"/>
      <c r="E88" s="51">
        <f>SUM(E85:E87)</f>
        <v>5382.0519789473683</v>
      </c>
      <c r="F88" s="52" t="s">
        <v>130</v>
      </c>
    </row>
    <row r="90" spans="1:7">
      <c r="A90" s="2" t="s">
        <v>107</v>
      </c>
      <c r="B90" s="1"/>
      <c r="C90" s="1"/>
      <c r="E90" s="8" t="s">
        <v>99</v>
      </c>
    </row>
    <row r="91" spans="1:7">
      <c r="B91" s="2" t="s">
        <v>47</v>
      </c>
      <c r="C91" s="2">
        <v>2.37</v>
      </c>
      <c r="D91" s="2" t="s">
        <v>53</v>
      </c>
      <c r="E91" s="2">
        <v>56</v>
      </c>
    </row>
    <row r="92" spans="1:7">
      <c r="B92" s="2" t="s">
        <v>48</v>
      </c>
      <c r="C92" s="2">
        <v>2.14</v>
      </c>
      <c r="D92" s="2" t="s">
        <v>53</v>
      </c>
      <c r="E92" s="2">
        <v>2.5</v>
      </c>
    </row>
    <row r="93" spans="1:7">
      <c r="B93" s="2" t="s">
        <v>49</v>
      </c>
      <c r="C93" s="2">
        <v>1.32</v>
      </c>
      <c r="D93" s="2" t="s">
        <v>53</v>
      </c>
      <c r="E93" s="2">
        <v>9.5</v>
      </c>
    </row>
    <row r="94" spans="1:7">
      <c r="B94" s="2" t="s">
        <v>50</v>
      </c>
      <c r="C94" s="2">
        <v>0</v>
      </c>
      <c r="D94" s="2" t="s">
        <v>53</v>
      </c>
      <c r="E94" s="2">
        <v>23</v>
      </c>
      <c r="F94" s="2" t="s">
        <v>125</v>
      </c>
    </row>
    <row r="95" spans="1:7">
      <c r="B95" s="2" t="s">
        <v>51</v>
      </c>
      <c r="C95" s="2">
        <v>0</v>
      </c>
      <c r="D95" s="2" t="s">
        <v>53</v>
      </c>
      <c r="E95" s="2">
        <v>9</v>
      </c>
    </row>
    <row r="98" spans="1:6">
      <c r="A98" s="2" t="s">
        <v>115</v>
      </c>
    </row>
    <row r="99" spans="1:6">
      <c r="B99" s="2" t="s">
        <v>42</v>
      </c>
      <c r="C99" s="47">
        <v>23.8</v>
      </c>
      <c r="D99" s="47" t="s">
        <v>43</v>
      </c>
      <c r="E99" s="5">
        <f>C85*C99</f>
        <v>12526.315789473683</v>
      </c>
      <c r="F99" s="2" t="s">
        <v>52</v>
      </c>
    </row>
    <row r="100" spans="1:6">
      <c r="B100" s="2" t="s">
        <v>44</v>
      </c>
      <c r="C100" s="19">
        <v>11.7</v>
      </c>
      <c r="D100" s="19" t="s">
        <v>45</v>
      </c>
      <c r="E100" s="5">
        <f>C86*C100</f>
        <v>59332.416821052619</v>
      </c>
      <c r="F100" s="2" t="s">
        <v>52</v>
      </c>
    </row>
    <row r="101" spans="1:6">
      <c r="B101" s="2" t="s">
        <v>106</v>
      </c>
      <c r="C101" s="37">
        <f>C91*E91/100+C92*E92/100+C93*E93/100+C94*E94/100+C95*E95/100</f>
        <v>1.5061</v>
      </c>
      <c r="D101" s="34" t="s">
        <v>54</v>
      </c>
      <c r="E101" s="5">
        <f>C87*C101</f>
        <v>12427.132320000001</v>
      </c>
      <c r="F101" s="2" t="s">
        <v>52</v>
      </c>
    </row>
    <row r="102" spans="1:6">
      <c r="A102" s="15" t="s">
        <v>70</v>
      </c>
      <c r="B102" s="16"/>
      <c r="C102" s="16"/>
      <c r="D102" s="16"/>
      <c r="E102" s="53">
        <f>SUM(E99:E101)</f>
        <v>84285.86493052631</v>
      </c>
      <c r="F102" s="52" t="s">
        <v>46</v>
      </c>
    </row>
    <row r="104" spans="1:6">
      <c r="B104" s="2" t="s">
        <v>71</v>
      </c>
      <c r="C104" s="2">
        <v>13</v>
      </c>
      <c r="D104" s="2" t="s">
        <v>52</v>
      </c>
      <c r="E104" s="54">
        <f>E102/C104</f>
        <v>6483.5280715789468</v>
      </c>
      <c r="F104" s="55" t="s">
        <v>118</v>
      </c>
    </row>
  </sheetData>
  <phoneticPr fontId="0" type="noConversion"/>
  <printOptions headings="1" gridLines="1"/>
  <pageMargins left="0.5" right="0.5" top="1" bottom="1" header="0.5" footer="0.5"/>
  <pageSetup scale="95" orientation="portrait" r:id="rId1"/>
  <headerFooter alignWithMargins="0"/>
  <rowBreaks count="1" manualBreakCount="1">
    <brk id="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defaultColWidth="11.375" defaultRowHeight="13.2"/>
  <cols>
    <col min="1" max="1" width="16.75" style="2" customWidth="1"/>
    <col min="2" max="2" width="25.75" style="2" customWidth="1"/>
    <col min="3" max="3" width="11.75" style="2" customWidth="1"/>
    <col min="4" max="4" width="16.75" style="2" customWidth="1"/>
    <col min="5" max="5" width="13.75" style="2" customWidth="1"/>
    <col min="6" max="6" width="12.75" style="2" customWidth="1"/>
    <col min="7" max="7" width="9.75" style="2" customWidth="1"/>
    <col min="8" max="16384" width="11.375" style="2"/>
  </cols>
  <sheetData>
    <row r="1" spans="1:6" ht="15.6">
      <c r="A1" s="48" t="s">
        <v>134</v>
      </c>
    </row>
    <row r="2" spans="1:6" ht="15.6">
      <c r="A2" s="48" t="s">
        <v>135</v>
      </c>
    </row>
    <row r="3" spans="1:6" ht="13.8" thickBot="1"/>
    <row r="4" spans="1:6">
      <c r="A4" s="15" t="s">
        <v>68</v>
      </c>
      <c r="B4" s="16"/>
      <c r="E4" s="13" t="s">
        <v>123</v>
      </c>
      <c r="F4" s="14"/>
    </row>
    <row r="5" spans="1:6">
      <c r="B5" s="2" t="s">
        <v>72</v>
      </c>
      <c r="C5" s="2">
        <v>30</v>
      </c>
      <c r="D5" s="2" t="s">
        <v>8</v>
      </c>
      <c r="E5" s="11" t="s">
        <v>119</v>
      </c>
      <c r="F5" s="12" t="s">
        <v>120</v>
      </c>
    </row>
    <row r="6" spans="1:6">
      <c r="B6" s="2" t="s">
        <v>73</v>
      </c>
      <c r="C6" s="2">
        <v>50</v>
      </c>
      <c r="D6" s="2" t="s">
        <v>8</v>
      </c>
      <c r="E6" s="11">
        <v>1</v>
      </c>
      <c r="F6" s="12">
        <v>3.4140000000000001</v>
      </c>
    </row>
    <row r="7" spans="1:6">
      <c r="B7" s="2" t="s">
        <v>74</v>
      </c>
      <c r="C7" s="2">
        <v>10</v>
      </c>
      <c r="D7" s="2" t="s">
        <v>8</v>
      </c>
      <c r="E7" s="20"/>
      <c r="F7" s="21"/>
    </row>
    <row r="8" spans="1:6">
      <c r="B8" s="2" t="s">
        <v>75</v>
      </c>
      <c r="C8" s="2">
        <f>C5*C6*C7</f>
        <v>15000</v>
      </c>
      <c r="D8" s="2" t="s">
        <v>9</v>
      </c>
      <c r="E8" s="11" t="s">
        <v>121</v>
      </c>
      <c r="F8" s="12" t="s">
        <v>122</v>
      </c>
    </row>
    <row r="9" spans="1:6">
      <c r="B9" s="1" t="s">
        <v>104</v>
      </c>
      <c r="C9" s="1">
        <v>0.7</v>
      </c>
      <c r="D9" s="1" t="s">
        <v>10</v>
      </c>
      <c r="E9" s="11">
        <v>1</v>
      </c>
      <c r="F9" s="12">
        <v>3414</v>
      </c>
    </row>
    <row r="10" spans="1:6" ht="13.8" thickBot="1">
      <c r="B10" s="1" t="s">
        <v>76</v>
      </c>
      <c r="C10" s="1">
        <v>0.12</v>
      </c>
      <c r="D10" s="1" t="s">
        <v>27</v>
      </c>
      <c r="E10" s="17"/>
      <c r="F10" s="18"/>
    </row>
    <row r="11" spans="1:6">
      <c r="A11" s="1"/>
      <c r="B11" s="1"/>
      <c r="C11" s="1"/>
    </row>
    <row r="12" spans="1:6">
      <c r="A12" s="15" t="s">
        <v>0</v>
      </c>
      <c r="B12" s="15"/>
      <c r="C12" s="15"/>
      <c r="D12" s="16"/>
      <c r="E12" s="16"/>
      <c r="F12" s="16"/>
    </row>
    <row r="13" spans="1:6">
      <c r="A13" s="1"/>
      <c r="B13" s="2" t="s">
        <v>77</v>
      </c>
      <c r="C13" s="2">
        <v>0.6</v>
      </c>
    </row>
    <row r="14" spans="1:6">
      <c r="B14" s="2" t="s">
        <v>101</v>
      </c>
      <c r="C14" s="2">
        <v>1</v>
      </c>
      <c r="D14" s="2" t="s">
        <v>102</v>
      </c>
    </row>
    <row r="15" spans="1:6">
      <c r="B15" s="2" t="s">
        <v>78</v>
      </c>
      <c r="C15" s="2">
        <v>70</v>
      </c>
      <c r="D15" s="2" t="s">
        <v>11</v>
      </c>
    </row>
    <row r="16" spans="1:6">
      <c r="B16" s="2" t="s">
        <v>79</v>
      </c>
      <c r="C16" s="2">
        <v>3000</v>
      </c>
      <c r="D16" s="2" t="s">
        <v>12</v>
      </c>
    </row>
    <row r="18" spans="2:6">
      <c r="B18" s="7" t="s">
        <v>1</v>
      </c>
      <c r="C18" s="7" t="s">
        <v>82</v>
      </c>
      <c r="D18" s="7" t="s">
        <v>7</v>
      </c>
      <c r="E18" s="7" t="s">
        <v>80</v>
      </c>
      <c r="F18" s="9" t="s">
        <v>81</v>
      </c>
    </row>
    <row r="19" spans="2:6">
      <c r="B19" s="2" t="s">
        <v>2</v>
      </c>
      <c r="C19" s="2">
        <f>C5*C6</f>
        <v>1500</v>
      </c>
      <c r="D19" s="2">
        <v>10</v>
      </c>
      <c r="E19" s="2">
        <f>C19/D19</f>
        <v>150</v>
      </c>
      <c r="F19" s="3">
        <f>100*(E19/$E$26)</f>
        <v>7.1464393179538623</v>
      </c>
    </row>
    <row r="20" spans="2:6">
      <c r="B20" s="2" t="s">
        <v>3</v>
      </c>
      <c r="C20" s="2">
        <f>C5*C7</f>
        <v>300</v>
      </c>
      <c r="D20" s="2">
        <v>1</v>
      </c>
      <c r="E20" s="2">
        <f>C20/D20</f>
        <v>300</v>
      </c>
      <c r="F20" s="3">
        <f>100*(E20/$E$26)</f>
        <v>14.292878635907725</v>
      </c>
    </row>
    <row r="21" spans="2:6">
      <c r="B21" s="2" t="s">
        <v>4</v>
      </c>
      <c r="C21" s="2">
        <f>(C6+C6+C5)*C7</f>
        <v>1300</v>
      </c>
      <c r="D21" s="2">
        <v>1</v>
      </c>
      <c r="E21" s="2">
        <f>C21/D21</f>
        <v>1300</v>
      </c>
      <c r="F21" s="3">
        <f>100*(E21/$E$26)</f>
        <v>61.935807422266805</v>
      </c>
    </row>
    <row r="22" spans="2:6">
      <c r="B22" s="2" t="s">
        <v>5</v>
      </c>
      <c r="C22" s="2">
        <v>0</v>
      </c>
      <c r="D22" s="2">
        <v>11</v>
      </c>
      <c r="E22" s="2">
        <f>C22/D22</f>
        <v>0</v>
      </c>
      <c r="F22" s="3">
        <f>100*(E22/$E$26)</f>
        <v>0</v>
      </c>
    </row>
    <row r="23" spans="2:6">
      <c r="B23" s="2" t="s">
        <v>6</v>
      </c>
      <c r="C23" s="2">
        <f>C5*C6</f>
        <v>1500</v>
      </c>
      <c r="D23" s="2">
        <v>19</v>
      </c>
      <c r="E23" s="3">
        <f>C23/D23</f>
        <v>78.94736842105263</v>
      </c>
      <c r="F23" s="3">
        <f>100*(E23/$E$26)</f>
        <v>3.7612838515546643</v>
      </c>
    </row>
    <row r="25" spans="2:6">
      <c r="B25" s="2" t="s">
        <v>109</v>
      </c>
      <c r="E25" s="2">
        <f>0.018*C8*C14</f>
        <v>270</v>
      </c>
      <c r="F25" s="3">
        <f>100*(E25/$E$26)</f>
        <v>12.863590772316952</v>
      </c>
    </row>
    <row r="26" spans="2:6">
      <c r="D26" s="2" t="s">
        <v>13</v>
      </c>
      <c r="E26" s="3">
        <f>SUM(E19:E25)</f>
        <v>2098.9473684210525</v>
      </c>
    </row>
    <row r="27" spans="2:6">
      <c r="D27" s="2" t="s">
        <v>100</v>
      </c>
      <c r="E27" s="3">
        <f>E26-E20</f>
        <v>1798.9473684210525</v>
      </c>
    </row>
    <row r="29" spans="2:6">
      <c r="B29" s="2" t="s">
        <v>103</v>
      </c>
      <c r="C29" s="6"/>
      <c r="D29" s="3">
        <f>C15-(C16/E27)</f>
        <v>68.33235810415448</v>
      </c>
    </row>
    <row r="30" spans="2:6">
      <c r="C30" s="6"/>
      <c r="D30" s="22"/>
    </row>
    <row r="31" spans="2:6">
      <c r="B31" s="2" t="s">
        <v>113</v>
      </c>
      <c r="C31" s="8" t="s">
        <v>111</v>
      </c>
      <c r="D31" s="22" t="s">
        <v>112</v>
      </c>
    </row>
    <row r="32" spans="2:6" ht="13.8" thickBot="1">
      <c r="B32" s="2" t="s">
        <v>110</v>
      </c>
      <c r="C32" s="6">
        <v>65</v>
      </c>
      <c r="D32" s="22">
        <v>5537</v>
      </c>
    </row>
    <row r="33" spans="1:7">
      <c r="C33" s="6">
        <v>55</v>
      </c>
      <c r="D33" s="22">
        <v>3134</v>
      </c>
      <c r="F33" s="30"/>
      <c r="G33" s="31" t="s">
        <v>124</v>
      </c>
    </row>
    <row r="34" spans="1:7">
      <c r="B34" s="2" t="s">
        <v>64</v>
      </c>
      <c r="C34" s="23">
        <f>D29</f>
        <v>68.33235810415448</v>
      </c>
      <c r="D34" s="5">
        <f>D33+((C34-C33)*(D32-D33)/10)</f>
        <v>6337.7656524283211</v>
      </c>
      <c r="F34" s="11" t="s">
        <v>128</v>
      </c>
      <c r="G34" s="21">
        <v>1</v>
      </c>
    </row>
    <row r="35" spans="1:7">
      <c r="C35" s="6"/>
      <c r="D35" s="22"/>
      <c r="F35" s="20"/>
      <c r="G35" s="21"/>
    </row>
    <row r="36" spans="1:7">
      <c r="B36" s="2" t="s">
        <v>83</v>
      </c>
      <c r="C36" s="6"/>
      <c r="D36" s="24">
        <f>24*E27*D34</f>
        <v>273631364.21052629</v>
      </c>
      <c r="E36" s="2" t="s">
        <v>65</v>
      </c>
      <c r="F36" s="20"/>
      <c r="G36" s="21"/>
    </row>
    <row r="37" spans="1:7">
      <c r="B37" s="27" t="s">
        <v>84</v>
      </c>
      <c r="C37" s="38"/>
      <c r="D37" s="10">
        <f>D36/(C13)</f>
        <v>456052273.68421048</v>
      </c>
      <c r="E37" s="2" t="s">
        <v>65</v>
      </c>
      <c r="F37" s="20"/>
      <c r="G37" s="21"/>
    </row>
    <row r="38" spans="1:7">
      <c r="D38" s="25">
        <f>IF(C13&lt;1,D37/100000,0)</f>
        <v>4560.5227368421047</v>
      </c>
      <c r="E38" s="19" t="s">
        <v>67</v>
      </c>
      <c r="F38" s="44">
        <f>IF(C13=G34,D37/F9,0)</f>
        <v>0</v>
      </c>
      <c r="G38" s="33" t="s">
        <v>41</v>
      </c>
    </row>
    <row r="39" spans="1:7" ht="13.8" thickBot="1">
      <c r="B39" s="2" t="s">
        <v>132</v>
      </c>
      <c r="C39" s="6"/>
      <c r="D39" s="26">
        <f>D38*C9</f>
        <v>3192.3659157894731</v>
      </c>
      <c r="E39" s="2" t="s">
        <v>66</v>
      </c>
      <c r="F39" s="29">
        <f>F38*C10</f>
        <v>0</v>
      </c>
      <c r="G39" s="18" t="s">
        <v>66</v>
      </c>
    </row>
    <row r="41" spans="1:7">
      <c r="A41" s="15" t="s">
        <v>15</v>
      </c>
      <c r="B41" s="16"/>
      <c r="C41" s="27"/>
      <c r="D41" s="27"/>
    </row>
    <row r="42" spans="1:7">
      <c r="B42" s="2" t="s">
        <v>85</v>
      </c>
      <c r="C42" s="2">
        <v>6</v>
      </c>
      <c r="D42" s="2" t="s">
        <v>16</v>
      </c>
    </row>
    <row r="43" spans="1:7">
      <c r="B43" s="2" t="s">
        <v>86</v>
      </c>
      <c r="C43" s="2">
        <v>7.0000000000000007E-2</v>
      </c>
      <c r="D43" s="2" t="s">
        <v>17</v>
      </c>
    </row>
    <row r="44" spans="1:7">
      <c r="B44" s="2" t="s">
        <v>87</v>
      </c>
      <c r="C44" s="2">
        <v>60</v>
      </c>
      <c r="D44" s="2" t="s">
        <v>18</v>
      </c>
    </row>
    <row r="45" spans="1:7">
      <c r="B45" s="19" t="s">
        <v>88</v>
      </c>
      <c r="C45" s="19">
        <f xml:space="preserve"> C42+(C43*C44)</f>
        <v>10.199999999999999</v>
      </c>
      <c r="D45" s="19" t="s">
        <v>19</v>
      </c>
    </row>
    <row r="46" spans="1:7">
      <c r="B46" s="2" t="s">
        <v>89</v>
      </c>
      <c r="C46" s="2">
        <f xml:space="preserve"> C45*C9</f>
        <v>7.1399999999999988</v>
      </c>
      <c r="D46" s="2" t="s">
        <v>20</v>
      </c>
    </row>
    <row r="48" spans="1:7">
      <c r="A48" s="15" t="s">
        <v>21</v>
      </c>
      <c r="B48" s="16"/>
      <c r="C48" s="27"/>
      <c r="D48" s="27"/>
    </row>
    <row r="49" spans="1:6">
      <c r="B49" s="2" t="s">
        <v>90</v>
      </c>
      <c r="C49" s="2">
        <v>80</v>
      </c>
      <c r="D49" s="2" t="s">
        <v>22</v>
      </c>
    </row>
    <row r="50" spans="1:6">
      <c r="B50" s="2" t="s">
        <v>114</v>
      </c>
      <c r="C50" s="2">
        <v>0.6</v>
      </c>
    </row>
    <row r="51" spans="1:6">
      <c r="B51" s="2" t="s">
        <v>105</v>
      </c>
      <c r="C51" s="4">
        <f>(C49*30*8.34*70)/(C50*100000)</f>
        <v>23.352</v>
      </c>
      <c r="D51" s="2" t="s">
        <v>16</v>
      </c>
    </row>
    <row r="52" spans="1:6">
      <c r="B52" s="2" t="s">
        <v>91</v>
      </c>
      <c r="C52" s="2">
        <v>6</v>
      </c>
      <c r="D52" s="2" t="s">
        <v>16</v>
      </c>
      <c r="E52" s="2" t="s">
        <v>23</v>
      </c>
    </row>
    <row r="53" spans="1:6">
      <c r="B53" s="19" t="s">
        <v>92</v>
      </c>
      <c r="C53" s="32">
        <f>C51+C52</f>
        <v>29.352</v>
      </c>
      <c r="D53" s="19" t="s">
        <v>16</v>
      </c>
    </row>
    <row r="54" spans="1:6">
      <c r="B54" s="2" t="s">
        <v>89</v>
      </c>
      <c r="C54" s="4">
        <f xml:space="preserve"> (C53)*C9</f>
        <v>20.546399999999998</v>
      </c>
      <c r="D54" s="2" t="s">
        <v>20</v>
      </c>
    </row>
    <row r="56" spans="1:6">
      <c r="A56" s="15" t="s">
        <v>24</v>
      </c>
      <c r="B56" s="16"/>
      <c r="C56" s="27">
        <v>0.15</v>
      </c>
      <c r="D56" s="27" t="s">
        <v>25</v>
      </c>
    </row>
    <row r="57" spans="1:6">
      <c r="B57" s="2" t="s">
        <v>93</v>
      </c>
      <c r="C57" s="2">
        <v>20</v>
      </c>
      <c r="D57" s="2" t="s">
        <v>26</v>
      </c>
    </row>
    <row r="58" spans="1:6">
      <c r="B58" s="19" t="s">
        <v>94</v>
      </c>
      <c r="C58" s="25">
        <f>C56*C57</f>
        <v>3</v>
      </c>
      <c r="D58" s="19" t="s">
        <v>16</v>
      </c>
    </row>
    <row r="59" spans="1:6">
      <c r="B59" s="2" t="s">
        <v>89</v>
      </c>
      <c r="C59" s="4">
        <f>C58*C9</f>
        <v>2.0999999999999996</v>
      </c>
      <c r="D59" s="2" t="s">
        <v>20</v>
      </c>
    </row>
    <row r="63" spans="1:6">
      <c r="A63" s="15" t="s">
        <v>126</v>
      </c>
      <c r="B63" s="16"/>
      <c r="C63" s="42" t="s">
        <v>97</v>
      </c>
      <c r="D63" s="42" t="s">
        <v>98</v>
      </c>
      <c r="E63" s="42" t="s">
        <v>95</v>
      </c>
      <c r="F63" s="43" t="s">
        <v>96</v>
      </c>
    </row>
    <row r="64" spans="1:6">
      <c r="B64" s="2" t="s">
        <v>56</v>
      </c>
      <c r="C64" s="2" t="s">
        <v>117</v>
      </c>
      <c r="D64" s="2" t="s">
        <v>117</v>
      </c>
      <c r="E64" s="3">
        <v>150</v>
      </c>
      <c r="F64" s="39">
        <f>E64*C10</f>
        <v>18</v>
      </c>
    </row>
    <row r="65" spans="2:7">
      <c r="B65" s="2" t="s">
        <v>57</v>
      </c>
      <c r="C65" s="2">
        <v>230</v>
      </c>
      <c r="D65" s="2">
        <v>5</v>
      </c>
      <c r="E65" s="3">
        <f t="shared" ref="E65:E78" si="0">C65*D65*30/1000</f>
        <v>34.5</v>
      </c>
      <c r="F65" s="39">
        <f>E65*C10</f>
        <v>4.1399999999999997</v>
      </c>
    </row>
    <row r="66" spans="2:7">
      <c r="B66" s="2" t="s">
        <v>108</v>
      </c>
      <c r="C66" s="2">
        <v>60</v>
      </c>
      <c r="D66" s="2">
        <v>6</v>
      </c>
      <c r="E66" s="3">
        <f t="shared" si="0"/>
        <v>10.8</v>
      </c>
      <c r="F66" s="39">
        <f>E66*C10</f>
        <v>1.296</v>
      </c>
    </row>
    <row r="67" spans="2:7">
      <c r="B67" s="2" t="s">
        <v>58</v>
      </c>
      <c r="C67" s="2">
        <v>120</v>
      </c>
      <c r="D67" s="2">
        <v>5</v>
      </c>
      <c r="E67" s="3">
        <f t="shared" si="0"/>
        <v>18</v>
      </c>
      <c r="F67" s="39">
        <f>E67*C10</f>
        <v>2.16</v>
      </c>
    </row>
    <row r="68" spans="2:7">
      <c r="B68" s="2" t="s">
        <v>59</v>
      </c>
      <c r="C68" s="2">
        <v>1000</v>
      </c>
      <c r="D68" s="2">
        <v>5</v>
      </c>
      <c r="E68" s="3">
        <f t="shared" si="0"/>
        <v>150</v>
      </c>
      <c r="F68" s="39">
        <f>E68*C10</f>
        <v>18</v>
      </c>
    </row>
    <row r="69" spans="2:7">
      <c r="B69" s="2" t="s">
        <v>60</v>
      </c>
      <c r="C69" s="2">
        <v>200</v>
      </c>
      <c r="D69" s="2">
        <v>12</v>
      </c>
      <c r="E69" s="3">
        <f t="shared" si="0"/>
        <v>72</v>
      </c>
      <c r="F69" s="39">
        <f>E69*C10</f>
        <v>8.64</v>
      </c>
    </row>
    <row r="70" spans="2:7">
      <c r="B70" s="2" t="s">
        <v>61</v>
      </c>
      <c r="C70" s="2">
        <v>500</v>
      </c>
      <c r="D70" s="2">
        <v>0.3</v>
      </c>
      <c r="E70" s="3">
        <f t="shared" si="0"/>
        <v>4.5</v>
      </c>
      <c r="F70" s="39">
        <f>E70*C10</f>
        <v>0.54</v>
      </c>
    </row>
    <row r="71" spans="2:7">
      <c r="B71" s="2" t="s">
        <v>62</v>
      </c>
      <c r="C71" s="2">
        <v>1400</v>
      </c>
      <c r="D71" s="2">
        <v>2</v>
      </c>
      <c r="E71" s="3">
        <f t="shared" si="0"/>
        <v>84</v>
      </c>
      <c r="F71" s="39">
        <f>E71*C10</f>
        <v>10.08</v>
      </c>
    </row>
    <row r="72" spans="2:7">
      <c r="B72" s="2" t="s">
        <v>63</v>
      </c>
      <c r="C72" s="2">
        <v>280</v>
      </c>
      <c r="D72" s="2">
        <v>4</v>
      </c>
      <c r="E72" s="3">
        <f t="shared" si="0"/>
        <v>33.6</v>
      </c>
      <c r="F72" s="39">
        <f>E72*C10</f>
        <v>4.032</v>
      </c>
    </row>
    <row r="73" spans="2:7">
      <c r="B73" s="2" t="s">
        <v>116</v>
      </c>
      <c r="C73" s="2">
        <v>50</v>
      </c>
      <c r="D73" s="2">
        <v>24</v>
      </c>
      <c r="E73" s="3">
        <f t="shared" si="0"/>
        <v>36</v>
      </c>
      <c r="F73" s="39">
        <f>E73*C10</f>
        <v>4.32</v>
      </c>
    </row>
    <row r="74" spans="2:7">
      <c r="B74" s="2" t="s">
        <v>28</v>
      </c>
      <c r="C74" s="2">
        <v>1300</v>
      </c>
      <c r="D74" s="2">
        <v>1</v>
      </c>
      <c r="E74" s="3">
        <f t="shared" si="0"/>
        <v>39</v>
      </c>
      <c r="F74" s="39">
        <f>E74*C10</f>
        <v>4.68</v>
      </c>
    </row>
    <row r="75" spans="2:7">
      <c r="B75" s="2" t="s">
        <v>29</v>
      </c>
      <c r="C75" s="2">
        <v>1500</v>
      </c>
      <c r="D75" s="2">
        <v>0.5</v>
      </c>
      <c r="E75" s="3">
        <f t="shared" si="0"/>
        <v>22.5</v>
      </c>
      <c r="F75" s="39">
        <f>E75*C10</f>
        <v>2.6999999999999997</v>
      </c>
    </row>
    <row r="76" spans="2:7">
      <c r="B76" s="2" t="s">
        <v>30</v>
      </c>
      <c r="C76" s="2">
        <v>1200</v>
      </c>
      <c r="D76" s="2">
        <v>0.2</v>
      </c>
      <c r="E76" s="3">
        <f t="shared" si="0"/>
        <v>7.2</v>
      </c>
      <c r="F76" s="39">
        <f>E76*C10</f>
        <v>0.86399999999999999</v>
      </c>
    </row>
    <row r="77" spans="2:7">
      <c r="B77" s="2" t="s">
        <v>31</v>
      </c>
      <c r="C77" s="2">
        <v>750</v>
      </c>
      <c r="D77" s="2">
        <v>0.2</v>
      </c>
      <c r="E77" s="3">
        <f t="shared" si="0"/>
        <v>4.5</v>
      </c>
      <c r="F77" s="39">
        <f>E77*C10</f>
        <v>0.54</v>
      </c>
    </row>
    <row r="78" spans="2:7">
      <c r="B78" s="2" t="s">
        <v>32</v>
      </c>
      <c r="C78" s="2">
        <v>1400</v>
      </c>
      <c r="D78" s="2">
        <v>0.5</v>
      </c>
      <c r="E78" s="3">
        <f t="shared" si="0"/>
        <v>21</v>
      </c>
      <c r="F78" s="39">
        <f>E78*C10</f>
        <v>2.52</v>
      </c>
    </row>
    <row r="79" spans="2:7">
      <c r="C79" s="34"/>
      <c r="D79" s="35" t="s">
        <v>127</v>
      </c>
      <c r="E79" s="36">
        <f>SUM(E64:E78)</f>
        <v>687.6</v>
      </c>
      <c r="F79" s="40">
        <f>SUM(F64:F78)</f>
        <v>82.512000000000015</v>
      </c>
      <c r="G79" s="2" t="s">
        <v>131</v>
      </c>
    </row>
    <row r="81" spans="1:7">
      <c r="A81" s="15" t="s">
        <v>33</v>
      </c>
      <c r="B81" s="16"/>
      <c r="C81" s="27">
        <v>10000</v>
      </c>
      <c r="D81" s="27" t="s">
        <v>55</v>
      </c>
      <c r="E81" s="27">
        <v>19</v>
      </c>
      <c r="F81" s="27" t="s">
        <v>34</v>
      </c>
      <c r="G81" s="27"/>
    </row>
    <row r="82" spans="1:7">
      <c r="B82" s="2" t="s">
        <v>35</v>
      </c>
      <c r="C82" s="2">
        <v>1.6</v>
      </c>
      <c r="D82" s="2" t="s">
        <v>36</v>
      </c>
    </row>
    <row r="84" spans="1:7">
      <c r="A84" s="2" t="s">
        <v>37</v>
      </c>
      <c r="C84" s="46">
        <f>C81/E81</f>
        <v>526.31578947368416</v>
      </c>
      <c r="D84" s="47" t="s">
        <v>38</v>
      </c>
      <c r="E84" s="41">
        <f>C82*C84</f>
        <v>842.10526315789468</v>
      </c>
      <c r="F84" s="2" t="s">
        <v>129</v>
      </c>
    </row>
    <row r="85" spans="1:7">
      <c r="A85" s="2" t="s">
        <v>39</v>
      </c>
      <c r="C85" s="28">
        <f>D38+(C45+C53+C58)*12</f>
        <v>5071.1467368421045</v>
      </c>
      <c r="D85" s="19" t="s">
        <v>14</v>
      </c>
      <c r="E85" s="41">
        <f>C85*C9</f>
        <v>3549.802715789473</v>
      </c>
      <c r="F85" s="2" t="s">
        <v>129</v>
      </c>
    </row>
    <row r="86" spans="1:7">
      <c r="A86" s="2" t="s">
        <v>40</v>
      </c>
      <c r="C86" s="45">
        <f>(E79*12)+F38</f>
        <v>8251.2000000000007</v>
      </c>
      <c r="D86" s="34" t="s">
        <v>41</v>
      </c>
      <c r="E86" s="41">
        <f>C86*C10</f>
        <v>990.14400000000001</v>
      </c>
      <c r="F86" s="2" t="s">
        <v>129</v>
      </c>
    </row>
    <row r="87" spans="1:7">
      <c r="A87" s="15" t="s">
        <v>69</v>
      </c>
      <c r="B87" s="16"/>
      <c r="C87" s="15"/>
      <c r="D87" s="15"/>
      <c r="E87" s="51">
        <f>SUM(E84:E86)</f>
        <v>5382.0519789473683</v>
      </c>
      <c r="F87" s="52" t="s">
        <v>130</v>
      </c>
    </row>
    <row r="89" spans="1:7">
      <c r="A89" s="2" t="s">
        <v>107</v>
      </c>
      <c r="B89" s="1"/>
      <c r="C89" s="1"/>
      <c r="E89" s="8" t="s">
        <v>99</v>
      </c>
    </row>
    <row r="90" spans="1:7">
      <c r="B90" s="2" t="s">
        <v>47</v>
      </c>
      <c r="C90" s="2">
        <v>2.37</v>
      </c>
      <c r="D90" s="2" t="s">
        <v>53</v>
      </c>
      <c r="E90" s="2">
        <v>56</v>
      </c>
    </row>
    <row r="91" spans="1:7">
      <c r="B91" s="2" t="s">
        <v>48</v>
      </c>
      <c r="C91" s="2">
        <v>2.14</v>
      </c>
      <c r="D91" s="2" t="s">
        <v>53</v>
      </c>
      <c r="E91" s="2">
        <v>2.5</v>
      </c>
    </row>
    <row r="92" spans="1:7">
      <c r="B92" s="2" t="s">
        <v>49</v>
      </c>
      <c r="C92" s="2">
        <v>1.32</v>
      </c>
      <c r="D92" s="2" t="s">
        <v>53</v>
      </c>
      <c r="E92" s="2">
        <v>9.5</v>
      </c>
    </row>
    <row r="93" spans="1:7">
      <c r="B93" s="2" t="s">
        <v>50</v>
      </c>
      <c r="C93" s="2">
        <v>0</v>
      </c>
      <c r="D93" s="2" t="s">
        <v>53</v>
      </c>
      <c r="E93" s="2">
        <v>23</v>
      </c>
      <c r="F93" s="2" t="s">
        <v>125</v>
      </c>
    </row>
    <row r="94" spans="1:7">
      <c r="B94" s="2" t="s">
        <v>51</v>
      </c>
      <c r="C94" s="2">
        <v>0</v>
      </c>
      <c r="D94" s="2" t="s">
        <v>53</v>
      </c>
      <c r="E94" s="2">
        <v>9</v>
      </c>
    </row>
    <row r="97" spans="1:6">
      <c r="A97" s="2" t="s">
        <v>115</v>
      </c>
    </row>
    <row r="98" spans="1:6">
      <c r="B98" s="2" t="s">
        <v>42</v>
      </c>
      <c r="C98" s="47">
        <v>23.8</v>
      </c>
      <c r="D98" s="47" t="s">
        <v>43</v>
      </c>
      <c r="E98" s="5">
        <f>C84*C98</f>
        <v>12526.315789473683</v>
      </c>
      <c r="F98" s="2" t="s">
        <v>52</v>
      </c>
    </row>
    <row r="99" spans="1:6">
      <c r="B99" s="2" t="s">
        <v>44</v>
      </c>
      <c r="C99" s="19">
        <v>11.7</v>
      </c>
      <c r="D99" s="19" t="s">
        <v>45</v>
      </c>
      <c r="E99" s="5">
        <f>C85*C99</f>
        <v>59332.416821052619</v>
      </c>
      <c r="F99" s="2" t="s">
        <v>52</v>
      </c>
    </row>
    <row r="100" spans="1:6">
      <c r="B100" s="2" t="s">
        <v>106</v>
      </c>
      <c r="C100" s="37">
        <f>C90*E90/100+C91*E91/100+C92*E92/100+C93*E93/100+C94*E94/100</f>
        <v>1.5061</v>
      </c>
      <c r="D100" s="34" t="s">
        <v>54</v>
      </c>
      <c r="E100" s="5">
        <f>C86*C100</f>
        <v>12427.132320000001</v>
      </c>
      <c r="F100" s="2" t="s">
        <v>52</v>
      </c>
    </row>
    <row r="101" spans="1:6">
      <c r="A101" s="15" t="s">
        <v>70</v>
      </c>
      <c r="B101" s="16"/>
      <c r="C101" s="16"/>
      <c r="D101" s="16"/>
      <c r="E101" s="53">
        <f>SUM(E98:E100)</f>
        <v>84285.86493052631</v>
      </c>
      <c r="F101" s="52" t="s">
        <v>46</v>
      </c>
    </row>
    <row r="103" spans="1:6">
      <c r="B103" s="2" t="s">
        <v>71</v>
      </c>
      <c r="C103" s="2">
        <v>13</v>
      </c>
      <c r="D103" s="2" t="s">
        <v>52</v>
      </c>
      <c r="E103" s="54">
        <f>E101/C103</f>
        <v>6483.5280715789468</v>
      </c>
      <c r="F103" s="55" t="s">
        <v>118</v>
      </c>
    </row>
  </sheetData>
  <phoneticPr fontId="0" type="noConversion"/>
  <printOptions horizontalCentered="1" gridLines="1"/>
  <pageMargins left="0.25" right="0.2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/>
  </sheetViews>
  <sheetFormatPr defaultColWidth="11.375" defaultRowHeight="13.2"/>
  <cols>
    <col min="1" max="1" width="16.75" style="2" customWidth="1"/>
    <col min="2" max="2" width="25.75" style="2" customWidth="1"/>
    <col min="3" max="3" width="11.75" style="2" customWidth="1"/>
    <col min="4" max="4" width="16.75" style="2" customWidth="1"/>
    <col min="5" max="5" width="13.75" style="2" customWidth="1"/>
    <col min="6" max="6" width="12.75" style="2" customWidth="1"/>
    <col min="7" max="7" width="9.75" style="2" customWidth="1"/>
    <col min="8" max="16384" width="11.375" style="2"/>
  </cols>
  <sheetData>
    <row r="1" spans="1:6" ht="15.6">
      <c r="A1" s="48" t="s">
        <v>134</v>
      </c>
    </row>
    <row r="2" spans="1:6" ht="15.6">
      <c r="A2" s="48" t="s">
        <v>135</v>
      </c>
    </row>
    <row r="3" spans="1:6" ht="13.8" thickBot="1"/>
    <row r="4" spans="1:6">
      <c r="A4" s="15" t="s">
        <v>68</v>
      </c>
      <c r="B4" s="16"/>
      <c r="E4" s="13" t="s">
        <v>123</v>
      </c>
      <c r="F4" s="14"/>
    </row>
    <row r="5" spans="1:6">
      <c r="B5" s="2" t="s">
        <v>72</v>
      </c>
      <c r="C5" s="2">
        <v>30</v>
      </c>
      <c r="D5" s="2" t="s">
        <v>8</v>
      </c>
      <c r="E5" s="11" t="s">
        <v>119</v>
      </c>
      <c r="F5" s="12" t="s">
        <v>120</v>
      </c>
    </row>
    <row r="6" spans="1:6">
      <c r="B6" s="2" t="s">
        <v>73</v>
      </c>
      <c r="C6" s="2">
        <v>50</v>
      </c>
      <c r="D6" s="2" t="s">
        <v>8</v>
      </c>
      <c r="E6" s="11">
        <v>1</v>
      </c>
      <c r="F6" s="12">
        <v>3.4140000000000001</v>
      </c>
    </row>
    <row r="7" spans="1:6">
      <c r="B7" s="2" t="s">
        <v>74</v>
      </c>
      <c r="C7" s="2">
        <v>10</v>
      </c>
      <c r="D7" s="2" t="s">
        <v>8</v>
      </c>
      <c r="E7" s="20"/>
      <c r="F7" s="21"/>
    </row>
    <row r="8" spans="1:6">
      <c r="B8" s="2" t="s">
        <v>75</v>
      </c>
      <c r="C8" s="2">
        <f>C5*C6*C7</f>
        <v>15000</v>
      </c>
      <c r="D8" s="2" t="s">
        <v>9</v>
      </c>
      <c r="E8" s="11" t="s">
        <v>121</v>
      </c>
      <c r="F8" s="12" t="s">
        <v>122</v>
      </c>
    </row>
    <row r="9" spans="1:6">
      <c r="B9" s="1" t="s">
        <v>104</v>
      </c>
      <c r="C9" s="1">
        <v>0.7</v>
      </c>
      <c r="D9" s="1" t="s">
        <v>10</v>
      </c>
      <c r="E9" s="11">
        <v>1</v>
      </c>
      <c r="F9" s="12">
        <v>3414</v>
      </c>
    </row>
    <row r="10" spans="1:6" ht="13.8" thickBot="1">
      <c r="B10" s="1" t="s">
        <v>76</v>
      </c>
      <c r="C10" s="1">
        <v>0.12</v>
      </c>
      <c r="D10" s="1" t="s">
        <v>27</v>
      </c>
      <c r="E10" s="17"/>
      <c r="F10" s="18"/>
    </row>
    <row r="11" spans="1:6">
      <c r="A11" s="1"/>
      <c r="B11" s="1"/>
      <c r="C11" s="1"/>
    </row>
    <row r="12" spans="1:6">
      <c r="A12" s="15" t="s">
        <v>0</v>
      </c>
      <c r="B12" s="15"/>
      <c r="C12" s="15"/>
      <c r="D12" s="16"/>
      <c r="E12" s="16"/>
      <c r="F12" s="16"/>
    </row>
    <row r="13" spans="1:6">
      <c r="A13" s="1"/>
      <c r="B13" s="2" t="s">
        <v>77</v>
      </c>
      <c r="C13" s="2">
        <v>0.6</v>
      </c>
    </row>
    <row r="14" spans="1:6">
      <c r="B14" s="2" t="s">
        <v>101</v>
      </c>
      <c r="C14" s="2">
        <v>1</v>
      </c>
      <c r="D14" s="2" t="s">
        <v>102</v>
      </c>
    </row>
    <row r="15" spans="1:6">
      <c r="B15" s="2" t="s">
        <v>78</v>
      </c>
      <c r="C15" s="2">
        <v>70</v>
      </c>
      <c r="D15" s="2" t="s">
        <v>11</v>
      </c>
    </row>
    <row r="16" spans="1:6">
      <c r="B16" s="2" t="s">
        <v>79</v>
      </c>
      <c r="C16" s="2">
        <v>3000</v>
      </c>
      <c r="D16" s="2" t="s">
        <v>12</v>
      </c>
    </row>
    <row r="18" spans="2:6">
      <c r="B18" s="7" t="s">
        <v>1</v>
      </c>
      <c r="C18" s="7" t="s">
        <v>82</v>
      </c>
      <c r="D18" s="7" t="s">
        <v>7</v>
      </c>
      <c r="E18" s="7" t="s">
        <v>80</v>
      </c>
      <c r="F18" s="9" t="s">
        <v>81</v>
      </c>
    </row>
    <row r="19" spans="2:6">
      <c r="B19" s="2" t="s">
        <v>2</v>
      </c>
      <c r="C19" s="2">
        <f>C5*C6</f>
        <v>1500</v>
      </c>
      <c r="D19" s="2">
        <v>10</v>
      </c>
      <c r="E19" s="2">
        <f>C19/D19</f>
        <v>150</v>
      </c>
      <c r="F19" s="3">
        <f>100*(E19/$E$26)</f>
        <v>7.1464393179538623</v>
      </c>
    </row>
    <row r="20" spans="2:6">
      <c r="B20" s="2" t="s">
        <v>3</v>
      </c>
      <c r="C20" s="2">
        <f>C5*C7</f>
        <v>300</v>
      </c>
      <c r="D20" s="2">
        <v>1</v>
      </c>
      <c r="E20" s="2">
        <f>C20/D20</f>
        <v>300</v>
      </c>
      <c r="F20" s="3">
        <f>100*(E20/$E$26)</f>
        <v>14.292878635907725</v>
      </c>
    </row>
    <row r="21" spans="2:6">
      <c r="B21" s="2" t="s">
        <v>4</v>
      </c>
      <c r="C21" s="2">
        <f>(C6+C6+C5)*C7</f>
        <v>1300</v>
      </c>
      <c r="D21" s="2">
        <v>1</v>
      </c>
      <c r="E21" s="2">
        <f>C21/D21</f>
        <v>1300</v>
      </c>
      <c r="F21" s="3">
        <f>100*(E21/$E$26)</f>
        <v>61.935807422266805</v>
      </c>
    </row>
    <row r="22" spans="2:6">
      <c r="B22" s="2" t="s">
        <v>5</v>
      </c>
      <c r="C22" s="2">
        <v>0</v>
      </c>
      <c r="D22" s="2">
        <v>11</v>
      </c>
      <c r="E22" s="2">
        <f>C22/D22</f>
        <v>0</v>
      </c>
      <c r="F22" s="3">
        <f>100*(E22/$E$26)</f>
        <v>0</v>
      </c>
    </row>
    <row r="23" spans="2:6">
      <c r="B23" s="2" t="s">
        <v>6</v>
      </c>
      <c r="C23" s="2">
        <f>C5*C6</f>
        <v>1500</v>
      </c>
      <c r="D23" s="2">
        <v>19</v>
      </c>
      <c r="E23" s="3">
        <f>C23/D23</f>
        <v>78.94736842105263</v>
      </c>
      <c r="F23" s="3">
        <f>100*(E23/$E$26)</f>
        <v>3.7612838515546643</v>
      </c>
    </row>
    <row r="25" spans="2:6">
      <c r="B25" s="2" t="s">
        <v>109</v>
      </c>
      <c r="E25" s="2">
        <f>0.018*C8*C14</f>
        <v>270</v>
      </c>
      <c r="F25" s="3">
        <f>100*(E25/$E$26)</f>
        <v>12.863590772316952</v>
      </c>
    </row>
    <row r="26" spans="2:6">
      <c r="D26" s="2" t="s">
        <v>13</v>
      </c>
      <c r="E26" s="3">
        <f>SUM(E19:E25)</f>
        <v>2098.9473684210525</v>
      </c>
    </row>
    <row r="27" spans="2:6">
      <c r="D27" s="2" t="s">
        <v>100</v>
      </c>
      <c r="E27" s="3">
        <f>E26-E20</f>
        <v>1798.9473684210525</v>
      </c>
    </row>
    <row r="29" spans="2:6">
      <c r="B29" s="2" t="s">
        <v>103</v>
      </c>
      <c r="C29" s="6"/>
      <c r="D29" s="3">
        <f>C15-(C16/E27)</f>
        <v>68.33235810415448</v>
      </c>
    </row>
    <row r="30" spans="2:6">
      <c r="C30" s="6"/>
      <c r="D30" s="22"/>
    </row>
    <row r="31" spans="2:6">
      <c r="B31" s="2" t="s">
        <v>113</v>
      </c>
      <c r="C31" s="8" t="s">
        <v>111</v>
      </c>
      <c r="D31" s="22" t="s">
        <v>112</v>
      </c>
    </row>
    <row r="32" spans="2:6" ht="13.8" thickBot="1">
      <c r="B32" s="49" t="s">
        <v>133</v>
      </c>
      <c r="C32" s="6">
        <v>65</v>
      </c>
      <c r="D32" s="2">
        <v>2980</v>
      </c>
    </row>
    <row r="33" spans="1:7">
      <c r="C33" s="6">
        <v>55</v>
      </c>
      <c r="D33" s="2">
        <v>590</v>
      </c>
      <c r="F33" s="30"/>
      <c r="G33" s="31" t="s">
        <v>124</v>
      </c>
    </row>
    <row r="34" spans="1:7">
      <c r="B34" s="2" t="s">
        <v>64</v>
      </c>
      <c r="C34" s="23">
        <f>D29</f>
        <v>68.33235810415448</v>
      </c>
      <c r="D34" s="5">
        <f>D33+((C34-C33)*(D32-D33)/10)</f>
        <v>3776.4335868929206</v>
      </c>
      <c r="F34" s="11" t="s">
        <v>128</v>
      </c>
      <c r="G34" s="21">
        <v>1</v>
      </c>
    </row>
    <row r="35" spans="1:7">
      <c r="C35" s="6"/>
      <c r="D35" s="22"/>
      <c r="F35" s="20"/>
      <c r="G35" s="21"/>
    </row>
    <row r="36" spans="1:7">
      <c r="B36" s="2" t="s">
        <v>83</v>
      </c>
      <c r="C36" s="6"/>
      <c r="D36" s="24">
        <f>24*E27*D34</f>
        <v>163046526.31578949</v>
      </c>
      <c r="E36" s="2" t="s">
        <v>65</v>
      </c>
      <c r="F36" s="20"/>
      <c r="G36" s="21"/>
    </row>
    <row r="37" spans="1:7">
      <c r="B37" s="27" t="s">
        <v>84</v>
      </c>
      <c r="C37" s="38"/>
      <c r="D37" s="10">
        <f>D36/(C13)</f>
        <v>271744210.52631581</v>
      </c>
      <c r="E37" s="2" t="s">
        <v>65</v>
      </c>
      <c r="F37" s="20"/>
      <c r="G37" s="21"/>
    </row>
    <row r="38" spans="1:7">
      <c r="D38" s="25">
        <f>IF(C13&lt;1,D37/100000,0)</f>
        <v>2717.4421052631583</v>
      </c>
      <c r="E38" s="19" t="s">
        <v>67</v>
      </c>
      <c r="F38" s="44">
        <f>IF(C13=G34,D37/F9,0)</f>
        <v>0</v>
      </c>
      <c r="G38" s="33" t="s">
        <v>41</v>
      </c>
    </row>
    <row r="39" spans="1:7" ht="13.8" thickBot="1">
      <c r="B39" s="2" t="s">
        <v>132</v>
      </c>
      <c r="C39" s="6"/>
      <c r="D39" s="26">
        <f>D38*C9</f>
        <v>1902.2094736842107</v>
      </c>
      <c r="E39" s="2" t="s">
        <v>66</v>
      </c>
      <c r="F39" s="29">
        <f>F38*C10</f>
        <v>0</v>
      </c>
      <c r="G39" s="18" t="s">
        <v>66</v>
      </c>
    </row>
    <row r="41" spans="1:7">
      <c r="A41" s="15" t="s">
        <v>15</v>
      </c>
      <c r="B41" s="16"/>
      <c r="C41" s="27"/>
      <c r="D41" s="27"/>
    </row>
    <row r="42" spans="1:7">
      <c r="B42" s="2" t="s">
        <v>85</v>
      </c>
      <c r="C42" s="2">
        <v>6</v>
      </c>
      <c r="D42" s="2" t="s">
        <v>16</v>
      </c>
    </row>
    <row r="43" spans="1:7">
      <c r="B43" s="2" t="s">
        <v>86</v>
      </c>
      <c r="C43" s="2">
        <v>7.0000000000000007E-2</v>
      </c>
      <c r="D43" s="2" t="s">
        <v>17</v>
      </c>
    </row>
    <row r="44" spans="1:7">
      <c r="B44" s="2" t="s">
        <v>87</v>
      </c>
      <c r="C44" s="2">
        <v>60</v>
      </c>
      <c r="D44" s="2" t="s">
        <v>18</v>
      </c>
    </row>
    <row r="45" spans="1:7">
      <c r="B45" s="19" t="s">
        <v>88</v>
      </c>
      <c r="C45" s="19">
        <f xml:space="preserve"> C42+(C43*C44)</f>
        <v>10.199999999999999</v>
      </c>
      <c r="D45" s="19" t="s">
        <v>19</v>
      </c>
    </row>
    <row r="46" spans="1:7">
      <c r="B46" s="2" t="s">
        <v>89</v>
      </c>
      <c r="C46" s="2">
        <f xml:space="preserve"> C45*C9</f>
        <v>7.1399999999999988</v>
      </c>
      <c r="D46" s="2" t="s">
        <v>20</v>
      </c>
    </row>
    <row r="48" spans="1:7">
      <c r="A48" s="15" t="s">
        <v>21</v>
      </c>
      <c r="B48" s="16"/>
      <c r="C48" s="27"/>
      <c r="D48" s="27"/>
    </row>
    <row r="49" spans="1:6">
      <c r="B49" s="2" t="s">
        <v>90</v>
      </c>
      <c r="C49" s="2">
        <v>80</v>
      </c>
      <c r="D49" s="2" t="s">
        <v>22</v>
      </c>
    </row>
    <row r="50" spans="1:6">
      <c r="B50" s="2" t="s">
        <v>114</v>
      </c>
      <c r="C50" s="2">
        <v>0.6</v>
      </c>
    </row>
    <row r="51" spans="1:6">
      <c r="B51" s="2" t="s">
        <v>105</v>
      </c>
      <c r="C51" s="4">
        <f>(C49*30*8.34*70)/(C50*100000)</f>
        <v>23.352</v>
      </c>
      <c r="D51" s="2" t="s">
        <v>16</v>
      </c>
    </row>
    <row r="52" spans="1:6">
      <c r="B52" s="2" t="s">
        <v>91</v>
      </c>
      <c r="C52" s="2">
        <v>6</v>
      </c>
      <c r="D52" s="2" t="s">
        <v>16</v>
      </c>
      <c r="E52" s="2" t="s">
        <v>23</v>
      </c>
    </row>
    <row r="53" spans="1:6">
      <c r="B53" s="19" t="s">
        <v>92</v>
      </c>
      <c r="C53" s="32">
        <f>C51+C52</f>
        <v>29.352</v>
      </c>
      <c r="D53" s="19" t="s">
        <v>16</v>
      </c>
    </row>
    <row r="54" spans="1:6">
      <c r="B54" s="2" t="s">
        <v>89</v>
      </c>
      <c r="C54" s="4">
        <f xml:space="preserve"> (C53)*C9</f>
        <v>20.546399999999998</v>
      </c>
      <c r="D54" s="2" t="s">
        <v>20</v>
      </c>
    </row>
    <row r="56" spans="1:6">
      <c r="A56" s="15" t="s">
        <v>24</v>
      </c>
      <c r="B56" s="16"/>
      <c r="C56" s="27">
        <v>0.15</v>
      </c>
      <c r="D56" s="27" t="s">
        <v>25</v>
      </c>
    </row>
    <row r="57" spans="1:6">
      <c r="B57" s="2" t="s">
        <v>93</v>
      </c>
      <c r="C57" s="2">
        <v>20</v>
      </c>
      <c r="D57" s="2" t="s">
        <v>26</v>
      </c>
    </row>
    <row r="58" spans="1:6">
      <c r="B58" s="19" t="s">
        <v>94</v>
      </c>
      <c r="C58" s="25">
        <f>C56*C57</f>
        <v>3</v>
      </c>
      <c r="D58" s="19" t="s">
        <v>16</v>
      </c>
    </row>
    <row r="59" spans="1:6">
      <c r="B59" s="2" t="s">
        <v>89</v>
      </c>
      <c r="C59" s="4">
        <f>C58*C9</f>
        <v>2.0999999999999996</v>
      </c>
      <c r="D59" s="2" t="s">
        <v>20</v>
      </c>
    </row>
    <row r="63" spans="1:6">
      <c r="A63" s="15" t="s">
        <v>126</v>
      </c>
      <c r="B63" s="16"/>
      <c r="C63" s="42" t="s">
        <v>97</v>
      </c>
      <c r="D63" s="42" t="s">
        <v>98</v>
      </c>
      <c r="E63" s="42" t="s">
        <v>95</v>
      </c>
      <c r="F63" s="43" t="s">
        <v>96</v>
      </c>
    </row>
    <row r="64" spans="1:6">
      <c r="B64" s="2" t="s">
        <v>56</v>
      </c>
      <c r="C64" s="2" t="s">
        <v>117</v>
      </c>
      <c r="D64" s="2" t="s">
        <v>117</v>
      </c>
      <c r="E64" s="3">
        <v>150</v>
      </c>
      <c r="F64" s="39">
        <f>E64*C10</f>
        <v>18</v>
      </c>
    </row>
    <row r="65" spans="2:7">
      <c r="B65" s="2" t="s">
        <v>57</v>
      </c>
      <c r="C65" s="2">
        <v>230</v>
      </c>
      <c r="D65" s="2">
        <v>5</v>
      </c>
      <c r="E65" s="3">
        <f t="shared" ref="E65:E78" si="0">C65*D65*30/1000</f>
        <v>34.5</v>
      </c>
      <c r="F65" s="39">
        <f>E65*C10</f>
        <v>4.1399999999999997</v>
      </c>
    </row>
    <row r="66" spans="2:7">
      <c r="B66" s="2" t="s">
        <v>108</v>
      </c>
      <c r="C66" s="2">
        <v>60</v>
      </c>
      <c r="D66" s="2">
        <v>6</v>
      </c>
      <c r="E66" s="3">
        <f t="shared" si="0"/>
        <v>10.8</v>
      </c>
      <c r="F66" s="39">
        <f>E66*C10</f>
        <v>1.296</v>
      </c>
    </row>
    <row r="67" spans="2:7">
      <c r="B67" s="2" t="s">
        <v>58</v>
      </c>
      <c r="C67" s="2">
        <v>120</v>
      </c>
      <c r="D67" s="2">
        <v>5</v>
      </c>
      <c r="E67" s="3">
        <f t="shared" si="0"/>
        <v>18</v>
      </c>
      <c r="F67" s="39">
        <f>E67*C10</f>
        <v>2.16</v>
      </c>
    </row>
    <row r="68" spans="2:7">
      <c r="B68" s="2" t="s">
        <v>59</v>
      </c>
      <c r="C68" s="2">
        <v>1000</v>
      </c>
      <c r="D68" s="2">
        <v>5</v>
      </c>
      <c r="E68" s="3">
        <f t="shared" si="0"/>
        <v>150</v>
      </c>
      <c r="F68" s="39">
        <f>E68*C10</f>
        <v>18</v>
      </c>
    </row>
    <row r="69" spans="2:7">
      <c r="B69" s="2" t="s">
        <v>60</v>
      </c>
      <c r="C69" s="2">
        <v>200</v>
      </c>
      <c r="D69" s="2">
        <v>12</v>
      </c>
      <c r="E69" s="3">
        <f t="shared" si="0"/>
        <v>72</v>
      </c>
      <c r="F69" s="39">
        <f>E69*C10</f>
        <v>8.64</v>
      </c>
    </row>
    <row r="70" spans="2:7">
      <c r="B70" s="2" t="s">
        <v>61</v>
      </c>
      <c r="C70" s="2">
        <v>500</v>
      </c>
      <c r="D70" s="2">
        <v>0.3</v>
      </c>
      <c r="E70" s="3">
        <f t="shared" si="0"/>
        <v>4.5</v>
      </c>
      <c r="F70" s="39">
        <f>E70*C10</f>
        <v>0.54</v>
      </c>
    </row>
    <row r="71" spans="2:7">
      <c r="B71" s="2" t="s">
        <v>62</v>
      </c>
      <c r="C71" s="2">
        <v>1400</v>
      </c>
      <c r="D71" s="2">
        <v>2</v>
      </c>
      <c r="E71" s="3">
        <f t="shared" si="0"/>
        <v>84</v>
      </c>
      <c r="F71" s="39">
        <f>E71*C10</f>
        <v>10.08</v>
      </c>
    </row>
    <row r="72" spans="2:7">
      <c r="B72" s="2" t="s">
        <v>63</v>
      </c>
      <c r="C72" s="2">
        <v>280</v>
      </c>
      <c r="D72" s="2">
        <v>4</v>
      </c>
      <c r="E72" s="3">
        <f t="shared" si="0"/>
        <v>33.6</v>
      </c>
      <c r="F72" s="39">
        <f>E72*C10</f>
        <v>4.032</v>
      </c>
    </row>
    <row r="73" spans="2:7">
      <c r="B73" s="2" t="s">
        <v>116</v>
      </c>
      <c r="C73" s="2">
        <v>50</v>
      </c>
      <c r="D73" s="2">
        <v>24</v>
      </c>
      <c r="E73" s="3">
        <f t="shared" si="0"/>
        <v>36</v>
      </c>
      <c r="F73" s="39">
        <f>E73*C10</f>
        <v>4.32</v>
      </c>
    </row>
    <row r="74" spans="2:7">
      <c r="B74" s="2" t="s">
        <v>28</v>
      </c>
      <c r="C74" s="2">
        <v>1300</v>
      </c>
      <c r="D74" s="2">
        <v>1</v>
      </c>
      <c r="E74" s="3">
        <f t="shared" si="0"/>
        <v>39</v>
      </c>
      <c r="F74" s="39">
        <f>E74*C10</f>
        <v>4.68</v>
      </c>
    </row>
    <row r="75" spans="2:7">
      <c r="B75" s="2" t="s">
        <v>29</v>
      </c>
      <c r="C75" s="2">
        <v>1500</v>
      </c>
      <c r="D75" s="2">
        <v>0.5</v>
      </c>
      <c r="E75" s="3">
        <f t="shared" si="0"/>
        <v>22.5</v>
      </c>
      <c r="F75" s="39">
        <f>E75*C10</f>
        <v>2.6999999999999997</v>
      </c>
    </row>
    <row r="76" spans="2:7">
      <c r="B76" s="2" t="s">
        <v>30</v>
      </c>
      <c r="C76" s="2">
        <v>1200</v>
      </c>
      <c r="D76" s="2">
        <v>0.2</v>
      </c>
      <c r="E76" s="3">
        <f t="shared" si="0"/>
        <v>7.2</v>
      </c>
      <c r="F76" s="39">
        <f>E76*C10</f>
        <v>0.86399999999999999</v>
      </c>
    </row>
    <row r="77" spans="2:7">
      <c r="B77" s="2" t="s">
        <v>31</v>
      </c>
      <c r="C77" s="2">
        <v>750</v>
      </c>
      <c r="D77" s="2">
        <v>0.2</v>
      </c>
      <c r="E77" s="3">
        <f t="shared" si="0"/>
        <v>4.5</v>
      </c>
      <c r="F77" s="39">
        <f>E77*C10</f>
        <v>0.54</v>
      </c>
    </row>
    <row r="78" spans="2:7">
      <c r="B78" s="2" t="s">
        <v>32</v>
      </c>
      <c r="C78" s="2">
        <v>1400</v>
      </c>
      <c r="D78" s="2">
        <v>0.5</v>
      </c>
      <c r="E78" s="3">
        <f t="shared" si="0"/>
        <v>21</v>
      </c>
      <c r="F78" s="39">
        <f>E78*C10</f>
        <v>2.52</v>
      </c>
    </row>
    <row r="79" spans="2:7">
      <c r="C79" s="34"/>
      <c r="D79" s="35" t="s">
        <v>127</v>
      </c>
      <c r="E79" s="36">
        <f>SUM(E64:E78)</f>
        <v>687.6</v>
      </c>
      <c r="F79" s="40">
        <f>SUM(F64:F78)</f>
        <v>82.512000000000015</v>
      </c>
      <c r="G79" s="2" t="s">
        <v>131</v>
      </c>
    </row>
    <row r="81" spans="1:7">
      <c r="A81" s="15" t="s">
        <v>33</v>
      </c>
      <c r="B81" s="16"/>
      <c r="C81" s="27">
        <v>10000</v>
      </c>
      <c r="D81" s="27" t="s">
        <v>55</v>
      </c>
      <c r="E81" s="27">
        <v>19</v>
      </c>
      <c r="F81" s="27" t="s">
        <v>34</v>
      </c>
      <c r="G81" s="27"/>
    </row>
    <row r="82" spans="1:7">
      <c r="B82" s="2" t="s">
        <v>35</v>
      </c>
      <c r="C82" s="2">
        <v>1.6</v>
      </c>
      <c r="D82" s="2" t="s">
        <v>36</v>
      </c>
    </row>
    <row r="84" spans="1:7">
      <c r="A84" s="2" t="s">
        <v>37</v>
      </c>
      <c r="C84" s="46">
        <f>C81/E81</f>
        <v>526.31578947368416</v>
      </c>
      <c r="D84" s="47" t="s">
        <v>38</v>
      </c>
      <c r="E84" s="41">
        <f>C82*C84</f>
        <v>842.10526315789468</v>
      </c>
      <c r="F84" s="2" t="s">
        <v>129</v>
      </c>
    </row>
    <row r="85" spans="1:7">
      <c r="A85" s="2" t="s">
        <v>39</v>
      </c>
      <c r="C85" s="28">
        <f>D38+(C45+C53+C58)*12</f>
        <v>3228.0661052631585</v>
      </c>
      <c r="D85" s="19" t="s">
        <v>14</v>
      </c>
      <c r="E85" s="41">
        <f>C85*C9</f>
        <v>2259.6462736842109</v>
      </c>
      <c r="F85" s="2" t="s">
        <v>129</v>
      </c>
    </row>
    <row r="86" spans="1:7">
      <c r="A86" s="2" t="s">
        <v>40</v>
      </c>
      <c r="C86" s="45">
        <f>(E79*12)+F38</f>
        <v>8251.2000000000007</v>
      </c>
      <c r="D86" s="34" t="s">
        <v>41</v>
      </c>
      <c r="E86" s="41">
        <f>C86*C10</f>
        <v>990.14400000000001</v>
      </c>
      <c r="F86" s="2" t="s">
        <v>129</v>
      </c>
    </row>
    <row r="87" spans="1:7">
      <c r="A87" s="15" t="s">
        <v>69</v>
      </c>
      <c r="B87" s="16"/>
      <c r="C87" s="15"/>
      <c r="D87" s="15"/>
      <c r="E87" s="51">
        <f>SUM(E84:E86)</f>
        <v>4091.8955368421057</v>
      </c>
      <c r="F87" s="52" t="s">
        <v>130</v>
      </c>
    </row>
    <row r="89" spans="1:7">
      <c r="A89" s="2" t="s">
        <v>107</v>
      </c>
      <c r="B89" s="1"/>
      <c r="C89" s="1"/>
      <c r="E89" s="8" t="s">
        <v>99</v>
      </c>
    </row>
    <row r="90" spans="1:7">
      <c r="B90" s="2" t="s">
        <v>47</v>
      </c>
      <c r="C90" s="2">
        <v>2.37</v>
      </c>
      <c r="D90" s="2" t="s">
        <v>53</v>
      </c>
      <c r="E90" s="2">
        <v>56</v>
      </c>
    </row>
    <row r="91" spans="1:7">
      <c r="B91" s="2" t="s">
        <v>48</v>
      </c>
      <c r="C91" s="2">
        <v>2.14</v>
      </c>
      <c r="D91" s="2" t="s">
        <v>53</v>
      </c>
      <c r="E91" s="2">
        <v>2.5</v>
      </c>
    </row>
    <row r="92" spans="1:7">
      <c r="B92" s="2" t="s">
        <v>49</v>
      </c>
      <c r="C92" s="2">
        <v>1.32</v>
      </c>
      <c r="D92" s="2" t="s">
        <v>53</v>
      </c>
      <c r="E92" s="2">
        <v>9.5</v>
      </c>
    </row>
    <row r="93" spans="1:7">
      <c r="B93" s="2" t="s">
        <v>50</v>
      </c>
      <c r="C93" s="2">
        <v>0</v>
      </c>
      <c r="D93" s="2" t="s">
        <v>53</v>
      </c>
      <c r="E93" s="2">
        <v>23</v>
      </c>
      <c r="F93" s="2" t="s">
        <v>125</v>
      </c>
    </row>
    <row r="94" spans="1:7">
      <c r="B94" s="2" t="s">
        <v>51</v>
      </c>
      <c r="C94" s="2">
        <v>0</v>
      </c>
      <c r="D94" s="2" t="s">
        <v>53</v>
      </c>
      <c r="E94" s="2">
        <v>9</v>
      </c>
    </row>
    <row r="97" spans="1:6">
      <c r="A97" s="2" t="s">
        <v>115</v>
      </c>
    </row>
    <row r="98" spans="1:6">
      <c r="B98" s="2" t="s">
        <v>42</v>
      </c>
      <c r="C98" s="47">
        <v>23.8</v>
      </c>
      <c r="D98" s="47" t="s">
        <v>43</v>
      </c>
      <c r="E98" s="5">
        <f>C84*C98</f>
        <v>12526.315789473683</v>
      </c>
      <c r="F98" s="2" t="s">
        <v>52</v>
      </c>
    </row>
    <row r="99" spans="1:6">
      <c r="B99" s="2" t="s">
        <v>44</v>
      </c>
      <c r="C99" s="19">
        <v>11.7</v>
      </c>
      <c r="D99" s="19" t="s">
        <v>45</v>
      </c>
      <c r="E99" s="5">
        <f>C85*C99</f>
        <v>37768.373431578955</v>
      </c>
      <c r="F99" s="2" t="s">
        <v>52</v>
      </c>
    </row>
    <row r="100" spans="1:6">
      <c r="B100" s="2" t="s">
        <v>106</v>
      </c>
      <c r="C100" s="37">
        <f>C90*E90/100+C91*E91/100+C92*E92/100+C93*E93/100+C94*E94/100</f>
        <v>1.5061</v>
      </c>
      <c r="D100" s="34" t="s">
        <v>54</v>
      </c>
      <c r="E100" s="5">
        <f>C86*C100</f>
        <v>12427.132320000001</v>
      </c>
      <c r="F100" s="2" t="s">
        <v>52</v>
      </c>
    </row>
    <row r="101" spans="1:6">
      <c r="A101" s="15" t="s">
        <v>70</v>
      </c>
      <c r="B101" s="16"/>
      <c r="C101" s="16"/>
      <c r="D101" s="16"/>
      <c r="E101" s="53">
        <f>SUM(E98:E100)</f>
        <v>62721.821541052646</v>
      </c>
      <c r="F101" s="52" t="s">
        <v>46</v>
      </c>
    </row>
    <row r="103" spans="1:6">
      <c r="B103" s="2" t="s">
        <v>71</v>
      </c>
      <c r="C103" s="2">
        <v>13</v>
      </c>
      <c r="D103" s="2" t="s">
        <v>52</v>
      </c>
      <c r="E103" s="54">
        <f>E101/C103</f>
        <v>4824.7555031578959</v>
      </c>
      <c r="F103" s="55" t="s">
        <v>118</v>
      </c>
    </row>
  </sheetData>
  <phoneticPr fontId="0" type="noConversion"/>
  <printOptions horizontalCentered="1" gridLines="1"/>
  <pageMargins left="0.25" right="0.2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zoomScaleNormal="100" workbookViewId="0"/>
  </sheetViews>
  <sheetFormatPr defaultColWidth="11.375" defaultRowHeight="13.2"/>
  <cols>
    <col min="1" max="1" width="16.75" style="2" customWidth="1"/>
    <col min="2" max="2" width="25.75" style="2" customWidth="1"/>
    <col min="3" max="3" width="11.75" style="2" customWidth="1"/>
    <col min="4" max="4" width="16.75" style="2" customWidth="1"/>
    <col min="5" max="5" width="13.75" style="2" customWidth="1"/>
    <col min="6" max="6" width="12.75" style="2" customWidth="1"/>
    <col min="7" max="7" width="9.75" style="2" customWidth="1"/>
    <col min="8" max="16384" width="11.375" style="2"/>
  </cols>
  <sheetData>
    <row r="1" spans="1:6" ht="15.6">
      <c r="A1" s="48" t="s">
        <v>134</v>
      </c>
    </row>
    <row r="2" spans="1:6" ht="15.6">
      <c r="A2" s="48" t="s">
        <v>135</v>
      </c>
    </row>
    <row r="3" spans="1:6" ht="13.8" thickBot="1"/>
    <row r="4" spans="1:6">
      <c r="A4" s="15" t="s">
        <v>68</v>
      </c>
      <c r="B4" s="16"/>
      <c r="E4" s="13" t="s">
        <v>123</v>
      </c>
      <c r="F4" s="14"/>
    </row>
    <row r="5" spans="1:6">
      <c r="B5" s="2" t="s">
        <v>72</v>
      </c>
      <c r="C5" s="2">
        <v>30</v>
      </c>
      <c r="D5" s="2" t="s">
        <v>8</v>
      </c>
      <c r="E5" s="11" t="s">
        <v>119</v>
      </c>
      <c r="F5" s="12" t="s">
        <v>120</v>
      </c>
    </row>
    <row r="6" spans="1:6">
      <c r="B6" s="2" t="s">
        <v>73</v>
      </c>
      <c r="C6" s="2">
        <v>50</v>
      </c>
      <c r="D6" s="2" t="s">
        <v>8</v>
      </c>
      <c r="E6" s="11">
        <v>1</v>
      </c>
      <c r="F6" s="12">
        <v>3.4140000000000001</v>
      </c>
    </row>
    <row r="7" spans="1:6">
      <c r="B7" s="2" t="s">
        <v>74</v>
      </c>
      <c r="C7" s="2">
        <v>10</v>
      </c>
      <c r="D7" s="2" t="s">
        <v>8</v>
      </c>
      <c r="E7" s="20"/>
      <c r="F7" s="21"/>
    </row>
    <row r="8" spans="1:6">
      <c r="B8" s="2" t="s">
        <v>75</v>
      </c>
      <c r="C8" s="2">
        <f>C5*C6*C7</f>
        <v>15000</v>
      </c>
      <c r="D8" s="2" t="s">
        <v>9</v>
      </c>
      <c r="E8" s="11" t="s">
        <v>121</v>
      </c>
      <c r="F8" s="12" t="s">
        <v>122</v>
      </c>
    </row>
    <row r="9" spans="1:6">
      <c r="B9" s="1" t="s">
        <v>104</v>
      </c>
      <c r="C9" s="1">
        <v>0.7</v>
      </c>
      <c r="D9" s="1" t="s">
        <v>10</v>
      </c>
      <c r="E9" s="11">
        <v>1</v>
      </c>
      <c r="F9" s="12">
        <v>3414</v>
      </c>
    </row>
    <row r="10" spans="1:6" ht="13.8" thickBot="1">
      <c r="B10" s="1" t="s">
        <v>76</v>
      </c>
      <c r="C10" s="1">
        <v>0.12</v>
      </c>
      <c r="D10" s="1" t="s">
        <v>27</v>
      </c>
      <c r="E10" s="17"/>
      <c r="F10" s="18"/>
    </row>
    <row r="11" spans="1:6">
      <c r="A11" s="1"/>
      <c r="B11" s="1"/>
      <c r="C11" s="1"/>
    </row>
    <row r="12" spans="1:6">
      <c r="A12" s="15" t="s">
        <v>0</v>
      </c>
      <c r="B12" s="15"/>
      <c r="C12" s="15"/>
      <c r="D12" s="16"/>
      <c r="E12" s="16"/>
      <c r="F12" s="16"/>
    </row>
    <row r="13" spans="1:6">
      <c r="A13" s="1"/>
      <c r="B13" s="2" t="s">
        <v>77</v>
      </c>
      <c r="C13" s="2">
        <v>0.6</v>
      </c>
    </row>
    <row r="14" spans="1:6">
      <c r="B14" s="2" t="s">
        <v>101</v>
      </c>
      <c r="C14" s="2">
        <v>1</v>
      </c>
      <c r="D14" s="2" t="s">
        <v>102</v>
      </c>
    </row>
    <row r="15" spans="1:6">
      <c r="B15" s="2" t="s">
        <v>78</v>
      </c>
      <c r="C15" s="2">
        <v>70</v>
      </c>
      <c r="D15" s="2" t="s">
        <v>11</v>
      </c>
    </row>
    <row r="16" spans="1:6">
      <c r="B16" s="2" t="s">
        <v>79</v>
      </c>
      <c r="C16" s="2">
        <v>3000</v>
      </c>
      <c r="D16" s="2" t="s">
        <v>12</v>
      </c>
    </row>
    <row r="18" spans="2:6">
      <c r="B18" s="7" t="s">
        <v>1</v>
      </c>
      <c r="C18" s="7" t="s">
        <v>82</v>
      </c>
      <c r="D18" s="7" t="s">
        <v>7</v>
      </c>
      <c r="E18" s="7" t="s">
        <v>80</v>
      </c>
      <c r="F18" s="9" t="s">
        <v>81</v>
      </c>
    </row>
    <row r="19" spans="2:6">
      <c r="B19" s="2" t="s">
        <v>2</v>
      </c>
      <c r="C19" s="2">
        <f>C5*C6</f>
        <v>1500</v>
      </c>
      <c r="D19" s="2">
        <v>10</v>
      </c>
      <c r="E19" s="2">
        <f>C19/D19</f>
        <v>150</v>
      </c>
      <c r="F19" s="3">
        <f>100*(E19/$E$26)</f>
        <v>7.1464393179538623</v>
      </c>
    </row>
    <row r="20" spans="2:6">
      <c r="B20" s="2" t="s">
        <v>3</v>
      </c>
      <c r="C20" s="2">
        <f>C5*C7</f>
        <v>300</v>
      </c>
      <c r="D20" s="2">
        <v>1</v>
      </c>
      <c r="E20" s="2">
        <f>C20/D20</f>
        <v>300</v>
      </c>
      <c r="F20" s="3">
        <f>100*(E20/$E$26)</f>
        <v>14.292878635907725</v>
      </c>
    </row>
    <row r="21" spans="2:6">
      <c r="B21" s="2" t="s">
        <v>4</v>
      </c>
      <c r="C21" s="2">
        <f>(C6+C6+C5)*C7</f>
        <v>1300</v>
      </c>
      <c r="D21" s="2">
        <v>1</v>
      </c>
      <c r="E21" s="2">
        <f>C21/D21</f>
        <v>1300</v>
      </c>
      <c r="F21" s="3">
        <f>100*(E21/$E$26)</f>
        <v>61.935807422266805</v>
      </c>
    </row>
    <row r="22" spans="2:6">
      <c r="B22" s="2" t="s">
        <v>5</v>
      </c>
      <c r="C22" s="2">
        <v>0</v>
      </c>
      <c r="D22" s="2">
        <v>11</v>
      </c>
      <c r="E22" s="2">
        <f>C22/D22</f>
        <v>0</v>
      </c>
      <c r="F22" s="3">
        <f>100*(E22/$E$26)</f>
        <v>0</v>
      </c>
    </row>
    <row r="23" spans="2:6">
      <c r="B23" s="2" t="s">
        <v>6</v>
      </c>
      <c r="C23" s="2">
        <f>C5*C6</f>
        <v>1500</v>
      </c>
      <c r="D23" s="2">
        <v>19</v>
      </c>
      <c r="E23" s="3">
        <f>C23/D23</f>
        <v>78.94736842105263</v>
      </c>
      <c r="F23" s="3">
        <f>100*(E23/$E$26)</f>
        <v>3.7612838515546643</v>
      </c>
    </row>
    <row r="25" spans="2:6">
      <c r="B25" s="2" t="s">
        <v>109</v>
      </c>
      <c r="E25" s="2">
        <f>0.018*C8*C14</f>
        <v>270</v>
      </c>
      <c r="F25" s="3">
        <f>100*(E25/$E$26)</f>
        <v>12.863590772316952</v>
      </c>
    </row>
    <row r="26" spans="2:6">
      <c r="D26" s="2" t="s">
        <v>13</v>
      </c>
      <c r="E26" s="3">
        <f>SUM(E19:E25)</f>
        <v>2098.9473684210525</v>
      </c>
    </row>
    <row r="27" spans="2:6">
      <c r="D27" s="2" t="s">
        <v>100</v>
      </c>
      <c r="E27" s="3">
        <f>E26-E20</f>
        <v>1798.9473684210525</v>
      </c>
    </row>
    <row r="29" spans="2:6">
      <c r="B29" s="2" t="s">
        <v>103</v>
      </c>
      <c r="C29" s="6"/>
      <c r="D29" s="3">
        <f>C15-(C16/E27)</f>
        <v>68.33235810415448</v>
      </c>
    </row>
    <row r="30" spans="2:6">
      <c r="C30" s="6"/>
      <c r="D30" s="22"/>
    </row>
    <row r="31" spans="2:6">
      <c r="B31" s="2" t="s">
        <v>113</v>
      </c>
      <c r="C31" s="8" t="s">
        <v>111</v>
      </c>
      <c r="D31" s="22" t="s">
        <v>112</v>
      </c>
    </row>
    <row r="32" spans="2:6" ht="13.8" thickBot="1">
      <c r="B32" s="50" t="s">
        <v>133</v>
      </c>
      <c r="C32" s="6">
        <v>65</v>
      </c>
      <c r="D32" s="2">
        <v>2980</v>
      </c>
    </row>
    <row r="33" spans="1:7">
      <c r="C33" s="6">
        <v>55</v>
      </c>
      <c r="D33" s="2">
        <v>590</v>
      </c>
      <c r="F33" s="30"/>
      <c r="G33" s="31" t="s">
        <v>124</v>
      </c>
    </row>
    <row r="34" spans="1:7">
      <c r="B34" s="2" t="s">
        <v>64</v>
      </c>
      <c r="C34" s="23">
        <f>D29</f>
        <v>68.33235810415448</v>
      </c>
      <c r="D34" s="5">
        <f>D33+((C34-C33)*(D32-D33)/10)</f>
        <v>3776.4335868929206</v>
      </c>
      <c r="F34" s="11" t="s">
        <v>128</v>
      </c>
      <c r="G34" s="21">
        <v>1</v>
      </c>
    </row>
    <row r="35" spans="1:7">
      <c r="C35" s="6"/>
      <c r="D35" s="22"/>
      <c r="F35" s="20"/>
      <c r="G35" s="21"/>
    </row>
    <row r="36" spans="1:7">
      <c r="B36" s="2" t="s">
        <v>83</v>
      </c>
      <c r="C36" s="6"/>
      <c r="D36" s="24">
        <f>24*E27*D34</f>
        <v>163046526.31578949</v>
      </c>
      <c r="E36" s="2" t="s">
        <v>65</v>
      </c>
      <c r="F36" s="20"/>
      <c r="G36" s="21"/>
    </row>
    <row r="37" spans="1:7">
      <c r="B37" s="27" t="s">
        <v>84</v>
      </c>
      <c r="C37" s="38"/>
      <c r="D37" s="10">
        <f>D36/(C13)</f>
        <v>271744210.52631581</v>
      </c>
      <c r="E37" s="2" t="s">
        <v>65</v>
      </c>
      <c r="F37" s="20"/>
      <c r="G37" s="21"/>
    </row>
    <row r="38" spans="1:7">
      <c r="D38" s="25">
        <f>IF(C13&lt;1,D37/100000,0)</f>
        <v>2717.4421052631583</v>
      </c>
      <c r="E38" s="19" t="s">
        <v>67</v>
      </c>
      <c r="F38" s="44">
        <f>IF(C13=G34,D37/F9,0)</f>
        <v>0</v>
      </c>
      <c r="G38" s="33" t="s">
        <v>41</v>
      </c>
    </row>
    <row r="39" spans="1:7" ht="13.8" thickBot="1">
      <c r="B39" s="2" t="s">
        <v>132</v>
      </c>
      <c r="C39" s="6"/>
      <c r="D39" s="26">
        <f>D38*C9</f>
        <v>1902.2094736842107</v>
      </c>
      <c r="E39" s="2" t="s">
        <v>66</v>
      </c>
      <c r="F39" s="29">
        <f>F38*C10</f>
        <v>0</v>
      </c>
      <c r="G39" s="18" t="s">
        <v>66</v>
      </c>
    </row>
    <row r="41" spans="1:7">
      <c r="A41" s="15" t="s">
        <v>15</v>
      </c>
      <c r="B41" s="16"/>
      <c r="C41" s="27"/>
      <c r="D41" s="27"/>
    </row>
    <row r="42" spans="1:7">
      <c r="B42" s="2" t="s">
        <v>85</v>
      </c>
      <c r="C42" s="2">
        <v>6</v>
      </c>
      <c r="D42" s="2" t="s">
        <v>16</v>
      </c>
    </row>
    <row r="43" spans="1:7">
      <c r="B43" s="2" t="s">
        <v>86</v>
      </c>
      <c r="C43" s="2">
        <v>7.0000000000000007E-2</v>
      </c>
      <c r="D43" s="2" t="s">
        <v>17</v>
      </c>
    </row>
    <row r="44" spans="1:7">
      <c r="B44" s="2" t="s">
        <v>87</v>
      </c>
      <c r="C44" s="2">
        <v>60</v>
      </c>
      <c r="D44" s="2" t="s">
        <v>18</v>
      </c>
    </row>
    <row r="45" spans="1:7">
      <c r="B45" s="19" t="s">
        <v>88</v>
      </c>
      <c r="C45" s="19">
        <f xml:space="preserve"> C42+(C43*C44)</f>
        <v>10.199999999999999</v>
      </c>
      <c r="D45" s="19" t="s">
        <v>19</v>
      </c>
    </row>
    <row r="46" spans="1:7">
      <c r="B46" s="2" t="s">
        <v>89</v>
      </c>
      <c r="C46" s="2">
        <f xml:space="preserve"> C45*C9</f>
        <v>7.1399999999999988</v>
      </c>
      <c r="D46" s="2" t="s">
        <v>20</v>
      </c>
    </row>
    <row r="48" spans="1:7">
      <c r="A48" s="15" t="s">
        <v>21</v>
      </c>
      <c r="B48" s="16"/>
      <c r="C48" s="27"/>
      <c r="D48" s="27"/>
    </row>
    <row r="49" spans="1:6">
      <c r="B49" s="2" t="s">
        <v>90</v>
      </c>
      <c r="C49" s="2">
        <v>80</v>
      </c>
      <c r="D49" s="2" t="s">
        <v>22</v>
      </c>
    </row>
    <row r="50" spans="1:6">
      <c r="B50" s="2" t="s">
        <v>114</v>
      </c>
      <c r="C50" s="2">
        <v>0.6</v>
      </c>
    </row>
    <row r="51" spans="1:6">
      <c r="B51" s="2" t="s">
        <v>105</v>
      </c>
      <c r="C51" s="4">
        <f>(C49*30*8.34*70)/(C50*100000)</f>
        <v>23.352</v>
      </c>
      <c r="D51" s="2" t="s">
        <v>16</v>
      </c>
    </row>
    <row r="52" spans="1:6">
      <c r="B52" s="2" t="s">
        <v>91</v>
      </c>
      <c r="C52" s="2">
        <v>6</v>
      </c>
      <c r="D52" s="2" t="s">
        <v>16</v>
      </c>
      <c r="E52" s="2" t="s">
        <v>23</v>
      </c>
    </row>
    <row r="53" spans="1:6">
      <c r="B53" s="19" t="s">
        <v>92</v>
      </c>
      <c r="C53" s="32">
        <f>C51+C52</f>
        <v>29.352</v>
      </c>
      <c r="D53" s="19" t="s">
        <v>16</v>
      </c>
    </row>
    <row r="54" spans="1:6">
      <c r="B54" s="2" t="s">
        <v>89</v>
      </c>
      <c r="C54" s="4">
        <f xml:space="preserve"> (C53)*C9</f>
        <v>20.546399999999998</v>
      </c>
      <c r="D54" s="2" t="s">
        <v>20</v>
      </c>
    </row>
    <row r="56" spans="1:6">
      <c r="A56" s="15" t="s">
        <v>24</v>
      </c>
      <c r="B56" s="16"/>
      <c r="C56" s="27">
        <v>0.15</v>
      </c>
      <c r="D56" s="27" t="s">
        <v>25</v>
      </c>
    </row>
    <row r="57" spans="1:6">
      <c r="B57" s="2" t="s">
        <v>93</v>
      </c>
      <c r="C57" s="2">
        <v>20</v>
      </c>
      <c r="D57" s="2" t="s">
        <v>26</v>
      </c>
    </row>
    <row r="58" spans="1:6">
      <c r="B58" s="19" t="s">
        <v>94</v>
      </c>
      <c r="C58" s="25">
        <f>C56*C57</f>
        <v>3</v>
      </c>
      <c r="D58" s="19" t="s">
        <v>16</v>
      </c>
    </row>
    <row r="59" spans="1:6">
      <c r="B59" s="2" t="s">
        <v>89</v>
      </c>
      <c r="C59" s="4">
        <f>C58*C9</f>
        <v>2.0999999999999996</v>
      </c>
      <c r="D59" s="2" t="s">
        <v>20</v>
      </c>
    </row>
    <row r="63" spans="1:6">
      <c r="A63" s="15" t="s">
        <v>126</v>
      </c>
      <c r="B63" s="16"/>
      <c r="C63" s="42" t="s">
        <v>97</v>
      </c>
      <c r="D63" s="42" t="s">
        <v>98</v>
      </c>
      <c r="E63" s="42" t="s">
        <v>95</v>
      </c>
      <c r="F63" s="43" t="s">
        <v>96</v>
      </c>
    </row>
    <row r="64" spans="1:6">
      <c r="B64" s="2" t="s">
        <v>56</v>
      </c>
      <c r="C64" s="2" t="s">
        <v>117</v>
      </c>
      <c r="D64" s="2" t="s">
        <v>117</v>
      </c>
      <c r="E64" s="3">
        <v>150</v>
      </c>
      <c r="F64" s="39">
        <f>E64*C10</f>
        <v>18</v>
      </c>
    </row>
    <row r="65" spans="2:7">
      <c r="B65" s="2" t="s">
        <v>57</v>
      </c>
      <c r="C65" s="2">
        <v>230</v>
      </c>
      <c r="D65" s="2">
        <v>5</v>
      </c>
      <c r="E65" s="3">
        <f t="shared" ref="E65:E78" si="0">C65*D65*30/1000</f>
        <v>34.5</v>
      </c>
      <c r="F65" s="39">
        <f>E65*C10</f>
        <v>4.1399999999999997</v>
      </c>
    </row>
    <row r="66" spans="2:7">
      <c r="B66" s="2" t="s">
        <v>108</v>
      </c>
      <c r="C66" s="2">
        <v>60</v>
      </c>
      <c r="D66" s="2">
        <v>6</v>
      </c>
      <c r="E66" s="3">
        <f t="shared" si="0"/>
        <v>10.8</v>
      </c>
      <c r="F66" s="39">
        <f>E66*C10</f>
        <v>1.296</v>
      </c>
    </row>
    <row r="67" spans="2:7">
      <c r="B67" s="2" t="s">
        <v>58</v>
      </c>
      <c r="C67" s="2">
        <v>120</v>
      </c>
      <c r="D67" s="2">
        <v>5</v>
      </c>
      <c r="E67" s="3">
        <f t="shared" si="0"/>
        <v>18</v>
      </c>
      <c r="F67" s="39">
        <f>E67*C10</f>
        <v>2.16</v>
      </c>
    </row>
    <row r="68" spans="2:7">
      <c r="B68" s="2" t="s">
        <v>59</v>
      </c>
      <c r="C68" s="2">
        <v>1000</v>
      </c>
      <c r="D68" s="2">
        <v>5</v>
      </c>
      <c r="E68" s="3">
        <f t="shared" si="0"/>
        <v>150</v>
      </c>
      <c r="F68" s="39">
        <f>E68*C10</f>
        <v>18</v>
      </c>
    </row>
    <row r="69" spans="2:7">
      <c r="B69" s="2" t="s">
        <v>60</v>
      </c>
      <c r="C69" s="2">
        <v>200</v>
      </c>
      <c r="D69" s="2">
        <v>12</v>
      </c>
      <c r="E69" s="3">
        <f t="shared" si="0"/>
        <v>72</v>
      </c>
      <c r="F69" s="39">
        <f>E69*C10</f>
        <v>8.64</v>
      </c>
    </row>
    <row r="70" spans="2:7">
      <c r="B70" s="2" t="s">
        <v>61</v>
      </c>
      <c r="C70" s="2">
        <v>500</v>
      </c>
      <c r="D70" s="2">
        <v>0.3</v>
      </c>
      <c r="E70" s="3">
        <f t="shared" si="0"/>
        <v>4.5</v>
      </c>
      <c r="F70" s="39">
        <f>E70*C10</f>
        <v>0.54</v>
      </c>
    </row>
    <row r="71" spans="2:7">
      <c r="B71" s="2" t="s">
        <v>62</v>
      </c>
      <c r="C71" s="2">
        <v>1400</v>
      </c>
      <c r="D71" s="2">
        <v>2</v>
      </c>
      <c r="E71" s="3">
        <f t="shared" si="0"/>
        <v>84</v>
      </c>
      <c r="F71" s="39">
        <f>E71*C10</f>
        <v>10.08</v>
      </c>
    </row>
    <row r="72" spans="2:7">
      <c r="B72" s="2" t="s">
        <v>63</v>
      </c>
      <c r="C72" s="2">
        <v>280</v>
      </c>
      <c r="D72" s="2">
        <v>4</v>
      </c>
      <c r="E72" s="3">
        <f t="shared" si="0"/>
        <v>33.6</v>
      </c>
      <c r="F72" s="39">
        <f>E72*C10</f>
        <v>4.032</v>
      </c>
    </row>
    <row r="73" spans="2:7">
      <c r="B73" s="2" t="s">
        <v>116</v>
      </c>
      <c r="C73" s="2">
        <v>50</v>
      </c>
      <c r="D73" s="2">
        <v>24</v>
      </c>
      <c r="E73" s="3">
        <f t="shared" si="0"/>
        <v>36</v>
      </c>
      <c r="F73" s="39">
        <f>E73*C10</f>
        <v>4.32</v>
      </c>
    </row>
    <row r="74" spans="2:7">
      <c r="B74" s="2" t="s">
        <v>28</v>
      </c>
      <c r="C74" s="2">
        <v>1300</v>
      </c>
      <c r="D74" s="2">
        <v>1</v>
      </c>
      <c r="E74" s="3">
        <f t="shared" si="0"/>
        <v>39</v>
      </c>
      <c r="F74" s="39">
        <f>E74*C10</f>
        <v>4.68</v>
      </c>
    </row>
    <row r="75" spans="2:7">
      <c r="B75" s="2" t="s">
        <v>29</v>
      </c>
      <c r="C75" s="2">
        <v>1500</v>
      </c>
      <c r="D75" s="2">
        <v>0.5</v>
      </c>
      <c r="E75" s="3">
        <f t="shared" si="0"/>
        <v>22.5</v>
      </c>
      <c r="F75" s="39">
        <f>E75*C10</f>
        <v>2.6999999999999997</v>
      </c>
    </row>
    <row r="76" spans="2:7">
      <c r="B76" s="2" t="s">
        <v>30</v>
      </c>
      <c r="C76" s="2">
        <v>1200</v>
      </c>
      <c r="D76" s="2">
        <v>0.2</v>
      </c>
      <c r="E76" s="3">
        <f t="shared" si="0"/>
        <v>7.2</v>
      </c>
      <c r="F76" s="39">
        <f>E76*C10</f>
        <v>0.86399999999999999</v>
      </c>
    </row>
    <row r="77" spans="2:7">
      <c r="B77" s="2" t="s">
        <v>31</v>
      </c>
      <c r="C77" s="2">
        <v>750</v>
      </c>
      <c r="D77" s="2">
        <v>0.2</v>
      </c>
      <c r="E77" s="3">
        <f t="shared" si="0"/>
        <v>4.5</v>
      </c>
      <c r="F77" s="39">
        <f>E77*C10</f>
        <v>0.54</v>
      </c>
    </row>
    <row r="78" spans="2:7">
      <c r="B78" s="2" t="s">
        <v>32</v>
      </c>
      <c r="C78" s="2">
        <v>1400</v>
      </c>
      <c r="D78" s="2">
        <v>0.5</v>
      </c>
      <c r="E78" s="3">
        <f t="shared" si="0"/>
        <v>21</v>
      </c>
      <c r="F78" s="39">
        <f>E78*C10</f>
        <v>2.52</v>
      </c>
    </row>
    <row r="79" spans="2:7">
      <c r="C79" s="34"/>
      <c r="D79" s="35" t="s">
        <v>127</v>
      </c>
      <c r="E79" s="36">
        <f>SUM(E64:E78)</f>
        <v>687.6</v>
      </c>
      <c r="F79" s="40">
        <f>SUM(F64:F78)</f>
        <v>82.512000000000015</v>
      </c>
      <c r="G79" s="2" t="s">
        <v>131</v>
      </c>
    </row>
    <row r="81" spans="1:7">
      <c r="A81" s="15" t="s">
        <v>33</v>
      </c>
      <c r="B81" s="16"/>
      <c r="C81" s="27">
        <v>10000</v>
      </c>
      <c r="D81" s="27" t="s">
        <v>55</v>
      </c>
      <c r="E81" s="27">
        <v>19</v>
      </c>
      <c r="F81" s="27" t="s">
        <v>34</v>
      </c>
      <c r="G81" s="27"/>
    </row>
    <row r="82" spans="1:7">
      <c r="B82" s="2" t="s">
        <v>35</v>
      </c>
      <c r="C82" s="2">
        <v>1.6</v>
      </c>
      <c r="D82" s="2" t="s">
        <v>36</v>
      </c>
    </row>
    <row r="84" spans="1:7">
      <c r="A84" s="2" t="s">
        <v>37</v>
      </c>
      <c r="C84" s="46">
        <f>C81/E81</f>
        <v>526.31578947368416</v>
      </c>
      <c r="D84" s="47" t="s">
        <v>38</v>
      </c>
      <c r="E84" s="41">
        <f>C82*C84</f>
        <v>842.10526315789468</v>
      </c>
      <c r="F84" s="2" t="s">
        <v>129</v>
      </c>
    </row>
    <row r="85" spans="1:7">
      <c r="A85" s="2" t="s">
        <v>39</v>
      </c>
      <c r="C85" s="28">
        <f>D38+(C45+C53+C58)*12</f>
        <v>3228.0661052631585</v>
      </c>
      <c r="D85" s="19" t="s">
        <v>14</v>
      </c>
      <c r="E85" s="41">
        <f>C85*C9</f>
        <v>2259.6462736842109</v>
      </c>
      <c r="F85" s="2" t="s">
        <v>129</v>
      </c>
    </row>
    <row r="86" spans="1:7">
      <c r="A86" s="2" t="s">
        <v>40</v>
      </c>
      <c r="C86" s="45">
        <f>(E79*12)+F38</f>
        <v>8251.2000000000007</v>
      </c>
      <c r="D86" s="34" t="s">
        <v>41</v>
      </c>
      <c r="E86" s="41">
        <f>C86*C10</f>
        <v>990.14400000000001</v>
      </c>
      <c r="F86" s="2" t="s">
        <v>129</v>
      </c>
    </row>
    <row r="87" spans="1:7">
      <c r="A87" s="15" t="s">
        <v>69</v>
      </c>
      <c r="B87" s="16"/>
      <c r="C87" s="15"/>
      <c r="D87" s="15"/>
      <c r="E87" s="51">
        <f>SUM(E84:E86)</f>
        <v>4091.8955368421057</v>
      </c>
      <c r="F87" s="52" t="s">
        <v>130</v>
      </c>
    </row>
    <row r="89" spans="1:7">
      <c r="A89" s="2" t="s">
        <v>107</v>
      </c>
      <c r="B89" s="1"/>
      <c r="C89" s="1"/>
      <c r="E89" s="8" t="s">
        <v>99</v>
      </c>
    </row>
    <row r="90" spans="1:7">
      <c r="B90" s="2" t="s">
        <v>47</v>
      </c>
      <c r="C90" s="2">
        <v>2.37</v>
      </c>
      <c r="D90" s="2" t="s">
        <v>53</v>
      </c>
      <c r="E90" s="2">
        <v>56</v>
      </c>
    </row>
    <row r="91" spans="1:7">
      <c r="B91" s="2" t="s">
        <v>48</v>
      </c>
      <c r="C91" s="2">
        <v>2.14</v>
      </c>
      <c r="D91" s="2" t="s">
        <v>53</v>
      </c>
      <c r="E91" s="2">
        <v>2.5</v>
      </c>
    </row>
    <row r="92" spans="1:7">
      <c r="B92" s="2" t="s">
        <v>49</v>
      </c>
      <c r="C92" s="2">
        <v>1.32</v>
      </c>
      <c r="D92" s="2" t="s">
        <v>53</v>
      </c>
      <c r="E92" s="2">
        <v>9.5</v>
      </c>
    </row>
    <row r="93" spans="1:7">
      <c r="B93" s="2" t="s">
        <v>50</v>
      </c>
      <c r="C93" s="2">
        <v>0</v>
      </c>
      <c r="D93" s="2" t="s">
        <v>53</v>
      </c>
      <c r="E93" s="2">
        <v>23</v>
      </c>
      <c r="F93" s="2" t="s">
        <v>125</v>
      </c>
    </row>
    <row r="94" spans="1:7">
      <c r="B94" s="2" t="s">
        <v>51</v>
      </c>
      <c r="C94" s="2">
        <v>0</v>
      </c>
      <c r="D94" s="2" t="s">
        <v>53</v>
      </c>
      <c r="E94" s="2">
        <v>9</v>
      </c>
    </row>
    <row r="97" spans="1:6">
      <c r="A97" s="2" t="s">
        <v>115</v>
      </c>
    </row>
    <row r="98" spans="1:6">
      <c r="B98" s="2" t="s">
        <v>42</v>
      </c>
      <c r="C98" s="47">
        <v>23.8</v>
      </c>
      <c r="D98" s="47" t="s">
        <v>43</v>
      </c>
      <c r="E98" s="5">
        <f>C84*C98</f>
        <v>12526.315789473683</v>
      </c>
      <c r="F98" s="2" t="s">
        <v>52</v>
      </c>
    </row>
    <row r="99" spans="1:6">
      <c r="B99" s="2" t="s">
        <v>44</v>
      </c>
      <c r="C99" s="19">
        <v>11.7</v>
      </c>
      <c r="D99" s="19" t="s">
        <v>45</v>
      </c>
      <c r="E99" s="5">
        <f>C85*C99</f>
        <v>37768.373431578955</v>
      </c>
      <c r="F99" s="2" t="s">
        <v>52</v>
      </c>
    </row>
    <row r="100" spans="1:6">
      <c r="B100" s="2" t="s">
        <v>106</v>
      </c>
      <c r="C100" s="37">
        <f>C90*E90/100+C91*E91/100+C92*E92/100+C93*E93/100+C94*E94/100</f>
        <v>1.5061</v>
      </c>
      <c r="D100" s="34" t="s">
        <v>54</v>
      </c>
      <c r="E100" s="5">
        <f>C86*C100</f>
        <v>12427.132320000001</v>
      </c>
      <c r="F100" s="2" t="s">
        <v>52</v>
      </c>
    </row>
    <row r="101" spans="1:6">
      <c r="A101" s="15" t="s">
        <v>70</v>
      </c>
      <c r="B101" s="16"/>
      <c r="C101" s="16"/>
      <c r="D101" s="16"/>
      <c r="E101" s="53">
        <f>SUM(E98:E100)</f>
        <v>62721.821541052646</v>
      </c>
      <c r="F101" s="52" t="s">
        <v>46</v>
      </c>
    </row>
    <row r="103" spans="1:6">
      <c r="B103" s="2" t="s">
        <v>71</v>
      </c>
      <c r="C103" s="2">
        <v>13</v>
      </c>
      <c r="D103" s="2" t="s">
        <v>52</v>
      </c>
      <c r="E103" s="54">
        <f>E101/C103</f>
        <v>4824.7555031578959</v>
      </c>
      <c r="F103" s="55" t="s">
        <v>118</v>
      </c>
    </row>
  </sheetData>
  <phoneticPr fontId="0" type="noConversion"/>
  <printOptions horizontalCentered="1" gridLines="1"/>
  <pageMargins left="0.25" right="0.2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Johnson - Base</vt:lpstr>
      <vt:lpstr>Johnson - More Efficient</vt:lpstr>
      <vt:lpstr>Your Home - Base</vt:lpstr>
      <vt:lpstr>Your Home - More Efficient</vt:lpstr>
      <vt:lpstr>'Johnson - Base'!Print_Area</vt:lpstr>
      <vt:lpstr>'Johnson - More Efficient'!Print_Area</vt:lpstr>
      <vt:lpstr>'Your Home - Base'!Print_Area</vt:lpstr>
      <vt:lpstr>'Your Home - More Efficient'!Print_Area</vt:lpstr>
    </vt:vector>
  </TitlesOfParts>
  <Company>Glenda the Good Witch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Griffin</dc:creator>
  <cp:lastModifiedBy>Aniket Gupta</cp:lastModifiedBy>
  <cp:lastPrinted>2002-11-11T05:36:32Z</cp:lastPrinted>
  <dcterms:created xsi:type="dcterms:W3CDTF">2001-11-04T22:20:53Z</dcterms:created>
  <dcterms:modified xsi:type="dcterms:W3CDTF">2024-02-03T22:23:00Z</dcterms:modified>
</cp:coreProperties>
</file>